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7.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drawings/drawing9.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drawings/drawing10.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11.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12.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drawings/drawing13.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drawings/drawing14.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drawings/drawing15.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drawings/drawing16.xml" ContentType="application/vnd.openxmlformats-officedocument.drawing+xml"/>
  <Override PartName="/xl/charts/chart27.xml" ContentType="application/vnd.openxmlformats-officedocument.drawingml.chart+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5970" windowHeight="5805" tabRatio="784" firstSheet="60" activeTab="68"/>
  </bookViews>
  <sheets>
    <sheet name="pagecouvert." sheetId="1" r:id="rId1"/>
    <sheet name="Noteutili" sheetId="2" r:id="rId2"/>
    <sheet name="tabmat" sheetId="3" r:id="rId3"/>
    <sheet name="pageint.sect1" sheetId="4" r:id="rId4"/>
    <sheet name="actifs" sheetId="5" r:id="rId5"/>
    <sheet name="dispo." sheetId="6" r:id="rId6"/>
    <sheet name="bonsbrh" sheetId="7" r:id="rId7"/>
    <sheet name="prêts" sheetId="8" r:id="rId8"/>
    <sheet name="dépôts" sheetId="9" r:id="rId9"/>
    <sheet name="dépôts us" sheetId="10" r:id="rId10"/>
    <sheet name="av.desact." sheetId="11" r:id="rId11"/>
    <sheet name="revint." sheetId="12" r:id="rId12"/>
    <sheet name="m.net%revint" sheetId="13" r:id="rId13"/>
    <sheet name="aut.rev." sheetId="14" r:id="rId14"/>
    <sheet name="fraisd'expl." sheetId="15" r:id="rId15"/>
    <sheet name="f.d'exp%pnb" sheetId="16" r:id="rId16"/>
    <sheet name="bénef.net" sheetId="17" r:id="rId17"/>
    <sheet name="dividende" sheetId="18" r:id="rId18"/>
    <sheet name="employés" sheetId="19" r:id="rId19"/>
    <sheet name="nbre de prêts" sheetId="20" r:id="rId20"/>
    <sheet name="nbre de dépôts " sheetId="21" r:id="rId21"/>
    <sheet name="nbre de dépôts (2) " sheetId="22" r:id="rId22"/>
    <sheet name="pageintsect2" sheetId="23" r:id="rId23"/>
    <sheet name="sofiinfisys" sheetId="24" r:id="rId24"/>
    <sheet name="partdemarc." sheetId="25" r:id="rId25"/>
    <sheet name="somfinbilsys" sheetId="26" r:id="rId26"/>
    <sheet name="sofibilcompsys" sheetId="27" r:id="rId27"/>
    <sheet name="sofibilgdes&amp;$ " sheetId="28" r:id="rId28"/>
    <sheet name="somfinrésys" sheetId="29" r:id="rId29"/>
    <sheet name="somfindétvan" sheetId="30" r:id="rId30"/>
    <sheet name="pageint.sect3" sheetId="31" r:id="rId31"/>
    <sheet name="somfindétfsfin " sheetId="32" r:id="rId32"/>
    <sheet name="sysratfinclé " sheetId="33" r:id="rId33"/>
    <sheet name="bilsysbandéc.99  " sheetId="34" r:id="rId34"/>
    <sheet name="bilsysbandéc.99gdes " sheetId="35" r:id="rId35"/>
    <sheet name="bilsysbandéc.99$ " sheetId="36" r:id="rId36"/>
    <sheet name="bilsysbansept99" sheetId="37" r:id="rId37"/>
    <sheet name="bilsysbansept.98" sheetId="38" r:id="rId38"/>
    <sheet name="bilsysban sept97" sheetId="39" r:id="rId39"/>
    <sheet name="RÉSULTsyst  " sheetId="40" r:id="rId40"/>
    <sheet name="résultsyscumul " sheetId="41" r:id="rId41"/>
    <sheet name="pageint.sect4" sheetId="42" r:id="rId42"/>
    <sheet name="bichinfin" sheetId="43" r:id="rId43"/>
    <sheet name="bichvar" sheetId="44" r:id="rId44"/>
    <sheet name="bichcomp " sheetId="45" r:id="rId45"/>
    <sheet name="bichgdes&amp;$" sheetId="46" r:id="rId46"/>
    <sheet name="BICHRÉSULT     " sheetId="47" r:id="rId47"/>
    <sheet name="BICHVARAN       " sheetId="48" r:id="rId48"/>
    <sheet name="bhdinfin" sheetId="49" r:id="rId49"/>
    <sheet name="bhdvar  " sheetId="50" r:id="rId50"/>
    <sheet name="bhdcomp" sheetId="51" r:id="rId51"/>
    <sheet name="bhdgdes&amp;$" sheetId="52" r:id="rId52"/>
    <sheet name="BHdRÉSULT" sheetId="53" r:id="rId53"/>
    <sheet name="BHdVARAN" sheetId="54" r:id="rId54"/>
    <sheet name="bidcinfin    " sheetId="55" r:id="rId55"/>
    <sheet name="bidcvar" sheetId="56" r:id="rId56"/>
    <sheet name="bidccomp  " sheetId="57" r:id="rId57"/>
    <sheet name="bidcgdes&amp;$ " sheetId="58" r:id="rId58"/>
    <sheet name="BIDCRÉSULT " sheetId="59" r:id="rId59"/>
    <sheet name="BIDCVARAN   " sheetId="60" r:id="rId60"/>
    <sheet name="bmhinfin " sheetId="61" r:id="rId61"/>
    <sheet name="bmhvar " sheetId="62" r:id="rId62"/>
    <sheet name="bmhcomp" sheetId="63" r:id="rId63"/>
    <sheet name="bmhgdes&amp;$" sheetId="64" r:id="rId64"/>
    <sheet name="BMHRÉSULT" sheetId="65" r:id="rId65"/>
    <sheet name="BMHVARAN" sheetId="66" r:id="rId66"/>
    <sheet name="bncinfin " sheetId="67" r:id="rId67"/>
    <sheet name="bncvar" sheetId="68" r:id="rId68"/>
    <sheet name="bnccomp " sheetId="69" r:id="rId69"/>
    <sheet name="bncgdes&amp;$ " sheetId="70" r:id="rId70"/>
    <sheet name="bncrésult " sheetId="71" r:id="rId71"/>
    <sheet name="BNCVARAN " sheetId="72" r:id="rId72"/>
    <sheet name="bphinfin     " sheetId="73" r:id="rId73"/>
    <sheet name="bphvar" sheetId="74" r:id="rId74"/>
    <sheet name="bphcomp  " sheetId="75" r:id="rId75"/>
    <sheet name="bphgdes&amp;$" sheetId="76" r:id="rId76"/>
    <sheet name="BPHRÉSULT  " sheetId="77" r:id="rId77"/>
    <sheet name="BPHVARAN    " sheetId="78" r:id="rId78"/>
    <sheet name="buhinfin" sheetId="79" r:id="rId79"/>
    <sheet name="buhvar" sheetId="80" r:id="rId80"/>
    <sheet name="buhcomp" sheetId="81" r:id="rId81"/>
    <sheet name="buhgdes&amp;$" sheetId="82" r:id="rId82"/>
    <sheet name="buhrésult" sheetId="83" r:id="rId83"/>
    <sheet name="BUHVARAN" sheetId="84" r:id="rId84"/>
    <sheet name="capitalbkinfin " sheetId="85" r:id="rId85"/>
    <sheet name="capitalbkvar" sheetId="86" r:id="rId86"/>
    <sheet name="capitalbkcomp " sheetId="87" r:id="rId87"/>
    <sheet name="capitalbkgdes&amp;$" sheetId="88" r:id="rId88"/>
    <sheet name="CAPITALBKRÉSULT      " sheetId="89" r:id="rId89"/>
    <sheet name="CAPITALBKVARAN        " sheetId="90" r:id="rId90"/>
    <sheet name="cbnainfin" sheetId="91" r:id="rId91"/>
    <sheet name="cbnavar" sheetId="92" r:id="rId92"/>
    <sheet name="cbnacomp " sheetId="93" r:id="rId93"/>
    <sheet name="cbnagdes&amp;$" sheetId="94" r:id="rId94"/>
    <sheet name="CBNARÉSULT         " sheetId="95" r:id="rId95"/>
    <sheet name="CBNAVARAN           " sheetId="96" r:id="rId96"/>
    <sheet name="promobkinfin " sheetId="97" r:id="rId97"/>
    <sheet name="promobkvar" sheetId="98" r:id="rId98"/>
    <sheet name="promobkcomp  " sheetId="99" r:id="rId99"/>
    <sheet name="promobkgdes&amp;$" sheetId="100" r:id="rId100"/>
    <sheet name="PROMOBKRÉSULT    " sheetId="101" r:id="rId101"/>
    <sheet name="PROMOBKVARAN      " sheetId="102" r:id="rId102"/>
    <sheet name="scotiainfin" sheetId="103" r:id="rId103"/>
    <sheet name="scotiavar" sheetId="104" r:id="rId104"/>
    <sheet name="scotiacomp  " sheetId="105" r:id="rId105"/>
    <sheet name="scotiagdes&amp;$" sheetId="106" r:id="rId106"/>
    <sheet name="SCOTIARÉSULT         " sheetId="107" r:id="rId107"/>
    <sheet name="SCOTIAVARAN            " sheetId="108" r:id="rId108"/>
    <sheet name="socabkinfin   " sheetId="109" r:id="rId109"/>
    <sheet name="socabkvar" sheetId="110" r:id="rId110"/>
    <sheet name="socabkcomp " sheetId="111" r:id="rId111"/>
    <sheet name="socabkgdes&amp;$ " sheetId="112" r:id="rId112"/>
    <sheet name="SOCABKRÉSULT" sheetId="113" r:id="rId113"/>
    <sheet name="SOCABKVARAN  " sheetId="114" r:id="rId114"/>
    <sheet name="sogebkinfin  " sheetId="115" r:id="rId115"/>
    <sheet name="sogebkvar" sheetId="116" r:id="rId116"/>
    <sheet name="sogebkcomp " sheetId="117" r:id="rId117"/>
    <sheet name="sogebkgdes&amp;$  " sheetId="118" r:id="rId118"/>
    <sheet name="SOGEBKRÉSULT" sheetId="119" r:id="rId119"/>
    <sheet name="SOGEBKVARAN " sheetId="120" r:id="rId120"/>
    <sheet name="sgbelinfin" sheetId="121" r:id="rId121"/>
    <sheet name="sgbelvar" sheetId="122" r:id="rId122"/>
    <sheet name="sgbelcomp  " sheetId="123" r:id="rId123"/>
    <sheet name="sgbelgdes&amp;$" sheetId="124" r:id="rId124"/>
    <sheet name="SGBELRÉSULT       " sheetId="125" r:id="rId125"/>
    <sheet name="SGBELVARAN         " sheetId="126" r:id="rId126"/>
    <sheet name="unibkinfin" sheetId="127" r:id="rId127"/>
    <sheet name="unibkvar" sheetId="128" r:id="rId128"/>
    <sheet name="unibkcomp   " sheetId="129" r:id="rId129"/>
    <sheet name="unibkgdes&amp;$" sheetId="130" r:id="rId130"/>
    <sheet name="UNIBKRÉSULT   " sheetId="131" r:id="rId131"/>
    <sheet name="UNIBKVARAN     " sheetId="132" r:id="rId132"/>
    <sheet name="pageint.sect5" sheetId="133" r:id="rId133"/>
    <sheet name="posinette" sheetId="134" r:id="rId134"/>
    <sheet name="procroicap" sheetId="135" r:id="rId135"/>
    <sheet name="Apparentés" sheetId="136" r:id="rId136"/>
    <sheet name="Non apparentés" sheetId="137" r:id="rId137"/>
    <sheet name="Secteur d'activité" sheetId="138" r:id="rId138"/>
    <sheet name="suffondspropres" sheetId="139" r:id="rId139"/>
    <sheet name="pageint.annexe" sheetId="140" r:id="rId140"/>
    <sheet name="explication1" sheetId="141" r:id="rId141"/>
    <sheet name="explication2" sheetId="142" r:id="rId142"/>
  </sheets>
  <definedNames>
    <definedName name="_xlnm.Print_Area" localSheetId="50">bhdcomp!$A$1:$Q$62</definedName>
    <definedName name="_xlnm.Print_Area" localSheetId="51">'bhdgdes&amp;$'!$A$1:$K$55</definedName>
    <definedName name="_xlnm.Print_Area" localSheetId="48">bhdinfin!$A$1:$T$76</definedName>
    <definedName name="_xlnm.Print_Area" localSheetId="52">BHdRÉSULT!$A$1:$T$81</definedName>
    <definedName name="_xlnm.Print_Area" localSheetId="49">'bhdvar  '!$A$1:$P$62</definedName>
    <definedName name="_xlnm.Print_Area" localSheetId="44">'bichcomp '!$A$1:$Q$62</definedName>
    <definedName name="_xlnm.Print_Area" localSheetId="45">'bichgdes&amp;$'!$A$1:$K$55</definedName>
    <definedName name="_xlnm.Print_Area" localSheetId="42">bichinfin!$A$1:$T$75</definedName>
    <definedName name="_xlnm.Print_Area" localSheetId="46">'BICHRÉSULT     '!$A$1:$T$81</definedName>
    <definedName name="_xlnm.Print_Area" localSheetId="43">bichvar!$A$1:$P$62</definedName>
    <definedName name="_xlnm.Print_Area" localSheetId="56">'bidccomp  '!$A$1:$Q$62</definedName>
    <definedName name="_xlnm.Print_Area" localSheetId="57">'bidcgdes&amp;$ '!$A$1:$K$55</definedName>
    <definedName name="_xlnm.Print_Area" localSheetId="54">'bidcinfin    '!$A$1:$T$78</definedName>
    <definedName name="_xlnm.Print_Area" localSheetId="58">'BIDCRÉSULT '!$A$1:$T$81</definedName>
    <definedName name="_xlnm.Print_Area" localSheetId="55">bidcvar!$A$1:$P$62</definedName>
    <definedName name="_xlnm.Print_Area" localSheetId="38">'bilsysban sept97'!$A$1:$S$63</definedName>
    <definedName name="_xlnm.Print_Area" localSheetId="33">'bilsysbandéc.99  '!$A$1:$R$62</definedName>
    <definedName name="_xlnm.Print_Area" localSheetId="35">'bilsysbandéc.99$ '!$A$1:$T$59</definedName>
    <definedName name="_xlnm.Print_Area" localSheetId="34">'bilsysbandéc.99gdes '!$A$1:$T$58</definedName>
    <definedName name="_xlnm.Print_Area" localSheetId="37">bilsysbansept.98!$A$1:$S$62</definedName>
    <definedName name="_xlnm.Print_Area" localSheetId="36">bilsysbansept99!$A$1:$Q$62</definedName>
    <definedName name="_xlnm.Print_Area" localSheetId="62">bmhcomp!$A$1:$Q$63</definedName>
    <definedName name="_xlnm.Print_Area" localSheetId="63">'bmhgdes&amp;$'!$A$1:$K$55</definedName>
    <definedName name="_xlnm.Print_Area" localSheetId="60">'bmhinfin '!$A$1:$T$76</definedName>
    <definedName name="_xlnm.Print_Area" localSheetId="64">BMHRÉSULT!$A$1:$T$81</definedName>
    <definedName name="_xlnm.Print_Area" localSheetId="61">'bmhvar '!$A$1:$P$62</definedName>
    <definedName name="_xlnm.Print_Area" localSheetId="68">'bnccomp '!$A$1:$Q$62</definedName>
    <definedName name="_xlnm.Print_Area" localSheetId="69">'bncgdes&amp;$ '!$A$1:$K$55</definedName>
    <definedName name="_xlnm.Print_Area" localSheetId="66">'bncinfin '!$A$1:$T$75</definedName>
    <definedName name="_xlnm.Print_Area" localSheetId="70">'bncrésult '!$A$1:$T$81</definedName>
    <definedName name="_xlnm.Print_Area" localSheetId="67">bncvar!$A$1:$P$62</definedName>
    <definedName name="_xlnm.Print_Area" localSheetId="74">'bphcomp  '!$A$1:$Q$63</definedName>
    <definedName name="_xlnm.Print_Area" localSheetId="75">'bphgdes&amp;$'!$A$1:$K$55</definedName>
    <definedName name="_xlnm.Print_Area" localSheetId="72">'bphinfin     '!$A$1:$T$75</definedName>
    <definedName name="_xlnm.Print_Area" localSheetId="76">'BPHRÉSULT  '!$A$1:$T$81</definedName>
    <definedName name="_xlnm.Print_Area" localSheetId="73">bphvar!$A$1:$P$62</definedName>
    <definedName name="_xlnm.Print_Area" localSheetId="80">buhcomp!$A$1:$Q$62</definedName>
    <definedName name="_xlnm.Print_Area" localSheetId="81">'buhgdes&amp;$'!$A$1:$K$59</definedName>
    <definedName name="_xlnm.Print_Area" localSheetId="78">buhinfin!$A$1:$T$75</definedName>
    <definedName name="_xlnm.Print_Area" localSheetId="82">buhrésult!$A$1:$T$81</definedName>
    <definedName name="_xlnm.Print_Area" localSheetId="79">buhvar!$A$1:$P$62</definedName>
    <definedName name="_xlnm.Print_Area" localSheetId="86">'capitalbkcomp '!$A$1:$Q$62</definedName>
    <definedName name="_xlnm.Print_Area" localSheetId="87">'capitalbkgdes&amp;$'!$A$1:$K$55</definedName>
    <definedName name="_xlnm.Print_Area" localSheetId="84">'capitalbkinfin '!$A$1:$T$77</definedName>
    <definedName name="_xlnm.Print_Area" localSheetId="88">'CAPITALBKRÉSULT      '!$A$1:$T$81</definedName>
    <definedName name="_xlnm.Print_Area" localSheetId="85">capitalbkvar!$A$1:$P$62</definedName>
    <definedName name="_xlnm.Print_Area" localSheetId="92">'cbnacomp '!$A$1:$Q$63</definedName>
    <definedName name="_xlnm.Print_Area" localSheetId="93">'cbnagdes&amp;$'!$A$1:$K$55</definedName>
    <definedName name="_xlnm.Print_Area" localSheetId="90">cbnainfin!$A$1:$T$74</definedName>
    <definedName name="_xlnm.Print_Area" localSheetId="94">'CBNARÉSULT         '!$A$1:$T$81</definedName>
    <definedName name="_xlnm.Print_Area" localSheetId="91">cbnavar!$A$1:$P$62</definedName>
    <definedName name="_xlnm.Print_Area" localSheetId="17">dividende!$A$28:$AA$47</definedName>
    <definedName name="_xlnm.Print_Area" localSheetId="141">explication2!$A$1:$K$33</definedName>
    <definedName name="_xlnm.Print_Area" localSheetId="20">'nbre de dépôts '!$A$1:$Q$33</definedName>
    <definedName name="_xlnm.Print_Area" localSheetId="21">'nbre de dépôts (2) '!$B$1:$Q$42</definedName>
    <definedName name="_xlnm.Print_Area" localSheetId="19">'nbre de prêts'!$A$7:$AE$31</definedName>
    <definedName name="_xlnm.Print_Area" localSheetId="1">Noteutili!$A$1:$M$37</definedName>
    <definedName name="_xlnm.Print_Area" localSheetId="24">partdemarc.!$A$1:$P$70</definedName>
    <definedName name="_xlnm.Print_Area" localSheetId="133">posinette!$A$1:$P$41</definedName>
    <definedName name="_xlnm.Print_Area" localSheetId="134">procroicap!$A$1:$L$47</definedName>
    <definedName name="_xlnm.Print_Area" localSheetId="98">'promobkcomp  '!$A$1:$Q$62</definedName>
    <definedName name="_xlnm.Print_Area" localSheetId="99">'promobkgdes&amp;$'!$A$1:$K$55</definedName>
    <definedName name="_xlnm.Print_Area" localSheetId="96">'promobkinfin '!$A$1:$T$76</definedName>
    <definedName name="_xlnm.Print_Area" localSheetId="100">'PROMOBKRÉSULT    '!$A$1:$T$81</definedName>
    <definedName name="_xlnm.Print_Area" localSheetId="97">promobkvar!$A$1:$P$62</definedName>
    <definedName name="_xlnm.Print_Area" localSheetId="40">'résultsyscumul '!$A$1:$U$83</definedName>
    <definedName name="_xlnm.Print_Area" localSheetId="39">'RÉSULTsyst  '!$A$1:$T$85</definedName>
    <definedName name="_xlnm.Print_Area" localSheetId="104">'scotiacomp  '!$A$1:$Q$63</definedName>
    <definedName name="_xlnm.Print_Area" localSheetId="105">'scotiagdes&amp;$'!$A$1:$K$55</definedName>
    <definedName name="_xlnm.Print_Area" localSheetId="102">scotiainfin!$A$1:$T$74</definedName>
    <definedName name="_xlnm.Print_Area" localSheetId="106">'SCOTIARÉSULT         '!$A$1:$T$81</definedName>
    <definedName name="_xlnm.Print_Area" localSheetId="103">scotiavar!$A$1:$P$62</definedName>
    <definedName name="_xlnm.Print_Area" localSheetId="122">'sgbelcomp  '!$A$1:$Q$63</definedName>
    <definedName name="_xlnm.Print_Area" localSheetId="123">'sgbelgdes&amp;$'!$A$1:$K$55</definedName>
    <definedName name="_xlnm.Print_Area" localSheetId="120">sgbelinfin!$A$1:$T$74</definedName>
    <definedName name="_xlnm.Print_Area" localSheetId="124">'SGBELRÉSULT       '!$A$1:$T$81</definedName>
    <definedName name="_xlnm.Print_Area" localSheetId="121">sgbelvar!$A$1:$P$62</definedName>
    <definedName name="_xlnm.Print_Area" localSheetId="110">'socabkcomp '!$A$1:$Q$62</definedName>
    <definedName name="_xlnm.Print_Area" localSheetId="111">'socabkgdes&amp;$ '!$A$1:$K$55</definedName>
    <definedName name="_xlnm.Print_Area" localSheetId="108">'socabkinfin   '!$A$1:$T$77</definedName>
    <definedName name="_xlnm.Print_Area" localSheetId="112">SOCABKRÉSULT!$A$1:$T$81</definedName>
    <definedName name="_xlnm.Print_Area" localSheetId="109">socabkvar!$A$1:$P$62</definedName>
    <definedName name="_xlnm.Print_Area" localSheetId="26">sofibilcompsys!$A$1:$Q$64</definedName>
    <definedName name="_xlnm.Print_Area" localSheetId="27">'sofibilgdes&amp;$ '!$A$1:$K$56</definedName>
    <definedName name="_xlnm.Print_Area" localSheetId="23">sofiinfisys!$A$1:$T$82</definedName>
    <definedName name="_xlnm.Print_Area" localSheetId="116">'sogebkcomp '!$A$1:$Q$62</definedName>
    <definedName name="_xlnm.Print_Area" localSheetId="117">'sogebkgdes&amp;$  '!$A$1:$K$55</definedName>
    <definedName name="_xlnm.Print_Area" localSheetId="114">'sogebkinfin  '!$A$1:$T$76</definedName>
    <definedName name="_xlnm.Print_Area" localSheetId="118">SOGEBKRÉSULT!$A$1:$T$81</definedName>
    <definedName name="_xlnm.Print_Area" localSheetId="115">sogebkvar!$A$1:$P$62</definedName>
    <definedName name="_xlnm.Print_Area" localSheetId="25">somfinbilsys!$A$2:$P$62</definedName>
    <definedName name="_xlnm.Print_Area" localSheetId="31">'somfindétfsfin '!$A$1:$T$72</definedName>
    <definedName name="_xlnm.Print_Area" localSheetId="28">somfinrésys!$A$2:$T$82</definedName>
    <definedName name="_xlnm.Print_Area" localSheetId="138">suffondspropres!$A$1:$Q$40</definedName>
    <definedName name="_xlnm.Print_Area" localSheetId="32">'sysratfinclé '!$A$1:$R$78</definedName>
    <definedName name="_xlnm.Print_Area" localSheetId="2">tabmat!$A$1:$N$62</definedName>
    <definedName name="_xlnm.Print_Area" localSheetId="128">'unibkcomp   '!$A$1:$Q$63</definedName>
    <definedName name="_xlnm.Print_Area" localSheetId="129">'unibkgdes&amp;$'!$A$1:$K$55</definedName>
    <definedName name="_xlnm.Print_Area" localSheetId="126">unibkinfin!$A$1:$T$77</definedName>
    <definedName name="_xlnm.Print_Area" localSheetId="130">'UNIBKRÉSULT   '!$A$1:$T$81</definedName>
    <definedName name="_xlnm.Print_Area" localSheetId="127">unibkvar!$A$1:$P$62</definedName>
  </definedNames>
  <calcPr calcId="0"/>
</workbook>
</file>

<file path=xl/calcChain.xml><?xml version="1.0" encoding="utf-8"?>
<calcChain xmlns="http://schemas.openxmlformats.org/spreadsheetml/2006/main">
  <c r="H32" i="136" l="1"/>
  <c r="I32" i="136"/>
  <c r="K32" i="136"/>
  <c r="L32" i="136"/>
  <c r="M32" i="136"/>
  <c r="N32" i="136"/>
  <c r="H33" i="136"/>
  <c r="I33" i="136"/>
  <c r="H34" i="136"/>
  <c r="I34" i="136"/>
  <c r="K34" i="136"/>
  <c r="L34" i="136"/>
  <c r="M34" i="136"/>
  <c r="N34" i="136"/>
  <c r="H35" i="136"/>
  <c r="I35" i="136"/>
  <c r="K35" i="136"/>
  <c r="L35" i="136"/>
  <c r="M35" i="136"/>
  <c r="N35" i="136"/>
  <c r="H36" i="136"/>
  <c r="I36" i="136"/>
  <c r="K36" i="136"/>
  <c r="L36" i="136"/>
  <c r="M36" i="136"/>
  <c r="N36" i="136"/>
  <c r="H37" i="136"/>
  <c r="I37" i="136"/>
  <c r="K37" i="136"/>
  <c r="L37" i="136"/>
  <c r="M37" i="136"/>
  <c r="N37" i="136"/>
  <c r="H38" i="136"/>
  <c r="I38" i="136"/>
  <c r="K38" i="136"/>
  <c r="L38" i="136"/>
  <c r="M38" i="136"/>
  <c r="N38" i="136"/>
  <c r="H39" i="136"/>
  <c r="I39" i="136"/>
  <c r="K39" i="136"/>
  <c r="L39" i="136"/>
  <c r="M39" i="136"/>
  <c r="N39" i="136"/>
  <c r="H40" i="136"/>
  <c r="I40" i="136"/>
  <c r="K40" i="136"/>
  <c r="L40" i="136"/>
  <c r="M40" i="136"/>
  <c r="N40" i="136"/>
  <c r="H41" i="136"/>
  <c r="I41" i="136"/>
  <c r="K41" i="136"/>
  <c r="L41" i="136"/>
  <c r="M41" i="136"/>
  <c r="N41" i="136"/>
  <c r="H42" i="136"/>
  <c r="I42" i="136"/>
  <c r="K42" i="136"/>
  <c r="L42" i="136"/>
  <c r="M42" i="136"/>
  <c r="N42" i="136"/>
  <c r="H43" i="136"/>
  <c r="I43" i="136"/>
  <c r="K43" i="136"/>
  <c r="L43" i="136"/>
  <c r="M43" i="136"/>
  <c r="N43" i="136"/>
  <c r="H44" i="136"/>
  <c r="I44" i="136"/>
  <c r="K44" i="136"/>
  <c r="L44" i="136"/>
  <c r="M44" i="136"/>
  <c r="N44" i="136"/>
  <c r="B56" i="136"/>
  <c r="D56" i="136"/>
  <c r="D58" i="136"/>
  <c r="D59" i="136"/>
  <c r="D60" i="136"/>
  <c r="D61" i="136"/>
  <c r="D62" i="136"/>
  <c r="D63" i="136"/>
  <c r="D64" i="136"/>
  <c r="D65" i="136"/>
  <c r="D66" i="136"/>
  <c r="D67" i="136"/>
  <c r="D68" i="136"/>
  <c r="B10" i="51"/>
  <c r="C10" i="51"/>
  <c r="D10" i="51"/>
  <c r="F10" i="51"/>
  <c r="H10" i="51"/>
  <c r="J10" i="51"/>
  <c r="L10" i="51"/>
  <c r="N10" i="51"/>
  <c r="P10" i="51"/>
  <c r="B11" i="51"/>
  <c r="C11" i="51"/>
  <c r="D11" i="51"/>
  <c r="F11" i="51"/>
  <c r="H11" i="51"/>
  <c r="J11" i="51"/>
  <c r="L11" i="51"/>
  <c r="N11" i="51"/>
  <c r="P11" i="51"/>
  <c r="B12" i="51"/>
  <c r="C12" i="51"/>
  <c r="D12" i="51"/>
  <c r="F12" i="51"/>
  <c r="H12" i="51"/>
  <c r="J12" i="51"/>
  <c r="L12" i="51"/>
  <c r="N12" i="51"/>
  <c r="P12" i="51"/>
  <c r="B13" i="51"/>
  <c r="C13" i="51"/>
  <c r="D13" i="51"/>
  <c r="F13" i="51"/>
  <c r="H13" i="51"/>
  <c r="J13" i="51"/>
  <c r="L13" i="51"/>
  <c r="N13" i="51"/>
  <c r="P13" i="51"/>
  <c r="B14" i="51"/>
  <c r="C14" i="51"/>
  <c r="D14" i="51"/>
  <c r="F14" i="51"/>
  <c r="H14" i="51"/>
  <c r="J14" i="51"/>
  <c r="L14" i="51"/>
  <c r="N14" i="51"/>
  <c r="P14" i="51"/>
  <c r="B15" i="51"/>
  <c r="C15" i="51"/>
  <c r="D15" i="51"/>
  <c r="F15" i="51"/>
  <c r="H15" i="51"/>
  <c r="J15" i="51"/>
  <c r="L15" i="51"/>
  <c r="N15" i="51"/>
  <c r="P15" i="51"/>
  <c r="B17" i="51"/>
  <c r="C17" i="51"/>
  <c r="D17" i="51"/>
  <c r="F17" i="51"/>
  <c r="H17" i="51"/>
  <c r="J17" i="51"/>
  <c r="L17" i="51"/>
  <c r="N17" i="51"/>
  <c r="P17" i="51"/>
  <c r="B18" i="51"/>
  <c r="C18" i="51"/>
  <c r="D18" i="51"/>
  <c r="F18" i="51"/>
  <c r="H18" i="51"/>
  <c r="J18" i="51"/>
  <c r="L18" i="51"/>
  <c r="N18" i="51"/>
  <c r="P18" i="51"/>
  <c r="B19" i="51"/>
  <c r="C19" i="51"/>
  <c r="D19" i="51"/>
  <c r="F19" i="51"/>
  <c r="H19" i="51"/>
  <c r="J19" i="51"/>
  <c r="L19" i="51"/>
  <c r="N19" i="51"/>
  <c r="P19" i="51"/>
  <c r="B20" i="51"/>
  <c r="C20" i="51"/>
  <c r="D20" i="51"/>
  <c r="F20" i="51"/>
  <c r="H20" i="51"/>
  <c r="J20" i="51"/>
  <c r="L20" i="51"/>
  <c r="N20" i="51"/>
  <c r="P20" i="51"/>
  <c r="B21" i="51"/>
  <c r="C21" i="51"/>
  <c r="D21" i="51"/>
  <c r="F21" i="51"/>
  <c r="H21" i="51"/>
  <c r="J21" i="51"/>
  <c r="L21" i="51"/>
  <c r="N21" i="51"/>
  <c r="P21" i="51"/>
  <c r="B22" i="51"/>
  <c r="C22" i="51"/>
  <c r="D22" i="51"/>
  <c r="F22" i="51"/>
  <c r="H22" i="51"/>
  <c r="J22" i="51"/>
  <c r="L22" i="51"/>
  <c r="N22" i="51"/>
  <c r="P22" i="51"/>
  <c r="B26" i="51"/>
  <c r="C26" i="51"/>
  <c r="D26" i="51"/>
  <c r="F26" i="51"/>
  <c r="H26" i="51"/>
  <c r="J26" i="51"/>
  <c r="L26" i="51"/>
  <c r="N26" i="51"/>
  <c r="P26" i="51"/>
  <c r="B27" i="51"/>
  <c r="C27" i="51"/>
  <c r="D27" i="51"/>
  <c r="F27" i="51"/>
  <c r="H27" i="51"/>
  <c r="J27" i="51"/>
  <c r="L27" i="51"/>
  <c r="N27" i="51"/>
  <c r="P27" i="51"/>
  <c r="B28" i="51"/>
  <c r="C28" i="51"/>
  <c r="D28" i="51"/>
  <c r="F28" i="51"/>
  <c r="H28" i="51"/>
  <c r="J28" i="51"/>
  <c r="L28" i="51"/>
  <c r="N28" i="51"/>
  <c r="P28" i="51"/>
  <c r="B29" i="51"/>
  <c r="C29" i="51"/>
  <c r="D29" i="51"/>
  <c r="F29" i="51"/>
  <c r="H29" i="51"/>
  <c r="J29" i="51"/>
  <c r="L29" i="51"/>
  <c r="N29" i="51"/>
  <c r="P29" i="51"/>
  <c r="B32" i="51"/>
  <c r="C32" i="51"/>
  <c r="D32" i="51"/>
  <c r="F32" i="51"/>
  <c r="H32" i="51"/>
  <c r="J32" i="51"/>
  <c r="L32" i="51"/>
  <c r="N32" i="51"/>
  <c r="P32" i="51"/>
  <c r="B33" i="51"/>
  <c r="C33" i="51"/>
  <c r="D33" i="51"/>
  <c r="F33" i="51"/>
  <c r="H33" i="51"/>
  <c r="J33" i="51"/>
  <c r="L33" i="51"/>
  <c r="N33" i="51"/>
  <c r="P33" i="51"/>
  <c r="B34" i="51"/>
  <c r="C34" i="51"/>
  <c r="D34" i="51"/>
  <c r="F34" i="51"/>
  <c r="H34" i="51"/>
  <c r="J34" i="51"/>
  <c r="L34" i="51"/>
  <c r="N34" i="51"/>
  <c r="P34" i="51"/>
  <c r="B35" i="51"/>
  <c r="C35" i="51"/>
  <c r="D35" i="51"/>
  <c r="F35" i="51"/>
  <c r="H35" i="51"/>
  <c r="J35" i="51"/>
  <c r="L35" i="51"/>
  <c r="N35" i="51"/>
  <c r="P35" i="51"/>
  <c r="B38" i="51"/>
  <c r="C38" i="51"/>
  <c r="D38" i="51"/>
  <c r="F38" i="51"/>
  <c r="H38" i="51"/>
  <c r="J38" i="51"/>
  <c r="L38" i="51"/>
  <c r="N38" i="51"/>
  <c r="P38" i="51"/>
  <c r="B39" i="51"/>
  <c r="C39" i="51"/>
  <c r="D39" i="51"/>
  <c r="F39" i="51"/>
  <c r="H39" i="51"/>
  <c r="J39" i="51"/>
  <c r="L39" i="51"/>
  <c r="N39" i="51"/>
  <c r="P39" i="51"/>
  <c r="B40" i="51"/>
  <c r="C40" i="51"/>
  <c r="D40" i="51"/>
  <c r="F40" i="51"/>
  <c r="H40" i="51"/>
  <c r="J40" i="51"/>
  <c r="L40" i="51"/>
  <c r="N40" i="51"/>
  <c r="P40" i="51"/>
  <c r="B41" i="51"/>
  <c r="C41" i="51"/>
  <c r="D41" i="51"/>
  <c r="F41" i="51"/>
  <c r="H41" i="51"/>
  <c r="J41" i="51"/>
  <c r="L41" i="51"/>
  <c r="N41" i="51"/>
  <c r="P41" i="51"/>
  <c r="B43" i="51"/>
  <c r="C43" i="51"/>
  <c r="D43" i="51"/>
  <c r="F43" i="51"/>
  <c r="H43" i="51"/>
  <c r="J43" i="51"/>
  <c r="L43" i="51"/>
  <c r="N43" i="51"/>
  <c r="P43" i="51"/>
  <c r="B44" i="51"/>
  <c r="C44" i="51"/>
  <c r="D44" i="51"/>
  <c r="F44" i="51"/>
  <c r="H44" i="51"/>
  <c r="J44" i="51"/>
  <c r="L44" i="51"/>
  <c r="N44" i="51"/>
  <c r="P44" i="51"/>
  <c r="B47" i="51"/>
  <c r="C47" i="51"/>
  <c r="D47" i="51"/>
  <c r="F47" i="51"/>
  <c r="H47" i="51"/>
  <c r="J47" i="51"/>
  <c r="L47" i="51"/>
  <c r="N47" i="51"/>
  <c r="P47" i="51"/>
  <c r="B48" i="51"/>
  <c r="C48" i="51"/>
  <c r="D48" i="51"/>
  <c r="F48" i="51"/>
  <c r="H48" i="51"/>
  <c r="J48" i="51"/>
  <c r="L48" i="51"/>
  <c r="N48" i="51"/>
  <c r="P48" i="51"/>
  <c r="B49" i="51"/>
  <c r="C49" i="51"/>
  <c r="D49" i="51"/>
  <c r="F49" i="51"/>
  <c r="H49" i="51"/>
  <c r="J49" i="51"/>
  <c r="L49" i="51"/>
  <c r="N49" i="51"/>
  <c r="P49" i="51"/>
  <c r="B50" i="51"/>
  <c r="C50" i="51"/>
  <c r="D50" i="51"/>
  <c r="F50" i="51"/>
  <c r="H50" i="51"/>
  <c r="J50" i="51"/>
  <c r="L50" i="51"/>
  <c r="N50" i="51"/>
  <c r="P50" i="51"/>
  <c r="B51" i="51"/>
  <c r="C51" i="51"/>
  <c r="D51" i="51"/>
  <c r="F51" i="51"/>
  <c r="H51" i="51"/>
  <c r="J51" i="51"/>
  <c r="L51" i="51"/>
  <c r="N51" i="51"/>
  <c r="P51" i="51"/>
  <c r="B52" i="51"/>
  <c r="C52" i="51"/>
  <c r="D52" i="51"/>
  <c r="F52" i="51"/>
  <c r="H52" i="51"/>
  <c r="J52" i="51"/>
  <c r="L52" i="51"/>
  <c r="N52" i="51"/>
  <c r="P52" i="51"/>
  <c r="B56" i="51"/>
  <c r="D56" i="51"/>
  <c r="F56" i="51"/>
  <c r="H56" i="51"/>
  <c r="L56" i="51"/>
  <c r="B57" i="51"/>
  <c r="D57" i="51"/>
  <c r="F57" i="51"/>
  <c r="H57" i="51"/>
  <c r="L57" i="51"/>
  <c r="B58" i="51"/>
  <c r="D58" i="51"/>
  <c r="F58" i="51"/>
  <c r="H58" i="51"/>
  <c r="L58" i="51"/>
  <c r="B60" i="51"/>
  <c r="D60" i="51"/>
  <c r="F60" i="51"/>
  <c r="H60" i="51"/>
  <c r="L60" i="51"/>
  <c r="B61" i="51"/>
  <c r="D61" i="51"/>
  <c r="F61" i="51"/>
  <c r="H61" i="51"/>
  <c r="L61" i="51"/>
  <c r="B62" i="51"/>
  <c r="D62" i="51"/>
  <c r="F62" i="51"/>
  <c r="H62" i="51"/>
  <c r="L62" i="51"/>
  <c r="D10" i="52"/>
  <c r="E10" i="52"/>
  <c r="J10" i="52"/>
  <c r="D11" i="52"/>
  <c r="E11" i="52"/>
  <c r="J11" i="52"/>
  <c r="D12" i="52"/>
  <c r="E12" i="52"/>
  <c r="J12" i="52"/>
  <c r="D13" i="52"/>
  <c r="E13" i="52"/>
  <c r="J13" i="52"/>
  <c r="D14" i="52"/>
  <c r="J14" i="52"/>
  <c r="B15" i="52"/>
  <c r="C15" i="52"/>
  <c r="D15" i="52"/>
  <c r="E15" i="52"/>
  <c r="H15" i="52"/>
  <c r="I15" i="52"/>
  <c r="J15" i="52"/>
  <c r="D17" i="52"/>
  <c r="J17" i="52"/>
  <c r="D18" i="52"/>
  <c r="E18" i="52"/>
  <c r="J18" i="52"/>
  <c r="D19" i="52"/>
  <c r="J19" i="52"/>
  <c r="D20" i="52"/>
  <c r="J20" i="52"/>
  <c r="D21" i="52"/>
  <c r="J21" i="52"/>
  <c r="B22" i="52"/>
  <c r="C22" i="52"/>
  <c r="D22" i="52"/>
  <c r="E22" i="52"/>
  <c r="H22" i="52"/>
  <c r="I22" i="52"/>
  <c r="J22" i="52"/>
  <c r="D26" i="52"/>
  <c r="E26" i="52"/>
  <c r="J26" i="52"/>
  <c r="D27" i="52"/>
  <c r="E27" i="52"/>
  <c r="J27" i="52"/>
  <c r="D28" i="52"/>
  <c r="J28" i="52"/>
  <c r="B29" i="52"/>
  <c r="C29" i="52"/>
  <c r="D29" i="52"/>
  <c r="E29" i="52"/>
  <c r="H29" i="52"/>
  <c r="I29" i="52"/>
  <c r="J29" i="52"/>
  <c r="D32" i="52"/>
  <c r="J32" i="52"/>
  <c r="D33" i="52"/>
  <c r="J33" i="52"/>
  <c r="D34" i="52"/>
  <c r="E34" i="52"/>
  <c r="J34" i="52"/>
  <c r="B35" i="52"/>
  <c r="C35" i="52"/>
  <c r="D35" i="52"/>
  <c r="E35" i="52"/>
  <c r="H35" i="52"/>
  <c r="I35" i="52"/>
  <c r="J35" i="52"/>
  <c r="D38" i="52"/>
  <c r="J38" i="52"/>
  <c r="D39" i="52"/>
  <c r="J39" i="52"/>
  <c r="D40" i="52"/>
  <c r="J40" i="52"/>
  <c r="B41" i="52"/>
  <c r="C41" i="52"/>
  <c r="D41" i="52"/>
  <c r="H41" i="52"/>
  <c r="I41" i="52"/>
  <c r="J41" i="52"/>
  <c r="D43" i="52"/>
  <c r="J43" i="52"/>
  <c r="B44" i="52"/>
  <c r="C44" i="52"/>
  <c r="D44" i="52"/>
  <c r="E44" i="52"/>
  <c r="H44" i="52"/>
  <c r="I44" i="52"/>
  <c r="J44" i="52"/>
  <c r="D47" i="52"/>
  <c r="J47" i="52"/>
  <c r="D48" i="52"/>
  <c r="J48" i="52"/>
  <c r="D49" i="52"/>
  <c r="J49" i="52"/>
  <c r="D50" i="52"/>
  <c r="J50" i="52"/>
  <c r="B51" i="52"/>
  <c r="C51" i="52"/>
  <c r="D51" i="52"/>
  <c r="H51" i="52"/>
  <c r="I51" i="52"/>
  <c r="J51" i="52"/>
  <c r="B53" i="52"/>
  <c r="C53" i="52"/>
  <c r="D53" i="52"/>
  <c r="E53" i="52"/>
  <c r="H53" i="52"/>
  <c r="I53" i="52"/>
  <c r="J53" i="52"/>
  <c r="B57" i="52"/>
  <c r="B58" i="52"/>
  <c r="B59" i="52"/>
  <c r="B61" i="52"/>
  <c r="J61" i="52"/>
  <c r="B62" i="52"/>
  <c r="B63" i="52"/>
  <c r="B11" i="49"/>
  <c r="D11" i="49"/>
  <c r="F11" i="49"/>
  <c r="H11" i="49"/>
  <c r="J11" i="49"/>
  <c r="L11" i="49"/>
  <c r="N11" i="49"/>
  <c r="P11" i="49"/>
  <c r="B12" i="49"/>
  <c r="D12" i="49"/>
  <c r="F12" i="49"/>
  <c r="H12" i="49"/>
  <c r="J12" i="49"/>
  <c r="L12" i="49"/>
  <c r="N12" i="49"/>
  <c r="P12" i="49"/>
  <c r="B13" i="49"/>
  <c r="D13" i="49"/>
  <c r="F13" i="49"/>
  <c r="H13" i="49"/>
  <c r="J13" i="49"/>
  <c r="L13" i="49"/>
  <c r="N13" i="49"/>
  <c r="P13" i="49"/>
  <c r="B14" i="49"/>
  <c r="D14" i="49"/>
  <c r="F14" i="49"/>
  <c r="H14" i="49"/>
  <c r="J14" i="49"/>
  <c r="L14" i="49"/>
  <c r="N14" i="49"/>
  <c r="P14" i="49"/>
  <c r="B15" i="49"/>
  <c r="D15" i="49"/>
  <c r="F15" i="49"/>
  <c r="H15" i="49"/>
  <c r="J15" i="49"/>
  <c r="L15" i="49"/>
  <c r="N15" i="49"/>
  <c r="P15" i="49"/>
  <c r="B23" i="49"/>
  <c r="D23" i="49"/>
  <c r="F23" i="49"/>
  <c r="H23" i="49"/>
  <c r="J23" i="49"/>
  <c r="L23" i="49"/>
  <c r="N23" i="49"/>
  <c r="P23" i="49"/>
  <c r="R23" i="49"/>
  <c r="T23" i="49"/>
  <c r="B24" i="49"/>
  <c r="D24" i="49"/>
  <c r="F24" i="49"/>
  <c r="H24" i="49"/>
  <c r="J24" i="49"/>
  <c r="L24" i="49"/>
  <c r="N24" i="49"/>
  <c r="P24" i="49"/>
  <c r="R24" i="49"/>
  <c r="T24" i="49"/>
  <c r="B25" i="49"/>
  <c r="D25" i="49"/>
  <c r="F25" i="49"/>
  <c r="H25" i="49"/>
  <c r="J25" i="49"/>
  <c r="L25" i="49"/>
  <c r="N25" i="49"/>
  <c r="P25" i="49"/>
  <c r="R25" i="49"/>
  <c r="T25" i="49"/>
  <c r="B26" i="49"/>
  <c r="D26" i="49"/>
  <c r="F26" i="49"/>
  <c r="H26" i="49"/>
  <c r="J26" i="49"/>
  <c r="L26" i="49"/>
  <c r="N26" i="49"/>
  <c r="P26" i="49"/>
  <c r="R26" i="49"/>
  <c r="T26" i="49"/>
  <c r="B27" i="49"/>
  <c r="D27" i="49"/>
  <c r="F27" i="49"/>
  <c r="H27" i="49"/>
  <c r="J27" i="49"/>
  <c r="L27" i="49"/>
  <c r="N27" i="49"/>
  <c r="P27" i="49"/>
  <c r="R27" i="49"/>
  <c r="T27" i="49"/>
  <c r="N41" i="49"/>
  <c r="N43" i="49"/>
  <c r="N48" i="49"/>
  <c r="O48" i="49"/>
  <c r="N51" i="49"/>
  <c r="O51" i="49"/>
  <c r="N54" i="49"/>
  <c r="O54" i="49"/>
  <c r="N58" i="49"/>
  <c r="N60" i="49"/>
  <c r="N63" i="49"/>
  <c r="N65" i="49"/>
  <c r="N67" i="49"/>
  <c r="N70" i="49"/>
  <c r="B10" i="53"/>
  <c r="D10" i="53"/>
  <c r="F10" i="53"/>
  <c r="H10" i="53"/>
  <c r="J10" i="53"/>
  <c r="L10" i="53"/>
  <c r="N10" i="53"/>
  <c r="P10" i="53"/>
  <c r="B11" i="53"/>
  <c r="D11" i="53"/>
  <c r="F11" i="53"/>
  <c r="H11" i="53"/>
  <c r="N11" i="53"/>
  <c r="P11" i="53"/>
  <c r="B12" i="53"/>
  <c r="D12" i="53"/>
  <c r="F12" i="53"/>
  <c r="H12" i="53"/>
  <c r="J12" i="53"/>
  <c r="L12" i="53"/>
  <c r="N12" i="53"/>
  <c r="P12" i="53"/>
  <c r="B13" i="53"/>
  <c r="D13" i="53"/>
  <c r="F13" i="53"/>
  <c r="H13" i="53"/>
  <c r="J13" i="53"/>
  <c r="L13" i="53"/>
  <c r="N13" i="53"/>
  <c r="P13" i="53"/>
  <c r="B14" i="53"/>
  <c r="D14" i="53"/>
  <c r="F14" i="53"/>
  <c r="H14" i="53"/>
  <c r="J14" i="53"/>
  <c r="L14" i="53"/>
  <c r="N14" i="53"/>
  <c r="P14" i="53"/>
  <c r="B15" i="53"/>
  <c r="D15" i="53"/>
  <c r="F15" i="53"/>
  <c r="H15" i="53"/>
  <c r="J15" i="53"/>
  <c r="L15" i="53"/>
  <c r="N15" i="53"/>
  <c r="P15" i="53"/>
  <c r="B18" i="53"/>
  <c r="D18" i="53"/>
  <c r="F18" i="53"/>
  <c r="H18" i="53"/>
  <c r="J18" i="53"/>
  <c r="L18" i="53"/>
  <c r="N18" i="53"/>
  <c r="P18" i="53"/>
  <c r="B19" i="53"/>
  <c r="D19" i="53"/>
  <c r="F19" i="53"/>
  <c r="H19" i="53"/>
  <c r="J19" i="53"/>
  <c r="L19" i="53"/>
  <c r="N19" i="53"/>
  <c r="P19" i="53"/>
  <c r="B20" i="53"/>
  <c r="D20" i="53"/>
  <c r="F20" i="53"/>
  <c r="H20" i="53"/>
  <c r="J20" i="53"/>
  <c r="L20" i="53"/>
  <c r="N20" i="53"/>
  <c r="P20" i="53"/>
  <c r="B21" i="53"/>
  <c r="D21" i="53"/>
  <c r="F21" i="53"/>
  <c r="H21" i="53"/>
  <c r="J21" i="53"/>
  <c r="L21" i="53"/>
  <c r="N21" i="53"/>
  <c r="P21" i="53"/>
  <c r="B23" i="53"/>
  <c r="D23" i="53"/>
  <c r="F23" i="53"/>
  <c r="H23" i="53"/>
  <c r="J23" i="53"/>
  <c r="L23" i="53"/>
  <c r="N23" i="53"/>
  <c r="P23" i="53"/>
  <c r="B25" i="53"/>
  <c r="D25" i="53"/>
  <c r="F25" i="53"/>
  <c r="H25" i="53"/>
  <c r="J25" i="53"/>
  <c r="L25" i="53"/>
  <c r="N25" i="53"/>
  <c r="P25" i="53"/>
  <c r="B28" i="53"/>
  <c r="D28" i="53"/>
  <c r="F28" i="53"/>
  <c r="H28" i="53"/>
  <c r="J28" i="53"/>
  <c r="L28" i="53"/>
  <c r="N28" i="53"/>
  <c r="P28" i="53"/>
  <c r="B31" i="53"/>
  <c r="D31" i="53"/>
  <c r="F31" i="53"/>
  <c r="H31" i="53"/>
  <c r="J31" i="53"/>
  <c r="L31" i="53"/>
  <c r="N31" i="53"/>
  <c r="P31" i="53"/>
  <c r="B32" i="53"/>
  <c r="D32" i="53"/>
  <c r="F32" i="53"/>
  <c r="H32" i="53"/>
  <c r="J32" i="53"/>
  <c r="L32" i="53"/>
  <c r="N32" i="53"/>
  <c r="P32" i="53"/>
  <c r="B33" i="53"/>
  <c r="D33" i="53"/>
  <c r="F33" i="53"/>
  <c r="H33" i="53"/>
  <c r="J33" i="53"/>
  <c r="L33" i="53"/>
  <c r="N33" i="53"/>
  <c r="P33" i="53"/>
  <c r="B34" i="53"/>
  <c r="D34" i="53"/>
  <c r="F34" i="53"/>
  <c r="H34" i="53"/>
  <c r="J34" i="53"/>
  <c r="L34" i="53"/>
  <c r="N34" i="53"/>
  <c r="P34" i="53"/>
  <c r="B35" i="53"/>
  <c r="D35" i="53"/>
  <c r="F35" i="53"/>
  <c r="H35" i="53"/>
  <c r="J35" i="53"/>
  <c r="L35" i="53"/>
  <c r="N35" i="53"/>
  <c r="P35" i="53"/>
  <c r="B37" i="53"/>
  <c r="D37" i="53"/>
  <c r="F37" i="53"/>
  <c r="H37" i="53"/>
  <c r="J37" i="53"/>
  <c r="L37" i="53"/>
  <c r="N37" i="53"/>
  <c r="P37" i="53"/>
  <c r="B39" i="53"/>
  <c r="D39" i="53"/>
  <c r="F39" i="53"/>
  <c r="H39" i="53"/>
  <c r="J39" i="53"/>
  <c r="L39" i="53"/>
  <c r="N39" i="53"/>
  <c r="B41" i="53"/>
  <c r="D41" i="53"/>
  <c r="F41" i="53"/>
  <c r="H41" i="53"/>
  <c r="J41" i="53"/>
  <c r="L41" i="53"/>
  <c r="N41" i="53"/>
  <c r="P41" i="53"/>
  <c r="R50" i="53"/>
  <c r="T50" i="53"/>
  <c r="U50" i="53"/>
  <c r="R51" i="53"/>
  <c r="T51" i="53"/>
  <c r="U51" i="53"/>
  <c r="R52" i="53"/>
  <c r="T52" i="53"/>
  <c r="U52" i="53"/>
  <c r="B53" i="53"/>
  <c r="D53" i="53"/>
  <c r="F53" i="53"/>
  <c r="H53" i="53"/>
  <c r="J53" i="53"/>
  <c r="L53" i="53"/>
  <c r="N53" i="53"/>
  <c r="P53" i="53"/>
  <c r="R53" i="53"/>
  <c r="T53" i="53"/>
  <c r="U53" i="53"/>
  <c r="R54" i="53"/>
  <c r="T54" i="53"/>
  <c r="U54" i="53"/>
  <c r="B55" i="53"/>
  <c r="D55" i="53"/>
  <c r="F55" i="53"/>
  <c r="H55" i="53"/>
  <c r="J55" i="53"/>
  <c r="L55" i="53"/>
  <c r="N55" i="53"/>
  <c r="P55" i="53"/>
  <c r="R55" i="53"/>
  <c r="T55" i="53"/>
  <c r="U55" i="53"/>
  <c r="R58" i="53"/>
  <c r="T58" i="53"/>
  <c r="U58" i="53"/>
  <c r="R59" i="53"/>
  <c r="T59" i="53"/>
  <c r="U59" i="53"/>
  <c r="R60" i="53"/>
  <c r="T60" i="53"/>
  <c r="U60" i="53"/>
  <c r="B61" i="53"/>
  <c r="D61" i="53"/>
  <c r="F61" i="53"/>
  <c r="H61" i="53"/>
  <c r="J61" i="53"/>
  <c r="L61" i="53"/>
  <c r="N61" i="53"/>
  <c r="P61" i="53"/>
  <c r="R61" i="53"/>
  <c r="T61" i="53"/>
  <c r="U61" i="53"/>
  <c r="B63" i="53"/>
  <c r="D63" i="53"/>
  <c r="F63" i="53"/>
  <c r="H63" i="53"/>
  <c r="J63" i="53"/>
  <c r="L63" i="53"/>
  <c r="N63" i="53"/>
  <c r="P63" i="53"/>
  <c r="R63" i="53"/>
  <c r="T63" i="53"/>
  <c r="U63" i="53"/>
  <c r="J65" i="53"/>
  <c r="L65" i="53"/>
  <c r="N65" i="53"/>
  <c r="P65" i="53"/>
  <c r="R65" i="53"/>
  <c r="T65" i="53"/>
  <c r="U65" i="53"/>
  <c r="B68" i="53"/>
  <c r="D68" i="53"/>
  <c r="F68" i="53"/>
  <c r="H68" i="53"/>
  <c r="J68" i="53"/>
  <c r="L68" i="53"/>
  <c r="N68" i="53"/>
  <c r="P68" i="53"/>
  <c r="R68" i="53"/>
  <c r="T68" i="53"/>
  <c r="U68" i="53"/>
  <c r="R71" i="53"/>
  <c r="T71" i="53"/>
  <c r="U71" i="53"/>
  <c r="R72" i="53"/>
  <c r="T72" i="53"/>
  <c r="U72" i="53"/>
  <c r="R73" i="53"/>
  <c r="T73" i="53"/>
  <c r="U73" i="53"/>
  <c r="R74" i="53"/>
  <c r="T74" i="53"/>
  <c r="U74" i="53"/>
  <c r="B75" i="53"/>
  <c r="D75" i="53"/>
  <c r="F75" i="53"/>
  <c r="H75" i="53"/>
  <c r="J75" i="53"/>
  <c r="L75" i="53"/>
  <c r="N75" i="53"/>
  <c r="P75" i="53"/>
  <c r="R75" i="53"/>
  <c r="T75" i="53"/>
  <c r="U75" i="53"/>
  <c r="B77" i="53"/>
  <c r="D77" i="53"/>
  <c r="F77" i="53"/>
  <c r="H77" i="53"/>
  <c r="J77" i="53"/>
  <c r="L77" i="53"/>
  <c r="N77" i="53"/>
  <c r="P77" i="53"/>
  <c r="R77" i="53"/>
  <c r="T77" i="53"/>
  <c r="U77" i="53"/>
  <c r="F79" i="53"/>
  <c r="H79" i="53"/>
  <c r="J79" i="53"/>
  <c r="L79" i="53"/>
  <c r="N79" i="53"/>
  <c r="P79" i="53"/>
  <c r="R79" i="53"/>
  <c r="T79" i="53"/>
  <c r="U79" i="53"/>
  <c r="B81" i="53"/>
  <c r="D81" i="53"/>
  <c r="F81" i="53"/>
  <c r="H81" i="53"/>
  <c r="J81" i="53"/>
  <c r="L81" i="53"/>
  <c r="N81" i="53"/>
  <c r="P81" i="53"/>
  <c r="R81" i="53"/>
  <c r="T81" i="53"/>
  <c r="U81" i="53"/>
  <c r="B90" i="53"/>
  <c r="D90" i="53"/>
  <c r="B91" i="53"/>
  <c r="B92" i="53"/>
  <c r="D92" i="53"/>
  <c r="F92" i="53"/>
  <c r="H92" i="53"/>
  <c r="B96" i="53"/>
  <c r="B98" i="53"/>
  <c r="D98" i="53"/>
  <c r="F98" i="53"/>
  <c r="H98" i="53"/>
  <c r="B100" i="53"/>
  <c r="D100" i="53"/>
  <c r="F100" i="53"/>
  <c r="H100" i="53"/>
  <c r="B105" i="53"/>
  <c r="D105" i="53"/>
  <c r="F105" i="53"/>
  <c r="H105" i="53"/>
  <c r="B108" i="53"/>
  <c r="B110" i="53"/>
  <c r="B111" i="53"/>
  <c r="B112" i="53"/>
  <c r="D112" i="53"/>
  <c r="F112" i="53"/>
  <c r="H112" i="53"/>
  <c r="B114" i="53"/>
  <c r="D114" i="53"/>
  <c r="F114" i="53"/>
  <c r="H114" i="53"/>
  <c r="B118" i="53"/>
  <c r="D118" i="53"/>
  <c r="F118" i="53"/>
  <c r="H118" i="53"/>
  <c r="F13" i="50"/>
  <c r="B15" i="50"/>
  <c r="D15" i="50"/>
  <c r="F15" i="50"/>
  <c r="H15" i="50"/>
  <c r="J15" i="50"/>
  <c r="K15" i="50"/>
  <c r="L15" i="50"/>
  <c r="N15" i="50"/>
  <c r="P15" i="50"/>
  <c r="D18" i="50"/>
  <c r="F18" i="50"/>
  <c r="H18" i="50"/>
  <c r="J18" i="50"/>
  <c r="L18" i="50"/>
  <c r="B22" i="50"/>
  <c r="D22" i="50"/>
  <c r="F22" i="50"/>
  <c r="H22" i="50"/>
  <c r="J22" i="50"/>
  <c r="K22" i="50"/>
  <c r="L22" i="50"/>
  <c r="N22" i="50"/>
  <c r="P22" i="50"/>
  <c r="B29" i="50"/>
  <c r="D29" i="50"/>
  <c r="F29" i="50"/>
  <c r="H29" i="50"/>
  <c r="J29" i="50"/>
  <c r="K29" i="50"/>
  <c r="L29" i="50"/>
  <c r="N29" i="50"/>
  <c r="P29" i="50"/>
  <c r="B32" i="50"/>
  <c r="D32" i="50"/>
  <c r="F32" i="50"/>
  <c r="H32" i="50"/>
  <c r="J32" i="50"/>
  <c r="L32" i="50"/>
  <c r="B33" i="50"/>
  <c r="D33" i="50"/>
  <c r="F33" i="50"/>
  <c r="H33" i="50"/>
  <c r="J33" i="50"/>
  <c r="L33" i="50"/>
  <c r="B35" i="50"/>
  <c r="D35" i="50"/>
  <c r="F35" i="50"/>
  <c r="H35" i="50"/>
  <c r="J35" i="50"/>
  <c r="K35" i="50"/>
  <c r="L35" i="50"/>
  <c r="N35" i="50"/>
  <c r="P35" i="50"/>
  <c r="B38" i="50"/>
  <c r="D38" i="50"/>
  <c r="F38" i="50"/>
  <c r="B39" i="50"/>
  <c r="D39" i="50"/>
  <c r="F39" i="50"/>
  <c r="H39" i="50"/>
  <c r="J39" i="50"/>
  <c r="L39" i="50"/>
  <c r="B41" i="50"/>
  <c r="D41" i="50"/>
  <c r="F41" i="50"/>
  <c r="H41" i="50"/>
  <c r="J41" i="50"/>
  <c r="K41" i="50"/>
  <c r="L41" i="50"/>
  <c r="N41" i="50"/>
  <c r="P41" i="50"/>
  <c r="F43" i="50"/>
  <c r="H43" i="50"/>
  <c r="J43" i="50"/>
  <c r="L43" i="50"/>
  <c r="B44" i="50"/>
  <c r="D44" i="50"/>
  <c r="F44" i="50"/>
  <c r="H44" i="50"/>
  <c r="J44" i="50"/>
  <c r="K44" i="50"/>
  <c r="L44" i="50"/>
  <c r="M44" i="50"/>
  <c r="N44" i="50"/>
  <c r="O44" i="50"/>
  <c r="P44" i="50"/>
  <c r="B48" i="50"/>
  <c r="D48" i="50"/>
  <c r="F48" i="50"/>
  <c r="H48" i="50"/>
  <c r="J48" i="50"/>
  <c r="L48" i="50"/>
  <c r="D49" i="50"/>
  <c r="F49" i="50"/>
  <c r="H49" i="50"/>
  <c r="J49" i="50"/>
  <c r="L49" i="50"/>
  <c r="B51" i="50"/>
  <c r="D51" i="50"/>
  <c r="F51" i="50"/>
  <c r="H51" i="50"/>
  <c r="J51" i="50"/>
  <c r="K51" i="50"/>
  <c r="L51" i="50"/>
  <c r="N51" i="50"/>
  <c r="P51" i="50"/>
  <c r="B52" i="50"/>
  <c r="D52" i="50"/>
  <c r="F52" i="50"/>
  <c r="H52" i="50"/>
  <c r="J52" i="50"/>
  <c r="K52" i="50"/>
  <c r="L52" i="50"/>
  <c r="N52" i="50"/>
  <c r="P52" i="50"/>
  <c r="B62" i="50"/>
  <c r="B69" i="50"/>
  <c r="D69" i="50"/>
  <c r="F69" i="50"/>
  <c r="G69" i="50"/>
  <c r="H69" i="50"/>
  <c r="I69" i="50"/>
  <c r="J69" i="50"/>
  <c r="K69" i="50"/>
  <c r="L69" i="50"/>
  <c r="M69" i="50"/>
  <c r="O69" i="50"/>
  <c r="B73" i="50"/>
  <c r="B80" i="50"/>
  <c r="D80" i="50"/>
  <c r="F80" i="50"/>
  <c r="G80" i="50"/>
  <c r="H80" i="50"/>
  <c r="I80" i="50"/>
  <c r="J80" i="50"/>
  <c r="K80" i="50"/>
  <c r="L80" i="50"/>
  <c r="M80" i="50"/>
  <c r="O80" i="50"/>
  <c r="B84" i="50"/>
  <c r="D84" i="50"/>
  <c r="F84" i="50"/>
  <c r="G84" i="50"/>
  <c r="H84" i="50"/>
  <c r="I84" i="50"/>
  <c r="J84" i="50"/>
  <c r="K84" i="50"/>
  <c r="L84" i="50"/>
  <c r="M84" i="50"/>
  <c r="O84" i="50"/>
  <c r="B96" i="50"/>
  <c r="D96" i="50"/>
  <c r="F96" i="50"/>
  <c r="G96" i="50"/>
  <c r="H96" i="50"/>
  <c r="I96" i="50"/>
  <c r="J96" i="50"/>
  <c r="K96" i="50"/>
  <c r="L96" i="50"/>
  <c r="M96" i="50"/>
  <c r="O96" i="50"/>
  <c r="B97" i="50"/>
  <c r="B100" i="50"/>
  <c r="B102" i="50"/>
  <c r="B106" i="50"/>
  <c r="D106" i="50"/>
  <c r="F106" i="50"/>
  <c r="G106" i="50"/>
  <c r="H106" i="50"/>
  <c r="I106" i="50"/>
  <c r="J106" i="50"/>
  <c r="K106" i="50"/>
  <c r="L106" i="50"/>
  <c r="M106" i="50"/>
  <c r="O106" i="50"/>
  <c r="B107" i="50"/>
  <c r="B110" i="50"/>
  <c r="B114" i="50"/>
  <c r="F114" i="50"/>
  <c r="G114" i="50"/>
  <c r="H114" i="50"/>
  <c r="I114" i="50"/>
  <c r="J114" i="50"/>
  <c r="K114" i="50"/>
  <c r="L114" i="50"/>
  <c r="M114" i="50"/>
  <c r="O114" i="50"/>
  <c r="B119" i="50"/>
  <c r="D119" i="50"/>
  <c r="B125" i="50"/>
  <c r="B127" i="50"/>
  <c r="D127" i="50"/>
  <c r="B135" i="50"/>
  <c r="B136" i="50"/>
  <c r="B142" i="50"/>
  <c r="D142" i="50"/>
  <c r="B149" i="50"/>
  <c r="B157" i="50"/>
  <c r="D157" i="50"/>
  <c r="B158" i="50"/>
  <c r="B161" i="50"/>
  <c r="D161" i="50"/>
  <c r="B163" i="50"/>
  <c r="B165" i="50"/>
  <c r="D165" i="50"/>
  <c r="B169" i="50"/>
  <c r="D169" i="50"/>
  <c r="F169" i="50"/>
  <c r="G169" i="50"/>
  <c r="H169" i="50"/>
  <c r="I169" i="50"/>
  <c r="J169" i="50"/>
  <c r="K169" i="50"/>
  <c r="L169" i="50"/>
  <c r="M169" i="50"/>
  <c r="O169" i="50"/>
  <c r="B12" i="54"/>
  <c r="D12" i="54"/>
  <c r="F12" i="54"/>
  <c r="B13" i="54"/>
  <c r="D13" i="54"/>
  <c r="F13" i="54"/>
  <c r="B14" i="54"/>
  <c r="D14" i="54"/>
  <c r="F14" i="54"/>
  <c r="B15" i="54"/>
  <c r="D15" i="54"/>
  <c r="F15" i="54"/>
  <c r="H15" i="54"/>
  <c r="J15" i="54"/>
  <c r="B16" i="54"/>
  <c r="D16" i="54"/>
  <c r="F16" i="54"/>
  <c r="B17" i="54"/>
  <c r="D17" i="54"/>
  <c r="F17" i="54"/>
  <c r="H17" i="54"/>
  <c r="J17" i="54"/>
  <c r="L17" i="54"/>
  <c r="B20" i="54"/>
  <c r="D20" i="54"/>
  <c r="F20" i="54"/>
  <c r="B21" i="54"/>
  <c r="D21" i="54"/>
  <c r="F21" i="54"/>
  <c r="B22" i="54"/>
  <c r="D22" i="54"/>
  <c r="F22" i="54"/>
  <c r="B23" i="54"/>
  <c r="D23" i="54"/>
  <c r="F23" i="54"/>
  <c r="H23" i="54"/>
  <c r="J23" i="54"/>
  <c r="B25" i="54"/>
  <c r="D25" i="54"/>
  <c r="F25" i="54"/>
  <c r="H25" i="54"/>
  <c r="J25" i="54"/>
  <c r="L25" i="54"/>
  <c r="B27" i="54"/>
  <c r="D27" i="54"/>
  <c r="F27" i="54"/>
  <c r="B30" i="54"/>
  <c r="D30" i="54"/>
  <c r="F30" i="54"/>
  <c r="H30" i="54"/>
  <c r="J30" i="54"/>
  <c r="L30" i="54"/>
  <c r="B33" i="54"/>
  <c r="D33" i="54"/>
  <c r="F33" i="54"/>
  <c r="B34" i="54"/>
  <c r="D34" i="54"/>
  <c r="F34" i="54"/>
  <c r="B35" i="54"/>
  <c r="D35" i="54"/>
  <c r="F35" i="54"/>
  <c r="B36" i="54"/>
  <c r="D36" i="54"/>
  <c r="F36" i="54"/>
  <c r="B37" i="54"/>
  <c r="D37" i="54"/>
  <c r="F37" i="54"/>
  <c r="H37" i="54"/>
  <c r="J37" i="54"/>
  <c r="B39" i="54"/>
  <c r="D39" i="54"/>
  <c r="F39" i="54"/>
  <c r="H39" i="54"/>
  <c r="J39" i="54"/>
  <c r="L39" i="54"/>
  <c r="B41" i="54"/>
  <c r="D41" i="54"/>
  <c r="F41" i="54"/>
  <c r="B43" i="54"/>
  <c r="D43" i="54"/>
  <c r="F43" i="54"/>
  <c r="H43" i="54"/>
  <c r="J43" i="54"/>
  <c r="L43" i="54"/>
  <c r="B10" i="45"/>
  <c r="C10" i="45"/>
  <c r="D10" i="45"/>
  <c r="F10" i="45"/>
  <c r="H10" i="45"/>
  <c r="J10" i="45"/>
  <c r="K10" i="45"/>
  <c r="L10" i="45"/>
  <c r="M10" i="45"/>
  <c r="N10" i="45"/>
  <c r="O10" i="45"/>
  <c r="P10" i="45"/>
  <c r="Q10" i="45"/>
  <c r="B11" i="45"/>
  <c r="C11" i="45"/>
  <c r="D11" i="45"/>
  <c r="F11" i="45"/>
  <c r="H11" i="45"/>
  <c r="J11" i="45"/>
  <c r="K11" i="45"/>
  <c r="L11" i="45"/>
  <c r="M11" i="45"/>
  <c r="N11" i="45"/>
  <c r="O11" i="45"/>
  <c r="P11" i="45"/>
  <c r="Q11" i="45"/>
  <c r="B12" i="45"/>
  <c r="C12" i="45"/>
  <c r="D12" i="45"/>
  <c r="F12" i="45"/>
  <c r="H12" i="45"/>
  <c r="J12" i="45"/>
  <c r="K12" i="45"/>
  <c r="L12" i="45"/>
  <c r="M12" i="45"/>
  <c r="N12" i="45"/>
  <c r="O12" i="45"/>
  <c r="P12" i="45"/>
  <c r="Q12" i="45"/>
  <c r="B13" i="45"/>
  <c r="C13" i="45"/>
  <c r="D13" i="45"/>
  <c r="F13" i="45"/>
  <c r="H13" i="45"/>
  <c r="J13" i="45"/>
  <c r="K13" i="45"/>
  <c r="L13" i="45"/>
  <c r="M13" i="45"/>
  <c r="N13" i="45"/>
  <c r="O13" i="45"/>
  <c r="P13" i="45"/>
  <c r="Q13" i="45"/>
  <c r="B14" i="45"/>
  <c r="C14" i="45"/>
  <c r="D14" i="45"/>
  <c r="F14" i="45"/>
  <c r="H14" i="45"/>
  <c r="J14" i="45"/>
  <c r="K14" i="45"/>
  <c r="L14" i="45"/>
  <c r="M14" i="45"/>
  <c r="N14" i="45"/>
  <c r="O14" i="45"/>
  <c r="P14" i="45"/>
  <c r="Q14" i="45"/>
  <c r="B15" i="45"/>
  <c r="C15" i="45"/>
  <c r="D15" i="45"/>
  <c r="F15" i="45"/>
  <c r="H15" i="45"/>
  <c r="J15" i="45"/>
  <c r="K15" i="45"/>
  <c r="L15" i="45"/>
  <c r="M15" i="45"/>
  <c r="N15" i="45"/>
  <c r="O15" i="45"/>
  <c r="P15" i="45"/>
  <c r="Q15" i="45"/>
  <c r="B17" i="45"/>
  <c r="C17" i="45"/>
  <c r="D17" i="45"/>
  <c r="F17" i="45"/>
  <c r="H17" i="45"/>
  <c r="J17" i="45"/>
  <c r="L17" i="45"/>
  <c r="M17" i="45"/>
  <c r="N17" i="45"/>
  <c r="O17" i="45"/>
  <c r="P17" i="45"/>
  <c r="Q17" i="45"/>
  <c r="B18" i="45"/>
  <c r="C18" i="45"/>
  <c r="D18" i="45"/>
  <c r="F18" i="45"/>
  <c r="H18" i="45"/>
  <c r="J18" i="45"/>
  <c r="K18" i="45"/>
  <c r="L18" i="45"/>
  <c r="M18" i="45"/>
  <c r="N18" i="45"/>
  <c r="O18" i="45"/>
  <c r="P18" i="45"/>
  <c r="Q18" i="45"/>
  <c r="B19" i="45"/>
  <c r="C19" i="45"/>
  <c r="D19" i="45"/>
  <c r="F19" i="45"/>
  <c r="H19" i="45"/>
  <c r="J19" i="45"/>
  <c r="K19" i="45"/>
  <c r="L19" i="45"/>
  <c r="M19" i="45"/>
  <c r="N19" i="45"/>
  <c r="O19" i="45"/>
  <c r="P19" i="45"/>
  <c r="Q19" i="45"/>
  <c r="B20" i="45"/>
  <c r="C20" i="45"/>
  <c r="D20" i="45"/>
  <c r="F20" i="45"/>
  <c r="H20" i="45"/>
  <c r="J20" i="45"/>
  <c r="K20" i="45"/>
  <c r="L20" i="45"/>
  <c r="M20" i="45"/>
  <c r="N20" i="45"/>
  <c r="O20" i="45"/>
  <c r="P20" i="45"/>
  <c r="Q20" i="45"/>
  <c r="B21" i="45"/>
  <c r="C21" i="45"/>
  <c r="D21" i="45"/>
  <c r="F21" i="45"/>
  <c r="H21" i="45"/>
  <c r="J21" i="45"/>
  <c r="K21" i="45"/>
  <c r="L21" i="45"/>
  <c r="M21" i="45"/>
  <c r="N21" i="45"/>
  <c r="O21" i="45"/>
  <c r="P21" i="45"/>
  <c r="Q21" i="45"/>
  <c r="B22" i="45"/>
  <c r="C22" i="45"/>
  <c r="D22" i="45"/>
  <c r="F22" i="45"/>
  <c r="H22" i="45"/>
  <c r="J22" i="45"/>
  <c r="K22" i="45"/>
  <c r="L22" i="45"/>
  <c r="M22" i="45"/>
  <c r="N22" i="45"/>
  <c r="O22" i="45"/>
  <c r="P22" i="45"/>
  <c r="Q22" i="45"/>
  <c r="B26" i="45"/>
  <c r="C26" i="45"/>
  <c r="D26" i="45"/>
  <c r="F26" i="45"/>
  <c r="H26" i="45"/>
  <c r="J26" i="45"/>
  <c r="K26" i="45"/>
  <c r="L26" i="45"/>
  <c r="M26" i="45"/>
  <c r="N26" i="45"/>
  <c r="O26" i="45"/>
  <c r="P26" i="45"/>
  <c r="Q26" i="45"/>
  <c r="B27" i="45"/>
  <c r="C27" i="45"/>
  <c r="D27" i="45"/>
  <c r="F27" i="45"/>
  <c r="H27" i="45"/>
  <c r="J27" i="45"/>
  <c r="K27" i="45"/>
  <c r="L27" i="45"/>
  <c r="M27" i="45"/>
  <c r="N27" i="45"/>
  <c r="O27" i="45"/>
  <c r="P27" i="45"/>
  <c r="Q27" i="45"/>
  <c r="B28" i="45"/>
  <c r="C28" i="45"/>
  <c r="D28" i="45"/>
  <c r="F28" i="45"/>
  <c r="H28" i="45"/>
  <c r="J28" i="45"/>
  <c r="K28" i="45"/>
  <c r="L28" i="45"/>
  <c r="M28" i="45"/>
  <c r="N28" i="45"/>
  <c r="O28" i="45"/>
  <c r="P28" i="45"/>
  <c r="Q28" i="45"/>
  <c r="B29" i="45"/>
  <c r="C29" i="45"/>
  <c r="D29" i="45"/>
  <c r="F29" i="45"/>
  <c r="H29" i="45"/>
  <c r="J29" i="45"/>
  <c r="K29" i="45"/>
  <c r="L29" i="45"/>
  <c r="M29" i="45"/>
  <c r="N29" i="45"/>
  <c r="O29" i="45"/>
  <c r="P29" i="45"/>
  <c r="Q29" i="45"/>
  <c r="B32" i="45"/>
  <c r="C32" i="45"/>
  <c r="D32" i="45"/>
  <c r="F32" i="45"/>
  <c r="H32" i="45"/>
  <c r="J32" i="45"/>
  <c r="K32" i="45"/>
  <c r="L32" i="45"/>
  <c r="M32" i="45"/>
  <c r="N32" i="45"/>
  <c r="O32" i="45"/>
  <c r="P32" i="45"/>
  <c r="Q32" i="45"/>
  <c r="B33" i="45"/>
  <c r="C33" i="45"/>
  <c r="D33" i="45"/>
  <c r="F33" i="45"/>
  <c r="H33" i="45"/>
  <c r="J33" i="45"/>
  <c r="K33" i="45"/>
  <c r="L33" i="45"/>
  <c r="M33" i="45"/>
  <c r="N33" i="45"/>
  <c r="O33" i="45"/>
  <c r="P33" i="45"/>
  <c r="Q33" i="45"/>
  <c r="B34" i="45"/>
  <c r="C34" i="45"/>
  <c r="D34" i="45"/>
  <c r="F34" i="45"/>
  <c r="H34" i="45"/>
  <c r="J34" i="45"/>
  <c r="K34" i="45"/>
  <c r="L34" i="45"/>
  <c r="M34" i="45"/>
  <c r="N34" i="45"/>
  <c r="O34" i="45"/>
  <c r="P34" i="45"/>
  <c r="Q34" i="45"/>
  <c r="B35" i="45"/>
  <c r="C35" i="45"/>
  <c r="D35" i="45"/>
  <c r="F35" i="45"/>
  <c r="H35" i="45"/>
  <c r="J35" i="45"/>
  <c r="K35" i="45"/>
  <c r="L35" i="45"/>
  <c r="M35" i="45"/>
  <c r="N35" i="45"/>
  <c r="O35" i="45"/>
  <c r="P35" i="45"/>
  <c r="Q35" i="45"/>
  <c r="B38" i="45"/>
  <c r="C38" i="45"/>
  <c r="D38" i="45"/>
  <c r="F38" i="45"/>
  <c r="H38" i="45"/>
  <c r="J38" i="45"/>
  <c r="K38" i="45"/>
  <c r="L38" i="45"/>
  <c r="M38" i="45"/>
  <c r="N38" i="45"/>
  <c r="O38" i="45"/>
  <c r="P38" i="45"/>
  <c r="Q38" i="45"/>
  <c r="B39" i="45"/>
  <c r="C39" i="45"/>
  <c r="D39" i="45"/>
  <c r="F39" i="45"/>
  <c r="H39" i="45"/>
  <c r="J39" i="45"/>
  <c r="K39" i="45"/>
  <c r="L39" i="45"/>
  <c r="M39" i="45"/>
  <c r="N39" i="45"/>
  <c r="O39" i="45"/>
  <c r="P39" i="45"/>
  <c r="Q39" i="45"/>
  <c r="B40" i="45"/>
  <c r="C40" i="45"/>
  <c r="D40" i="45"/>
  <c r="F40" i="45"/>
  <c r="H40" i="45"/>
  <c r="J40" i="45"/>
  <c r="K40" i="45"/>
  <c r="L40" i="45"/>
  <c r="M40" i="45"/>
  <c r="N40" i="45"/>
  <c r="O40" i="45"/>
  <c r="P40" i="45"/>
  <c r="Q40" i="45"/>
  <c r="B41" i="45"/>
  <c r="C41" i="45"/>
  <c r="D41" i="45"/>
  <c r="F41" i="45"/>
  <c r="H41" i="45"/>
  <c r="J41" i="45"/>
  <c r="K41" i="45"/>
  <c r="L41" i="45"/>
  <c r="M41" i="45"/>
  <c r="N41" i="45"/>
  <c r="O41" i="45"/>
  <c r="P41" i="45"/>
  <c r="Q41" i="45"/>
  <c r="B43" i="45"/>
  <c r="C43" i="45"/>
  <c r="D43" i="45"/>
  <c r="F43" i="45"/>
  <c r="H43" i="45"/>
  <c r="J43" i="45"/>
  <c r="K43" i="45"/>
  <c r="L43" i="45"/>
  <c r="M43" i="45"/>
  <c r="N43" i="45"/>
  <c r="O43" i="45"/>
  <c r="P43" i="45"/>
  <c r="Q43" i="45"/>
  <c r="B44" i="45"/>
  <c r="C44" i="45"/>
  <c r="D44" i="45"/>
  <c r="F44" i="45"/>
  <c r="H44" i="45"/>
  <c r="J44" i="45"/>
  <c r="K44" i="45"/>
  <c r="L44" i="45"/>
  <c r="M44" i="45"/>
  <c r="N44" i="45"/>
  <c r="O44" i="45"/>
  <c r="P44" i="45"/>
  <c r="Q44" i="45"/>
  <c r="B47" i="45"/>
  <c r="C47" i="45"/>
  <c r="D47" i="45"/>
  <c r="F47" i="45"/>
  <c r="H47" i="45"/>
  <c r="J47" i="45"/>
  <c r="K47" i="45"/>
  <c r="L47" i="45"/>
  <c r="M47" i="45"/>
  <c r="N47" i="45"/>
  <c r="O47" i="45"/>
  <c r="P47" i="45"/>
  <c r="Q47" i="45"/>
  <c r="B48" i="45"/>
  <c r="C48" i="45"/>
  <c r="D48" i="45"/>
  <c r="F48" i="45"/>
  <c r="H48" i="45"/>
  <c r="J48" i="45"/>
  <c r="K48" i="45"/>
  <c r="L48" i="45"/>
  <c r="M48" i="45"/>
  <c r="N48" i="45"/>
  <c r="O48" i="45"/>
  <c r="P48" i="45"/>
  <c r="Q48" i="45"/>
  <c r="B49" i="45"/>
  <c r="C49" i="45"/>
  <c r="D49" i="45"/>
  <c r="F49" i="45"/>
  <c r="H49" i="45"/>
  <c r="B50" i="45"/>
  <c r="C50" i="45"/>
  <c r="D50" i="45"/>
  <c r="F50" i="45"/>
  <c r="H50" i="45"/>
  <c r="J50" i="45"/>
  <c r="K50" i="45"/>
  <c r="L50" i="45"/>
  <c r="M50" i="45"/>
  <c r="N50" i="45"/>
  <c r="O50" i="45"/>
  <c r="P50" i="45"/>
  <c r="Q50" i="45"/>
  <c r="B51" i="45"/>
  <c r="C51" i="45"/>
  <c r="D51" i="45"/>
  <c r="F51" i="45"/>
  <c r="H51" i="45"/>
  <c r="J51" i="45"/>
  <c r="K51" i="45"/>
  <c r="L51" i="45"/>
  <c r="M51" i="45"/>
  <c r="N51" i="45"/>
  <c r="O51" i="45"/>
  <c r="P51" i="45"/>
  <c r="Q51" i="45"/>
  <c r="B52" i="45"/>
  <c r="C52" i="45"/>
  <c r="D52" i="45"/>
  <c r="F52" i="45"/>
  <c r="H52" i="45"/>
  <c r="J52" i="45"/>
  <c r="K52" i="45"/>
  <c r="L52" i="45"/>
  <c r="M52" i="45"/>
  <c r="N52" i="45"/>
  <c r="O52" i="45"/>
  <c r="P52" i="45"/>
  <c r="Q52" i="45"/>
  <c r="B56" i="45"/>
  <c r="D56" i="45"/>
  <c r="F56" i="45"/>
  <c r="H56" i="45"/>
  <c r="J56" i="45"/>
  <c r="L56" i="45"/>
  <c r="N56" i="45"/>
  <c r="P56" i="45"/>
  <c r="B57" i="45"/>
  <c r="D57" i="45"/>
  <c r="F57" i="45"/>
  <c r="H57" i="45"/>
  <c r="J57" i="45"/>
  <c r="L57" i="45"/>
  <c r="N57" i="45"/>
  <c r="P57" i="45"/>
  <c r="B58" i="45"/>
  <c r="D58" i="45"/>
  <c r="F58" i="45"/>
  <c r="H58" i="45"/>
  <c r="J58" i="45"/>
  <c r="L58" i="45"/>
  <c r="N58" i="45"/>
  <c r="P58" i="45"/>
  <c r="B60" i="45"/>
  <c r="D60" i="45"/>
  <c r="F60" i="45"/>
  <c r="H60" i="45"/>
  <c r="J60" i="45"/>
  <c r="L60" i="45"/>
  <c r="N60" i="45"/>
  <c r="P60" i="45"/>
  <c r="B61" i="45"/>
  <c r="D61" i="45"/>
  <c r="F61" i="45"/>
  <c r="H61" i="45"/>
  <c r="J61" i="45"/>
  <c r="L61" i="45"/>
  <c r="N61" i="45"/>
  <c r="P61" i="45"/>
  <c r="B62" i="45"/>
  <c r="D62" i="45"/>
  <c r="F62" i="45"/>
  <c r="H62" i="45"/>
  <c r="J62" i="45"/>
  <c r="L62" i="45"/>
  <c r="N62" i="45"/>
  <c r="P62" i="45"/>
  <c r="D10" i="46"/>
  <c r="E10" i="46"/>
  <c r="J10" i="46"/>
  <c r="K10" i="46"/>
  <c r="D11" i="46"/>
  <c r="E11" i="46"/>
  <c r="J11" i="46"/>
  <c r="K11" i="46"/>
  <c r="D12" i="46"/>
  <c r="E12" i="46"/>
  <c r="J12" i="46"/>
  <c r="B13" i="46"/>
  <c r="D13" i="46"/>
  <c r="H13" i="46"/>
  <c r="J13" i="46"/>
  <c r="B14" i="46"/>
  <c r="D14" i="46"/>
  <c r="E14" i="46"/>
  <c r="H14" i="46"/>
  <c r="J14" i="46"/>
  <c r="K14" i="46"/>
  <c r="B15" i="46"/>
  <c r="C15" i="46"/>
  <c r="D15" i="46"/>
  <c r="E15" i="46"/>
  <c r="H15" i="46"/>
  <c r="I15" i="46"/>
  <c r="J15" i="46"/>
  <c r="K15" i="46"/>
  <c r="B17" i="46"/>
  <c r="D17" i="46"/>
  <c r="H17" i="46"/>
  <c r="J17" i="46"/>
  <c r="B18" i="46"/>
  <c r="D18" i="46"/>
  <c r="H18" i="46"/>
  <c r="J18" i="46"/>
  <c r="B19" i="46"/>
  <c r="D19" i="46"/>
  <c r="E19" i="46"/>
  <c r="H19" i="46"/>
  <c r="J19" i="46"/>
  <c r="K19" i="46"/>
  <c r="B20" i="46"/>
  <c r="D20" i="46"/>
  <c r="H20" i="46"/>
  <c r="J20" i="46"/>
  <c r="B21" i="46"/>
  <c r="D21" i="46"/>
  <c r="E21" i="46"/>
  <c r="H21" i="46"/>
  <c r="J21" i="46"/>
  <c r="K21" i="46"/>
  <c r="B22" i="46"/>
  <c r="C22" i="46"/>
  <c r="D22" i="46"/>
  <c r="E22" i="46"/>
  <c r="H22" i="46"/>
  <c r="I22" i="46"/>
  <c r="J22" i="46"/>
  <c r="K22" i="46"/>
  <c r="B26" i="46"/>
  <c r="D26" i="46"/>
  <c r="E26" i="46"/>
  <c r="H26" i="46"/>
  <c r="J26" i="46"/>
  <c r="K26" i="46"/>
  <c r="B27" i="46"/>
  <c r="D27" i="46"/>
  <c r="E27" i="46"/>
  <c r="H27" i="46"/>
  <c r="J27" i="46"/>
  <c r="K27" i="46"/>
  <c r="B28" i="46"/>
  <c r="D28" i="46"/>
  <c r="H28" i="46"/>
  <c r="J28" i="46"/>
  <c r="B29" i="46"/>
  <c r="C29" i="46"/>
  <c r="D29" i="46"/>
  <c r="E29" i="46"/>
  <c r="H29" i="46"/>
  <c r="I29" i="46"/>
  <c r="J29" i="46"/>
  <c r="K29" i="46"/>
  <c r="B32" i="46"/>
  <c r="D32" i="46"/>
  <c r="H32" i="46"/>
  <c r="J32" i="46"/>
  <c r="B33" i="46"/>
  <c r="D33" i="46"/>
  <c r="H33" i="46"/>
  <c r="J33" i="46"/>
  <c r="B34" i="46"/>
  <c r="D34" i="46"/>
  <c r="E34" i="46"/>
  <c r="H34" i="46"/>
  <c r="J34" i="46"/>
  <c r="K34" i="46"/>
  <c r="B35" i="46"/>
  <c r="C35" i="46"/>
  <c r="D35" i="46"/>
  <c r="E35" i="46"/>
  <c r="H35" i="46"/>
  <c r="I35" i="46"/>
  <c r="J35" i="46"/>
  <c r="K35" i="46"/>
  <c r="B38" i="46"/>
  <c r="D38" i="46"/>
  <c r="H38" i="46"/>
  <c r="J38" i="46"/>
  <c r="B39" i="46"/>
  <c r="D39" i="46"/>
  <c r="H39" i="46"/>
  <c r="J39" i="46"/>
  <c r="B40" i="46"/>
  <c r="D40" i="46"/>
  <c r="H40" i="46"/>
  <c r="J40" i="46"/>
  <c r="B41" i="46"/>
  <c r="C41" i="46"/>
  <c r="D41" i="46"/>
  <c r="H41" i="46"/>
  <c r="I41" i="46"/>
  <c r="J41" i="46"/>
  <c r="B43" i="46"/>
  <c r="D43" i="46"/>
  <c r="H43" i="46"/>
  <c r="J43" i="46"/>
  <c r="B44" i="46"/>
  <c r="C44" i="46"/>
  <c r="D44" i="46"/>
  <c r="H44" i="46"/>
  <c r="I44" i="46"/>
  <c r="J44" i="46"/>
  <c r="K44" i="46"/>
  <c r="B47" i="46"/>
  <c r="D47" i="46"/>
  <c r="E47" i="46"/>
  <c r="H47" i="46"/>
  <c r="J47" i="46"/>
  <c r="K47" i="46"/>
  <c r="B48" i="46"/>
  <c r="D48" i="46"/>
  <c r="H48" i="46"/>
  <c r="J48" i="46"/>
  <c r="B50" i="46"/>
  <c r="D50" i="46"/>
  <c r="H50" i="46"/>
  <c r="J50" i="46"/>
  <c r="B51" i="46"/>
  <c r="C51" i="46"/>
  <c r="D51" i="46"/>
  <c r="H51" i="46"/>
  <c r="I51" i="46"/>
  <c r="J51" i="46"/>
  <c r="B53" i="46"/>
  <c r="C53" i="46"/>
  <c r="D53" i="46"/>
  <c r="E53" i="46"/>
  <c r="H53" i="46"/>
  <c r="I53" i="46"/>
  <c r="J53" i="46"/>
  <c r="K53" i="46"/>
  <c r="B58" i="46"/>
  <c r="B59" i="46"/>
  <c r="B60" i="46"/>
  <c r="B62" i="46"/>
  <c r="J62" i="46"/>
  <c r="B63" i="46"/>
  <c r="B64" i="46"/>
  <c r="J64" i="46"/>
  <c r="B11" i="43"/>
  <c r="D11" i="43"/>
  <c r="F11" i="43"/>
  <c r="H11" i="43"/>
  <c r="I11" i="43"/>
  <c r="J11" i="43"/>
  <c r="K11" i="43"/>
  <c r="L11" i="43"/>
  <c r="M11" i="43"/>
  <c r="N11" i="43"/>
  <c r="O11" i="43"/>
  <c r="P11" i="43"/>
  <c r="B12" i="43"/>
  <c r="D12" i="43"/>
  <c r="F12" i="43"/>
  <c r="H12" i="43"/>
  <c r="B13" i="43"/>
  <c r="D13" i="43"/>
  <c r="F13" i="43"/>
  <c r="H13" i="43"/>
  <c r="I13" i="43"/>
  <c r="J13" i="43"/>
  <c r="K13" i="43"/>
  <c r="L13" i="43"/>
  <c r="M13" i="43"/>
  <c r="N13" i="43"/>
  <c r="O13" i="43"/>
  <c r="P13" i="43"/>
  <c r="B14" i="43"/>
  <c r="D14" i="43"/>
  <c r="F14" i="43"/>
  <c r="H14" i="43"/>
  <c r="I14" i="43"/>
  <c r="J14" i="43"/>
  <c r="K14" i="43"/>
  <c r="L14" i="43"/>
  <c r="M14" i="43"/>
  <c r="N14" i="43"/>
  <c r="O14" i="43"/>
  <c r="P14" i="43"/>
  <c r="B15" i="43"/>
  <c r="D15" i="43"/>
  <c r="F15" i="43"/>
  <c r="H15" i="43"/>
  <c r="I15" i="43"/>
  <c r="J15" i="43"/>
  <c r="K15" i="43"/>
  <c r="L15" i="43"/>
  <c r="M15" i="43"/>
  <c r="N15" i="43"/>
  <c r="O15" i="43"/>
  <c r="P15" i="43"/>
  <c r="B23" i="43"/>
  <c r="C23" i="43"/>
  <c r="D23" i="43"/>
  <c r="F23" i="43"/>
  <c r="H23" i="43"/>
  <c r="J23" i="43"/>
  <c r="L23" i="43"/>
  <c r="N23" i="43"/>
  <c r="P23" i="43"/>
  <c r="R23" i="43"/>
  <c r="S23" i="43"/>
  <c r="T23" i="43"/>
  <c r="B24" i="43"/>
  <c r="C24" i="43"/>
  <c r="D24" i="43"/>
  <c r="F24" i="43"/>
  <c r="H24" i="43"/>
  <c r="J24" i="43"/>
  <c r="L24" i="43"/>
  <c r="N24" i="43"/>
  <c r="P24" i="43"/>
  <c r="R24" i="43"/>
  <c r="S24" i="43"/>
  <c r="T24" i="43"/>
  <c r="B25" i="43"/>
  <c r="D25" i="43"/>
  <c r="F25" i="43"/>
  <c r="H25" i="43"/>
  <c r="J25" i="43"/>
  <c r="L25" i="43"/>
  <c r="N25" i="43"/>
  <c r="P25" i="43"/>
  <c r="R25" i="43"/>
  <c r="T25" i="43"/>
  <c r="B26" i="43"/>
  <c r="C26" i="43"/>
  <c r="D26" i="43"/>
  <c r="F26" i="43"/>
  <c r="H26" i="43"/>
  <c r="J26" i="43"/>
  <c r="L26" i="43"/>
  <c r="N26" i="43"/>
  <c r="P26" i="43"/>
  <c r="R26" i="43"/>
  <c r="S26" i="43"/>
  <c r="T26" i="43"/>
  <c r="B27" i="43"/>
  <c r="C27" i="43"/>
  <c r="D27" i="43"/>
  <c r="F27" i="43"/>
  <c r="H27" i="43"/>
  <c r="J27" i="43"/>
  <c r="L27" i="43"/>
  <c r="N27" i="43"/>
  <c r="P27" i="43"/>
  <c r="R27" i="43"/>
  <c r="S27" i="43"/>
  <c r="T27" i="43"/>
  <c r="B42" i="43"/>
  <c r="L42" i="43"/>
  <c r="N42" i="43"/>
  <c r="O42" i="43"/>
  <c r="Q42" i="43"/>
  <c r="R42" i="43"/>
  <c r="S42" i="43"/>
  <c r="T42" i="43"/>
  <c r="B44" i="43"/>
  <c r="L44" i="43"/>
  <c r="N44" i="43"/>
  <c r="O44" i="43"/>
  <c r="Q44" i="43"/>
  <c r="R44" i="43"/>
  <c r="S44" i="43"/>
  <c r="T44" i="43"/>
  <c r="N49" i="43"/>
  <c r="Q49" i="43"/>
  <c r="R49" i="43"/>
  <c r="S49" i="43"/>
  <c r="T49" i="43"/>
  <c r="B52" i="43"/>
  <c r="E52" i="43"/>
  <c r="H52" i="43"/>
  <c r="N52" i="43"/>
  <c r="O52" i="43"/>
  <c r="Q52" i="43"/>
  <c r="B55" i="43"/>
  <c r="H55" i="43"/>
  <c r="N55" i="43"/>
  <c r="O55" i="43"/>
  <c r="Q55" i="43"/>
  <c r="R55" i="43"/>
  <c r="S55" i="43"/>
  <c r="T55" i="43"/>
  <c r="B59" i="43"/>
  <c r="L59" i="43"/>
  <c r="N59" i="43"/>
  <c r="O59" i="43"/>
  <c r="Q59" i="43"/>
  <c r="R59" i="43"/>
  <c r="S59" i="43"/>
  <c r="B61" i="43"/>
  <c r="L61" i="43"/>
  <c r="N61" i="43"/>
  <c r="O61" i="43"/>
  <c r="Q61" i="43"/>
  <c r="R61" i="43"/>
  <c r="S61" i="43"/>
  <c r="B64" i="43"/>
  <c r="L64" i="43"/>
  <c r="N64" i="43"/>
  <c r="O64" i="43"/>
  <c r="Q64" i="43"/>
  <c r="R64" i="43"/>
  <c r="S64" i="43"/>
  <c r="B66" i="43"/>
  <c r="L66" i="43"/>
  <c r="N66" i="43"/>
  <c r="O66" i="43"/>
  <c r="Q66" i="43"/>
  <c r="R66" i="43"/>
  <c r="S66" i="43"/>
  <c r="B68" i="43"/>
  <c r="L68" i="43"/>
  <c r="N68" i="43"/>
  <c r="O68" i="43"/>
  <c r="Q68" i="43"/>
  <c r="R68" i="43"/>
  <c r="S68" i="43"/>
  <c r="B71" i="43"/>
  <c r="L71" i="43"/>
  <c r="N71" i="43"/>
  <c r="O71" i="43"/>
  <c r="Q71" i="43"/>
  <c r="R71" i="43"/>
  <c r="S71" i="43"/>
  <c r="B74" i="43"/>
  <c r="N74" i="43"/>
  <c r="O74" i="43"/>
  <c r="B10" i="47"/>
  <c r="D10" i="47"/>
  <c r="F10" i="47"/>
  <c r="H10" i="47"/>
  <c r="J10" i="47"/>
  <c r="K10" i="47"/>
  <c r="L10" i="47"/>
  <c r="M10" i="47"/>
  <c r="N10" i="47"/>
  <c r="O10" i="47"/>
  <c r="P10" i="47"/>
  <c r="B11" i="47"/>
  <c r="F11" i="47"/>
  <c r="P11" i="47"/>
  <c r="B12" i="47"/>
  <c r="D12" i="47"/>
  <c r="F12" i="47"/>
  <c r="H12" i="47"/>
  <c r="J12" i="47"/>
  <c r="L12" i="47"/>
  <c r="N12" i="47"/>
  <c r="P12" i="47"/>
  <c r="B13" i="47"/>
  <c r="D13" i="47"/>
  <c r="F13" i="47"/>
  <c r="H13" i="47"/>
  <c r="J13" i="47"/>
  <c r="K13" i="47"/>
  <c r="L13" i="47"/>
  <c r="M13" i="47"/>
  <c r="N13" i="47"/>
  <c r="O13" i="47"/>
  <c r="P13" i="47"/>
  <c r="B14" i="47"/>
  <c r="D14" i="47"/>
  <c r="F14" i="47"/>
  <c r="H14" i="47"/>
  <c r="J14" i="47"/>
  <c r="K14" i="47"/>
  <c r="L14" i="47"/>
  <c r="M14" i="47"/>
  <c r="N14" i="47"/>
  <c r="O14" i="47"/>
  <c r="P14" i="47"/>
  <c r="B15" i="47"/>
  <c r="D15" i="47"/>
  <c r="F15" i="47"/>
  <c r="H15" i="47"/>
  <c r="J15" i="47"/>
  <c r="K15" i="47"/>
  <c r="L15" i="47"/>
  <c r="M15" i="47"/>
  <c r="N15" i="47"/>
  <c r="O15" i="47"/>
  <c r="P15" i="47"/>
  <c r="B18" i="47"/>
  <c r="D18" i="47"/>
  <c r="F18" i="47"/>
  <c r="H18" i="47"/>
  <c r="J18" i="47"/>
  <c r="K18" i="47"/>
  <c r="L18" i="47"/>
  <c r="M18" i="47"/>
  <c r="N18" i="47"/>
  <c r="O18" i="47"/>
  <c r="P18" i="47"/>
  <c r="B19" i="47"/>
  <c r="D19" i="47"/>
  <c r="F19" i="47"/>
  <c r="H19" i="47"/>
  <c r="J19" i="47"/>
  <c r="L19" i="47"/>
  <c r="N19" i="47"/>
  <c r="P19" i="47"/>
  <c r="B20" i="47"/>
  <c r="D20" i="47"/>
  <c r="F20" i="47"/>
  <c r="H20" i="47"/>
  <c r="J20" i="47"/>
  <c r="K20" i="47"/>
  <c r="L20" i="47"/>
  <c r="M20" i="47"/>
  <c r="N20" i="47"/>
  <c r="O20" i="47"/>
  <c r="P20" i="47"/>
  <c r="B21" i="47"/>
  <c r="D21" i="47"/>
  <c r="F21" i="47"/>
  <c r="H21" i="47"/>
  <c r="J21" i="47"/>
  <c r="K21" i="47"/>
  <c r="L21" i="47"/>
  <c r="M21" i="47"/>
  <c r="N21" i="47"/>
  <c r="O21" i="47"/>
  <c r="P21" i="47"/>
  <c r="B23" i="47"/>
  <c r="D23" i="47"/>
  <c r="F23" i="47"/>
  <c r="H23" i="47"/>
  <c r="J23" i="47"/>
  <c r="K23" i="47"/>
  <c r="L23" i="47"/>
  <c r="M23" i="47"/>
  <c r="N23" i="47"/>
  <c r="O23" i="47"/>
  <c r="P23" i="47"/>
  <c r="B25" i="47"/>
  <c r="D25" i="47"/>
  <c r="F25" i="47"/>
  <c r="H25" i="47"/>
  <c r="J25" i="47"/>
  <c r="L25" i="47"/>
  <c r="N25" i="47"/>
  <c r="P25" i="47"/>
  <c r="B28" i="47"/>
  <c r="D28" i="47"/>
  <c r="F28" i="47"/>
  <c r="H28" i="47"/>
  <c r="J28" i="47"/>
  <c r="K28" i="47"/>
  <c r="L28" i="47"/>
  <c r="M28" i="47"/>
  <c r="N28" i="47"/>
  <c r="O28" i="47"/>
  <c r="P28" i="47"/>
  <c r="B31" i="47"/>
  <c r="D31" i="47"/>
  <c r="F31" i="47"/>
  <c r="H31" i="47"/>
  <c r="J31" i="47"/>
  <c r="K31" i="47"/>
  <c r="L31" i="47"/>
  <c r="M31" i="47"/>
  <c r="N31" i="47"/>
  <c r="O31" i="47"/>
  <c r="P31" i="47"/>
  <c r="B32" i="47"/>
  <c r="D32" i="47"/>
  <c r="F32" i="47"/>
  <c r="H32" i="47"/>
  <c r="J32" i="47"/>
  <c r="K32" i="47"/>
  <c r="L32" i="47"/>
  <c r="M32" i="47"/>
  <c r="N32" i="47"/>
  <c r="O32" i="47"/>
  <c r="P32" i="47"/>
  <c r="B33" i="47"/>
  <c r="D33" i="47"/>
  <c r="F33" i="47"/>
  <c r="H33" i="47"/>
  <c r="J33" i="47"/>
  <c r="K33" i="47"/>
  <c r="L33" i="47"/>
  <c r="M33" i="47"/>
  <c r="N33" i="47"/>
  <c r="O33" i="47"/>
  <c r="P33" i="47"/>
  <c r="B34" i="47"/>
  <c r="D34" i="47"/>
  <c r="F34" i="47"/>
  <c r="H34" i="47"/>
  <c r="J34" i="47"/>
  <c r="K34" i="47"/>
  <c r="L34" i="47"/>
  <c r="M34" i="47"/>
  <c r="N34" i="47"/>
  <c r="O34" i="47"/>
  <c r="P34" i="47"/>
  <c r="B35" i="47"/>
  <c r="D35" i="47"/>
  <c r="F35" i="47"/>
  <c r="H35" i="47"/>
  <c r="J35" i="47"/>
  <c r="K35" i="47"/>
  <c r="L35" i="47"/>
  <c r="M35" i="47"/>
  <c r="N35" i="47"/>
  <c r="O35" i="47"/>
  <c r="P35" i="47"/>
  <c r="B37" i="47"/>
  <c r="D37" i="47"/>
  <c r="F37" i="47"/>
  <c r="H37" i="47"/>
  <c r="J37" i="47"/>
  <c r="K37" i="47"/>
  <c r="L37" i="47"/>
  <c r="M37" i="47"/>
  <c r="N37" i="47"/>
  <c r="O37" i="47"/>
  <c r="P37" i="47"/>
  <c r="B39" i="47"/>
  <c r="D39" i="47"/>
  <c r="F39" i="47"/>
  <c r="H39" i="47"/>
  <c r="J39" i="47"/>
  <c r="L39" i="47"/>
  <c r="M39" i="47"/>
  <c r="N39" i="47"/>
  <c r="O39" i="47"/>
  <c r="P39" i="47"/>
  <c r="B41" i="47"/>
  <c r="D41" i="47"/>
  <c r="F41" i="47"/>
  <c r="H41" i="47"/>
  <c r="J41" i="47"/>
  <c r="K41" i="47"/>
  <c r="L41" i="47"/>
  <c r="M41" i="47"/>
  <c r="N41" i="47"/>
  <c r="O41" i="47"/>
  <c r="P41" i="47"/>
  <c r="C50" i="47"/>
  <c r="D50" i="47"/>
  <c r="H50" i="47"/>
  <c r="L50" i="47"/>
  <c r="P50" i="47"/>
  <c r="R50" i="47"/>
  <c r="S50" i="47"/>
  <c r="T50" i="47"/>
  <c r="U50" i="47"/>
  <c r="R51" i="47"/>
  <c r="T51" i="47"/>
  <c r="U51" i="47"/>
  <c r="B52" i="47"/>
  <c r="D52" i="47"/>
  <c r="F52" i="47"/>
  <c r="H52" i="47"/>
  <c r="J52" i="47"/>
  <c r="L52" i="47"/>
  <c r="N52" i="47"/>
  <c r="P52" i="47"/>
  <c r="R52" i="47"/>
  <c r="T52" i="47"/>
  <c r="U52" i="47"/>
  <c r="B53" i="47"/>
  <c r="C53" i="47"/>
  <c r="D53" i="47"/>
  <c r="F53" i="47"/>
  <c r="H53" i="47"/>
  <c r="J53" i="47"/>
  <c r="L53" i="47"/>
  <c r="N53" i="47"/>
  <c r="P53" i="47"/>
  <c r="R53" i="47"/>
  <c r="S53" i="47"/>
  <c r="T53" i="47"/>
  <c r="U53" i="47"/>
  <c r="C54" i="47"/>
  <c r="D54" i="47"/>
  <c r="H54" i="47"/>
  <c r="L54" i="47"/>
  <c r="P54" i="47"/>
  <c r="R54" i="47"/>
  <c r="S54" i="47"/>
  <c r="T54" i="47"/>
  <c r="U54" i="47"/>
  <c r="B55" i="47"/>
  <c r="C55" i="47"/>
  <c r="D55" i="47"/>
  <c r="F55" i="47"/>
  <c r="H55" i="47"/>
  <c r="J55" i="47"/>
  <c r="L55" i="47"/>
  <c r="N55" i="47"/>
  <c r="P55" i="47"/>
  <c r="R55" i="47"/>
  <c r="S55" i="47"/>
  <c r="T55" i="47"/>
  <c r="U55" i="47"/>
  <c r="C58" i="47"/>
  <c r="D58" i="47"/>
  <c r="H58" i="47"/>
  <c r="L58" i="47"/>
  <c r="P58" i="47"/>
  <c r="R58" i="47"/>
  <c r="S58" i="47"/>
  <c r="T58" i="47"/>
  <c r="U58" i="47"/>
  <c r="B59" i="47"/>
  <c r="D59" i="47"/>
  <c r="F59" i="47"/>
  <c r="H59" i="47"/>
  <c r="J59" i="47"/>
  <c r="L59" i="47"/>
  <c r="R59" i="47"/>
  <c r="T59" i="47"/>
  <c r="U59" i="47"/>
  <c r="C60" i="47"/>
  <c r="D60" i="47"/>
  <c r="H60" i="47"/>
  <c r="L60" i="47"/>
  <c r="P60" i="47"/>
  <c r="R60" i="47"/>
  <c r="S60" i="47"/>
  <c r="T60" i="47"/>
  <c r="U60" i="47"/>
  <c r="B61" i="47"/>
  <c r="C61" i="47"/>
  <c r="D61" i="47"/>
  <c r="F61" i="47"/>
  <c r="H61" i="47"/>
  <c r="J61" i="47"/>
  <c r="L61" i="47"/>
  <c r="N61" i="47"/>
  <c r="P61" i="47"/>
  <c r="R61" i="47"/>
  <c r="S61" i="47"/>
  <c r="T61" i="47"/>
  <c r="U61" i="47"/>
  <c r="B63" i="47"/>
  <c r="C63" i="47"/>
  <c r="D63" i="47"/>
  <c r="F63" i="47"/>
  <c r="H63" i="47"/>
  <c r="J63" i="47"/>
  <c r="L63" i="47"/>
  <c r="N63" i="47"/>
  <c r="P63" i="47"/>
  <c r="R63" i="47"/>
  <c r="S63" i="47"/>
  <c r="T63" i="47"/>
  <c r="U63" i="47"/>
  <c r="B65" i="47"/>
  <c r="D65" i="47"/>
  <c r="F65" i="47"/>
  <c r="H65" i="47"/>
  <c r="J65" i="47"/>
  <c r="L65" i="47"/>
  <c r="R65" i="47"/>
  <c r="T65" i="47"/>
  <c r="U65" i="47"/>
  <c r="B68" i="47"/>
  <c r="C68" i="47"/>
  <c r="D68" i="47"/>
  <c r="F68" i="47"/>
  <c r="H68" i="47"/>
  <c r="J68" i="47"/>
  <c r="L68" i="47"/>
  <c r="N68" i="47"/>
  <c r="P68" i="47"/>
  <c r="R68" i="47"/>
  <c r="S68" i="47"/>
  <c r="T68" i="47"/>
  <c r="U68" i="47"/>
  <c r="C71" i="47"/>
  <c r="D71" i="47"/>
  <c r="H71" i="47"/>
  <c r="L71" i="47"/>
  <c r="P71" i="47"/>
  <c r="R71" i="47"/>
  <c r="S71" i="47"/>
  <c r="T71" i="47"/>
  <c r="U71" i="47"/>
  <c r="C72" i="47"/>
  <c r="D72" i="47"/>
  <c r="H72" i="47"/>
  <c r="L72" i="47"/>
  <c r="R72" i="47"/>
  <c r="S72" i="47"/>
  <c r="T72" i="47"/>
  <c r="U72" i="47"/>
  <c r="C73" i="47"/>
  <c r="D73" i="47"/>
  <c r="H73" i="47"/>
  <c r="L73" i="47"/>
  <c r="P73" i="47"/>
  <c r="R73" i="47"/>
  <c r="S73" i="47"/>
  <c r="T73" i="47"/>
  <c r="U73" i="47"/>
  <c r="C74" i="47"/>
  <c r="D74" i="47"/>
  <c r="H74" i="47"/>
  <c r="L74" i="47"/>
  <c r="P74" i="47"/>
  <c r="R74" i="47"/>
  <c r="S74" i="47"/>
  <c r="T74" i="47"/>
  <c r="U74" i="47"/>
  <c r="B75" i="47"/>
  <c r="C75" i="47"/>
  <c r="D75" i="47"/>
  <c r="F75" i="47"/>
  <c r="H75" i="47"/>
  <c r="J75" i="47"/>
  <c r="L75" i="47"/>
  <c r="N75" i="47"/>
  <c r="P75" i="47"/>
  <c r="R75" i="47"/>
  <c r="S75" i="47"/>
  <c r="T75" i="47"/>
  <c r="U75" i="47"/>
  <c r="B77" i="47"/>
  <c r="C77" i="47"/>
  <c r="D77" i="47"/>
  <c r="F77" i="47"/>
  <c r="H77" i="47"/>
  <c r="J77" i="47"/>
  <c r="L77" i="47"/>
  <c r="N77" i="47"/>
  <c r="P77" i="47"/>
  <c r="R77" i="47"/>
  <c r="S77" i="47"/>
  <c r="T77" i="47"/>
  <c r="U77" i="47"/>
  <c r="R79" i="47"/>
  <c r="S79" i="47"/>
  <c r="T79" i="47"/>
  <c r="U79" i="47"/>
  <c r="B81" i="47"/>
  <c r="C81" i="47"/>
  <c r="D81" i="47"/>
  <c r="F81" i="47"/>
  <c r="H81" i="47"/>
  <c r="J81" i="47"/>
  <c r="L81" i="47"/>
  <c r="N81" i="47"/>
  <c r="P81" i="47"/>
  <c r="R81" i="47"/>
  <c r="S81" i="47"/>
  <c r="T81" i="47"/>
  <c r="U81" i="47"/>
  <c r="B88" i="47"/>
  <c r="B90" i="47"/>
  <c r="D90" i="47"/>
  <c r="F90" i="47"/>
  <c r="H90" i="47"/>
  <c r="B91" i="47"/>
  <c r="B92" i="47"/>
  <c r="D92" i="47"/>
  <c r="F92" i="47"/>
  <c r="H92" i="47"/>
  <c r="B95" i="47"/>
  <c r="B98" i="47"/>
  <c r="D98" i="47"/>
  <c r="F98" i="47"/>
  <c r="H98" i="47"/>
  <c r="B100" i="47"/>
  <c r="D100" i="47"/>
  <c r="F100" i="47"/>
  <c r="H100" i="47"/>
  <c r="B105" i="47"/>
  <c r="D105" i="47"/>
  <c r="F105" i="47"/>
  <c r="H105" i="47"/>
  <c r="B108" i="47"/>
  <c r="B109" i="47"/>
  <c r="B110" i="47"/>
  <c r="B111" i="47"/>
  <c r="B112" i="47"/>
  <c r="D112" i="47"/>
  <c r="F112" i="47"/>
  <c r="H112" i="47"/>
  <c r="B114" i="47"/>
  <c r="D114" i="47"/>
  <c r="F114" i="47"/>
  <c r="H114" i="47"/>
  <c r="B118" i="47"/>
  <c r="D118" i="47"/>
  <c r="F118" i="47"/>
  <c r="H118" i="47"/>
  <c r="I10" i="44"/>
  <c r="K10" i="44"/>
  <c r="M10" i="44"/>
  <c r="O10" i="44"/>
  <c r="P10" i="44"/>
  <c r="I11" i="44"/>
  <c r="K11" i="44"/>
  <c r="M11" i="44"/>
  <c r="O11" i="44"/>
  <c r="P11" i="44"/>
  <c r="I12" i="44"/>
  <c r="P12" i="44"/>
  <c r="I13" i="44"/>
  <c r="K13" i="44"/>
  <c r="N13" i="44"/>
  <c r="P13" i="44"/>
  <c r="I14" i="44"/>
  <c r="K14" i="44"/>
  <c r="M14" i="44"/>
  <c r="O14" i="44"/>
  <c r="P14" i="44"/>
  <c r="B15" i="44"/>
  <c r="D15" i="44"/>
  <c r="F15" i="44"/>
  <c r="H15" i="44"/>
  <c r="I15" i="44"/>
  <c r="J15" i="44"/>
  <c r="K15" i="44"/>
  <c r="L15" i="44"/>
  <c r="M15" i="44"/>
  <c r="N15" i="44"/>
  <c r="O15" i="44"/>
  <c r="P15" i="44"/>
  <c r="B17" i="44"/>
  <c r="D17" i="44"/>
  <c r="F17" i="44"/>
  <c r="B18" i="44"/>
  <c r="F18" i="44"/>
  <c r="H18" i="44"/>
  <c r="J18" i="44"/>
  <c r="L18" i="44"/>
  <c r="I19" i="44"/>
  <c r="K19" i="44"/>
  <c r="L19" i="44"/>
  <c r="M19" i="44"/>
  <c r="O19" i="44"/>
  <c r="P19" i="44"/>
  <c r="I20" i="44"/>
  <c r="K20" i="44"/>
  <c r="L20" i="44"/>
  <c r="M20" i="44"/>
  <c r="O20" i="44"/>
  <c r="P20" i="44"/>
  <c r="I21" i="44"/>
  <c r="K21" i="44"/>
  <c r="L21" i="44"/>
  <c r="M21" i="44"/>
  <c r="O21" i="44"/>
  <c r="P21" i="44"/>
  <c r="B22" i="44"/>
  <c r="D22" i="44"/>
  <c r="F22" i="44"/>
  <c r="H22" i="44"/>
  <c r="I22" i="44"/>
  <c r="J22" i="44"/>
  <c r="K22" i="44"/>
  <c r="L22" i="44"/>
  <c r="M22" i="44"/>
  <c r="N22" i="44"/>
  <c r="O22" i="44"/>
  <c r="P22" i="44"/>
  <c r="I26" i="44"/>
  <c r="K26" i="44"/>
  <c r="L26" i="44"/>
  <c r="M26" i="44"/>
  <c r="O26" i="44"/>
  <c r="P26" i="44"/>
  <c r="I27" i="44"/>
  <c r="K27" i="44"/>
  <c r="M27" i="44"/>
  <c r="O27" i="44"/>
  <c r="P27" i="44"/>
  <c r="B28" i="44"/>
  <c r="D28" i="44"/>
  <c r="F28" i="44"/>
  <c r="L28" i="44"/>
  <c r="B29" i="44"/>
  <c r="D29" i="44"/>
  <c r="F29" i="44"/>
  <c r="H29" i="44"/>
  <c r="I29" i="44"/>
  <c r="J29" i="44"/>
  <c r="K29" i="44"/>
  <c r="L29" i="44"/>
  <c r="M29" i="44"/>
  <c r="N29" i="44"/>
  <c r="O29" i="44"/>
  <c r="P29" i="44"/>
  <c r="B32" i="44"/>
  <c r="D32" i="44"/>
  <c r="F32" i="44"/>
  <c r="H32" i="44"/>
  <c r="J32" i="44"/>
  <c r="L32" i="44"/>
  <c r="B33" i="44"/>
  <c r="D33" i="44"/>
  <c r="F33" i="44"/>
  <c r="H33" i="44"/>
  <c r="J33" i="44"/>
  <c r="L33" i="44"/>
  <c r="I34" i="44"/>
  <c r="K34" i="44"/>
  <c r="L34" i="44"/>
  <c r="M34" i="44"/>
  <c r="O34" i="44"/>
  <c r="P34" i="44"/>
  <c r="B35" i="44"/>
  <c r="D35" i="44"/>
  <c r="F35" i="44"/>
  <c r="H35" i="44"/>
  <c r="I35" i="44"/>
  <c r="J35" i="44"/>
  <c r="K35" i="44"/>
  <c r="L35" i="44"/>
  <c r="M35" i="44"/>
  <c r="N35" i="44"/>
  <c r="O35" i="44"/>
  <c r="P35" i="44"/>
  <c r="B38" i="44"/>
  <c r="D38" i="44"/>
  <c r="F38" i="44"/>
  <c r="H38" i="44"/>
  <c r="J38" i="44"/>
  <c r="L38" i="44"/>
  <c r="B39" i="44"/>
  <c r="D39" i="44"/>
  <c r="F39" i="44"/>
  <c r="H39" i="44"/>
  <c r="J39" i="44"/>
  <c r="L39" i="44"/>
  <c r="B40" i="44"/>
  <c r="D40" i="44"/>
  <c r="F40" i="44"/>
  <c r="H40" i="44"/>
  <c r="J40" i="44"/>
  <c r="L40" i="44"/>
  <c r="B41" i="44"/>
  <c r="D41" i="44"/>
  <c r="F41" i="44"/>
  <c r="H41" i="44"/>
  <c r="J41" i="44"/>
  <c r="L41" i="44"/>
  <c r="N41" i="44"/>
  <c r="P41" i="44"/>
  <c r="B43" i="44"/>
  <c r="D43" i="44"/>
  <c r="F43" i="44"/>
  <c r="H43" i="44"/>
  <c r="J43" i="44"/>
  <c r="L43" i="44"/>
  <c r="B44" i="44"/>
  <c r="D44" i="44"/>
  <c r="F44" i="44"/>
  <c r="H44" i="44"/>
  <c r="I44" i="44"/>
  <c r="J44" i="44"/>
  <c r="K44" i="44"/>
  <c r="L44" i="44"/>
  <c r="M44" i="44"/>
  <c r="N44" i="44"/>
  <c r="O44" i="44"/>
  <c r="P44" i="44"/>
  <c r="I47" i="44"/>
  <c r="K47" i="44"/>
  <c r="M47" i="44"/>
  <c r="N47" i="44"/>
  <c r="O47" i="44"/>
  <c r="P47" i="44"/>
  <c r="B48" i="44"/>
  <c r="I48" i="44"/>
  <c r="K48" i="44"/>
  <c r="L48" i="44"/>
  <c r="M48" i="44"/>
  <c r="O48" i="44"/>
  <c r="P48" i="44"/>
  <c r="B49" i="44"/>
  <c r="D49" i="44"/>
  <c r="F49" i="44"/>
  <c r="H49" i="44"/>
  <c r="J49" i="44"/>
  <c r="L49" i="44"/>
  <c r="I50" i="44"/>
  <c r="K50" i="44"/>
  <c r="L50" i="44"/>
  <c r="M50" i="44"/>
  <c r="O50" i="44"/>
  <c r="P50" i="44"/>
  <c r="B51" i="44"/>
  <c r="D51" i="44"/>
  <c r="F51" i="44"/>
  <c r="H51" i="44"/>
  <c r="I51" i="44"/>
  <c r="J51" i="44"/>
  <c r="K51" i="44"/>
  <c r="L51" i="44"/>
  <c r="M51" i="44"/>
  <c r="N51" i="44"/>
  <c r="O51" i="44"/>
  <c r="P51" i="44"/>
  <c r="B52" i="44"/>
  <c r="D52" i="44"/>
  <c r="F52" i="44"/>
  <c r="H52" i="44"/>
  <c r="I52" i="44"/>
  <c r="J52" i="44"/>
  <c r="K52" i="44"/>
  <c r="L52" i="44"/>
  <c r="M52" i="44"/>
  <c r="N52" i="44"/>
  <c r="O52" i="44"/>
  <c r="P52" i="44"/>
  <c r="P60" i="44"/>
  <c r="B61" i="44"/>
  <c r="D61" i="44"/>
  <c r="F61" i="44"/>
  <c r="H61" i="44"/>
  <c r="J61" i="44"/>
  <c r="L61" i="44"/>
  <c r="P62" i="44"/>
  <c r="B69" i="44"/>
  <c r="D69" i="44"/>
  <c r="F69" i="44"/>
  <c r="G69" i="44"/>
  <c r="H69" i="44"/>
  <c r="I69" i="44"/>
  <c r="J69" i="44"/>
  <c r="K69" i="44"/>
  <c r="L69" i="44"/>
  <c r="M69" i="44"/>
  <c r="O69" i="44"/>
  <c r="B70" i="44"/>
  <c r="B71" i="44"/>
  <c r="B72" i="44"/>
  <c r="B73" i="44"/>
  <c r="B75" i="44"/>
  <c r="B80" i="44"/>
  <c r="D80" i="44"/>
  <c r="F80" i="44"/>
  <c r="G80" i="44"/>
  <c r="H80" i="44"/>
  <c r="I80" i="44"/>
  <c r="J80" i="44"/>
  <c r="K80" i="44"/>
  <c r="L80" i="44"/>
  <c r="M80" i="44"/>
  <c r="O80" i="44"/>
  <c r="B84" i="44"/>
  <c r="D84" i="44"/>
  <c r="F84" i="44"/>
  <c r="G84" i="44"/>
  <c r="H84" i="44"/>
  <c r="I84" i="44"/>
  <c r="J84" i="44"/>
  <c r="K84" i="44"/>
  <c r="L84" i="44"/>
  <c r="M84" i="44"/>
  <c r="O84" i="44"/>
  <c r="B85" i="44"/>
  <c r="B86" i="44"/>
  <c r="B88" i="44"/>
  <c r="B94" i="44"/>
  <c r="B97" i="44"/>
  <c r="D97" i="44"/>
  <c r="F97" i="44"/>
  <c r="G97" i="44"/>
  <c r="H97" i="44"/>
  <c r="I97" i="44"/>
  <c r="J97" i="44"/>
  <c r="K97" i="44"/>
  <c r="L97" i="44"/>
  <c r="M97" i="44"/>
  <c r="O97" i="44"/>
  <c r="B98" i="44"/>
  <c r="B99" i="44"/>
  <c r="B103" i="44"/>
  <c r="B107" i="44"/>
  <c r="D107" i="44"/>
  <c r="F107" i="44"/>
  <c r="G107" i="44"/>
  <c r="H107" i="44"/>
  <c r="I107" i="44"/>
  <c r="J107" i="44"/>
  <c r="K107" i="44"/>
  <c r="L107" i="44"/>
  <c r="M107" i="44"/>
  <c r="O107" i="44"/>
  <c r="B108" i="44"/>
  <c r="B109" i="44"/>
  <c r="B110" i="44"/>
  <c r="B115" i="44"/>
  <c r="D115" i="44"/>
  <c r="F115" i="44"/>
  <c r="G115" i="44"/>
  <c r="H115" i="44"/>
  <c r="I115" i="44"/>
  <c r="J115" i="44"/>
  <c r="K115" i="44"/>
  <c r="L115" i="44"/>
  <c r="M115" i="44"/>
  <c r="O115" i="44"/>
  <c r="B120" i="44"/>
  <c r="D120" i="44"/>
  <c r="F120" i="44"/>
  <c r="H120" i="44"/>
  <c r="B121" i="44"/>
  <c r="B122" i="44"/>
  <c r="B124" i="44"/>
  <c r="B128" i="44"/>
  <c r="D128" i="44"/>
  <c r="F128" i="44"/>
  <c r="H128" i="44"/>
  <c r="B129" i="44"/>
  <c r="B136" i="44"/>
  <c r="B143" i="44"/>
  <c r="D143" i="44"/>
  <c r="F143" i="44"/>
  <c r="H143" i="44"/>
  <c r="B158" i="44"/>
  <c r="D158" i="44"/>
  <c r="F158" i="44"/>
  <c r="H158" i="44"/>
  <c r="B159" i="44"/>
  <c r="B162" i="44"/>
  <c r="D162" i="44"/>
  <c r="F162" i="44"/>
  <c r="H162" i="44"/>
  <c r="B163" i="44"/>
  <c r="B164" i="44"/>
  <c r="B166" i="44"/>
  <c r="D166" i="44"/>
  <c r="F166" i="44"/>
  <c r="H166" i="44"/>
  <c r="B167" i="44"/>
  <c r="B168" i="44"/>
  <c r="B170" i="44"/>
  <c r="D170" i="44"/>
  <c r="F170" i="44"/>
  <c r="G170" i="44"/>
  <c r="H170" i="44"/>
  <c r="I170" i="44"/>
  <c r="J170" i="44"/>
  <c r="K170" i="44"/>
  <c r="L170" i="44"/>
  <c r="M170" i="44"/>
  <c r="O170" i="44"/>
  <c r="B12" i="48"/>
  <c r="C12" i="48"/>
  <c r="D12" i="48"/>
  <c r="G12" i="48"/>
  <c r="I12" i="48"/>
  <c r="K12" i="48"/>
  <c r="B14" i="48"/>
  <c r="D14" i="48"/>
  <c r="F14" i="48"/>
  <c r="H14" i="48"/>
  <c r="J14" i="48"/>
  <c r="B15" i="48"/>
  <c r="C15" i="48"/>
  <c r="D15" i="48"/>
  <c r="F15" i="48"/>
  <c r="G15" i="48"/>
  <c r="H15" i="48"/>
  <c r="I15" i="48"/>
  <c r="J15" i="48"/>
  <c r="K15" i="48"/>
  <c r="L15" i="48"/>
  <c r="B16" i="48"/>
  <c r="C16" i="48"/>
  <c r="D16" i="48"/>
  <c r="F16" i="48"/>
  <c r="G16" i="48"/>
  <c r="I16" i="48"/>
  <c r="K16" i="48"/>
  <c r="B17" i="48"/>
  <c r="C17" i="48"/>
  <c r="D17" i="48"/>
  <c r="F17" i="48"/>
  <c r="G17" i="48"/>
  <c r="H17" i="48"/>
  <c r="I17" i="48"/>
  <c r="J17" i="48"/>
  <c r="K17" i="48"/>
  <c r="L17" i="48"/>
  <c r="B20" i="48"/>
  <c r="C20" i="48"/>
  <c r="D20" i="48"/>
  <c r="F20" i="48"/>
  <c r="G20" i="48"/>
  <c r="I20" i="48"/>
  <c r="K20" i="48"/>
  <c r="B21" i="48"/>
  <c r="D21" i="48"/>
  <c r="F21" i="48"/>
  <c r="H21" i="48"/>
  <c r="B22" i="48"/>
  <c r="C22" i="48"/>
  <c r="D22" i="48"/>
  <c r="F22" i="48"/>
  <c r="G22" i="48"/>
  <c r="I22" i="48"/>
  <c r="K22" i="48"/>
  <c r="B23" i="48"/>
  <c r="C23" i="48"/>
  <c r="D23" i="48"/>
  <c r="F23" i="48"/>
  <c r="G23" i="48"/>
  <c r="H23" i="48"/>
  <c r="I23" i="48"/>
  <c r="J23" i="48"/>
  <c r="K23" i="48"/>
  <c r="L23" i="48"/>
  <c r="B25" i="48"/>
  <c r="C25" i="48"/>
  <c r="D25" i="48"/>
  <c r="F25" i="48"/>
  <c r="G25" i="48"/>
  <c r="H25" i="48"/>
  <c r="I25" i="48"/>
  <c r="J25" i="48"/>
  <c r="K25" i="48"/>
  <c r="L25" i="48"/>
  <c r="B27" i="48"/>
  <c r="D27" i="48"/>
  <c r="F27" i="48"/>
  <c r="B30" i="48"/>
  <c r="C30" i="48"/>
  <c r="D30" i="48"/>
  <c r="F30" i="48"/>
  <c r="G30" i="48"/>
  <c r="H30" i="48"/>
  <c r="I30" i="48"/>
  <c r="J30" i="48"/>
  <c r="K30" i="48"/>
  <c r="L30" i="48"/>
  <c r="B33" i="48"/>
  <c r="C33" i="48"/>
  <c r="D33" i="48"/>
  <c r="F33" i="48"/>
  <c r="G33" i="48"/>
  <c r="I33" i="48"/>
  <c r="K33" i="48"/>
  <c r="B34" i="48"/>
  <c r="C34" i="48"/>
  <c r="D34" i="48"/>
  <c r="F34" i="48"/>
  <c r="G34" i="48"/>
  <c r="I34" i="48"/>
  <c r="K34" i="48"/>
  <c r="B35" i="48"/>
  <c r="C35" i="48"/>
  <c r="D35" i="48"/>
  <c r="F35" i="48"/>
  <c r="G35" i="48"/>
  <c r="I35" i="48"/>
  <c r="K35" i="48"/>
  <c r="B36" i="48"/>
  <c r="C36" i="48"/>
  <c r="D36" i="48"/>
  <c r="F36" i="48"/>
  <c r="G36" i="48"/>
  <c r="I36" i="48"/>
  <c r="K36" i="48"/>
  <c r="B37" i="48"/>
  <c r="C37" i="48"/>
  <c r="D37" i="48"/>
  <c r="F37" i="48"/>
  <c r="G37" i="48"/>
  <c r="H37" i="48"/>
  <c r="I37" i="48"/>
  <c r="J37" i="48"/>
  <c r="K37" i="48"/>
  <c r="L37" i="48"/>
  <c r="B39" i="48"/>
  <c r="C39" i="48"/>
  <c r="D39" i="48"/>
  <c r="F39" i="48"/>
  <c r="G39" i="48"/>
  <c r="H39" i="48"/>
  <c r="I39" i="48"/>
  <c r="J39" i="48"/>
  <c r="K39" i="48"/>
  <c r="L39" i="48"/>
  <c r="B41" i="48"/>
  <c r="C41" i="48"/>
  <c r="D41" i="48"/>
  <c r="F41" i="48"/>
  <c r="G41" i="48"/>
  <c r="I41" i="48"/>
  <c r="K41" i="48"/>
  <c r="B43" i="48"/>
  <c r="C43" i="48"/>
  <c r="D43" i="48"/>
  <c r="F43" i="48"/>
  <c r="G43" i="48"/>
  <c r="H43" i="48"/>
  <c r="I43" i="48"/>
  <c r="J43" i="48"/>
  <c r="K43" i="48"/>
  <c r="L43" i="48"/>
  <c r="B10" i="57"/>
  <c r="D10" i="57"/>
  <c r="F10" i="57"/>
  <c r="H10" i="57"/>
  <c r="J10" i="57"/>
  <c r="L10" i="57"/>
  <c r="M10" i="57"/>
  <c r="N10" i="57"/>
  <c r="O10" i="57"/>
  <c r="P10" i="57"/>
  <c r="Q10" i="57"/>
  <c r="B11" i="57"/>
  <c r="D11" i="57"/>
  <c r="F11" i="57"/>
  <c r="H11" i="57"/>
  <c r="J11" i="57"/>
  <c r="L11" i="57"/>
  <c r="M11" i="57"/>
  <c r="N11" i="57"/>
  <c r="O11" i="57"/>
  <c r="P11" i="57"/>
  <c r="Q11" i="57"/>
  <c r="B12" i="57"/>
  <c r="D12" i="57"/>
  <c r="F12" i="57"/>
  <c r="H12" i="57"/>
  <c r="J12" i="57"/>
  <c r="L12" i="57"/>
  <c r="M12" i="57"/>
  <c r="N12" i="57"/>
  <c r="O12" i="57"/>
  <c r="P12" i="57"/>
  <c r="Q12" i="57"/>
  <c r="B13" i="57"/>
  <c r="D13" i="57"/>
  <c r="F13" i="57"/>
  <c r="H13" i="57"/>
  <c r="J13" i="57"/>
  <c r="L13" i="57"/>
  <c r="M13" i="57"/>
  <c r="N13" i="57"/>
  <c r="O13" i="57"/>
  <c r="P13" i="57"/>
  <c r="Q13" i="57"/>
  <c r="B14" i="57"/>
  <c r="D14" i="57"/>
  <c r="F14" i="57"/>
  <c r="H14" i="57"/>
  <c r="J14" i="57"/>
  <c r="L14" i="57"/>
  <c r="M14" i="57"/>
  <c r="N14" i="57"/>
  <c r="O14" i="57"/>
  <c r="P14" i="57"/>
  <c r="Q14" i="57"/>
  <c r="B15" i="57"/>
  <c r="D15" i="57"/>
  <c r="F15" i="57"/>
  <c r="H15" i="57"/>
  <c r="J15" i="57"/>
  <c r="L15" i="57"/>
  <c r="M15" i="57"/>
  <c r="N15" i="57"/>
  <c r="O15" i="57"/>
  <c r="P15" i="57"/>
  <c r="Q15" i="57"/>
  <c r="B17" i="57"/>
  <c r="D17" i="57"/>
  <c r="F17" i="57"/>
  <c r="H17" i="57"/>
  <c r="J17" i="57"/>
  <c r="L17" i="57"/>
  <c r="M17" i="57"/>
  <c r="N17" i="57"/>
  <c r="O17" i="57"/>
  <c r="P17" i="57"/>
  <c r="Q17" i="57"/>
  <c r="B18" i="57"/>
  <c r="D18" i="57"/>
  <c r="F18" i="57"/>
  <c r="H18" i="57"/>
  <c r="J18" i="57"/>
  <c r="L18" i="57"/>
  <c r="M18" i="57"/>
  <c r="N18" i="57"/>
  <c r="O18" i="57"/>
  <c r="P18" i="57"/>
  <c r="Q18" i="57"/>
  <c r="B19" i="57"/>
  <c r="D19" i="57"/>
  <c r="F19" i="57"/>
  <c r="H19" i="57"/>
  <c r="J19" i="57"/>
  <c r="L19" i="57"/>
  <c r="M19" i="57"/>
  <c r="N19" i="57"/>
  <c r="O19" i="57"/>
  <c r="P19" i="57"/>
  <c r="Q19" i="57"/>
  <c r="B20" i="57"/>
  <c r="D20" i="57"/>
  <c r="F20" i="57"/>
  <c r="H20" i="57"/>
  <c r="J20" i="57"/>
  <c r="L20" i="57"/>
  <c r="M20" i="57"/>
  <c r="N20" i="57"/>
  <c r="O20" i="57"/>
  <c r="P20" i="57"/>
  <c r="Q20" i="57"/>
  <c r="B21" i="57"/>
  <c r="D21" i="57"/>
  <c r="F21" i="57"/>
  <c r="H21" i="57"/>
  <c r="J21" i="57"/>
  <c r="L21" i="57"/>
  <c r="M21" i="57"/>
  <c r="N21" i="57"/>
  <c r="O21" i="57"/>
  <c r="P21" i="57"/>
  <c r="Q21" i="57"/>
  <c r="B22" i="57"/>
  <c r="D22" i="57"/>
  <c r="F22" i="57"/>
  <c r="H22" i="57"/>
  <c r="J22" i="57"/>
  <c r="L22" i="57"/>
  <c r="M22" i="57"/>
  <c r="N22" i="57"/>
  <c r="O22" i="57"/>
  <c r="P22" i="57"/>
  <c r="Q22" i="57"/>
  <c r="B26" i="57"/>
  <c r="D26" i="57"/>
  <c r="F26" i="57"/>
  <c r="H26" i="57"/>
  <c r="J26" i="57"/>
  <c r="L26" i="57"/>
  <c r="M26" i="57"/>
  <c r="N26" i="57"/>
  <c r="O26" i="57"/>
  <c r="P26" i="57"/>
  <c r="Q26" i="57"/>
  <c r="B27" i="57"/>
  <c r="D27" i="57"/>
  <c r="F27" i="57"/>
  <c r="H27" i="57"/>
  <c r="J27" i="57"/>
  <c r="L27" i="57"/>
  <c r="M27" i="57"/>
  <c r="N27" i="57"/>
  <c r="O27" i="57"/>
  <c r="P27" i="57"/>
  <c r="Q27" i="57"/>
  <c r="B28" i="57"/>
  <c r="D28" i="57"/>
  <c r="F28" i="57"/>
  <c r="H28" i="57"/>
  <c r="J28" i="57"/>
  <c r="L28" i="57"/>
  <c r="M28" i="57"/>
  <c r="N28" i="57"/>
  <c r="O28" i="57"/>
  <c r="P28" i="57"/>
  <c r="Q28" i="57"/>
  <c r="B29" i="57"/>
  <c r="D29" i="57"/>
  <c r="F29" i="57"/>
  <c r="H29" i="57"/>
  <c r="J29" i="57"/>
  <c r="L29" i="57"/>
  <c r="M29" i="57"/>
  <c r="N29" i="57"/>
  <c r="O29" i="57"/>
  <c r="P29" i="57"/>
  <c r="Q29" i="57"/>
  <c r="B32" i="57"/>
  <c r="D32" i="57"/>
  <c r="F32" i="57"/>
  <c r="H32" i="57"/>
  <c r="J32" i="57"/>
  <c r="L32" i="57"/>
  <c r="M32" i="57"/>
  <c r="N32" i="57"/>
  <c r="O32" i="57"/>
  <c r="P32" i="57"/>
  <c r="Q32" i="57"/>
  <c r="B33" i="57"/>
  <c r="D33" i="57"/>
  <c r="F33" i="57"/>
  <c r="H33" i="57"/>
  <c r="J33" i="57"/>
  <c r="L33" i="57"/>
  <c r="M33" i="57"/>
  <c r="N33" i="57"/>
  <c r="O33" i="57"/>
  <c r="P33" i="57"/>
  <c r="Q33" i="57"/>
  <c r="B34" i="57"/>
  <c r="D34" i="57"/>
  <c r="F34" i="57"/>
  <c r="H34" i="57"/>
  <c r="J34" i="57"/>
  <c r="L34" i="57"/>
  <c r="M34" i="57"/>
  <c r="N34" i="57"/>
  <c r="O34" i="57"/>
  <c r="P34" i="57"/>
  <c r="Q34" i="57"/>
  <c r="B35" i="57"/>
  <c r="D35" i="57"/>
  <c r="F35" i="57"/>
  <c r="H35" i="57"/>
  <c r="J35" i="57"/>
  <c r="L35" i="57"/>
  <c r="M35" i="57"/>
  <c r="N35" i="57"/>
  <c r="O35" i="57"/>
  <c r="P35" i="57"/>
  <c r="Q35" i="57"/>
  <c r="B38" i="57"/>
  <c r="D38" i="57"/>
  <c r="F38" i="57"/>
  <c r="H38" i="57"/>
  <c r="J38" i="57"/>
  <c r="L38" i="57"/>
  <c r="M38" i="57"/>
  <c r="N38" i="57"/>
  <c r="O38" i="57"/>
  <c r="P38" i="57"/>
  <c r="Q38" i="57"/>
  <c r="B39" i="57"/>
  <c r="D39" i="57"/>
  <c r="F39" i="57"/>
  <c r="H39" i="57"/>
  <c r="J39" i="57"/>
  <c r="L39" i="57"/>
  <c r="M39" i="57"/>
  <c r="N39" i="57"/>
  <c r="O39" i="57"/>
  <c r="P39" i="57"/>
  <c r="Q39" i="57"/>
  <c r="B40" i="57"/>
  <c r="D40" i="57"/>
  <c r="F40" i="57"/>
  <c r="H40" i="57"/>
  <c r="J40" i="57"/>
  <c r="L40" i="57"/>
  <c r="M40" i="57"/>
  <c r="N40" i="57"/>
  <c r="O40" i="57"/>
  <c r="P40" i="57"/>
  <c r="Q40" i="57"/>
  <c r="B41" i="57"/>
  <c r="D41" i="57"/>
  <c r="F41" i="57"/>
  <c r="H41" i="57"/>
  <c r="J41" i="57"/>
  <c r="L41" i="57"/>
  <c r="M41" i="57"/>
  <c r="N41" i="57"/>
  <c r="O41" i="57"/>
  <c r="P41" i="57"/>
  <c r="Q41" i="57"/>
  <c r="B43" i="57"/>
  <c r="D43" i="57"/>
  <c r="F43" i="57"/>
  <c r="H43" i="57"/>
  <c r="J43" i="57"/>
  <c r="L43" i="57"/>
  <c r="M43" i="57"/>
  <c r="N43" i="57"/>
  <c r="O43" i="57"/>
  <c r="P43" i="57"/>
  <c r="Q43" i="57"/>
  <c r="B44" i="57"/>
  <c r="D44" i="57"/>
  <c r="F44" i="57"/>
  <c r="H44" i="57"/>
  <c r="J44" i="57"/>
  <c r="L44" i="57"/>
  <c r="M44" i="57"/>
  <c r="N44" i="57"/>
  <c r="O44" i="57"/>
  <c r="P44" i="57"/>
  <c r="Q44" i="57"/>
  <c r="B47" i="57"/>
  <c r="D47" i="57"/>
  <c r="F47" i="57"/>
  <c r="H47" i="57"/>
  <c r="J47" i="57"/>
  <c r="L47" i="57"/>
  <c r="M47" i="57"/>
  <c r="N47" i="57"/>
  <c r="O47" i="57"/>
  <c r="P47" i="57"/>
  <c r="Q47" i="57"/>
  <c r="B48" i="57"/>
  <c r="D48" i="57"/>
  <c r="F48" i="57"/>
  <c r="H48" i="57"/>
  <c r="J48" i="57"/>
  <c r="L48" i="57"/>
  <c r="M48" i="57"/>
  <c r="N48" i="57"/>
  <c r="O48" i="57"/>
  <c r="P48" i="57"/>
  <c r="Q48" i="57"/>
  <c r="B49" i="57"/>
  <c r="D49" i="57"/>
  <c r="F49" i="57"/>
  <c r="H49" i="57"/>
  <c r="J49" i="57"/>
  <c r="L49" i="57"/>
  <c r="B50" i="57"/>
  <c r="D50" i="57"/>
  <c r="F50" i="57"/>
  <c r="H50" i="57"/>
  <c r="J50" i="57"/>
  <c r="L50" i="57"/>
  <c r="M50" i="57"/>
  <c r="N50" i="57"/>
  <c r="O50" i="57"/>
  <c r="P50" i="57"/>
  <c r="Q50" i="57"/>
  <c r="B51" i="57"/>
  <c r="D51" i="57"/>
  <c r="F51" i="57"/>
  <c r="H51" i="57"/>
  <c r="J51" i="57"/>
  <c r="L51" i="57"/>
  <c r="M51" i="57"/>
  <c r="N51" i="57"/>
  <c r="O51" i="57"/>
  <c r="P51" i="57"/>
  <c r="Q51" i="57"/>
  <c r="B52" i="57"/>
  <c r="D52" i="57"/>
  <c r="F52" i="57"/>
  <c r="H52" i="57"/>
  <c r="J52" i="57"/>
  <c r="L52" i="57"/>
  <c r="M52" i="57"/>
  <c r="N52" i="57"/>
  <c r="O52" i="57"/>
  <c r="P52" i="57"/>
  <c r="Q52" i="57"/>
  <c r="B56" i="57"/>
  <c r="D56" i="57"/>
  <c r="F56" i="57"/>
  <c r="H56" i="57"/>
  <c r="J56" i="57"/>
  <c r="L56" i="57"/>
  <c r="N56" i="57"/>
  <c r="P56" i="57"/>
  <c r="B57" i="57"/>
  <c r="D57" i="57"/>
  <c r="F57" i="57"/>
  <c r="H57" i="57"/>
  <c r="J57" i="57"/>
  <c r="L57" i="57"/>
  <c r="N57" i="57"/>
  <c r="P57" i="57"/>
  <c r="B58" i="57"/>
  <c r="D58" i="57"/>
  <c r="F58" i="57"/>
  <c r="H58" i="57"/>
  <c r="J58" i="57"/>
  <c r="L58" i="57"/>
  <c r="N58" i="57"/>
  <c r="P58" i="57"/>
  <c r="B60" i="57"/>
  <c r="D60" i="57"/>
  <c r="F60" i="57"/>
  <c r="H60" i="57"/>
  <c r="J60" i="57"/>
  <c r="L60" i="57"/>
  <c r="N60" i="57"/>
  <c r="P60" i="57"/>
  <c r="B61" i="57"/>
  <c r="D61" i="57"/>
  <c r="F61" i="57"/>
  <c r="H61" i="57"/>
  <c r="J61" i="57"/>
  <c r="L61" i="57"/>
  <c r="N61" i="57"/>
  <c r="P61" i="57"/>
  <c r="B62" i="57"/>
  <c r="D62" i="57"/>
  <c r="F62" i="57"/>
  <c r="H62" i="57"/>
  <c r="J62" i="57"/>
  <c r="L62" i="57"/>
  <c r="N62" i="57"/>
  <c r="P62" i="57"/>
  <c r="D10" i="58"/>
  <c r="J10" i="58"/>
  <c r="D11" i="58"/>
  <c r="J11" i="58"/>
  <c r="D12" i="58"/>
  <c r="J12" i="58"/>
  <c r="D13" i="58"/>
  <c r="J13" i="58"/>
  <c r="D14" i="58"/>
  <c r="J14" i="58"/>
  <c r="B15" i="58"/>
  <c r="C15" i="58"/>
  <c r="D15" i="58"/>
  <c r="H15" i="58"/>
  <c r="I15" i="58"/>
  <c r="J15" i="58"/>
  <c r="D17" i="58"/>
  <c r="J17" i="58"/>
  <c r="D18" i="58"/>
  <c r="J18" i="58"/>
  <c r="D19" i="58"/>
  <c r="J19" i="58"/>
  <c r="D20" i="58"/>
  <c r="J20" i="58"/>
  <c r="D21" i="58"/>
  <c r="J21" i="58"/>
  <c r="B22" i="58"/>
  <c r="C22" i="58"/>
  <c r="D22" i="58"/>
  <c r="H22" i="58"/>
  <c r="I22" i="58"/>
  <c r="J22" i="58"/>
  <c r="D26" i="58"/>
  <c r="J26" i="58"/>
  <c r="D27" i="58"/>
  <c r="J27" i="58"/>
  <c r="D28" i="58"/>
  <c r="J28" i="58"/>
  <c r="B29" i="58"/>
  <c r="C29" i="58"/>
  <c r="D29" i="58"/>
  <c r="H29" i="58"/>
  <c r="I29" i="58"/>
  <c r="J29" i="58"/>
  <c r="D32" i="58"/>
  <c r="J32" i="58"/>
  <c r="D33" i="58"/>
  <c r="J33" i="58"/>
  <c r="D34" i="58"/>
  <c r="J34" i="58"/>
  <c r="B35" i="58"/>
  <c r="C35" i="58"/>
  <c r="D35" i="58"/>
  <c r="H35" i="58"/>
  <c r="I35" i="58"/>
  <c r="J35" i="58"/>
  <c r="D38" i="58"/>
  <c r="J38" i="58"/>
  <c r="D39" i="58"/>
  <c r="J39" i="58"/>
  <c r="D40" i="58"/>
  <c r="J40" i="58"/>
  <c r="B41" i="58"/>
  <c r="C41" i="58"/>
  <c r="D41" i="58"/>
  <c r="H41" i="58"/>
  <c r="I41" i="58"/>
  <c r="J41" i="58"/>
  <c r="D43" i="58"/>
  <c r="J43" i="58"/>
  <c r="B44" i="58"/>
  <c r="C44" i="58"/>
  <c r="D44" i="58"/>
  <c r="H44" i="58"/>
  <c r="I44" i="58"/>
  <c r="J44" i="58"/>
  <c r="D47" i="58"/>
  <c r="J47" i="58"/>
  <c r="D48" i="58"/>
  <c r="J48" i="58"/>
  <c r="D49" i="58"/>
  <c r="J49" i="58"/>
  <c r="D50" i="58"/>
  <c r="J50" i="58"/>
  <c r="B51" i="58"/>
  <c r="C51" i="58"/>
  <c r="D51" i="58"/>
  <c r="H51" i="58"/>
  <c r="I51" i="58"/>
  <c r="J51" i="58"/>
  <c r="B53" i="58"/>
  <c r="C53" i="58"/>
  <c r="D53" i="58"/>
  <c r="H53" i="58"/>
  <c r="I53" i="58"/>
  <c r="J53" i="58"/>
  <c r="B58" i="58"/>
  <c r="D58" i="58"/>
  <c r="H58" i="58"/>
  <c r="J58" i="58"/>
  <c r="B59" i="58"/>
  <c r="C59" i="58"/>
  <c r="D59" i="58"/>
  <c r="H59" i="58"/>
  <c r="I59" i="58"/>
  <c r="J59" i="58"/>
  <c r="B60" i="58"/>
  <c r="D60" i="58"/>
  <c r="H60" i="58"/>
  <c r="I60" i="58"/>
  <c r="J60" i="58"/>
  <c r="B62" i="58"/>
  <c r="J62" i="58"/>
  <c r="B63" i="58"/>
  <c r="J63" i="58"/>
  <c r="B64" i="58"/>
  <c r="B11" i="55"/>
  <c r="D11" i="55"/>
  <c r="F11" i="55"/>
  <c r="H11" i="55"/>
  <c r="J11" i="55"/>
  <c r="L11" i="55"/>
  <c r="M11" i="55"/>
  <c r="N11" i="55"/>
  <c r="O11" i="55"/>
  <c r="P11" i="55"/>
  <c r="B12" i="55"/>
  <c r="D12" i="55"/>
  <c r="F12" i="55"/>
  <c r="H12" i="55"/>
  <c r="J12" i="55"/>
  <c r="B13" i="55"/>
  <c r="D13" i="55"/>
  <c r="F13" i="55"/>
  <c r="H13" i="55"/>
  <c r="J13" i="55"/>
  <c r="L13" i="55"/>
  <c r="M13" i="55"/>
  <c r="N13" i="55"/>
  <c r="O13" i="55"/>
  <c r="P13" i="55"/>
  <c r="B14" i="55"/>
  <c r="D14" i="55"/>
  <c r="F14" i="55"/>
  <c r="H14" i="55"/>
  <c r="J14" i="55"/>
  <c r="L14" i="55"/>
  <c r="M14" i="55"/>
  <c r="N14" i="55"/>
  <c r="O14" i="55"/>
  <c r="P14" i="55"/>
  <c r="B15" i="55"/>
  <c r="D15" i="55"/>
  <c r="F15" i="55"/>
  <c r="H15" i="55"/>
  <c r="J15" i="55"/>
  <c r="L15" i="55"/>
  <c r="M15" i="55"/>
  <c r="N15" i="55"/>
  <c r="O15" i="55"/>
  <c r="P15" i="55"/>
  <c r="B23" i="55"/>
  <c r="D23" i="55"/>
  <c r="F23" i="55"/>
  <c r="H23" i="55"/>
  <c r="J23" i="55"/>
  <c r="L23" i="55"/>
  <c r="N23" i="55"/>
  <c r="P23" i="55"/>
  <c r="R23" i="55"/>
  <c r="T23" i="55"/>
  <c r="B24" i="55"/>
  <c r="D24" i="55"/>
  <c r="F24" i="55"/>
  <c r="H24" i="55"/>
  <c r="J24" i="55"/>
  <c r="L24" i="55"/>
  <c r="N24" i="55"/>
  <c r="P24" i="55"/>
  <c r="R24" i="55"/>
  <c r="T24" i="55"/>
  <c r="B25" i="55"/>
  <c r="D25" i="55"/>
  <c r="F25" i="55"/>
  <c r="H25" i="55"/>
  <c r="J25" i="55"/>
  <c r="L25" i="55"/>
  <c r="N25" i="55"/>
  <c r="P25" i="55"/>
  <c r="R25" i="55"/>
  <c r="T25" i="55"/>
  <c r="B26" i="55"/>
  <c r="D26" i="55"/>
  <c r="F26" i="55"/>
  <c r="H26" i="55"/>
  <c r="J26" i="55"/>
  <c r="L26" i="55"/>
  <c r="N26" i="55"/>
  <c r="P26" i="55"/>
  <c r="R26" i="55"/>
  <c r="T26" i="55"/>
  <c r="B27" i="55"/>
  <c r="D27" i="55"/>
  <c r="F27" i="55"/>
  <c r="H27" i="55"/>
  <c r="J27" i="55"/>
  <c r="L27" i="55"/>
  <c r="N27" i="55"/>
  <c r="P27" i="55"/>
  <c r="R27" i="55"/>
  <c r="T27" i="55"/>
  <c r="N42" i="55"/>
  <c r="O42" i="55"/>
  <c r="N44" i="55"/>
  <c r="O44" i="55"/>
  <c r="N49" i="55"/>
  <c r="O49" i="55"/>
  <c r="N52" i="55"/>
  <c r="O52" i="55"/>
  <c r="N55" i="55"/>
  <c r="O55" i="55"/>
  <c r="O59" i="55"/>
  <c r="O61" i="55"/>
  <c r="O64" i="55"/>
  <c r="O66" i="55"/>
  <c r="O68" i="55"/>
  <c r="O71" i="55"/>
  <c r="O74" i="55"/>
  <c r="B10" i="59"/>
  <c r="D10" i="59"/>
  <c r="J10" i="59"/>
  <c r="K10" i="59"/>
  <c r="L10" i="59"/>
  <c r="N10" i="59"/>
  <c r="P10" i="59"/>
  <c r="B11" i="59"/>
  <c r="D11" i="59"/>
  <c r="J11" i="59"/>
  <c r="K11" i="59"/>
  <c r="L11" i="59"/>
  <c r="N11" i="59"/>
  <c r="P11" i="59"/>
  <c r="B12" i="59"/>
  <c r="D12" i="59"/>
  <c r="J12" i="59"/>
  <c r="K12" i="59"/>
  <c r="L12" i="59"/>
  <c r="N12" i="59"/>
  <c r="P12" i="59"/>
  <c r="B13" i="59"/>
  <c r="D13" i="59"/>
  <c r="F13" i="59"/>
  <c r="H13" i="59"/>
  <c r="J13" i="59"/>
  <c r="K13" i="59"/>
  <c r="L13" i="59"/>
  <c r="N13" i="59"/>
  <c r="P13" i="59"/>
  <c r="B14" i="59"/>
  <c r="D14" i="59"/>
  <c r="J14" i="59"/>
  <c r="K14" i="59"/>
  <c r="L14" i="59"/>
  <c r="N14" i="59"/>
  <c r="P14" i="59"/>
  <c r="B15" i="59"/>
  <c r="D15" i="59"/>
  <c r="F15" i="59"/>
  <c r="H15" i="59"/>
  <c r="J15" i="59"/>
  <c r="K15" i="59"/>
  <c r="L15" i="59"/>
  <c r="N15" i="59"/>
  <c r="P15" i="59"/>
  <c r="B18" i="59"/>
  <c r="D18" i="59"/>
  <c r="J18" i="59"/>
  <c r="K18" i="59"/>
  <c r="L18" i="59"/>
  <c r="N18" i="59"/>
  <c r="P18" i="59"/>
  <c r="B19" i="59"/>
  <c r="D19" i="59"/>
  <c r="J19" i="59"/>
  <c r="K19" i="59"/>
  <c r="L19" i="59"/>
  <c r="N19" i="59"/>
  <c r="P19" i="59"/>
  <c r="B20" i="59"/>
  <c r="D20" i="59"/>
  <c r="J20" i="59"/>
  <c r="K20" i="59"/>
  <c r="L20" i="59"/>
  <c r="N20" i="59"/>
  <c r="P20" i="59"/>
  <c r="B21" i="59"/>
  <c r="D21" i="59"/>
  <c r="F21" i="59"/>
  <c r="H21" i="59"/>
  <c r="J21" i="59"/>
  <c r="K21" i="59"/>
  <c r="L21" i="59"/>
  <c r="N21" i="59"/>
  <c r="P21" i="59"/>
  <c r="B23" i="59"/>
  <c r="D23" i="59"/>
  <c r="F23" i="59"/>
  <c r="H23" i="59"/>
  <c r="J23" i="59"/>
  <c r="K23" i="59"/>
  <c r="L23" i="59"/>
  <c r="N23" i="59"/>
  <c r="P23" i="59"/>
  <c r="B25" i="59"/>
  <c r="D25" i="59"/>
  <c r="J25" i="59"/>
  <c r="K25" i="59"/>
  <c r="L25" i="59"/>
  <c r="N25" i="59"/>
  <c r="P25" i="59"/>
  <c r="B28" i="59"/>
  <c r="D28" i="59"/>
  <c r="F28" i="59"/>
  <c r="H28" i="59"/>
  <c r="J28" i="59"/>
  <c r="K28" i="59"/>
  <c r="L28" i="59"/>
  <c r="N28" i="59"/>
  <c r="P28" i="59"/>
  <c r="B31" i="59"/>
  <c r="D31" i="59"/>
  <c r="J31" i="59"/>
  <c r="K31" i="59"/>
  <c r="L31" i="59"/>
  <c r="N31" i="59"/>
  <c r="P31" i="59"/>
  <c r="B32" i="59"/>
  <c r="D32" i="59"/>
  <c r="J32" i="59"/>
  <c r="K32" i="59"/>
  <c r="L32" i="59"/>
  <c r="N32" i="59"/>
  <c r="P32" i="59"/>
  <c r="B33" i="59"/>
  <c r="D33" i="59"/>
  <c r="J33" i="59"/>
  <c r="K33" i="59"/>
  <c r="L33" i="59"/>
  <c r="N33" i="59"/>
  <c r="P33" i="59"/>
  <c r="B34" i="59"/>
  <c r="D34" i="59"/>
  <c r="J34" i="59"/>
  <c r="K34" i="59"/>
  <c r="L34" i="59"/>
  <c r="N34" i="59"/>
  <c r="P34" i="59"/>
  <c r="B35" i="59"/>
  <c r="D35" i="59"/>
  <c r="F35" i="59"/>
  <c r="H35" i="59"/>
  <c r="J35" i="59"/>
  <c r="K35" i="59"/>
  <c r="L35" i="59"/>
  <c r="N35" i="59"/>
  <c r="P35" i="59"/>
  <c r="B37" i="59"/>
  <c r="D37" i="59"/>
  <c r="F37" i="59"/>
  <c r="H37" i="59"/>
  <c r="J37" i="59"/>
  <c r="K37" i="59"/>
  <c r="L37" i="59"/>
  <c r="N37" i="59"/>
  <c r="P37" i="59"/>
  <c r="B39" i="59"/>
  <c r="D39" i="59"/>
  <c r="F39" i="59"/>
  <c r="H39" i="59"/>
  <c r="J39" i="59"/>
  <c r="L39" i="59"/>
  <c r="N39" i="59"/>
  <c r="P39" i="59"/>
  <c r="B41" i="59"/>
  <c r="D41" i="59"/>
  <c r="F41" i="59"/>
  <c r="H41" i="59"/>
  <c r="J41" i="59"/>
  <c r="K41" i="59"/>
  <c r="L41" i="59"/>
  <c r="N41" i="59"/>
  <c r="P41" i="59"/>
  <c r="H50" i="59"/>
  <c r="R50" i="59"/>
  <c r="S50" i="59"/>
  <c r="T50" i="59"/>
  <c r="U50" i="59"/>
  <c r="H51" i="59"/>
  <c r="R51" i="59"/>
  <c r="S51" i="59"/>
  <c r="T51" i="59"/>
  <c r="U51" i="59"/>
  <c r="H52" i="59"/>
  <c r="R52" i="59"/>
  <c r="S52" i="59"/>
  <c r="T52" i="59"/>
  <c r="U52" i="59"/>
  <c r="B53" i="59"/>
  <c r="D53" i="59"/>
  <c r="F53" i="59"/>
  <c r="H53" i="59"/>
  <c r="J53" i="59"/>
  <c r="L53" i="59"/>
  <c r="N53" i="59"/>
  <c r="P53" i="59"/>
  <c r="R53" i="59"/>
  <c r="S53" i="59"/>
  <c r="T53" i="59"/>
  <c r="U53" i="59"/>
  <c r="D54" i="59"/>
  <c r="H54" i="59"/>
  <c r="R54" i="59"/>
  <c r="S54" i="59"/>
  <c r="T54" i="59"/>
  <c r="U54" i="59"/>
  <c r="B55" i="59"/>
  <c r="D55" i="59"/>
  <c r="F55" i="59"/>
  <c r="H55" i="59"/>
  <c r="J55" i="59"/>
  <c r="L55" i="59"/>
  <c r="N55" i="59"/>
  <c r="P55" i="59"/>
  <c r="R55" i="59"/>
  <c r="S55" i="59"/>
  <c r="T55" i="59"/>
  <c r="U55" i="59"/>
  <c r="D58" i="59"/>
  <c r="H58" i="59"/>
  <c r="R58" i="59"/>
  <c r="S58" i="59"/>
  <c r="T58" i="59"/>
  <c r="U58" i="59"/>
  <c r="D59" i="59"/>
  <c r="H59" i="59"/>
  <c r="R59" i="59"/>
  <c r="S59" i="59"/>
  <c r="T59" i="59"/>
  <c r="U59" i="59"/>
  <c r="D60" i="59"/>
  <c r="H60" i="59"/>
  <c r="R60" i="59"/>
  <c r="S60" i="59"/>
  <c r="T60" i="59"/>
  <c r="U60" i="59"/>
  <c r="B61" i="59"/>
  <c r="D61" i="59"/>
  <c r="F61" i="59"/>
  <c r="H61" i="59"/>
  <c r="J61" i="59"/>
  <c r="N61" i="59"/>
  <c r="P61" i="59"/>
  <c r="R61" i="59"/>
  <c r="S61" i="59"/>
  <c r="T61" i="59"/>
  <c r="U61" i="59"/>
  <c r="B63" i="59"/>
  <c r="D63" i="59"/>
  <c r="F63" i="59"/>
  <c r="H63" i="59"/>
  <c r="J63" i="59"/>
  <c r="L63" i="59"/>
  <c r="N63" i="59"/>
  <c r="P63" i="59"/>
  <c r="R63" i="59"/>
  <c r="S63" i="59"/>
  <c r="T63" i="59"/>
  <c r="U63" i="59"/>
  <c r="H65" i="59"/>
  <c r="R65" i="59"/>
  <c r="S65" i="59"/>
  <c r="T65" i="59"/>
  <c r="U65" i="59"/>
  <c r="B68" i="59"/>
  <c r="D68" i="59"/>
  <c r="F68" i="59"/>
  <c r="H68" i="59"/>
  <c r="J68" i="59"/>
  <c r="L68" i="59"/>
  <c r="N68" i="59"/>
  <c r="P68" i="59"/>
  <c r="R68" i="59"/>
  <c r="S68" i="59"/>
  <c r="T68" i="59"/>
  <c r="U68" i="59"/>
  <c r="D71" i="59"/>
  <c r="H71" i="59"/>
  <c r="R71" i="59"/>
  <c r="S71" i="59"/>
  <c r="T71" i="59"/>
  <c r="U71" i="59"/>
  <c r="D72" i="59"/>
  <c r="H72" i="59"/>
  <c r="R72" i="59"/>
  <c r="S72" i="59"/>
  <c r="T72" i="59"/>
  <c r="U72" i="59"/>
  <c r="D73" i="59"/>
  <c r="H73" i="59"/>
  <c r="R73" i="59"/>
  <c r="S73" i="59"/>
  <c r="T73" i="59"/>
  <c r="U73" i="59"/>
  <c r="H74" i="59"/>
  <c r="R74" i="59"/>
  <c r="S74" i="59"/>
  <c r="T74" i="59"/>
  <c r="U74" i="59"/>
  <c r="B75" i="59"/>
  <c r="D75" i="59"/>
  <c r="F75" i="59"/>
  <c r="H75" i="59"/>
  <c r="J75" i="59"/>
  <c r="L75" i="59"/>
  <c r="N75" i="59"/>
  <c r="P75" i="59"/>
  <c r="R75" i="59"/>
  <c r="S75" i="59"/>
  <c r="T75" i="59"/>
  <c r="U75" i="59"/>
  <c r="B77" i="59"/>
  <c r="D77" i="59"/>
  <c r="F77" i="59"/>
  <c r="H77" i="59"/>
  <c r="J77" i="59"/>
  <c r="L77" i="59"/>
  <c r="N77" i="59"/>
  <c r="P77" i="59"/>
  <c r="R77" i="59"/>
  <c r="S77" i="59"/>
  <c r="T77" i="59"/>
  <c r="U77" i="59"/>
  <c r="F79" i="59"/>
  <c r="H79" i="59"/>
  <c r="J79" i="59"/>
  <c r="L79" i="59"/>
  <c r="N79" i="59"/>
  <c r="P79" i="59"/>
  <c r="R79" i="59"/>
  <c r="T79" i="59"/>
  <c r="U79" i="59"/>
  <c r="B81" i="59"/>
  <c r="D81" i="59"/>
  <c r="F81" i="59"/>
  <c r="H81" i="59"/>
  <c r="J81" i="59"/>
  <c r="L81" i="59"/>
  <c r="N81" i="59"/>
  <c r="P81" i="59"/>
  <c r="R81" i="59"/>
  <c r="S81" i="59"/>
  <c r="T81" i="59"/>
  <c r="U81" i="59"/>
  <c r="B88" i="59"/>
  <c r="B89" i="59"/>
  <c r="B90" i="59"/>
  <c r="D90" i="59"/>
  <c r="F90" i="59"/>
  <c r="H90" i="59"/>
  <c r="B91" i="59"/>
  <c r="B92" i="59"/>
  <c r="D92" i="59"/>
  <c r="F92" i="59"/>
  <c r="H92" i="59"/>
  <c r="B95" i="59"/>
  <c r="B96" i="59"/>
  <c r="B97" i="59"/>
  <c r="B98" i="59"/>
  <c r="D98" i="59"/>
  <c r="F98" i="59"/>
  <c r="H98" i="59"/>
  <c r="B100" i="59"/>
  <c r="D100" i="59"/>
  <c r="F100" i="59"/>
  <c r="H100" i="59"/>
  <c r="B102" i="59"/>
  <c r="B105" i="59"/>
  <c r="D105" i="59"/>
  <c r="F105" i="59"/>
  <c r="H105" i="59"/>
  <c r="B108" i="59"/>
  <c r="B109" i="59"/>
  <c r="B110" i="59"/>
  <c r="B111" i="59"/>
  <c r="B112" i="59"/>
  <c r="D112" i="59"/>
  <c r="F112" i="59"/>
  <c r="H112" i="59"/>
  <c r="B114" i="59"/>
  <c r="D114" i="59"/>
  <c r="F114" i="59"/>
  <c r="H114" i="59"/>
  <c r="B118" i="59"/>
  <c r="D118" i="59"/>
  <c r="F118" i="59"/>
  <c r="H118" i="59"/>
  <c r="M10" i="56"/>
  <c r="O10" i="56"/>
  <c r="P10" i="56"/>
  <c r="M11" i="56"/>
  <c r="O11" i="56"/>
  <c r="P11" i="56"/>
  <c r="M12" i="56"/>
  <c r="O12" i="56"/>
  <c r="P12" i="56"/>
  <c r="L14" i="56"/>
  <c r="M14" i="56"/>
  <c r="O14" i="56"/>
  <c r="P14" i="56"/>
  <c r="B15" i="56"/>
  <c r="D15" i="56"/>
  <c r="F15" i="56"/>
  <c r="H15" i="56"/>
  <c r="J15" i="56"/>
  <c r="L15" i="56"/>
  <c r="M15" i="56"/>
  <c r="N15" i="56"/>
  <c r="O15" i="56"/>
  <c r="P15" i="56"/>
  <c r="M18" i="56"/>
  <c r="O18" i="56"/>
  <c r="P18" i="56"/>
  <c r="M19" i="56"/>
  <c r="O19" i="56"/>
  <c r="P19" i="56"/>
  <c r="M20" i="56"/>
  <c r="O20" i="56"/>
  <c r="P20" i="56"/>
  <c r="M21" i="56"/>
  <c r="O21" i="56"/>
  <c r="P21" i="56"/>
  <c r="B22" i="56"/>
  <c r="D22" i="56"/>
  <c r="F22" i="56"/>
  <c r="H22" i="56"/>
  <c r="J22" i="56"/>
  <c r="L22" i="56"/>
  <c r="M22" i="56"/>
  <c r="N22" i="56"/>
  <c r="O22" i="56"/>
  <c r="P22" i="56"/>
  <c r="M26" i="56"/>
  <c r="O26" i="56"/>
  <c r="P26" i="56"/>
  <c r="M27" i="56"/>
  <c r="O27" i="56"/>
  <c r="P27" i="56"/>
  <c r="M28" i="56"/>
  <c r="O28" i="56"/>
  <c r="P28" i="56"/>
  <c r="B29" i="56"/>
  <c r="D29" i="56"/>
  <c r="F29" i="56"/>
  <c r="H29" i="56"/>
  <c r="J29" i="56"/>
  <c r="L29" i="56"/>
  <c r="M29" i="56"/>
  <c r="N29" i="56"/>
  <c r="O29" i="56"/>
  <c r="P29" i="56"/>
  <c r="M32" i="56"/>
  <c r="P32" i="56"/>
  <c r="D33" i="56"/>
  <c r="F33" i="56"/>
  <c r="H33" i="56"/>
  <c r="J33" i="56"/>
  <c r="L33" i="56"/>
  <c r="L34" i="56"/>
  <c r="M34" i="56"/>
  <c r="O34" i="56"/>
  <c r="P34" i="56"/>
  <c r="B35" i="56"/>
  <c r="D35" i="56"/>
  <c r="F35" i="56"/>
  <c r="H35" i="56"/>
  <c r="J35" i="56"/>
  <c r="L35" i="56"/>
  <c r="M35" i="56"/>
  <c r="N35" i="56"/>
  <c r="O35" i="56"/>
  <c r="P35" i="56"/>
  <c r="H38" i="56"/>
  <c r="J38" i="56"/>
  <c r="L38" i="56"/>
  <c r="H39" i="56"/>
  <c r="J39" i="56"/>
  <c r="L39" i="56"/>
  <c r="M40" i="56"/>
  <c r="O40" i="56"/>
  <c r="P40" i="56"/>
  <c r="B41" i="56"/>
  <c r="D41" i="56"/>
  <c r="F41" i="56"/>
  <c r="H41" i="56"/>
  <c r="J41" i="56"/>
  <c r="L41" i="56"/>
  <c r="M41" i="56"/>
  <c r="N41" i="56"/>
  <c r="O41" i="56"/>
  <c r="P41" i="56"/>
  <c r="M43" i="56"/>
  <c r="O43" i="56"/>
  <c r="P43" i="56"/>
  <c r="B44" i="56"/>
  <c r="D44" i="56"/>
  <c r="F44" i="56"/>
  <c r="H44" i="56"/>
  <c r="J44" i="56"/>
  <c r="L44" i="56"/>
  <c r="M44" i="56"/>
  <c r="N44" i="56"/>
  <c r="O44" i="56"/>
  <c r="P44" i="56"/>
  <c r="M47" i="56"/>
  <c r="O47" i="56"/>
  <c r="P47" i="56"/>
  <c r="M48" i="56"/>
  <c r="N48" i="56"/>
  <c r="O48" i="56"/>
  <c r="P48" i="56"/>
  <c r="L50" i="56"/>
  <c r="M50" i="56"/>
  <c r="O50" i="56"/>
  <c r="B51" i="56"/>
  <c r="D51" i="56"/>
  <c r="F51" i="56"/>
  <c r="H51" i="56"/>
  <c r="J51" i="56"/>
  <c r="L51" i="56"/>
  <c r="M51" i="56"/>
  <c r="N51" i="56"/>
  <c r="O51" i="56"/>
  <c r="P51" i="56"/>
  <c r="B52" i="56"/>
  <c r="D52" i="56"/>
  <c r="F52" i="56"/>
  <c r="H52" i="56"/>
  <c r="J52" i="56"/>
  <c r="L52" i="56"/>
  <c r="M52" i="56"/>
  <c r="N52" i="56"/>
  <c r="O52" i="56"/>
  <c r="P52" i="56"/>
  <c r="L58" i="56"/>
  <c r="L62" i="56"/>
  <c r="B69" i="56"/>
  <c r="D69" i="56"/>
  <c r="F69" i="56"/>
  <c r="G69" i="56"/>
  <c r="H69" i="56"/>
  <c r="I69" i="56"/>
  <c r="J69" i="56"/>
  <c r="K69" i="56"/>
  <c r="L69" i="56"/>
  <c r="M69" i="56"/>
  <c r="O69" i="56"/>
  <c r="B70" i="56"/>
  <c r="B71" i="56"/>
  <c r="B73" i="56"/>
  <c r="B76" i="56"/>
  <c r="B77" i="56"/>
  <c r="B78" i="56"/>
  <c r="B80" i="56"/>
  <c r="D80" i="56"/>
  <c r="F80" i="56"/>
  <c r="G80" i="56"/>
  <c r="H80" i="56"/>
  <c r="I80" i="56"/>
  <c r="J80" i="56"/>
  <c r="K80" i="56"/>
  <c r="L80" i="56"/>
  <c r="M80" i="56"/>
  <c r="O80" i="56"/>
  <c r="B81" i="56"/>
  <c r="B84" i="56"/>
  <c r="D84" i="56"/>
  <c r="F84" i="56"/>
  <c r="G84" i="56"/>
  <c r="H84" i="56"/>
  <c r="I84" i="56"/>
  <c r="J84" i="56"/>
  <c r="K84" i="56"/>
  <c r="L84" i="56"/>
  <c r="M84" i="56"/>
  <c r="O84" i="56"/>
  <c r="B86" i="56"/>
  <c r="B87" i="56"/>
  <c r="B94" i="56"/>
  <c r="B95" i="56"/>
  <c r="B97" i="56"/>
  <c r="D97" i="56"/>
  <c r="F97" i="56"/>
  <c r="G97" i="56"/>
  <c r="H97" i="56"/>
  <c r="I97" i="56"/>
  <c r="J97" i="56"/>
  <c r="K97" i="56"/>
  <c r="L97" i="56"/>
  <c r="M97" i="56"/>
  <c r="O97" i="56"/>
  <c r="B98" i="56"/>
  <c r="B99" i="56"/>
  <c r="B101" i="56"/>
  <c r="B103" i="56"/>
  <c r="B105" i="56"/>
  <c r="B107" i="56"/>
  <c r="D107" i="56"/>
  <c r="F107" i="56"/>
  <c r="G107" i="56"/>
  <c r="H107" i="56"/>
  <c r="I107" i="56"/>
  <c r="J107" i="56"/>
  <c r="K107" i="56"/>
  <c r="L107" i="56"/>
  <c r="M107" i="56"/>
  <c r="O107" i="56"/>
  <c r="B108" i="56"/>
  <c r="B109" i="56"/>
  <c r="B110" i="56"/>
  <c r="B111" i="56"/>
  <c r="B113" i="56"/>
  <c r="B115" i="56"/>
  <c r="D115" i="56"/>
  <c r="F115" i="56"/>
  <c r="G115" i="56"/>
  <c r="H115" i="56"/>
  <c r="I115" i="56"/>
  <c r="J115" i="56"/>
  <c r="K115" i="56"/>
  <c r="L115" i="56"/>
  <c r="M115" i="56"/>
  <c r="O115" i="56"/>
  <c r="B120" i="56"/>
  <c r="D120" i="56"/>
  <c r="F120" i="56"/>
  <c r="H120" i="56"/>
  <c r="B121" i="56"/>
  <c r="B122" i="56"/>
  <c r="B124" i="56"/>
  <c r="B126" i="56"/>
  <c r="B128" i="56"/>
  <c r="D128" i="56"/>
  <c r="F128" i="56"/>
  <c r="H128" i="56"/>
  <c r="B129" i="56"/>
  <c r="B133" i="56"/>
  <c r="B134" i="56"/>
  <c r="B136" i="56"/>
  <c r="B137" i="56"/>
  <c r="B139" i="56"/>
  <c r="B140" i="56"/>
  <c r="B143" i="56"/>
  <c r="D143" i="56"/>
  <c r="F143" i="56"/>
  <c r="H143" i="56"/>
  <c r="B145" i="56"/>
  <c r="B146" i="56"/>
  <c r="B147" i="56"/>
  <c r="B148" i="56"/>
  <c r="B150" i="56"/>
  <c r="B154" i="56"/>
  <c r="B156" i="56"/>
  <c r="B158" i="56"/>
  <c r="D158" i="56"/>
  <c r="F158" i="56"/>
  <c r="H158" i="56"/>
  <c r="B159" i="56"/>
  <c r="B161" i="56"/>
  <c r="B162" i="56"/>
  <c r="D162" i="56"/>
  <c r="F162" i="56"/>
  <c r="H162" i="56"/>
  <c r="B163" i="56"/>
  <c r="B164" i="56"/>
  <c r="B166" i="56"/>
  <c r="D166" i="56"/>
  <c r="F166" i="56"/>
  <c r="H166" i="56"/>
  <c r="B167" i="56"/>
  <c r="B170" i="56"/>
  <c r="D170" i="56"/>
  <c r="F170" i="56"/>
  <c r="G170" i="56"/>
  <c r="H170" i="56"/>
  <c r="I170" i="56"/>
  <c r="J170" i="56"/>
  <c r="K170" i="56"/>
  <c r="L170" i="56"/>
  <c r="M170" i="56"/>
  <c r="O170" i="56"/>
  <c r="B12" i="60"/>
  <c r="D12" i="60"/>
  <c r="F12" i="60"/>
  <c r="G12" i="60"/>
  <c r="I12" i="60"/>
  <c r="K12" i="60"/>
  <c r="B13" i="60"/>
  <c r="D13" i="60"/>
  <c r="F13" i="60"/>
  <c r="G13" i="60"/>
  <c r="B14" i="60"/>
  <c r="D14" i="60"/>
  <c r="F14" i="60"/>
  <c r="G14" i="60"/>
  <c r="I14" i="60"/>
  <c r="B15" i="60"/>
  <c r="D15" i="60"/>
  <c r="F15" i="60"/>
  <c r="G15" i="60"/>
  <c r="H15" i="60"/>
  <c r="I15" i="60"/>
  <c r="J15" i="60"/>
  <c r="K15" i="60"/>
  <c r="L15" i="60"/>
  <c r="B16" i="60"/>
  <c r="D16" i="60"/>
  <c r="F16" i="60"/>
  <c r="G16" i="60"/>
  <c r="I16" i="60"/>
  <c r="K16" i="60"/>
  <c r="B17" i="60"/>
  <c r="D17" i="60"/>
  <c r="F17" i="60"/>
  <c r="G17" i="60"/>
  <c r="H17" i="60"/>
  <c r="I17" i="60"/>
  <c r="J17" i="60"/>
  <c r="K17" i="60"/>
  <c r="L17" i="60"/>
  <c r="B20" i="60"/>
  <c r="D20" i="60"/>
  <c r="F20" i="60"/>
  <c r="G20" i="60"/>
  <c r="I20" i="60"/>
  <c r="K20" i="60"/>
  <c r="B21" i="60"/>
  <c r="D21" i="60"/>
  <c r="F21" i="60"/>
  <c r="G21" i="60"/>
  <c r="I21" i="60"/>
  <c r="K21" i="60"/>
  <c r="B22" i="60"/>
  <c r="D22" i="60"/>
  <c r="F22" i="60"/>
  <c r="G22" i="60"/>
  <c r="I22" i="60"/>
  <c r="K22" i="60"/>
  <c r="B23" i="60"/>
  <c r="D23" i="60"/>
  <c r="F23" i="60"/>
  <c r="G23" i="60"/>
  <c r="H23" i="60"/>
  <c r="I23" i="60"/>
  <c r="J23" i="60"/>
  <c r="K23" i="60"/>
  <c r="L23" i="60"/>
  <c r="B25" i="60"/>
  <c r="D25" i="60"/>
  <c r="F25" i="60"/>
  <c r="G25" i="60"/>
  <c r="H25" i="60"/>
  <c r="I25" i="60"/>
  <c r="J25" i="60"/>
  <c r="K25" i="60"/>
  <c r="L25" i="60"/>
  <c r="B27" i="60"/>
  <c r="D27" i="60"/>
  <c r="F27" i="60"/>
  <c r="G27" i="60"/>
  <c r="I27" i="60"/>
  <c r="K27" i="60"/>
  <c r="B30" i="60"/>
  <c r="D30" i="60"/>
  <c r="F30" i="60"/>
  <c r="G30" i="60"/>
  <c r="H30" i="60"/>
  <c r="I30" i="60"/>
  <c r="J30" i="60"/>
  <c r="K30" i="60"/>
  <c r="L30" i="60"/>
  <c r="B33" i="60"/>
  <c r="D33" i="60"/>
  <c r="F33" i="60"/>
  <c r="G33" i="60"/>
  <c r="I33" i="60"/>
  <c r="K33" i="60"/>
  <c r="B34" i="60"/>
  <c r="D34" i="60"/>
  <c r="F34" i="60"/>
  <c r="G34" i="60"/>
  <c r="I34" i="60"/>
  <c r="K34" i="60"/>
  <c r="B35" i="60"/>
  <c r="D35" i="60"/>
  <c r="F35" i="60"/>
  <c r="G35" i="60"/>
  <c r="I35" i="60"/>
  <c r="K35" i="60"/>
  <c r="B36" i="60"/>
  <c r="D36" i="60"/>
  <c r="F36" i="60"/>
  <c r="G36" i="60"/>
  <c r="I36" i="60"/>
  <c r="K36" i="60"/>
  <c r="B37" i="60"/>
  <c r="D37" i="60"/>
  <c r="F37" i="60"/>
  <c r="G37" i="60"/>
  <c r="H37" i="60"/>
  <c r="I37" i="60"/>
  <c r="J37" i="60"/>
  <c r="K37" i="60"/>
  <c r="L37" i="60"/>
  <c r="B39" i="60"/>
  <c r="D39" i="60"/>
  <c r="F39" i="60"/>
  <c r="G39" i="60"/>
  <c r="H39" i="60"/>
  <c r="I39" i="60"/>
  <c r="J39" i="60"/>
  <c r="K39" i="60"/>
  <c r="L39" i="60"/>
  <c r="B41" i="60"/>
  <c r="D41" i="60"/>
  <c r="F41" i="60"/>
  <c r="I41" i="60"/>
  <c r="K41" i="60"/>
  <c r="B43" i="60"/>
  <c r="D43" i="60"/>
  <c r="F43" i="60"/>
  <c r="G43" i="60"/>
  <c r="H43" i="60"/>
  <c r="I43" i="60"/>
  <c r="J43" i="60"/>
  <c r="K43" i="60"/>
  <c r="L43" i="60"/>
  <c r="B11" i="39"/>
  <c r="C11" i="39"/>
  <c r="D11" i="39"/>
  <c r="E11" i="39"/>
  <c r="F11" i="39"/>
  <c r="G11" i="39"/>
  <c r="H11" i="39"/>
  <c r="I11" i="39"/>
  <c r="J11" i="39"/>
  <c r="K11" i="39"/>
  <c r="L11" i="39"/>
  <c r="M11" i="39"/>
  <c r="N11" i="39"/>
  <c r="O11" i="39"/>
  <c r="P11" i="39"/>
  <c r="Q11" i="39"/>
  <c r="R11" i="39"/>
  <c r="S11" i="39"/>
  <c r="B12" i="39"/>
  <c r="C12" i="39"/>
  <c r="D12" i="39"/>
  <c r="E12" i="39"/>
  <c r="F12" i="39"/>
  <c r="G12" i="39"/>
  <c r="H12" i="39"/>
  <c r="I12" i="39"/>
  <c r="J12" i="39"/>
  <c r="K12" i="39"/>
  <c r="L12" i="39"/>
  <c r="M12" i="39"/>
  <c r="N12" i="39"/>
  <c r="O12" i="39"/>
  <c r="P12" i="39"/>
  <c r="Q12" i="39"/>
  <c r="R12" i="39"/>
  <c r="S12" i="39"/>
  <c r="B13" i="39"/>
  <c r="C13" i="39"/>
  <c r="D13" i="39"/>
  <c r="E13" i="39"/>
  <c r="F13" i="39"/>
  <c r="G13" i="39"/>
  <c r="H13" i="39"/>
  <c r="I13" i="39"/>
  <c r="J13" i="39"/>
  <c r="K13" i="39"/>
  <c r="L13" i="39"/>
  <c r="M13" i="39"/>
  <c r="N13" i="39"/>
  <c r="O13" i="39"/>
  <c r="P13" i="39"/>
  <c r="Q13" i="39"/>
  <c r="R13" i="39"/>
  <c r="S13" i="39"/>
  <c r="B14" i="39"/>
  <c r="C14" i="39"/>
  <c r="D14" i="39"/>
  <c r="E14" i="39"/>
  <c r="F14" i="39"/>
  <c r="G14" i="39"/>
  <c r="H14" i="39"/>
  <c r="I14" i="39"/>
  <c r="J14" i="39"/>
  <c r="K14" i="39"/>
  <c r="L14" i="39"/>
  <c r="M14" i="39"/>
  <c r="N14" i="39"/>
  <c r="O14" i="39"/>
  <c r="P14" i="39"/>
  <c r="Q14" i="39"/>
  <c r="R14" i="39"/>
  <c r="S14" i="39"/>
  <c r="B15" i="39"/>
  <c r="C15" i="39"/>
  <c r="D15" i="39"/>
  <c r="E15" i="39"/>
  <c r="F15" i="39"/>
  <c r="G15" i="39"/>
  <c r="H15" i="39"/>
  <c r="I15" i="39"/>
  <c r="J15" i="39"/>
  <c r="K15" i="39"/>
  <c r="L15" i="39"/>
  <c r="M15" i="39"/>
  <c r="N15" i="39"/>
  <c r="O15" i="39"/>
  <c r="P15" i="39"/>
  <c r="Q15" i="39"/>
  <c r="R15" i="39"/>
  <c r="S15" i="39"/>
  <c r="B16" i="39"/>
  <c r="C16" i="39"/>
  <c r="D16" i="39"/>
  <c r="E16" i="39"/>
  <c r="F16" i="39"/>
  <c r="G16" i="39"/>
  <c r="H16" i="39"/>
  <c r="I16" i="39"/>
  <c r="J16" i="39"/>
  <c r="K16" i="39"/>
  <c r="L16" i="39"/>
  <c r="M16" i="39"/>
  <c r="N16" i="39"/>
  <c r="O16" i="39"/>
  <c r="P16" i="39"/>
  <c r="Q16" i="39"/>
  <c r="R16" i="39"/>
  <c r="S16" i="39"/>
  <c r="B18" i="39"/>
  <c r="C18" i="39"/>
  <c r="D18" i="39"/>
  <c r="E18" i="39"/>
  <c r="F18" i="39"/>
  <c r="G18" i="39"/>
  <c r="H18" i="39"/>
  <c r="I18" i="39"/>
  <c r="J18" i="39"/>
  <c r="K18" i="39"/>
  <c r="L18" i="39"/>
  <c r="M18" i="39"/>
  <c r="N18" i="39"/>
  <c r="O18" i="39"/>
  <c r="P18" i="39"/>
  <c r="Q18" i="39"/>
  <c r="R18" i="39"/>
  <c r="S18" i="39"/>
  <c r="B19" i="39"/>
  <c r="C19" i="39"/>
  <c r="D19" i="39"/>
  <c r="E19" i="39"/>
  <c r="F19" i="39"/>
  <c r="G19" i="39"/>
  <c r="H19" i="39"/>
  <c r="I19" i="39"/>
  <c r="J19" i="39"/>
  <c r="K19" i="39"/>
  <c r="L19" i="39"/>
  <c r="M19" i="39"/>
  <c r="N19" i="39"/>
  <c r="O19" i="39"/>
  <c r="P19" i="39"/>
  <c r="Q19" i="39"/>
  <c r="R19" i="39"/>
  <c r="S19" i="39"/>
  <c r="B20" i="39"/>
  <c r="C20" i="39"/>
  <c r="D20" i="39"/>
  <c r="E20" i="39"/>
  <c r="F20" i="39"/>
  <c r="G20" i="39"/>
  <c r="H20" i="39"/>
  <c r="I20" i="39"/>
  <c r="J20" i="39"/>
  <c r="K20" i="39"/>
  <c r="L20" i="39"/>
  <c r="M20" i="39"/>
  <c r="N20" i="39"/>
  <c r="O20" i="39"/>
  <c r="P20" i="39"/>
  <c r="Q20" i="39"/>
  <c r="R20" i="39"/>
  <c r="S20" i="39"/>
  <c r="B21" i="39"/>
  <c r="C21" i="39"/>
  <c r="D21" i="39"/>
  <c r="E21" i="39"/>
  <c r="F21" i="39"/>
  <c r="G21" i="39"/>
  <c r="H21" i="39"/>
  <c r="I21" i="39"/>
  <c r="J21" i="39"/>
  <c r="K21" i="39"/>
  <c r="L21" i="39"/>
  <c r="M21" i="39"/>
  <c r="N21" i="39"/>
  <c r="O21" i="39"/>
  <c r="P21" i="39"/>
  <c r="Q21" i="39"/>
  <c r="R21" i="39"/>
  <c r="S21" i="39"/>
  <c r="B22" i="39"/>
  <c r="C22" i="39"/>
  <c r="D22" i="39"/>
  <c r="E22" i="39"/>
  <c r="F22" i="39"/>
  <c r="G22" i="39"/>
  <c r="H22" i="39"/>
  <c r="I22" i="39"/>
  <c r="J22" i="39"/>
  <c r="K22" i="39"/>
  <c r="L22" i="39"/>
  <c r="M22" i="39"/>
  <c r="N22" i="39"/>
  <c r="O22" i="39"/>
  <c r="P22" i="39"/>
  <c r="Q22" i="39"/>
  <c r="R22" i="39"/>
  <c r="S22" i="39"/>
  <c r="B23" i="39"/>
  <c r="C23" i="39"/>
  <c r="D23" i="39"/>
  <c r="E23" i="39"/>
  <c r="F23" i="39"/>
  <c r="G23" i="39"/>
  <c r="H23" i="39"/>
  <c r="I23" i="39"/>
  <c r="J23" i="39"/>
  <c r="K23" i="39"/>
  <c r="L23" i="39"/>
  <c r="M23" i="39"/>
  <c r="N23" i="39"/>
  <c r="O23" i="39"/>
  <c r="P23" i="39"/>
  <c r="Q23" i="39"/>
  <c r="R23" i="39"/>
  <c r="S23" i="39"/>
  <c r="B27" i="39"/>
  <c r="C27" i="39"/>
  <c r="D27" i="39"/>
  <c r="E27" i="39"/>
  <c r="F27" i="39"/>
  <c r="G27" i="39"/>
  <c r="H27" i="39"/>
  <c r="I27" i="39"/>
  <c r="J27" i="39"/>
  <c r="K27" i="39"/>
  <c r="L27" i="39"/>
  <c r="M27" i="39"/>
  <c r="N27" i="39"/>
  <c r="O27" i="39"/>
  <c r="P27" i="39"/>
  <c r="Q27" i="39"/>
  <c r="R27" i="39"/>
  <c r="S27" i="39"/>
  <c r="B28" i="39"/>
  <c r="C28" i="39"/>
  <c r="D28" i="39"/>
  <c r="E28" i="39"/>
  <c r="F28" i="39"/>
  <c r="G28" i="39"/>
  <c r="H28" i="39"/>
  <c r="I28" i="39"/>
  <c r="J28" i="39"/>
  <c r="K28" i="39"/>
  <c r="L28" i="39"/>
  <c r="M28" i="39"/>
  <c r="N28" i="39"/>
  <c r="O28" i="39"/>
  <c r="P28" i="39"/>
  <c r="Q28" i="39"/>
  <c r="R28" i="39"/>
  <c r="S28" i="39"/>
  <c r="B29" i="39"/>
  <c r="C29" i="39"/>
  <c r="D29" i="39"/>
  <c r="E29" i="39"/>
  <c r="F29" i="39"/>
  <c r="G29" i="39"/>
  <c r="H29" i="39"/>
  <c r="I29" i="39"/>
  <c r="J29" i="39"/>
  <c r="K29" i="39"/>
  <c r="L29" i="39"/>
  <c r="M29" i="39"/>
  <c r="N29" i="39"/>
  <c r="O29" i="39"/>
  <c r="P29" i="39"/>
  <c r="Q29" i="39"/>
  <c r="R29" i="39"/>
  <c r="S29" i="39"/>
  <c r="B30" i="39"/>
  <c r="C30" i="39"/>
  <c r="D30" i="39"/>
  <c r="E30" i="39"/>
  <c r="F30" i="39"/>
  <c r="G30" i="39"/>
  <c r="H30" i="39"/>
  <c r="I30" i="39"/>
  <c r="J30" i="39"/>
  <c r="K30" i="39"/>
  <c r="L30" i="39"/>
  <c r="M30" i="39"/>
  <c r="N30" i="39"/>
  <c r="O30" i="39"/>
  <c r="P30" i="39"/>
  <c r="Q30" i="39"/>
  <c r="R30" i="39"/>
  <c r="S30" i="39"/>
  <c r="B33" i="39"/>
  <c r="C33" i="39"/>
  <c r="D33" i="39"/>
  <c r="E33" i="39"/>
  <c r="F33" i="39"/>
  <c r="G33" i="39"/>
  <c r="H33" i="39"/>
  <c r="I33" i="39"/>
  <c r="J33" i="39"/>
  <c r="K33" i="39"/>
  <c r="L33" i="39"/>
  <c r="M33" i="39"/>
  <c r="N33" i="39"/>
  <c r="O33" i="39"/>
  <c r="P33" i="39"/>
  <c r="Q33" i="39"/>
  <c r="R33" i="39"/>
  <c r="S33" i="39"/>
  <c r="B34" i="39"/>
  <c r="C34" i="39"/>
  <c r="D34" i="39"/>
  <c r="E34" i="39"/>
  <c r="F34" i="39"/>
  <c r="G34" i="39"/>
  <c r="H34" i="39"/>
  <c r="I34" i="39"/>
  <c r="J34" i="39"/>
  <c r="K34" i="39"/>
  <c r="L34" i="39"/>
  <c r="M34" i="39"/>
  <c r="N34" i="39"/>
  <c r="O34" i="39"/>
  <c r="P34" i="39"/>
  <c r="Q34" i="39"/>
  <c r="R34" i="39"/>
  <c r="S34" i="39"/>
  <c r="B35" i="39"/>
  <c r="C35" i="39"/>
  <c r="D35" i="39"/>
  <c r="E35" i="39"/>
  <c r="F35" i="39"/>
  <c r="G35" i="39"/>
  <c r="H35" i="39"/>
  <c r="I35" i="39"/>
  <c r="J35" i="39"/>
  <c r="K35" i="39"/>
  <c r="L35" i="39"/>
  <c r="M35" i="39"/>
  <c r="N35" i="39"/>
  <c r="O35" i="39"/>
  <c r="P35" i="39"/>
  <c r="Q35" i="39"/>
  <c r="R35" i="39"/>
  <c r="S35" i="39"/>
  <c r="B36" i="39"/>
  <c r="C36" i="39"/>
  <c r="D36" i="39"/>
  <c r="E36" i="39"/>
  <c r="F36" i="39"/>
  <c r="G36" i="39"/>
  <c r="H36" i="39"/>
  <c r="I36" i="39"/>
  <c r="J36" i="39"/>
  <c r="K36" i="39"/>
  <c r="L36" i="39"/>
  <c r="M36" i="39"/>
  <c r="N36" i="39"/>
  <c r="O36" i="39"/>
  <c r="P36" i="39"/>
  <c r="Q36" i="39"/>
  <c r="R36" i="39"/>
  <c r="S36" i="39"/>
  <c r="B39" i="39"/>
  <c r="C39" i="39"/>
  <c r="D39" i="39"/>
  <c r="E39" i="39"/>
  <c r="F39" i="39"/>
  <c r="G39" i="39"/>
  <c r="H39" i="39"/>
  <c r="I39" i="39"/>
  <c r="J39" i="39"/>
  <c r="K39" i="39"/>
  <c r="L39" i="39"/>
  <c r="M39" i="39"/>
  <c r="N39" i="39"/>
  <c r="O39" i="39"/>
  <c r="P39" i="39"/>
  <c r="Q39" i="39"/>
  <c r="R39" i="39"/>
  <c r="S39" i="39"/>
  <c r="B40" i="39"/>
  <c r="C40" i="39"/>
  <c r="D40" i="39"/>
  <c r="E40" i="39"/>
  <c r="F40" i="39"/>
  <c r="G40" i="39"/>
  <c r="H40" i="39"/>
  <c r="I40" i="39"/>
  <c r="J40" i="39"/>
  <c r="K40" i="39"/>
  <c r="L40" i="39"/>
  <c r="M40" i="39"/>
  <c r="N40" i="39"/>
  <c r="O40" i="39"/>
  <c r="P40" i="39"/>
  <c r="Q40" i="39"/>
  <c r="R40" i="39"/>
  <c r="S40" i="39"/>
  <c r="B41" i="39"/>
  <c r="C41" i="39"/>
  <c r="D41" i="39"/>
  <c r="E41" i="39"/>
  <c r="F41" i="39"/>
  <c r="G41" i="39"/>
  <c r="H41" i="39"/>
  <c r="I41" i="39"/>
  <c r="J41" i="39"/>
  <c r="K41" i="39"/>
  <c r="L41" i="39"/>
  <c r="M41" i="39"/>
  <c r="N41" i="39"/>
  <c r="O41" i="39"/>
  <c r="P41" i="39"/>
  <c r="Q41" i="39"/>
  <c r="R41" i="39"/>
  <c r="S41" i="39"/>
  <c r="B42" i="39"/>
  <c r="C42" i="39"/>
  <c r="D42" i="39"/>
  <c r="E42" i="39"/>
  <c r="F42" i="39"/>
  <c r="G42" i="39"/>
  <c r="H42" i="39"/>
  <c r="I42" i="39"/>
  <c r="J42" i="39"/>
  <c r="K42" i="39"/>
  <c r="L42" i="39"/>
  <c r="M42" i="39"/>
  <c r="N42" i="39"/>
  <c r="O42" i="39"/>
  <c r="P42" i="39"/>
  <c r="Q42" i="39"/>
  <c r="R42" i="39"/>
  <c r="S42" i="39"/>
  <c r="B44" i="39"/>
  <c r="C44" i="39"/>
  <c r="D44" i="39"/>
  <c r="E44" i="39"/>
  <c r="F44" i="39"/>
  <c r="G44" i="39"/>
  <c r="H44" i="39"/>
  <c r="I44" i="39"/>
  <c r="J44" i="39"/>
  <c r="K44" i="39"/>
  <c r="L44" i="39"/>
  <c r="M44" i="39"/>
  <c r="N44" i="39"/>
  <c r="O44" i="39"/>
  <c r="P44" i="39"/>
  <c r="Q44" i="39"/>
  <c r="R44" i="39"/>
  <c r="S44" i="39"/>
  <c r="B45" i="39"/>
  <c r="C45" i="39"/>
  <c r="D45" i="39"/>
  <c r="E45" i="39"/>
  <c r="F45" i="39"/>
  <c r="G45" i="39"/>
  <c r="H45" i="39"/>
  <c r="I45" i="39"/>
  <c r="J45" i="39"/>
  <c r="K45" i="39"/>
  <c r="L45" i="39"/>
  <c r="M45" i="39"/>
  <c r="N45" i="39"/>
  <c r="O45" i="39"/>
  <c r="P45" i="39"/>
  <c r="Q45" i="39"/>
  <c r="R45" i="39"/>
  <c r="S45" i="39"/>
  <c r="B48" i="39"/>
  <c r="C48" i="39"/>
  <c r="D48" i="39"/>
  <c r="E48" i="39"/>
  <c r="F48" i="39"/>
  <c r="G48" i="39"/>
  <c r="H48" i="39"/>
  <c r="I48" i="39"/>
  <c r="J48" i="39"/>
  <c r="K48" i="39"/>
  <c r="L48" i="39"/>
  <c r="M48" i="39"/>
  <c r="N48" i="39"/>
  <c r="O48" i="39"/>
  <c r="P48" i="39"/>
  <c r="Q48" i="39"/>
  <c r="R48" i="39"/>
  <c r="S48" i="39"/>
  <c r="B49" i="39"/>
  <c r="C49" i="39"/>
  <c r="D49" i="39"/>
  <c r="E49" i="39"/>
  <c r="F49" i="39"/>
  <c r="G49" i="39"/>
  <c r="H49" i="39"/>
  <c r="I49" i="39"/>
  <c r="J49" i="39"/>
  <c r="K49" i="39"/>
  <c r="L49" i="39"/>
  <c r="M49" i="39"/>
  <c r="N49" i="39"/>
  <c r="O49" i="39"/>
  <c r="P49" i="39"/>
  <c r="Q49" i="39"/>
  <c r="R49" i="39"/>
  <c r="S49" i="39"/>
  <c r="B50" i="39"/>
  <c r="C50" i="39"/>
  <c r="D50" i="39"/>
  <c r="E50" i="39"/>
  <c r="F50" i="39"/>
  <c r="G50" i="39"/>
  <c r="H50" i="39"/>
  <c r="I50" i="39"/>
  <c r="J50" i="39"/>
  <c r="K50" i="39"/>
  <c r="L50" i="39"/>
  <c r="M50" i="39"/>
  <c r="N50" i="39"/>
  <c r="O50" i="39"/>
  <c r="P50" i="39"/>
  <c r="Q50" i="39"/>
  <c r="R50" i="39"/>
  <c r="S50" i="39"/>
  <c r="B51" i="39"/>
  <c r="C51" i="39"/>
  <c r="D51" i="39"/>
  <c r="E51" i="39"/>
  <c r="F51" i="39"/>
  <c r="G51" i="39"/>
  <c r="H51" i="39"/>
  <c r="I51" i="39"/>
  <c r="J51" i="39"/>
  <c r="K51" i="39"/>
  <c r="L51" i="39"/>
  <c r="M51" i="39"/>
  <c r="N51" i="39"/>
  <c r="O51" i="39"/>
  <c r="P51" i="39"/>
  <c r="Q51" i="39"/>
  <c r="R51" i="39"/>
  <c r="S51" i="39"/>
  <c r="B52" i="39"/>
  <c r="C52" i="39"/>
  <c r="D52" i="39"/>
  <c r="E52" i="39"/>
  <c r="F52" i="39"/>
  <c r="G52" i="39"/>
  <c r="H52" i="39"/>
  <c r="I52" i="39"/>
  <c r="J52" i="39"/>
  <c r="K52" i="39"/>
  <c r="L52" i="39"/>
  <c r="M52" i="39"/>
  <c r="N52" i="39"/>
  <c r="O52" i="39"/>
  <c r="P52" i="39"/>
  <c r="Q52" i="39"/>
  <c r="R52" i="39"/>
  <c r="S52" i="39"/>
  <c r="B53" i="39"/>
  <c r="C53" i="39"/>
  <c r="D53" i="39"/>
  <c r="E53" i="39"/>
  <c r="F53" i="39"/>
  <c r="G53" i="39"/>
  <c r="H53" i="39"/>
  <c r="I53" i="39"/>
  <c r="J53" i="39"/>
  <c r="K53" i="39"/>
  <c r="L53" i="39"/>
  <c r="M53" i="39"/>
  <c r="N53" i="39"/>
  <c r="O53" i="39"/>
  <c r="P53" i="39"/>
  <c r="Q53" i="39"/>
  <c r="R53" i="39"/>
  <c r="S53" i="39"/>
  <c r="B57" i="39"/>
  <c r="C57" i="39"/>
  <c r="D57" i="39"/>
  <c r="E57" i="39"/>
  <c r="F57" i="39"/>
  <c r="G57" i="39"/>
  <c r="H57" i="39"/>
  <c r="I57" i="39"/>
  <c r="J57" i="39"/>
  <c r="K57" i="39"/>
  <c r="L57" i="39"/>
  <c r="M57" i="39"/>
  <c r="N57" i="39"/>
  <c r="O57" i="39"/>
  <c r="P57" i="39"/>
  <c r="Q57" i="39"/>
  <c r="R57" i="39"/>
  <c r="S57" i="39"/>
  <c r="B58" i="39"/>
  <c r="C58" i="39"/>
  <c r="D58" i="39"/>
  <c r="E58" i="39"/>
  <c r="F58" i="39"/>
  <c r="G58" i="39"/>
  <c r="H58" i="39"/>
  <c r="I58" i="39"/>
  <c r="J58" i="39"/>
  <c r="K58" i="39"/>
  <c r="L58" i="39"/>
  <c r="M58" i="39"/>
  <c r="N58" i="39"/>
  <c r="O58" i="39"/>
  <c r="P58" i="39"/>
  <c r="Q58" i="39"/>
  <c r="R58" i="39"/>
  <c r="S58" i="39"/>
  <c r="B59" i="39"/>
  <c r="C59" i="39"/>
  <c r="D59" i="39"/>
  <c r="E59" i="39"/>
  <c r="F59" i="39"/>
  <c r="G59" i="39"/>
  <c r="H59" i="39"/>
  <c r="I59" i="39"/>
  <c r="J59" i="39"/>
  <c r="K59" i="39"/>
  <c r="L59" i="39"/>
  <c r="M59" i="39"/>
  <c r="N59" i="39"/>
  <c r="O59" i="39"/>
  <c r="P59" i="39"/>
  <c r="Q59" i="39"/>
  <c r="R59" i="39"/>
  <c r="S59" i="39"/>
  <c r="B61" i="39"/>
  <c r="C61" i="39"/>
  <c r="D61" i="39"/>
  <c r="E61" i="39"/>
  <c r="F61" i="39"/>
  <c r="G61" i="39"/>
  <c r="H61" i="39"/>
  <c r="I61" i="39"/>
  <c r="J61" i="39"/>
  <c r="K61" i="39"/>
  <c r="L61" i="39"/>
  <c r="M61" i="39"/>
  <c r="N61" i="39"/>
  <c r="O61" i="39"/>
  <c r="P61" i="39"/>
  <c r="Q61" i="39"/>
  <c r="R61" i="39"/>
  <c r="S61" i="39"/>
  <c r="B62" i="39"/>
  <c r="C62" i="39"/>
  <c r="D62" i="39"/>
  <c r="E62" i="39"/>
  <c r="F62" i="39"/>
  <c r="G62" i="39"/>
  <c r="H62" i="39"/>
  <c r="I62" i="39"/>
  <c r="J62" i="39"/>
  <c r="K62" i="39"/>
  <c r="L62" i="39"/>
  <c r="M62" i="39"/>
  <c r="N62" i="39"/>
  <c r="O62" i="39"/>
  <c r="P62" i="39"/>
  <c r="Q62" i="39"/>
  <c r="R62" i="39"/>
  <c r="S62" i="39"/>
  <c r="B63" i="39"/>
  <c r="C63" i="39"/>
  <c r="D63" i="39"/>
  <c r="E63" i="39"/>
  <c r="F63" i="39"/>
  <c r="G63" i="39"/>
  <c r="H63" i="39"/>
  <c r="I63" i="39"/>
  <c r="J63" i="39"/>
  <c r="K63" i="39"/>
  <c r="L63" i="39"/>
  <c r="M63" i="39"/>
  <c r="N63" i="39"/>
  <c r="O63" i="39"/>
  <c r="P63" i="39"/>
  <c r="Q63" i="39"/>
  <c r="R63" i="39"/>
  <c r="S63" i="39"/>
  <c r="B145" i="39"/>
  <c r="B148" i="39"/>
  <c r="B152" i="39"/>
  <c r="B156" i="39"/>
  <c r="C156" i="39"/>
  <c r="D156" i="39"/>
  <c r="E156" i="39"/>
  <c r="F156" i="39"/>
  <c r="G156" i="39"/>
  <c r="H156" i="39"/>
  <c r="I156" i="39"/>
  <c r="M156" i="39"/>
  <c r="N156" i="39"/>
  <c r="O156" i="39"/>
  <c r="Q156" i="39"/>
  <c r="B10" i="34"/>
  <c r="C10" i="34"/>
  <c r="D10" i="34"/>
  <c r="E10" i="34"/>
  <c r="F10" i="34"/>
  <c r="G10" i="34"/>
  <c r="H10" i="34"/>
  <c r="I10" i="34"/>
  <c r="J10" i="34"/>
  <c r="K10" i="34"/>
  <c r="L10" i="34"/>
  <c r="M10" i="34"/>
  <c r="N10" i="34"/>
  <c r="O10" i="34"/>
  <c r="P10" i="34"/>
  <c r="Q10" i="34"/>
  <c r="R10" i="34"/>
  <c r="B11" i="34"/>
  <c r="C11" i="34"/>
  <c r="D11" i="34"/>
  <c r="E11" i="34"/>
  <c r="F11" i="34"/>
  <c r="G11" i="34"/>
  <c r="H11" i="34"/>
  <c r="I11" i="34"/>
  <c r="J11" i="34"/>
  <c r="K11" i="34"/>
  <c r="L11" i="34"/>
  <c r="M11" i="34"/>
  <c r="N11" i="34"/>
  <c r="O11" i="34"/>
  <c r="P11" i="34"/>
  <c r="Q11" i="34"/>
  <c r="R11" i="34"/>
  <c r="B12" i="34"/>
  <c r="C12" i="34"/>
  <c r="D12" i="34"/>
  <c r="E12" i="34"/>
  <c r="F12" i="34"/>
  <c r="G12" i="34"/>
  <c r="H12" i="34"/>
  <c r="I12" i="34"/>
  <c r="J12" i="34"/>
  <c r="K12" i="34"/>
  <c r="L12" i="34"/>
  <c r="M12" i="34"/>
  <c r="N12" i="34"/>
  <c r="O12" i="34"/>
  <c r="P12" i="34"/>
  <c r="Q12" i="34"/>
  <c r="R12" i="34"/>
  <c r="B13" i="34"/>
  <c r="C13" i="34"/>
  <c r="D13" i="34"/>
  <c r="E13" i="34"/>
  <c r="F13" i="34"/>
  <c r="G13" i="34"/>
  <c r="H13" i="34"/>
  <c r="I13" i="34"/>
  <c r="J13" i="34"/>
  <c r="K13" i="34"/>
  <c r="L13" i="34"/>
  <c r="M13" i="34"/>
  <c r="N13" i="34"/>
  <c r="O13" i="34"/>
  <c r="P13" i="34"/>
  <c r="Q13" i="34"/>
  <c r="R13" i="34"/>
  <c r="B14" i="34"/>
  <c r="C14" i="34"/>
  <c r="D14" i="34"/>
  <c r="E14" i="34"/>
  <c r="F14" i="34"/>
  <c r="G14" i="34"/>
  <c r="H14" i="34"/>
  <c r="I14" i="34"/>
  <c r="J14" i="34"/>
  <c r="K14" i="34"/>
  <c r="L14" i="34"/>
  <c r="M14" i="34"/>
  <c r="N14" i="34"/>
  <c r="O14" i="34"/>
  <c r="P14" i="34"/>
  <c r="Q14" i="34"/>
  <c r="R14" i="34"/>
  <c r="B15" i="34"/>
  <c r="C15" i="34"/>
  <c r="D15" i="34"/>
  <c r="E15" i="34"/>
  <c r="F15" i="34"/>
  <c r="G15" i="34"/>
  <c r="H15" i="34"/>
  <c r="I15" i="34"/>
  <c r="J15" i="34"/>
  <c r="K15" i="34"/>
  <c r="L15" i="34"/>
  <c r="M15" i="34"/>
  <c r="N15" i="34"/>
  <c r="O15" i="34"/>
  <c r="P15" i="34"/>
  <c r="Q15" i="34"/>
  <c r="R15" i="34"/>
  <c r="B17" i="34"/>
  <c r="C17" i="34"/>
  <c r="D17" i="34"/>
  <c r="E17" i="34"/>
  <c r="F17" i="34"/>
  <c r="G17" i="34"/>
  <c r="H17" i="34"/>
  <c r="I17" i="34"/>
  <c r="J17" i="34"/>
  <c r="K17" i="34"/>
  <c r="L17" i="34"/>
  <c r="M17" i="34"/>
  <c r="N17" i="34"/>
  <c r="O17" i="34"/>
  <c r="P17" i="34"/>
  <c r="Q17" i="34"/>
  <c r="R17" i="34"/>
  <c r="B18" i="34"/>
  <c r="C18" i="34"/>
  <c r="D18" i="34"/>
  <c r="E18" i="34"/>
  <c r="F18" i="34"/>
  <c r="G18" i="34"/>
  <c r="H18" i="34"/>
  <c r="I18" i="34"/>
  <c r="J18" i="34"/>
  <c r="K18" i="34"/>
  <c r="L18" i="34"/>
  <c r="M18" i="34"/>
  <c r="N18" i="34"/>
  <c r="O18" i="34"/>
  <c r="P18" i="34"/>
  <c r="Q18" i="34"/>
  <c r="R18" i="34"/>
  <c r="B19" i="34"/>
  <c r="C19" i="34"/>
  <c r="D19" i="34"/>
  <c r="E19" i="34"/>
  <c r="F19" i="34"/>
  <c r="G19" i="34"/>
  <c r="H19" i="34"/>
  <c r="I19" i="34"/>
  <c r="J19" i="34"/>
  <c r="K19" i="34"/>
  <c r="L19" i="34"/>
  <c r="M19" i="34"/>
  <c r="N19" i="34"/>
  <c r="O19" i="34"/>
  <c r="P19" i="34"/>
  <c r="Q19" i="34"/>
  <c r="R19" i="34"/>
  <c r="B20" i="34"/>
  <c r="C20" i="34"/>
  <c r="D20" i="34"/>
  <c r="E20" i="34"/>
  <c r="F20" i="34"/>
  <c r="G20" i="34"/>
  <c r="H20" i="34"/>
  <c r="I20" i="34"/>
  <c r="J20" i="34"/>
  <c r="K20" i="34"/>
  <c r="L20" i="34"/>
  <c r="M20" i="34"/>
  <c r="N20" i="34"/>
  <c r="O20" i="34"/>
  <c r="P20" i="34"/>
  <c r="Q20" i="34"/>
  <c r="R20" i="34"/>
  <c r="B21" i="34"/>
  <c r="C21" i="34"/>
  <c r="D21" i="34"/>
  <c r="E21" i="34"/>
  <c r="F21" i="34"/>
  <c r="G21" i="34"/>
  <c r="H21" i="34"/>
  <c r="I21" i="34"/>
  <c r="J21" i="34"/>
  <c r="K21" i="34"/>
  <c r="L21" i="34"/>
  <c r="M21" i="34"/>
  <c r="N21" i="34"/>
  <c r="O21" i="34"/>
  <c r="P21" i="34"/>
  <c r="Q21" i="34"/>
  <c r="R21" i="34"/>
  <c r="B22" i="34"/>
  <c r="C22" i="34"/>
  <c r="D22" i="34"/>
  <c r="E22" i="34"/>
  <c r="F22" i="34"/>
  <c r="G22" i="34"/>
  <c r="H22" i="34"/>
  <c r="I22" i="34"/>
  <c r="J22" i="34"/>
  <c r="K22" i="34"/>
  <c r="L22" i="34"/>
  <c r="M22" i="34"/>
  <c r="N22" i="34"/>
  <c r="O22" i="34"/>
  <c r="P22" i="34"/>
  <c r="Q22" i="34"/>
  <c r="R22" i="34"/>
  <c r="B26" i="34"/>
  <c r="C26" i="34"/>
  <c r="D26" i="34"/>
  <c r="E26" i="34"/>
  <c r="F26" i="34"/>
  <c r="G26" i="34"/>
  <c r="H26" i="34"/>
  <c r="I26" i="34"/>
  <c r="J26" i="34"/>
  <c r="K26" i="34"/>
  <c r="L26" i="34"/>
  <c r="M26" i="34"/>
  <c r="N26" i="34"/>
  <c r="O26" i="34"/>
  <c r="P26" i="34"/>
  <c r="Q26" i="34"/>
  <c r="R26" i="34"/>
  <c r="B27" i="34"/>
  <c r="C27" i="34"/>
  <c r="D27" i="34"/>
  <c r="E27" i="34"/>
  <c r="F27" i="34"/>
  <c r="G27" i="34"/>
  <c r="H27" i="34"/>
  <c r="I27" i="34"/>
  <c r="J27" i="34"/>
  <c r="K27" i="34"/>
  <c r="L27" i="34"/>
  <c r="M27" i="34"/>
  <c r="N27" i="34"/>
  <c r="O27" i="34"/>
  <c r="P27" i="34"/>
  <c r="Q27" i="34"/>
  <c r="R27" i="34"/>
  <c r="B28" i="34"/>
  <c r="C28" i="34"/>
  <c r="D28" i="34"/>
  <c r="E28" i="34"/>
  <c r="F28" i="34"/>
  <c r="G28" i="34"/>
  <c r="H28" i="34"/>
  <c r="I28" i="34"/>
  <c r="J28" i="34"/>
  <c r="K28" i="34"/>
  <c r="L28" i="34"/>
  <c r="M28" i="34"/>
  <c r="N28" i="34"/>
  <c r="O28" i="34"/>
  <c r="P28" i="34"/>
  <c r="Q28" i="34"/>
  <c r="R28" i="34"/>
  <c r="B29" i="34"/>
  <c r="C29" i="34"/>
  <c r="D29" i="34"/>
  <c r="E29" i="34"/>
  <c r="F29" i="34"/>
  <c r="G29" i="34"/>
  <c r="H29" i="34"/>
  <c r="I29" i="34"/>
  <c r="J29" i="34"/>
  <c r="K29" i="34"/>
  <c r="L29" i="34"/>
  <c r="M29" i="34"/>
  <c r="N29" i="34"/>
  <c r="O29" i="34"/>
  <c r="P29" i="34"/>
  <c r="Q29" i="34"/>
  <c r="R29" i="34"/>
  <c r="B32" i="34"/>
  <c r="C32" i="34"/>
  <c r="D32" i="34"/>
  <c r="E32" i="34"/>
  <c r="F32" i="34"/>
  <c r="G32" i="34"/>
  <c r="H32" i="34"/>
  <c r="I32" i="34"/>
  <c r="J32" i="34"/>
  <c r="K32" i="34"/>
  <c r="L32" i="34"/>
  <c r="M32" i="34"/>
  <c r="N32" i="34"/>
  <c r="O32" i="34"/>
  <c r="P32" i="34"/>
  <c r="Q32" i="34"/>
  <c r="R32" i="34"/>
  <c r="B33" i="34"/>
  <c r="C33" i="34"/>
  <c r="D33" i="34"/>
  <c r="E33" i="34"/>
  <c r="F33" i="34"/>
  <c r="G33" i="34"/>
  <c r="H33" i="34"/>
  <c r="I33" i="34"/>
  <c r="J33" i="34"/>
  <c r="K33" i="34"/>
  <c r="L33" i="34"/>
  <c r="M33" i="34"/>
  <c r="N33" i="34"/>
  <c r="O33" i="34"/>
  <c r="P33" i="34"/>
  <c r="Q33" i="34"/>
  <c r="R33" i="34"/>
  <c r="B34" i="34"/>
  <c r="C34" i="34"/>
  <c r="D34" i="34"/>
  <c r="E34" i="34"/>
  <c r="F34" i="34"/>
  <c r="G34" i="34"/>
  <c r="H34" i="34"/>
  <c r="I34" i="34"/>
  <c r="J34" i="34"/>
  <c r="K34" i="34"/>
  <c r="L34" i="34"/>
  <c r="M34" i="34"/>
  <c r="N34" i="34"/>
  <c r="O34" i="34"/>
  <c r="P34" i="34"/>
  <c r="Q34" i="34"/>
  <c r="R34" i="34"/>
  <c r="B35" i="34"/>
  <c r="C35" i="34"/>
  <c r="D35" i="34"/>
  <c r="E35" i="34"/>
  <c r="F35" i="34"/>
  <c r="G35" i="34"/>
  <c r="H35" i="34"/>
  <c r="I35" i="34"/>
  <c r="J35" i="34"/>
  <c r="K35" i="34"/>
  <c r="L35" i="34"/>
  <c r="M35" i="34"/>
  <c r="N35" i="34"/>
  <c r="O35" i="34"/>
  <c r="P35" i="34"/>
  <c r="Q35" i="34"/>
  <c r="R35" i="34"/>
  <c r="B38" i="34"/>
  <c r="C38" i="34"/>
  <c r="D38" i="34"/>
  <c r="E38" i="34"/>
  <c r="F38" i="34"/>
  <c r="G38" i="34"/>
  <c r="H38" i="34"/>
  <c r="I38" i="34"/>
  <c r="J38" i="34"/>
  <c r="K38" i="34"/>
  <c r="L38" i="34"/>
  <c r="M38" i="34"/>
  <c r="N38" i="34"/>
  <c r="O38" i="34"/>
  <c r="P38" i="34"/>
  <c r="Q38" i="34"/>
  <c r="R38" i="34"/>
  <c r="B39" i="34"/>
  <c r="C39" i="34"/>
  <c r="D39" i="34"/>
  <c r="E39" i="34"/>
  <c r="F39" i="34"/>
  <c r="G39" i="34"/>
  <c r="H39" i="34"/>
  <c r="I39" i="34"/>
  <c r="J39" i="34"/>
  <c r="K39" i="34"/>
  <c r="L39" i="34"/>
  <c r="M39" i="34"/>
  <c r="N39" i="34"/>
  <c r="O39" i="34"/>
  <c r="P39" i="34"/>
  <c r="Q39" i="34"/>
  <c r="R39" i="34"/>
  <c r="B40" i="34"/>
  <c r="C40" i="34"/>
  <c r="D40" i="34"/>
  <c r="E40" i="34"/>
  <c r="F40" i="34"/>
  <c r="G40" i="34"/>
  <c r="H40" i="34"/>
  <c r="I40" i="34"/>
  <c r="J40" i="34"/>
  <c r="K40" i="34"/>
  <c r="L40" i="34"/>
  <c r="M40" i="34"/>
  <c r="N40" i="34"/>
  <c r="O40" i="34"/>
  <c r="P40" i="34"/>
  <c r="Q40" i="34"/>
  <c r="R40" i="34"/>
  <c r="B41" i="34"/>
  <c r="C41" i="34"/>
  <c r="D41" i="34"/>
  <c r="E41" i="34"/>
  <c r="F41" i="34"/>
  <c r="G41" i="34"/>
  <c r="H41" i="34"/>
  <c r="I41" i="34"/>
  <c r="J41" i="34"/>
  <c r="K41" i="34"/>
  <c r="L41" i="34"/>
  <c r="M41" i="34"/>
  <c r="N41" i="34"/>
  <c r="O41" i="34"/>
  <c r="P41" i="34"/>
  <c r="Q41" i="34"/>
  <c r="R41" i="34"/>
  <c r="B43" i="34"/>
  <c r="C43" i="34"/>
  <c r="D43" i="34"/>
  <c r="E43" i="34"/>
  <c r="F43" i="34"/>
  <c r="G43" i="34"/>
  <c r="H43" i="34"/>
  <c r="I43" i="34"/>
  <c r="J43" i="34"/>
  <c r="K43" i="34"/>
  <c r="L43" i="34"/>
  <c r="M43" i="34"/>
  <c r="N43" i="34"/>
  <c r="O43" i="34"/>
  <c r="P43" i="34"/>
  <c r="Q43" i="34"/>
  <c r="R43" i="34"/>
  <c r="B44" i="34"/>
  <c r="C44" i="34"/>
  <c r="D44" i="34"/>
  <c r="E44" i="34"/>
  <c r="F44" i="34"/>
  <c r="G44" i="34"/>
  <c r="H44" i="34"/>
  <c r="I44" i="34"/>
  <c r="J44" i="34"/>
  <c r="K44" i="34"/>
  <c r="L44" i="34"/>
  <c r="M44" i="34"/>
  <c r="N44" i="34"/>
  <c r="O44" i="34"/>
  <c r="P44" i="34"/>
  <c r="Q44" i="34"/>
  <c r="R44" i="34"/>
  <c r="B47" i="34"/>
  <c r="C47" i="34"/>
  <c r="D47" i="34"/>
  <c r="E47" i="34"/>
  <c r="F47" i="34"/>
  <c r="G47" i="34"/>
  <c r="H47" i="34"/>
  <c r="I47" i="34"/>
  <c r="J47" i="34"/>
  <c r="K47" i="34"/>
  <c r="L47" i="34"/>
  <c r="M47" i="34"/>
  <c r="N47" i="34"/>
  <c r="O47" i="34"/>
  <c r="P47" i="34"/>
  <c r="Q47" i="34"/>
  <c r="R47" i="34"/>
  <c r="B48" i="34"/>
  <c r="C48" i="34"/>
  <c r="D48" i="34"/>
  <c r="E48" i="34"/>
  <c r="F48" i="34"/>
  <c r="G48" i="34"/>
  <c r="H48" i="34"/>
  <c r="I48" i="34"/>
  <c r="J48" i="34"/>
  <c r="K48" i="34"/>
  <c r="L48" i="34"/>
  <c r="M48" i="34"/>
  <c r="N48" i="34"/>
  <c r="O48" i="34"/>
  <c r="P48" i="34"/>
  <c r="Q48" i="34"/>
  <c r="R48" i="34"/>
  <c r="B49" i="34"/>
  <c r="C49" i="34"/>
  <c r="D49" i="34"/>
  <c r="E49" i="34"/>
  <c r="F49" i="34"/>
  <c r="G49" i="34"/>
  <c r="H49" i="34"/>
  <c r="I49" i="34"/>
  <c r="J49" i="34"/>
  <c r="K49" i="34"/>
  <c r="L49" i="34"/>
  <c r="M49" i="34"/>
  <c r="N49" i="34"/>
  <c r="O49" i="34"/>
  <c r="P49" i="34"/>
  <c r="Q49" i="34"/>
  <c r="R49" i="34"/>
  <c r="B50" i="34"/>
  <c r="C50" i="34"/>
  <c r="D50" i="34"/>
  <c r="E50" i="34"/>
  <c r="F50" i="34"/>
  <c r="G50" i="34"/>
  <c r="H50" i="34"/>
  <c r="I50" i="34"/>
  <c r="J50" i="34"/>
  <c r="K50" i="34"/>
  <c r="L50" i="34"/>
  <c r="M50" i="34"/>
  <c r="N50" i="34"/>
  <c r="O50" i="34"/>
  <c r="P50" i="34"/>
  <c r="Q50" i="34"/>
  <c r="R50" i="34"/>
  <c r="B51" i="34"/>
  <c r="C51" i="34"/>
  <c r="D51" i="34"/>
  <c r="E51" i="34"/>
  <c r="F51" i="34"/>
  <c r="G51" i="34"/>
  <c r="H51" i="34"/>
  <c r="I51" i="34"/>
  <c r="J51" i="34"/>
  <c r="K51" i="34"/>
  <c r="L51" i="34"/>
  <c r="M51" i="34"/>
  <c r="N51" i="34"/>
  <c r="O51" i="34"/>
  <c r="P51" i="34"/>
  <c r="Q51" i="34"/>
  <c r="R51" i="34"/>
  <c r="B52" i="34"/>
  <c r="C52" i="34"/>
  <c r="D52" i="34"/>
  <c r="E52" i="34"/>
  <c r="F52" i="34"/>
  <c r="G52" i="34"/>
  <c r="H52" i="34"/>
  <c r="I52" i="34"/>
  <c r="J52" i="34"/>
  <c r="K52" i="34"/>
  <c r="L52" i="34"/>
  <c r="M52" i="34"/>
  <c r="N52" i="34"/>
  <c r="O52" i="34"/>
  <c r="P52" i="34"/>
  <c r="Q52" i="34"/>
  <c r="R52" i="34"/>
  <c r="B56" i="34"/>
  <c r="C56" i="34"/>
  <c r="D56" i="34"/>
  <c r="E56" i="34"/>
  <c r="F56" i="34"/>
  <c r="G56" i="34"/>
  <c r="H56" i="34"/>
  <c r="I56" i="34"/>
  <c r="J56" i="34"/>
  <c r="K56" i="34"/>
  <c r="L56" i="34"/>
  <c r="M56" i="34"/>
  <c r="N56" i="34"/>
  <c r="O56" i="34"/>
  <c r="P56" i="34"/>
  <c r="Q56" i="34"/>
  <c r="R56" i="34"/>
  <c r="B57" i="34"/>
  <c r="C57" i="34"/>
  <c r="D57" i="34"/>
  <c r="E57" i="34"/>
  <c r="F57" i="34"/>
  <c r="G57" i="34"/>
  <c r="H57" i="34"/>
  <c r="I57" i="34"/>
  <c r="J57" i="34"/>
  <c r="K57" i="34"/>
  <c r="L57" i="34"/>
  <c r="M57" i="34"/>
  <c r="N57" i="34"/>
  <c r="O57" i="34"/>
  <c r="P57" i="34"/>
  <c r="Q57" i="34"/>
  <c r="R57" i="34"/>
  <c r="B58" i="34"/>
  <c r="C58" i="34"/>
  <c r="D58" i="34"/>
  <c r="E58" i="34"/>
  <c r="F58" i="34"/>
  <c r="G58" i="34"/>
  <c r="H58" i="34"/>
  <c r="I58" i="34"/>
  <c r="J58" i="34"/>
  <c r="K58" i="34"/>
  <c r="L58" i="34"/>
  <c r="M58" i="34"/>
  <c r="N58" i="34"/>
  <c r="O58" i="34"/>
  <c r="P58" i="34"/>
  <c r="Q58" i="34"/>
  <c r="R58" i="34"/>
  <c r="B60" i="34"/>
  <c r="C60" i="34"/>
  <c r="D60" i="34"/>
  <c r="E60" i="34"/>
  <c r="F60" i="34"/>
  <c r="G60" i="34"/>
  <c r="H60" i="34"/>
  <c r="I60" i="34"/>
  <c r="J60" i="34"/>
  <c r="K60" i="34"/>
  <c r="L60" i="34"/>
  <c r="M60" i="34"/>
  <c r="N60" i="34"/>
  <c r="O60" i="34"/>
  <c r="P60" i="34"/>
  <c r="Q60" i="34"/>
  <c r="R60" i="34"/>
  <c r="B61" i="34"/>
  <c r="C61" i="34"/>
  <c r="D61" i="34"/>
  <c r="E61" i="34"/>
  <c r="F61" i="34"/>
  <c r="G61" i="34"/>
  <c r="H61" i="34"/>
  <c r="I61" i="34"/>
  <c r="J61" i="34"/>
  <c r="K61" i="34"/>
  <c r="L61" i="34"/>
  <c r="M61" i="34"/>
  <c r="N61" i="34"/>
  <c r="O61" i="34"/>
  <c r="P61" i="34"/>
  <c r="Q61" i="34"/>
  <c r="R61" i="34"/>
  <c r="B62" i="34"/>
  <c r="C62" i="34"/>
  <c r="D62" i="34"/>
  <c r="E62" i="34"/>
  <c r="F62" i="34"/>
  <c r="G62" i="34"/>
  <c r="H62" i="34"/>
  <c r="I62" i="34"/>
  <c r="J62" i="34"/>
  <c r="K62" i="34"/>
  <c r="L62" i="34"/>
  <c r="M62" i="34"/>
  <c r="N62" i="34"/>
  <c r="O62" i="34"/>
  <c r="P62" i="34"/>
  <c r="Q62" i="34"/>
  <c r="R62" i="34"/>
  <c r="K68" i="34"/>
  <c r="Q68" i="34"/>
  <c r="R68" i="34"/>
  <c r="B69" i="34"/>
  <c r="C69" i="34"/>
  <c r="D69" i="34"/>
  <c r="E69" i="34"/>
  <c r="F69" i="34"/>
  <c r="G69" i="34"/>
  <c r="H69" i="34"/>
  <c r="I69" i="34"/>
  <c r="J69" i="34"/>
  <c r="K69" i="34"/>
  <c r="M69" i="34"/>
  <c r="O69" i="34"/>
  <c r="P69" i="34"/>
  <c r="Q69" i="34"/>
  <c r="R69" i="34"/>
  <c r="B76" i="34"/>
  <c r="E76" i="34"/>
  <c r="I76" i="34"/>
  <c r="L76" i="34"/>
  <c r="B77" i="34"/>
  <c r="E77" i="34"/>
  <c r="I77" i="34"/>
  <c r="L77" i="34"/>
  <c r="B78" i="34"/>
  <c r="E78" i="34"/>
  <c r="I78" i="34"/>
  <c r="L78" i="34"/>
  <c r="B79" i="34"/>
  <c r="E79" i="34"/>
  <c r="I79" i="34"/>
  <c r="L79" i="34"/>
  <c r="B80" i="34"/>
  <c r="E80" i="34"/>
  <c r="I80" i="34"/>
  <c r="L80" i="34"/>
  <c r="B81" i="34"/>
  <c r="E81" i="34"/>
  <c r="I81" i="34"/>
  <c r="L81" i="34"/>
  <c r="B82" i="34"/>
  <c r="E82" i="34"/>
  <c r="I82" i="34"/>
  <c r="L82" i="34"/>
  <c r="B83" i="34"/>
  <c r="E83" i="34"/>
  <c r="I83" i="34"/>
  <c r="L83" i="34"/>
  <c r="B84" i="34"/>
  <c r="E84" i="34"/>
  <c r="I84" i="34"/>
  <c r="L84" i="34"/>
  <c r="B85" i="34"/>
  <c r="E85" i="34"/>
  <c r="I85" i="34"/>
  <c r="L85" i="34"/>
  <c r="B86" i="34"/>
  <c r="E86" i="34"/>
  <c r="I86" i="34"/>
  <c r="L86" i="34"/>
  <c r="B87" i="34"/>
  <c r="E87" i="34"/>
  <c r="I87" i="34"/>
  <c r="L87" i="34"/>
  <c r="B88" i="34"/>
  <c r="E88" i="34"/>
  <c r="I88" i="34"/>
  <c r="L88" i="34"/>
  <c r="B145" i="34"/>
  <c r="B148" i="34"/>
  <c r="B152" i="34"/>
  <c r="B156" i="34"/>
  <c r="C156" i="34"/>
  <c r="D156" i="34"/>
  <c r="E156" i="34"/>
  <c r="G156" i="34"/>
  <c r="H156" i="34"/>
  <c r="I156" i="34"/>
  <c r="M156" i="34"/>
  <c r="P156" i="34"/>
  <c r="B10" i="36"/>
  <c r="C10" i="36"/>
  <c r="D10" i="36"/>
  <c r="E10" i="36"/>
  <c r="F10" i="36"/>
  <c r="G10" i="36"/>
  <c r="H10" i="36"/>
  <c r="I10" i="36"/>
  <c r="J10" i="36"/>
  <c r="K10" i="36"/>
  <c r="L10" i="36"/>
  <c r="M10" i="36"/>
  <c r="N10" i="36"/>
  <c r="O10" i="36"/>
  <c r="P10" i="36"/>
  <c r="Q10" i="36"/>
  <c r="R10" i="36"/>
  <c r="B11" i="36"/>
  <c r="C11" i="36"/>
  <c r="D11" i="36"/>
  <c r="E11" i="36"/>
  <c r="F11" i="36"/>
  <c r="G11" i="36"/>
  <c r="H11" i="36"/>
  <c r="I11" i="36"/>
  <c r="J11" i="36"/>
  <c r="K11" i="36"/>
  <c r="L11" i="36"/>
  <c r="M11" i="36"/>
  <c r="N11" i="36"/>
  <c r="O11" i="36"/>
  <c r="P11" i="36"/>
  <c r="Q11" i="36"/>
  <c r="R11" i="36"/>
  <c r="B12" i="36"/>
  <c r="C12" i="36"/>
  <c r="D12" i="36"/>
  <c r="E12" i="36"/>
  <c r="F12" i="36"/>
  <c r="G12" i="36"/>
  <c r="H12" i="36"/>
  <c r="I12" i="36"/>
  <c r="J12" i="36"/>
  <c r="K12" i="36"/>
  <c r="L12" i="36"/>
  <c r="M12" i="36"/>
  <c r="N12" i="36"/>
  <c r="O12" i="36"/>
  <c r="P12" i="36"/>
  <c r="Q12" i="36"/>
  <c r="R12" i="36"/>
  <c r="B13" i="36"/>
  <c r="C13" i="36"/>
  <c r="D13" i="36"/>
  <c r="E13" i="36"/>
  <c r="F13" i="36"/>
  <c r="G13" i="36"/>
  <c r="H13" i="36"/>
  <c r="I13" i="36"/>
  <c r="J13" i="36"/>
  <c r="K13" i="36"/>
  <c r="L13" i="36"/>
  <c r="M13" i="36"/>
  <c r="N13" i="36"/>
  <c r="O13" i="36"/>
  <c r="P13" i="36"/>
  <c r="Q13" i="36"/>
  <c r="R13" i="36"/>
  <c r="B14" i="36"/>
  <c r="C14" i="36"/>
  <c r="D14" i="36"/>
  <c r="E14" i="36"/>
  <c r="F14" i="36"/>
  <c r="G14" i="36"/>
  <c r="H14" i="36"/>
  <c r="I14" i="36"/>
  <c r="J14" i="36"/>
  <c r="K14" i="36"/>
  <c r="L14" i="36"/>
  <c r="M14" i="36"/>
  <c r="N14" i="36"/>
  <c r="O14" i="36"/>
  <c r="P14" i="36"/>
  <c r="Q14" i="36"/>
  <c r="R14" i="36"/>
  <c r="B15" i="36"/>
  <c r="C15" i="36"/>
  <c r="D15" i="36"/>
  <c r="E15" i="36"/>
  <c r="F15" i="36"/>
  <c r="G15" i="36"/>
  <c r="H15" i="36"/>
  <c r="I15" i="36"/>
  <c r="J15" i="36"/>
  <c r="K15" i="36"/>
  <c r="L15" i="36"/>
  <c r="M15" i="36"/>
  <c r="N15" i="36"/>
  <c r="O15" i="36"/>
  <c r="P15" i="36"/>
  <c r="Q15" i="36"/>
  <c r="R15" i="36"/>
  <c r="B17" i="36"/>
  <c r="C17" i="36"/>
  <c r="D17" i="36"/>
  <c r="E17" i="36"/>
  <c r="F17" i="36"/>
  <c r="G17" i="36"/>
  <c r="H17" i="36"/>
  <c r="I17" i="36"/>
  <c r="J17" i="36"/>
  <c r="K17" i="36"/>
  <c r="L17" i="36"/>
  <c r="M17" i="36"/>
  <c r="N17" i="36"/>
  <c r="O17" i="36"/>
  <c r="P17" i="36"/>
  <c r="Q17" i="36"/>
  <c r="R17" i="36"/>
  <c r="B18" i="36"/>
  <c r="C18" i="36"/>
  <c r="D18" i="36"/>
  <c r="E18" i="36"/>
  <c r="F18" i="36"/>
  <c r="G18" i="36"/>
  <c r="H18" i="36"/>
  <c r="I18" i="36"/>
  <c r="J18" i="36"/>
  <c r="K18" i="36"/>
  <c r="L18" i="36"/>
  <c r="M18" i="36"/>
  <c r="N18" i="36"/>
  <c r="O18" i="36"/>
  <c r="P18" i="36"/>
  <c r="Q18" i="36"/>
  <c r="R18" i="36"/>
  <c r="B19" i="36"/>
  <c r="C19" i="36"/>
  <c r="D19" i="36"/>
  <c r="E19" i="36"/>
  <c r="F19" i="36"/>
  <c r="G19" i="36"/>
  <c r="H19" i="36"/>
  <c r="I19" i="36"/>
  <c r="J19" i="36"/>
  <c r="K19" i="36"/>
  <c r="L19" i="36"/>
  <c r="M19" i="36"/>
  <c r="N19" i="36"/>
  <c r="O19" i="36"/>
  <c r="P19" i="36"/>
  <c r="Q19" i="36"/>
  <c r="R19" i="36"/>
  <c r="B20" i="36"/>
  <c r="C20" i="36"/>
  <c r="D20" i="36"/>
  <c r="E20" i="36"/>
  <c r="F20" i="36"/>
  <c r="G20" i="36"/>
  <c r="H20" i="36"/>
  <c r="I20" i="36"/>
  <c r="J20" i="36"/>
  <c r="K20" i="36"/>
  <c r="L20" i="36"/>
  <c r="M20" i="36"/>
  <c r="N20" i="36"/>
  <c r="O20" i="36"/>
  <c r="P20" i="36"/>
  <c r="Q20" i="36"/>
  <c r="R20" i="36"/>
  <c r="B21" i="36"/>
  <c r="C21" i="36"/>
  <c r="D21" i="36"/>
  <c r="E21" i="36"/>
  <c r="F21" i="36"/>
  <c r="G21" i="36"/>
  <c r="H21" i="36"/>
  <c r="I21" i="36"/>
  <c r="J21" i="36"/>
  <c r="K21" i="36"/>
  <c r="L21" i="36"/>
  <c r="M21" i="36"/>
  <c r="N21" i="36"/>
  <c r="O21" i="36"/>
  <c r="P21" i="36"/>
  <c r="Q21" i="36"/>
  <c r="R21" i="36"/>
  <c r="B22" i="36"/>
  <c r="C22" i="36"/>
  <c r="D22" i="36"/>
  <c r="E22" i="36"/>
  <c r="F22" i="36"/>
  <c r="G22" i="36"/>
  <c r="H22" i="36"/>
  <c r="I22" i="36"/>
  <c r="J22" i="36"/>
  <c r="K22" i="36"/>
  <c r="L22" i="36"/>
  <c r="M22" i="36"/>
  <c r="N22" i="36"/>
  <c r="O22" i="36"/>
  <c r="P22" i="36"/>
  <c r="Q22" i="36"/>
  <c r="R22" i="36"/>
  <c r="B26" i="36"/>
  <c r="C26" i="36"/>
  <c r="D26" i="36"/>
  <c r="E26" i="36"/>
  <c r="F26" i="36"/>
  <c r="G26" i="36"/>
  <c r="H26" i="36"/>
  <c r="I26" i="36"/>
  <c r="J26" i="36"/>
  <c r="K26" i="36"/>
  <c r="L26" i="36"/>
  <c r="M26" i="36"/>
  <c r="N26" i="36"/>
  <c r="O26" i="36"/>
  <c r="P26" i="36"/>
  <c r="Q26" i="36"/>
  <c r="R26" i="36"/>
  <c r="B27" i="36"/>
  <c r="C27" i="36"/>
  <c r="D27" i="36"/>
  <c r="E27" i="36"/>
  <c r="F27" i="36"/>
  <c r="G27" i="36"/>
  <c r="H27" i="36"/>
  <c r="I27" i="36"/>
  <c r="J27" i="36"/>
  <c r="K27" i="36"/>
  <c r="L27" i="36"/>
  <c r="M27" i="36"/>
  <c r="N27" i="36"/>
  <c r="O27" i="36"/>
  <c r="P27" i="36"/>
  <c r="Q27" i="36"/>
  <c r="R27" i="36"/>
  <c r="B28" i="36"/>
  <c r="C28" i="36"/>
  <c r="D28" i="36"/>
  <c r="E28" i="36"/>
  <c r="F28" i="36"/>
  <c r="G28" i="36"/>
  <c r="H28" i="36"/>
  <c r="I28" i="36"/>
  <c r="J28" i="36"/>
  <c r="K28" i="36"/>
  <c r="L28" i="36"/>
  <c r="M28" i="36"/>
  <c r="N28" i="36"/>
  <c r="O28" i="36"/>
  <c r="P28" i="36"/>
  <c r="Q28" i="36"/>
  <c r="R28" i="36"/>
  <c r="B29" i="36"/>
  <c r="C29" i="36"/>
  <c r="D29" i="36"/>
  <c r="E29" i="36"/>
  <c r="F29" i="36"/>
  <c r="G29" i="36"/>
  <c r="H29" i="36"/>
  <c r="I29" i="36"/>
  <c r="J29" i="36"/>
  <c r="K29" i="36"/>
  <c r="L29" i="36"/>
  <c r="M29" i="36"/>
  <c r="N29" i="36"/>
  <c r="O29" i="36"/>
  <c r="P29" i="36"/>
  <c r="Q29" i="36"/>
  <c r="R29" i="36"/>
  <c r="B32" i="36"/>
  <c r="C32" i="36"/>
  <c r="D32" i="36"/>
  <c r="E32" i="36"/>
  <c r="F32" i="36"/>
  <c r="G32" i="36"/>
  <c r="H32" i="36"/>
  <c r="I32" i="36"/>
  <c r="J32" i="36"/>
  <c r="K32" i="36"/>
  <c r="L32" i="36"/>
  <c r="M32" i="36"/>
  <c r="N32" i="36"/>
  <c r="O32" i="36"/>
  <c r="P32" i="36"/>
  <c r="Q32" i="36"/>
  <c r="R32" i="36"/>
  <c r="B33" i="36"/>
  <c r="C33" i="36"/>
  <c r="D33" i="36"/>
  <c r="E33" i="36"/>
  <c r="F33" i="36"/>
  <c r="G33" i="36"/>
  <c r="H33" i="36"/>
  <c r="I33" i="36"/>
  <c r="J33" i="36"/>
  <c r="K33" i="36"/>
  <c r="L33" i="36"/>
  <c r="M33" i="36"/>
  <c r="N33" i="36"/>
  <c r="O33" i="36"/>
  <c r="P33" i="36"/>
  <c r="Q33" i="36"/>
  <c r="R33" i="36"/>
  <c r="B34" i="36"/>
  <c r="C34" i="36"/>
  <c r="D34" i="36"/>
  <c r="E34" i="36"/>
  <c r="F34" i="36"/>
  <c r="G34" i="36"/>
  <c r="H34" i="36"/>
  <c r="I34" i="36"/>
  <c r="J34" i="36"/>
  <c r="K34" i="36"/>
  <c r="L34" i="36"/>
  <c r="M34" i="36"/>
  <c r="N34" i="36"/>
  <c r="O34" i="36"/>
  <c r="P34" i="36"/>
  <c r="Q34" i="36"/>
  <c r="R34" i="36"/>
  <c r="B35" i="36"/>
  <c r="C35" i="36"/>
  <c r="D35" i="36"/>
  <c r="E35" i="36"/>
  <c r="F35" i="36"/>
  <c r="G35" i="36"/>
  <c r="H35" i="36"/>
  <c r="I35" i="36"/>
  <c r="J35" i="36"/>
  <c r="K35" i="36"/>
  <c r="L35" i="36"/>
  <c r="M35" i="36"/>
  <c r="N35" i="36"/>
  <c r="O35" i="36"/>
  <c r="P35" i="36"/>
  <c r="Q35" i="36"/>
  <c r="R35" i="36"/>
  <c r="B38" i="36"/>
  <c r="C38" i="36"/>
  <c r="D38" i="36"/>
  <c r="E38" i="36"/>
  <c r="F38" i="36"/>
  <c r="G38" i="36"/>
  <c r="H38" i="36"/>
  <c r="I38" i="36"/>
  <c r="J38" i="36"/>
  <c r="K38" i="36"/>
  <c r="L38" i="36"/>
  <c r="M38" i="36"/>
  <c r="N38" i="36"/>
  <c r="O38" i="36"/>
  <c r="P38" i="36"/>
  <c r="Q38" i="36"/>
  <c r="R38" i="36"/>
  <c r="B39" i="36"/>
  <c r="C39" i="36"/>
  <c r="D39" i="36"/>
  <c r="E39" i="36"/>
  <c r="F39" i="36"/>
  <c r="G39" i="36"/>
  <c r="H39" i="36"/>
  <c r="I39" i="36"/>
  <c r="J39" i="36"/>
  <c r="K39" i="36"/>
  <c r="L39" i="36"/>
  <c r="M39" i="36"/>
  <c r="N39" i="36"/>
  <c r="O39" i="36"/>
  <c r="P39" i="36"/>
  <c r="Q39" i="36"/>
  <c r="R39" i="36"/>
  <c r="B40" i="36"/>
  <c r="C40" i="36"/>
  <c r="D40" i="36"/>
  <c r="E40" i="36"/>
  <c r="F40" i="36"/>
  <c r="G40" i="36"/>
  <c r="H40" i="36"/>
  <c r="I40" i="36"/>
  <c r="J40" i="36"/>
  <c r="K40" i="36"/>
  <c r="L40" i="36"/>
  <c r="M40" i="36"/>
  <c r="N40" i="36"/>
  <c r="O40" i="36"/>
  <c r="P40" i="36"/>
  <c r="Q40" i="36"/>
  <c r="R40" i="36"/>
  <c r="B41" i="36"/>
  <c r="C41" i="36"/>
  <c r="D41" i="36"/>
  <c r="E41" i="36"/>
  <c r="F41" i="36"/>
  <c r="G41" i="36"/>
  <c r="H41" i="36"/>
  <c r="I41" i="36"/>
  <c r="J41" i="36"/>
  <c r="K41" i="36"/>
  <c r="L41" i="36"/>
  <c r="M41" i="36"/>
  <c r="N41" i="36"/>
  <c r="O41" i="36"/>
  <c r="P41" i="36"/>
  <c r="Q41" i="36"/>
  <c r="R41" i="36"/>
  <c r="B43" i="36"/>
  <c r="C43" i="36"/>
  <c r="D43" i="36"/>
  <c r="E43" i="36"/>
  <c r="F43" i="36"/>
  <c r="G43" i="36"/>
  <c r="H43" i="36"/>
  <c r="I43" i="36"/>
  <c r="J43" i="36"/>
  <c r="K43" i="36"/>
  <c r="L43" i="36"/>
  <c r="M43" i="36"/>
  <c r="N43" i="36"/>
  <c r="O43" i="36"/>
  <c r="P43" i="36"/>
  <c r="Q43" i="36"/>
  <c r="R43" i="36"/>
  <c r="B44" i="36"/>
  <c r="C44" i="36"/>
  <c r="D44" i="36"/>
  <c r="E44" i="36"/>
  <c r="F44" i="36"/>
  <c r="G44" i="36"/>
  <c r="H44" i="36"/>
  <c r="I44" i="36"/>
  <c r="J44" i="36"/>
  <c r="K44" i="36"/>
  <c r="L44" i="36"/>
  <c r="M44" i="36"/>
  <c r="N44" i="36"/>
  <c r="O44" i="36"/>
  <c r="P44" i="36"/>
  <c r="Q44" i="36"/>
  <c r="R44" i="36"/>
  <c r="B47" i="36"/>
  <c r="C47" i="36"/>
  <c r="D47" i="36"/>
  <c r="E47" i="36"/>
  <c r="F47" i="36"/>
  <c r="G47" i="36"/>
  <c r="H47" i="36"/>
  <c r="I47" i="36"/>
  <c r="J47" i="36"/>
  <c r="K47" i="36"/>
  <c r="L47" i="36"/>
  <c r="M47" i="36"/>
  <c r="N47" i="36"/>
  <c r="O47" i="36"/>
  <c r="P47" i="36"/>
  <c r="Q47" i="36"/>
  <c r="R47" i="36"/>
  <c r="B48" i="36"/>
  <c r="C48" i="36"/>
  <c r="D48" i="36"/>
  <c r="E48" i="36"/>
  <c r="F48" i="36"/>
  <c r="G48" i="36"/>
  <c r="H48" i="36"/>
  <c r="I48" i="36"/>
  <c r="J48" i="36"/>
  <c r="K48" i="36"/>
  <c r="L48" i="36"/>
  <c r="M48" i="36"/>
  <c r="N48" i="36"/>
  <c r="O48" i="36"/>
  <c r="P48" i="36"/>
  <c r="Q48" i="36"/>
  <c r="R48" i="36"/>
  <c r="B49" i="36"/>
  <c r="C49" i="36"/>
  <c r="D49" i="36"/>
  <c r="E49" i="36"/>
  <c r="F49" i="36"/>
  <c r="G49" i="36"/>
  <c r="H49" i="36"/>
  <c r="I49" i="36"/>
  <c r="J49" i="36"/>
  <c r="K49" i="36"/>
  <c r="L49" i="36"/>
  <c r="M49" i="36"/>
  <c r="N49" i="36"/>
  <c r="O49" i="36"/>
  <c r="P49" i="36"/>
  <c r="Q49" i="36"/>
  <c r="R49" i="36"/>
  <c r="B50" i="36"/>
  <c r="C50" i="36"/>
  <c r="D50" i="36"/>
  <c r="E50" i="36"/>
  <c r="F50" i="36"/>
  <c r="G50" i="36"/>
  <c r="H50" i="36"/>
  <c r="I50" i="36"/>
  <c r="J50" i="36"/>
  <c r="K50" i="36"/>
  <c r="L50" i="36"/>
  <c r="M50" i="36"/>
  <c r="N50" i="36"/>
  <c r="O50" i="36"/>
  <c r="P50" i="36"/>
  <c r="Q50" i="36"/>
  <c r="R50" i="36"/>
  <c r="B51" i="36"/>
  <c r="C51" i="36"/>
  <c r="D51" i="36"/>
  <c r="E51" i="36"/>
  <c r="F51" i="36"/>
  <c r="G51" i="36"/>
  <c r="H51" i="36"/>
  <c r="I51" i="36"/>
  <c r="J51" i="36"/>
  <c r="K51" i="36"/>
  <c r="L51" i="36"/>
  <c r="M51" i="36"/>
  <c r="N51" i="36"/>
  <c r="O51" i="36"/>
  <c r="P51" i="36"/>
  <c r="Q51" i="36"/>
  <c r="R51" i="36"/>
  <c r="B52" i="36"/>
  <c r="C52" i="36"/>
  <c r="D52" i="36"/>
  <c r="E52" i="36"/>
  <c r="F52" i="36"/>
  <c r="G52" i="36"/>
  <c r="H52" i="36"/>
  <c r="I52" i="36"/>
  <c r="J52" i="36"/>
  <c r="K52" i="36"/>
  <c r="L52" i="36"/>
  <c r="M52" i="36"/>
  <c r="N52" i="36"/>
  <c r="O52" i="36"/>
  <c r="P52" i="36"/>
  <c r="Q52" i="36"/>
  <c r="R52" i="36"/>
  <c r="B56" i="36"/>
  <c r="C56" i="36"/>
  <c r="D56" i="36"/>
  <c r="E56" i="36"/>
  <c r="F56" i="36"/>
  <c r="G56" i="36"/>
  <c r="H56" i="36"/>
  <c r="I56" i="36"/>
  <c r="J56" i="36"/>
  <c r="K56" i="36"/>
  <c r="L56" i="36"/>
  <c r="M56" i="36"/>
  <c r="N56" i="36"/>
  <c r="O56" i="36"/>
  <c r="P56" i="36"/>
  <c r="Q56" i="36"/>
  <c r="R56" i="36"/>
  <c r="N57" i="36"/>
  <c r="B58" i="36"/>
  <c r="C58" i="36"/>
  <c r="D58" i="36"/>
  <c r="E58" i="36"/>
  <c r="F58" i="36"/>
  <c r="G58" i="36"/>
  <c r="H58" i="36"/>
  <c r="I58" i="36"/>
  <c r="J58" i="36"/>
  <c r="K58" i="36"/>
  <c r="L58" i="36"/>
  <c r="M58" i="36"/>
  <c r="N58" i="36"/>
  <c r="O58" i="36"/>
  <c r="P58" i="36"/>
  <c r="Q58" i="36"/>
  <c r="R58" i="36"/>
  <c r="B61" i="36"/>
  <c r="E61" i="36"/>
  <c r="G61" i="36"/>
  <c r="H61" i="36"/>
  <c r="I61" i="36"/>
  <c r="J61" i="36"/>
  <c r="K61" i="36"/>
  <c r="M61" i="36"/>
  <c r="O61" i="36"/>
  <c r="P61" i="36"/>
  <c r="Q61" i="36"/>
  <c r="R61" i="36"/>
  <c r="S61" i="36"/>
  <c r="T61" i="36"/>
  <c r="B66" i="36"/>
  <c r="B67" i="36"/>
  <c r="B68" i="36"/>
  <c r="B69" i="36"/>
  <c r="B70" i="36"/>
  <c r="B71" i="36"/>
  <c r="B72" i="36"/>
  <c r="B73" i="36"/>
  <c r="B74" i="36"/>
  <c r="B75" i="36"/>
  <c r="B76" i="36"/>
  <c r="B77" i="36"/>
  <c r="B78" i="36"/>
  <c r="B140" i="36"/>
  <c r="B143" i="36"/>
  <c r="B147" i="36"/>
  <c r="B151" i="36"/>
  <c r="C151" i="36"/>
  <c r="E151" i="36"/>
  <c r="G151" i="36"/>
  <c r="H151" i="36"/>
  <c r="I151" i="36"/>
  <c r="J151" i="36"/>
  <c r="N151" i="36"/>
  <c r="O151" i="36"/>
  <c r="P151" i="36"/>
  <c r="R151" i="36"/>
  <c r="B10" i="35"/>
  <c r="C10" i="35"/>
  <c r="D10" i="35"/>
  <c r="E10" i="35"/>
  <c r="F10" i="35"/>
  <c r="G10" i="35"/>
  <c r="H10" i="35"/>
  <c r="I10" i="35"/>
  <c r="J10" i="35"/>
  <c r="K10" i="35"/>
  <c r="L10" i="35"/>
  <c r="M10" i="35"/>
  <c r="N10" i="35"/>
  <c r="O10" i="35"/>
  <c r="P10" i="35"/>
  <c r="Q10" i="35"/>
  <c r="R10" i="35"/>
  <c r="B11" i="35"/>
  <c r="C11" i="35"/>
  <c r="D11" i="35"/>
  <c r="E11" i="35"/>
  <c r="F11" i="35"/>
  <c r="G11" i="35"/>
  <c r="H11" i="35"/>
  <c r="I11" i="35"/>
  <c r="J11" i="35"/>
  <c r="K11" i="35"/>
  <c r="L11" i="35"/>
  <c r="M11" i="35"/>
  <c r="N11" i="35"/>
  <c r="O11" i="35"/>
  <c r="P11" i="35"/>
  <c r="Q11" i="35"/>
  <c r="R11" i="35"/>
  <c r="B12" i="35"/>
  <c r="C12" i="35"/>
  <c r="D12" i="35"/>
  <c r="E12" i="35"/>
  <c r="F12" i="35"/>
  <c r="G12" i="35"/>
  <c r="H12" i="35"/>
  <c r="I12" i="35"/>
  <c r="J12" i="35"/>
  <c r="K12" i="35"/>
  <c r="L12" i="35"/>
  <c r="M12" i="35"/>
  <c r="N12" i="35"/>
  <c r="O12" i="35"/>
  <c r="P12" i="35"/>
  <c r="Q12" i="35"/>
  <c r="R12" i="35"/>
  <c r="B13" i="35"/>
  <c r="C13" i="35"/>
  <c r="D13" i="35"/>
  <c r="E13" i="35"/>
  <c r="F13" i="35"/>
  <c r="G13" i="35"/>
  <c r="H13" i="35"/>
  <c r="I13" i="35"/>
  <c r="J13" i="35"/>
  <c r="K13" i="35"/>
  <c r="L13" i="35"/>
  <c r="M13" i="35"/>
  <c r="N13" i="35"/>
  <c r="O13" i="35"/>
  <c r="P13" i="35"/>
  <c r="Q13" i="35"/>
  <c r="R13" i="35"/>
  <c r="B14" i="35"/>
  <c r="C14" i="35"/>
  <c r="D14" i="35"/>
  <c r="E14" i="35"/>
  <c r="F14" i="35"/>
  <c r="G14" i="35"/>
  <c r="H14" i="35"/>
  <c r="I14" i="35"/>
  <c r="J14" i="35"/>
  <c r="K14" i="35"/>
  <c r="L14" i="35"/>
  <c r="M14" i="35"/>
  <c r="N14" i="35"/>
  <c r="O14" i="35"/>
  <c r="P14" i="35"/>
  <c r="Q14" i="35"/>
  <c r="R14" i="35"/>
  <c r="B15" i="35"/>
  <c r="C15" i="35"/>
  <c r="D15" i="35"/>
  <c r="E15" i="35"/>
  <c r="F15" i="35"/>
  <c r="G15" i="35"/>
  <c r="H15" i="35"/>
  <c r="I15" i="35"/>
  <c r="J15" i="35"/>
  <c r="K15" i="35"/>
  <c r="M15" i="35"/>
  <c r="N15" i="35"/>
  <c r="O15" i="35"/>
  <c r="P15" i="35"/>
  <c r="Q15" i="35"/>
  <c r="R15" i="35"/>
  <c r="B17" i="35"/>
  <c r="C17" i="35"/>
  <c r="D17" i="35"/>
  <c r="E17" i="35"/>
  <c r="F17" i="35"/>
  <c r="G17" i="35"/>
  <c r="H17" i="35"/>
  <c r="I17" i="35"/>
  <c r="J17" i="35"/>
  <c r="K17" i="35"/>
  <c r="L17" i="35"/>
  <c r="M17" i="35"/>
  <c r="N17" i="35"/>
  <c r="O17" i="35"/>
  <c r="P17" i="35"/>
  <c r="Q17" i="35"/>
  <c r="R17" i="35"/>
  <c r="B18" i="35"/>
  <c r="C18" i="35"/>
  <c r="D18" i="35"/>
  <c r="E18" i="35"/>
  <c r="F18" i="35"/>
  <c r="G18" i="35"/>
  <c r="H18" i="35"/>
  <c r="I18" i="35"/>
  <c r="J18" i="35"/>
  <c r="K18" i="35"/>
  <c r="L18" i="35"/>
  <c r="M18" i="35"/>
  <c r="N18" i="35"/>
  <c r="O18" i="35"/>
  <c r="P18" i="35"/>
  <c r="Q18" i="35"/>
  <c r="R18" i="35"/>
  <c r="B19" i="35"/>
  <c r="C19" i="35"/>
  <c r="D19" i="35"/>
  <c r="E19" i="35"/>
  <c r="F19" i="35"/>
  <c r="G19" i="35"/>
  <c r="H19" i="35"/>
  <c r="I19" i="35"/>
  <c r="J19" i="35"/>
  <c r="K19" i="35"/>
  <c r="L19" i="35"/>
  <c r="M19" i="35"/>
  <c r="N19" i="35"/>
  <c r="O19" i="35"/>
  <c r="P19" i="35"/>
  <c r="Q19" i="35"/>
  <c r="R19" i="35"/>
  <c r="B20" i="35"/>
  <c r="C20" i="35"/>
  <c r="D20" i="35"/>
  <c r="E20" i="35"/>
  <c r="F20" i="35"/>
  <c r="G20" i="35"/>
  <c r="H20" i="35"/>
  <c r="I20" i="35"/>
  <c r="J20" i="35"/>
  <c r="K20" i="35"/>
  <c r="L20" i="35"/>
  <c r="M20" i="35"/>
  <c r="N20" i="35"/>
  <c r="O20" i="35"/>
  <c r="P20" i="35"/>
  <c r="Q20" i="35"/>
  <c r="R20" i="35"/>
  <c r="B21" i="35"/>
  <c r="C21" i="35"/>
  <c r="D21" i="35"/>
  <c r="E21" i="35"/>
  <c r="F21" i="35"/>
  <c r="G21" i="35"/>
  <c r="H21" i="35"/>
  <c r="I21" i="35"/>
  <c r="J21" i="35"/>
  <c r="K21" i="35"/>
  <c r="L21" i="35"/>
  <c r="M21" i="35"/>
  <c r="N21" i="35"/>
  <c r="O21" i="35"/>
  <c r="P21" i="35"/>
  <c r="Q21" i="35"/>
  <c r="R21" i="35"/>
  <c r="B22" i="35"/>
  <c r="C22" i="35"/>
  <c r="D22" i="35"/>
  <c r="E22" i="35"/>
  <c r="F22" i="35"/>
  <c r="G22" i="35"/>
  <c r="H22" i="35"/>
  <c r="I22" i="35"/>
  <c r="J22" i="35"/>
  <c r="K22" i="35"/>
  <c r="M22" i="35"/>
  <c r="N22" i="35"/>
  <c r="O22" i="35"/>
  <c r="P22" i="35"/>
  <c r="Q22" i="35"/>
  <c r="R22" i="35"/>
  <c r="B26" i="35"/>
  <c r="C26" i="35"/>
  <c r="D26" i="35"/>
  <c r="E26" i="35"/>
  <c r="F26" i="35"/>
  <c r="G26" i="35"/>
  <c r="H26" i="35"/>
  <c r="I26" i="35"/>
  <c r="J26" i="35"/>
  <c r="K26" i="35"/>
  <c r="L26" i="35"/>
  <c r="M26" i="35"/>
  <c r="N26" i="35"/>
  <c r="O26" i="35"/>
  <c r="P26" i="35"/>
  <c r="Q26" i="35"/>
  <c r="R26" i="35"/>
  <c r="B27" i="35"/>
  <c r="C27" i="35"/>
  <c r="D27" i="35"/>
  <c r="E27" i="35"/>
  <c r="F27" i="35"/>
  <c r="G27" i="35"/>
  <c r="H27" i="35"/>
  <c r="I27" i="35"/>
  <c r="J27" i="35"/>
  <c r="K27" i="35"/>
  <c r="L27" i="35"/>
  <c r="M27" i="35"/>
  <c r="N27" i="35"/>
  <c r="O27" i="35"/>
  <c r="P27" i="35"/>
  <c r="Q27" i="35"/>
  <c r="R27" i="35"/>
  <c r="B28" i="35"/>
  <c r="C28" i="35"/>
  <c r="D28" i="35"/>
  <c r="E28" i="35"/>
  <c r="F28" i="35"/>
  <c r="G28" i="35"/>
  <c r="H28" i="35"/>
  <c r="I28" i="35"/>
  <c r="J28" i="35"/>
  <c r="K28" i="35"/>
  <c r="L28" i="35"/>
  <c r="M28" i="35"/>
  <c r="N28" i="35"/>
  <c r="O28" i="35"/>
  <c r="P28" i="35"/>
  <c r="Q28" i="35"/>
  <c r="R28" i="35"/>
  <c r="B29" i="35"/>
  <c r="C29" i="35"/>
  <c r="D29" i="35"/>
  <c r="E29" i="35"/>
  <c r="F29" i="35"/>
  <c r="G29" i="35"/>
  <c r="H29" i="35"/>
  <c r="I29" i="35"/>
  <c r="J29" i="35"/>
  <c r="K29" i="35"/>
  <c r="M29" i="35"/>
  <c r="N29" i="35"/>
  <c r="O29" i="35"/>
  <c r="P29" i="35"/>
  <c r="Q29" i="35"/>
  <c r="R29" i="35"/>
  <c r="B32" i="35"/>
  <c r="C32" i="35"/>
  <c r="D32" i="35"/>
  <c r="E32" i="35"/>
  <c r="F32" i="35"/>
  <c r="G32" i="35"/>
  <c r="H32" i="35"/>
  <c r="I32" i="35"/>
  <c r="J32" i="35"/>
  <c r="K32" i="35"/>
  <c r="L32" i="35"/>
  <c r="M32" i="35"/>
  <c r="N32" i="35"/>
  <c r="O32" i="35"/>
  <c r="P32" i="35"/>
  <c r="Q32" i="35"/>
  <c r="R32" i="35"/>
  <c r="B33" i="35"/>
  <c r="C33" i="35"/>
  <c r="D33" i="35"/>
  <c r="E33" i="35"/>
  <c r="F33" i="35"/>
  <c r="G33" i="35"/>
  <c r="H33" i="35"/>
  <c r="I33" i="35"/>
  <c r="J33" i="35"/>
  <c r="K33" i="35"/>
  <c r="L33" i="35"/>
  <c r="M33" i="35"/>
  <c r="N33" i="35"/>
  <c r="O33" i="35"/>
  <c r="P33" i="35"/>
  <c r="Q33" i="35"/>
  <c r="R33" i="35"/>
  <c r="B34" i="35"/>
  <c r="C34" i="35"/>
  <c r="D34" i="35"/>
  <c r="E34" i="35"/>
  <c r="F34" i="35"/>
  <c r="G34" i="35"/>
  <c r="H34" i="35"/>
  <c r="I34" i="35"/>
  <c r="J34" i="35"/>
  <c r="K34" i="35"/>
  <c r="L34" i="35"/>
  <c r="M34" i="35"/>
  <c r="N34" i="35"/>
  <c r="O34" i="35"/>
  <c r="P34" i="35"/>
  <c r="Q34" i="35"/>
  <c r="R34" i="35"/>
  <c r="B35" i="35"/>
  <c r="C35" i="35"/>
  <c r="D35" i="35"/>
  <c r="E35" i="35"/>
  <c r="F35" i="35"/>
  <c r="G35" i="35"/>
  <c r="H35" i="35"/>
  <c r="I35" i="35"/>
  <c r="J35" i="35"/>
  <c r="K35" i="35"/>
  <c r="M35" i="35"/>
  <c r="N35" i="35"/>
  <c r="O35" i="35"/>
  <c r="P35" i="35"/>
  <c r="Q35" i="35"/>
  <c r="R35" i="35"/>
  <c r="B38" i="35"/>
  <c r="C38" i="35"/>
  <c r="D38" i="35"/>
  <c r="E38" i="35"/>
  <c r="F38" i="35"/>
  <c r="G38" i="35"/>
  <c r="H38" i="35"/>
  <c r="I38" i="35"/>
  <c r="J38" i="35"/>
  <c r="K38" i="35"/>
  <c r="L38" i="35"/>
  <c r="M38" i="35"/>
  <c r="N38" i="35"/>
  <c r="O38" i="35"/>
  <c r="P38" i="35"/>
  <c r="Q38" i="35"/>
  <c r="R38" i="35"/>
  <c r="B39" i="35"/>
  <c r="C39" i="35"/>
  <c r="D39" i="35"/>
  <c r="E39" i="35"/>
  <c r="F39" i="35"/>
  <c r="G39" i="35"/>
  <c r="H39" i="35"/>
  <c r="I39" i="35"/>
  <c r="J39" i="35"/>
  <c r="K39" i="35"/>
  <c r="L39" i="35"/>
  <c r="M39" i="35"/>
  <c r="N39" i="35"/>
  <c r="O39" i="35"/>
  <c r="P39" i="35"/>
  <c r="Q39" i="35"/>
  <c r="R39" i="35"/>
  <c r="B40" i="35"/>
  <c r="C40" i="35"/>
  <c r="D40" i="35"/>
  <c r="E40" i="35"/>
  <c r="F40" i="35"/>
  <c r="G40" i="35"/>
  <c r="H40" i="35"/>
  <c r="I40" i="35"/>
  <c r="J40" i="35"/>
  <c r="K40" i="35"/>
  <c r="L40" i="35"/>
  <c r="M40" i="35"/>
  <c r="N40" i="35"/>
  <c r="O40" i="35"/>
  <c r="P40" i="35"/>
  <c r="Q40" i="35"/>
  <c r="R40" i="35"/>
  <c r="B41" i="35"/>
  <c r="C41" i="35"/>
  <c r="D41" i="35"/>
  <c r="E41" i="35"/>
  <c r="F41" i="35"/>
  <c r="G41" i="35"/>
  <c r="H41" i="35"/>
  <c r="I41" i="35"/>
  <c r="J41" i="35"/>
  <c r="K41" i="35"/>
  <c r="M41" i="35"/>
  <c r="N41" i="35"/>
  <c r="O41" i="35"/>
  <c r="P41" i="35"/>
  <c r="Q41" i="35"/>
  <c r="R41" i="35"/>
  <c r="B43" i="35"/>
  <c r="C43" i="35"/>
  <c r="D43" i="35"/>
  <c r="E43" i="35"/>
  <c r="F43" i="35"/>
  <c r="G43" i="35"/>
  <c r="H43" i="35"/>
  <c r="I43" i="35"/>
  <c r="J43" i="35"/>
  <c r="K43" i="35"/>
  <c r="L43" i="35"/>
  <c r="M43" i="35"/>
  <c r="N43" i="35"/>
  <c r="O43" i="35"/>
  <c r="P43" i="35"/>
  <c r="Q43" i="35"/>
  <c r="R43" i="35"/>
  <c r="B44" i="35"/>
  <c r="C44" i="35"/>
  <c r="D44" i="35"/>
  <c r="E44" i="35"/>
  <c r="F44" i="35"/>
  <c r="G44" i="35"/>
  <c r="H44" i="35"/>
  <c r="I44" i="35"/>
  <c r="J44" i="35"/>
  <c r="K44" i="35"/>
  <c r="L44" i="35"/>
  <c r="M44" i="35"/>
  <c r="N44" i="35"/>
  <c r="O44" i="35"/>
  <c r="P44" i="35"/>
  <c r="Q44" i="35"/>
  <c r="R44" i="35"/>
  <c r="B47" i="35"/>
  <c r="C47" i="35"/>
  <c r="D47" i="35"/>
  <c r="E47" i="35"/>
  <c r="F47" i="35"/>
  <c r="G47" i="35"/>
  <c r="H47" i="35"/>
  <c r="I47" i="35"/>
  <c r="J47" i="35"/>
  <c r="K47" i="35"/>
  <c r="L47" i="35"/>
  <c r="M47" i="35"/>
  <c r="N47" i="35"/>
  <c r="O47" i="35"/>
  <c r="P47" i="35"/>
  <c r="Q47" i="35"/>
  <c r="R47" i="35"/>
  <c r="B48" i="35"/>
  <c r="C48" i="35"/>
  <c r="D48" i="35"/>
  <c r="E48" i="35"/>
  <c r="F48" i="35"/>
  <c r="G48" i="35"/>
  <c r="H48" i="35"/>
  <c r="I48" i="35"/>
  <c r="J48" i="35"/>
  <c r="K48" i="35"/>
  <c r="L48" i="35"/>
  <c r="M48" i="35"/>
  <c r="N48" i="35"/>
  <c r="O48" i="35"/>
  <c r="P48" i="35"/>
  <c r="Q48" i="35"/>
  <c r="R48" i="35"/>
  <c r="B49" i="35"/>
  <c r="C49" i="35"/>
  <c r="D49" i="35"/>
  <c r="E49" i="35"/>
  <c r="F49" i="35"/>
  <c r="G49" i="35"/>
  <c r="H49" i="35"/>
  <c r="I49" i="35"/>
  <c r="J49" i="35"/>
  <c r="K49" i="35"/>
  <c r="L49" i="35"/>
  <c r="M49" i="35"/>
  <c r="N49" i="35"/>
  <c r="O49" i="35"/>
  <c r="P49" i="35"/>
  <c r="Q49" i="35"/>
  <c r="R49" i="35"/>
  <c r="B50" i="35"/>
  <c r="C50" i="35"/>
  <c r="D50" i="35"/>
  <c r="E50" i="35"/>
  <c r="F50" i="35"/>
  <c r="G50" i="35"/>
  <c r="H50" i="35"/>
  <c r="I50" i="35"/>
  <c r="J50" i="35"/>
  <c r="K50" i="35"/>
  <c r="L50" i="35"/>
  <c r="M50" i="35"/>
  <c r="N50" i="35"/>
  <c r="O50" i="35"/>
  <c r="P50" i="35"/>
  <c r="Q50" i="35"/>
  <c r="R50" i="35"/>
  <c r="B51" i="35"/>
  <c r="C51" i="35"/>
  <c r="D51" i="35"/>
  <c r="E51" i="35"/>
  <c r="F51" i="35"/>
  <c r="G51" i="35"/>
  <c r="H51" i="35"/>
  <c r="I51" i="35"/>
  <c r="J51" i="35"/>
  <c r="K51" i="35"/>
  <c r="L51" i="35"/>
  <c r="M51" i="35"/>
  <c r="N51" i="35"/>
  <c r="O51" i="35"/>
  <c r="P51" i="35"/>
  <c r="Q51" i="35"/>
  <c r="R51" i="35"/>
  <c r="B52" i="35"/>
  <c r="C52" i="35"/>
  <c r="D52" i="35"/>
  <c r="E52" i="35"/>
  <c r="F52" i="35"/>
  <c r="G52" i="35"/>
  <c r="H52" i="35"/>
  <c r="I52" i="35"/>
  <c r="J52" i="35"/>
  <c r="K52" i="35"/>
  <c r="L52" i="35"/>
  <c r="M52" i="35"/>
  <c r="N52" i="35"/>
  <c r="O52" i="35"/>
  <c r="P52" i="35"/>
  <c r="Q52" i="35"/>
  <c r="R52" i="35"/>
  <c r="B140" i="35"/>
  <c r="B143" i="35"/>
  <c r="B147" i="35"/>
  <c r="B151" i="35"/>
  <c r="C151" i="35"/>
  <c r="E151" i="35"/>
  <c r="G151" i="35"/>
  <c r="H151" i="35"/>
  <c r="I151" i="35"/>
  <c r="J151" i="35"/>
  <c r="N151" i="35"/>
  <c r="O151" i="35"/>
  <c r="P151" i="35"/>
  <c r="R151" i="35"/>
  <c r="B10" i="38"/>
  <c r="C10" i="38"/>
  <c r="D10" i="38"/>
  <c r="E10" i="38"/>
  <c r="F10" i="38"/>
  <c r="G10" i="38"/>
  <c r="H10" i="38"/>
  <c r="I10" i="38"/>
  <c r="J10" i="38"/>
  <c r="K10" i="38"/>
  <c r="L10" i="38"/>
  <c r="M10" i="38"/>
  <c r="N10" i="38"/>
  <c r="O10" i="38"/>
  <c r="P10" i="38"/>
  <c r="Q10" i="38"/>
  <c r="R10" i="38"/>
  <c r="S10" i="38"/>
  <c r="B11" i="38"/>
  <c r="C11" i="38"/>
  <c r="D11" i="38"/>
  <c r="E11" i="38"/>
  <c r="F11" i="38"/>
  <c r="G11" i="38"/>
  <c r="H11" i="38"/>
  <c r="I11" i="38"/>
  <c r="J11" i="38"/>
  <c r="K11" i="38"/>
  <c r="L11" i="38"/>
  <c r="M11" i="38"/>
  <c r="N11" i="38"/>
  <c r="O11" i="38"/>
  <c r="P11" i="38"/>
  <c r="Q11" i="38"/>
  <c r="R11" i="38"/>
  <c r="S11" i="38"/>
  <c r="B12" i="38"/>
  <c r="C12" i="38"/>
  <c r="D12" i="38"/>
  <c r="E12" i="38"/>
  <c r="F12" i="38"/>
  <c r="G12" i="38"/>
  <c r="H12" i="38"/>
  <c r="I12" i="38"/>
  <c r="J12" i="38"/>
  <c r="K12" i="38"/>
  <c r="L12" i="38"/>
  <c r="M12" i="38"/>
  <c r="N12" i="38"/>
  <c r="O12" i="38"/>
  <c r="P12" i="38"/>
  <c r="Q12" i="38"/>
  <c r="R12" i="38"/>
  <c r="S12" i="38"/>
  <c r="B13" i="38"/>
  <c r="C13" i="38"/>
  <c r="D13" i="38"/>
  <c r="E13" i="38"/>
  <c r="F13" i="38"/>
  <c r="G13" i="38"/>
  <c r="H13" i="38"/>
  <c r="I13" i="38"/>
  <c r="J13" i="38"/>
  <c r="K13" i="38"/>
  <c r="L13" i="38"/>
  <c r="M13" i="38"/>
  <c r="N13" i="38"/>
  <c r="O13" i="38"/>
  <c r="P13" i="38"/>
  <c r="Q13" i="38"/>
  <c r="R13" i="38"/>
  <c r="S13" i="38"/>
  <c r="B14" i="38"/>
  <c r="C14" i="38"/>
  <c r="D14" i="38"/>
  <c r="E14" i="38"/>
  <c r="F14" i="38"/>
  <c r="G14" i="38"/>
  <c r="H14" i="38"/>
  <c r="I14" i="38"/>
  <c r="J14" i="38"/>
  <c r="K14" i="38"/>
  <c r="L14" i="38"/>
  <c r="M14" i="38"/>
  <c r="N14" i="38"/>
  <c r="O14" i="38"/>
  <c r="P14" i="38"/>
  <c r="Q14" i="38"/>
  <c r="R14" i="38"/>
  <c r="S14" i="38"/>
  <c r="B15" i="38"/>
  <c r="C15" i="38"/>
  <c r="D15" i="38"/>
  <c r="E15" i="38"/>
  <c r="F15" i="38"/>
  <c r="G15" i="38"/>
  <c r="H15" i="38"/>
  <c r="I15" i="38"/>
  <c r="J15" i="38"/>
  <c r="K15" i="38"/>
  <c r="L15" i="38"/>
  <c r="M15" i="38"/>
  <c r="N15" i="38"/>
  <c r="O15" i="38"/>
  <c r="P15" i="38"/>
  <c r="Q15" i="38"/>
  <c r="R15" i="38"/>
  <c r="S15" i="38"/>
  <c r="B17" i="38"/>
  <c r="C17" i="38"/>
  <c r="D17" i="38"/>
  <c r="E17" i="38"/>
  <c r="F17" i="38"/>
  <c r="G17" i="38"/>
  <c r="H17" i="38"/>
  <c r="I17" i="38"/>
  <c r="J17" i="38"/>
  <c r="K17" i="38"/>
  <c r="L17" i="38"/>
  <c r="M17" i="38"/>
  <c r="N17" i="38"/>
  <c r="O17" i="38"/>
  <c r="P17" i="38"/>
  <c r="Q17" i="38"/>
  <c r="R17" i="38"/>
  <c r="S17" i="38"/>
  <c r="B18" i="38"/>
  <c r="C18" i="38"/>
  <c r="D18" i="38"/>
  <c r="E18" i="38"/>
  <c r="F18" i="38"/>
  <c r="G18" i="38"/>
  <c r="H18" i="38"/>
  <c r="I18" i="38"/>
  <c r="J18" i="38"/>
  <c r="K18" i="38"/>
  <c r="L18" i="38"/>
  <c r="M18" i="38"/>
  <c r="N18" i="38"/>
  <c r="O18" i="38"/>
  <c r="P18" i="38"/>
  <c r="Q18" i="38"/>
  <c r="R18" i="38"/>
  <c r="S18" i="38"/>
  <c r="B19" i="38"/>
  <c r="C19" i="38"/>
  <c r="D19" i="38"/>
  <c r="E19" i="38"/>
  <c r="F19" i="38"/>
  <c r="G19" i="38"/>
  <c r="H19" i="38"/>
  <c r="I19" i="38"/>
  <c r="J19" i="38"/>
  <c r="K19" i="38"/>
  <c r="L19" i="38"/>
  <c r="M19" i="38"/>
  <c r="N19" i="38"/>
  <c r="O19" i="38"/>
  <c r="P19" i="38"/>
  <c r="Q19" i="38"/>
  <c r="R19" i="38"/>
  <c r="S19" i="38"/>
  <c r="B20" i="38"/>
  <c r="C20" i="38"/>
  <c r="D20" i="38"/>
  <c r="E20" i="38"/>
  <c r="F20" i="38"/>
  <c r="G20" i="38"/>
  <c r="H20" i="38"/>
  <c r="I20" i="38"/>
  <c r="J20" i="38"/>
  <c r="K20" i="38"/>
  <c r="L20" i="38"/>
  <c r="M20" i="38"/>
  <c r="N20" i="38"/>
  <c r="O20" i="38"/>
  <c r="P20" i="38"/>
  <c r="Q20" i="38"/>
  <c r="R20" i="38"/>
  <c r="S20" i="38"/>
  <c r="B21" i="38"/>
  <c r="C21" i="38"/>
  <c r="D21" i="38"/>
  <c r="E21" i="38"/>
  <c r="F21" i="38"/>
  <c r="G21" i="38"/>
  <c r="H21" i="38"/>
  <c r="I21" i="38"/>
  <c r="J21" i="38"/>
  <c r="K21" i="38"/>
  <c r="L21" i="38"/>
  <c r="M21" i="38"/>
  <c r="N21" i="38"/>
  <c r="O21" i="38"/>
  <c r="P21" i="38"/>
  <c r="Q21" i="38"/>
  <c r="R21" i="38"/>
  <c r="S21" i="38"/>
  <c r="B22" i="38"/>
  <c r="C22" i="38"/>
  <c r="D22" i="38"/>
  <c r="E22" i="38"/>
  <c r="F22" i="38"/>
  <c r="G22" i="38"/>
  <c r="H22" i="38"/>
  <c r="I22" i="38"/>
  <c r="J22" i="38"/>
  <c r="K22" i="38"/>
  <c r="L22" i="38"/>
  <c r="M22" i="38"/>
  <c r="N22" i="38"/>
  <c r="O22" i="38"/>
  <c r="P22" i="38"/>
  <c r="Q22" i="38"/>
  <c r="R22" i="38"/>
  <c r="S22" i="38"/>
  <c r="B26" i="38"/>
  <c r="C26" i="38"/>
  <c r="D26" i="38"/>
  <c r="E26" i="38"/>
  <c r="F26" i="38"/>
  <c r="G26" i="38"/>
  <c r="H26" i="38"/>
  <c r="I26" i="38"/>
  <c r="J26" i="38"/>
  <c r="K26" i="38"/>
  <c r="L26" i="38"/>
  <c r="M26" i="38"/>
  <c r="N26" i="38"/>
  <c r="O26" i="38"/>
  <c r="P26" i="38"/>
  <c r="Q26" i="38"/>
  <c r="R26" i="38"/>
  <c r="S26" i="38"/>
  <c r="B27" i="38"/>
  <c r="C27" i="38"/>
  <c r="D27" i="38"/>
  <c r="E27" i="38"/>
  <c r="F27" i="38"/>
  <c r="G27" i="38"/>
  <c r="H27" i="38"/>
  <c r="I27" i="38"/>
  <c r="J27" i="38"/>
  <c r="K27" i="38"/>
  <c r="L27" i="38"/>
  <c r="M27" i="38"/>
  <c r="N27" i="38"/>
  <c r="O27" i="38"/>
  <c r="P27" i="38"/>
  <c r="Q27" i="38"/>
  <c r="R27" i="38"/>
  <c r="S27" i="38"/>
  <c r="B28" i="38"/>
  <c r="C28" i="38"/>
  <c r="D28" i="38"/>
  <c r="E28" i="38"/>
  <c r="F28" i="38"/>
  <c r="G28" i="38"/>
  <c r="H28" i="38"/>
  <c r="I28" i="38"/>
  <c r="J28" i="38"/>
  <c r="K28" i="38"/>
  <c r="L28" i="38"/>
  <c r="M28" i="38"/>
  <c r="N28" i="38"/>
  <c r="O28" i="38"/>
  <c r="P28" i="38"/>
  <c r="Q28" i="38"/>
  <c r="R28" i="38"/>
  <c r="S28" i="38"/>
  <c r="B29" i="38"/>
  <c r="C29" i="38"/>
  <c r="D29" i="38"/>
  <c r="E29" i="38"/>
  <c r="F29" i="38"/>
  <c r="G29" i="38"/>
  <c r="H29" i="38"/>
  <c r="I29" i="38"/>
  <c r="J29" i="38"/>
  <c r="K29" i="38"/>
  <c r="L29" i="38"/>
  <c r="M29" i="38"/>
  <c r="N29" i="38"/>
  <c r="O29" i="38"/>
  <c r="P29" i="38"/>
  <c r="Q29" i="38"/>
  <c r="R29" i="38"/>
  <c r="S29" i="38"/>
  <c r="B32" i="38"/>
  <c r="C32" i="38"/>
  <c r="D32" i="38"/>
  <c r="E32" i="38"/>
  <c r="F32" i="38"/>
  <c r="G32" i="38"/>
  <c r="H32" i="38"/>
  <c r="I32" i="38"/>
  <c r="J32" i="38"/>
  <c r="K32" i="38"/>
  <c r="L32" i="38"/>
  <c r="M32" i="38"/>
  <c r="N32" i="38"/>
  <c r="O32" i="38"/>
  <c r="P32" i="38"/>
  <c r="Q32" i="38"/>
  <c r="R32" i="38"/>
  <c r="S32" i="38"/>
  <c r="B33" i="38"/>
  <c r="C33" i="38"/>
  <c r="D33" i="38"/>
  <c r="E33" i="38"/>
  <c r="F33" i="38"/>
  <c r="G33" i="38"/>
  <c r="H33" i="38"/>
  <c r="I33" i="38"/>
  <c r="J33" i="38"/>
  <c r="K33" i="38"/>
  <c r="L33" i="38"/>
  <c r="M33" i="38"/>
  <c r="N33" i="38"/>
  <c r="O33" i="38"/>
  <c r="P33" i="38"/>
  <c r="Q33" i="38"/>
  <c r="R33" i="38"/>
  <c r="S33" i="38"/>
  <c r="B34" i="38"/>
  <c r="C34" i="38"/>
  <c r="D34" i="38"/>
  <c r="E34" i="38"/>
  <c r="F34" i="38"/>
  <c r="G34" i="38"/>
  <c r="H34" i="38"/>
  <c r="I34" i="38"/>
  <c r="J34" i="38"/>
  <c r="K34" i="38"/>
  <c r="L34" i="38"/>
  <c r="M34" i="38"/>
  <c r="N34" i="38"/>
  <c r="O34" i="38"/>
  <c r="P34" i="38"/>
  <c r="Q34" i="38"/>
  <c r="R34" i="38"/>
  <c r="S34" i="38"/>
  <c r="B35" i="38"/>
  <c r="C35" i="38"/>
  <c r="D35" i="38"/>
  <c r="E35" i="38"/>
  <c r="F35" i="38"/>
  <c r="G35" i="38"/>
  <c r="H35" i="38"/>
  <c r="I35" i="38"/>
  <c r="J35" i="38"/>
  <c r="K35" i="38"/>
  <c r="L35" i="38"/>
  <c r="M35" i="38"/>
  <c r="N35" i="38"/>
  <c r="O35" i="38"/>
  <c r="P35" i="38"/>
  <c r="Q35" i="38"/>
  <c r="R35" i="38"/>
  <c r="S35" i="38"/>
  <c r="B38" i="38"/>
  <c r="C38" i="38"/>
  <c r="D38" i="38"/>
  <c r="E38" i="38"/>
  <c r="F38" i="38"/>
  <c r="G38" i="38"/>
  <c r="H38" i="38"/>
  <c r="I38" i="38"/>
  <c r="J38" i="38"/>
  <c r="K38" i="38"/>
  <c r="L38" i="38"/>
  <c r="M38" i="38"/>
  <c r="N38" i="38"/>
  <c r="O38" i="38"/>
  <c r="P38" i="38"/>
  <c r="Q38" i="38"/>
  <c r="R38" i="38"/>
  <c r="S38" i="38"/>
  <c r="B39" i="38"/>
  <c r="C39" i="38"/>
  <c r="D39" i="38"/>
  <c r="E39" i="38"/>
  <c r="F39" i="38"/>
  <c r="G39" i="38"/>
  <c r="H39" i="38"/>
  <c r="I39" i="38"/>
  <c r="J39" i="38"/>
  <c r="K39" i="38"/>
  <c r="L39" i="38"/>
  <c r="M39" i="38"/>
  <c r="N39" i="38"/>
  <c r="O39" i="38"/>
  <c r="P39" i="38"/>
  <c r="Q39" i="38"/>
  <c r="R39" i="38"/>
  <c r="S39" i="38"/>
  <c r="B40" i="38"/>
  <c r="C40" i="38"/>
  <c r="D40" i="38"/>
  <c r="E40" i="38"/>
  <c r="F40" i="38"/>
  <c r="G40" i="38"/>
  <c r="H40" i="38"/>
  <c r="I40" i="38"/>
  <c r="J40" i="38"/>
  <c r="K40" i="38"/>
  <c r="L40" i="38"/>
  <c r="M40" i="38"/>
  <c r="N40" i="38"/>
  <c r="O40" i="38"/>
  <c r="P40" i="38"/>
  <c r="Q40" i="38"/>
  <c r="R40" i="38"/>
  <c r="S40" i="38"/>
  <c r="B41" i="38"/>
  <c r="C41" i="38"/>
  <c r="D41" i="38"/>
  <c r="E41" i="38"/>
  <c r="F41" i="38"/>
  <c r="G41" i="38"/>
  <c r="H41" i="38"/>
  <c r="I41" i="38"/>
  <c r="J41" i="38"/>
  <c r="K41" i="38"/>
  <c r="L41" i="38"/>
  <c r="M41" i="38"/>
  <c r="N41" i="38"/>
  <c r="O41" i="38"/>
  <c r="P41" i="38"/>
  <c r="Q41" i="38"/>
  <c r="R41" i="38"/>
  <c r="S41" i="38"/>
  <c r="B43" i="38"/>
  <c r="C43" i="38"/>
  <c r="D43" i="38"/>
  <c r="E43" i="38"/>
  <c r="F43" i="38"/>
  <c r="G43" i="38"/>
  <c r="H43" i="38"/>
  <c r="I43" i="38"/>
  <c r="J43" i="38"/>
  <c r="K43" i="38"/>
  <c r="L43" i="38"/>
  <c r="M43" i="38"/>
  <c r="N43" i="38"/>
  <c r="O43" i="38"/>
  <c r="P43" i="38"/>
  <c r="Q43" i="38"/>
  <c r="R43" i="38"/>
  <c r="S43" i="38"/>
  <c r="B44" i="38"/>
  <c r="C44" i="38"/>
  <c r="D44" i="38"/>
  <c r="E44" i="38"/>
  <c r="F44" i="38"/>
  <c r="G44" i="38"/>
  <c r="H44" i="38"/>
  <c r="I44" i="38"/>
  <c r="J44" i="38"/>
  <c r="K44" i="38"/>
  <c r="L44" i="38"/>
  <c r="M44" i="38"/>
  <c r="N44" i="38"/>
  <c r="O44" i="38"/>
  <c r="P44" i="38"/>
  <c r="Q44" i="38"/>
  <c r="R44" i="38"/>
  <c r="S44" i="38"/>
  <c r="B47" i="38"/>
  <c r="C47" i="38"/>
  <c r="D47" i="38"/>
  <c r="E47" i="38"/>
  <c r="F47" i="38"/>
  <c r="G47" i="38"/>
  <c r="H47" i="38"/>
  <c r="I47" i="38"/>
  <c r="J47" i="38"/>
  <c r="K47" i="38"/>
  <c r="L47" i="38"/>
  <c r="M47" i="38"/>
  <c r="N47" i="38"/>
  <c r="O47" i="38"/>
  <c r="P47" i="38"/>
  <c r="Q47" i="38"/>
  <c r="R47" i="38"/>
  <c r="S47" i="38"/>
  <c r="B48" i="38"/>
  <c r="C48" i="38"/>
  <c r="D48" i="38"/>
  <c r="E48" i="38"/>
  <c r="F48" i="38"/>
  <c r="G48" i="38"/>
  <c r="H48" i="38"/>
  <c r="I48" i="38"/>
  <c r="J48" i="38"/>
  <c r="K48" i="38"/>
  <c r="L48" i="38"/>
  <c r="M48" i="38"/>
  <c r="N48" i="38"/>
  <c r="O48" i="38"/>
  <c r="P48" i="38"/>
  <c r="Q48" i="38"/>
  <c r="R48" i="38"/>
  <c r="S48" i="38"/>
  <c r="B49" i="38"/>
  <c r="C49" i="38"/>
  <c r="D49" i="38"/>
  <c r="E49" i="38"/>
  <c r="F49" i="38"/>
  <c r="G49" i="38"/>
  <c r="H49" i="38"/>
  <c r="I49" i="38"/>
  <c r="J49" i="38"/>
  <c r="K49" i="38"/>
  <c r="L49" i="38"/>
  <c r="M49" i="38"/>
  <c r="N49" i="38"/>
  <c r="O49" i="38"/>
  <c r="P49" i="38"/>
  <c r="Q49" i="38"/>
  <c r="R49" i="38"/>
  <c r="S49" i="38"/>
  <c r="B50" i="38"/>
  <c r="C50" i="38"/>
  <c r="D50" i="38"/>
  <c r="E50" i="38"/>
  <c r="F50" i="38"/>
  <c r="G50" i="38"/>
  <c r="H50" i="38"/>
  <c r="I50" i="38"/>
  <c r="J50" i="38"/>
  <c r="K50" i="38"/>
  <c r="L50" i="38"/>
  <c r="M50" i="38"/>
  <c r="N50" i="38"/>
  <c r="O50" i="38"/>
  <c r="P50" i="38"/>
  <c r="Q50" i="38"/>
  <c r="R50" i="38"/>
  <c r="S50" i="38"/>
  <c r="B51" i="38"/>
  <c r="C51" i="38"/>
  <c r="D51" i="38"/>
  <c r="E51" i="38"/>
  <c r="F51" i="38"/>
  <c r="G51" i="38"/>
  <c r="H51" i="38"/>
  <c r="I51" i="38"/>
  <c r="J51" i="38"/>
  <c r="K51" i="38"/>
  <c r="L51" i="38"/>
  <c r="M51" i="38"/>
  <c r="N51" i="38"/>
  <c r="O51" i="38"/>
  <c r="P51" i="38"/>
  <c r="Q51" i="38"/>
  <c r="R51" i="38"/>
  <c r="S51" i="38"/>
  <c r="B52" i="38"/>
  <c r="C52" i="38"/>
  <c r="D52" i="38"/>
  <c r="E52" i="38"/>
  <c r="F52" i="38"/>
  <c r="G52" i="38"/>
  <c r="H52" i="38"/>
  <c r="I52" i="38"/>
  <c r="J52" i="38"/>
  <c r="K52" i="38"/>
  <c r="L52" i="38"/>
  <c r="M52" i="38"/>
  <c r="N52" i="38"/>
  <c r="O52" i="38"/>
  <c r="P52" i="38"/>
  <c r="Q52" i="38"/>
  <c r="R52" i="38"/>
  <c r="S52" i="38"/>
  <c r="B56" i="38"/>
  <c r="C56" i="38"/>
  <c r="D56" i="38"/>
  <c r="E56" i="38"/>
  <c r="F56" i="38"/>
  <c r="G56" i="38"/>
  <c r="H56" i="38"/>
  <c r="I56" i="38"/>
  <c r="J56" i="38"/>
  <c r="K56" i="38"/>
  <c r="L56" i="38"/>
  <c r="M56" i="38"/>
  <c r="N56" i="38"/>
  <c r="O56" i="38"/>
  <c r="P56" i="38"/>
  <c r="Q56" i="38"/>
  <c r="R56" i="38"/>
  <c r="S56" i="38"/>
  <c r="B57" i="38"/>
  <c r="C57" i="38"/>
  <c r="D57" i="38"/>
  <c r="E57" i="38"/>
  <c r="F57" i="38"/>
  <c r="G57" i="38"/>
  <c r="H57" i="38"/>
  <c r="I57" i="38"/>
  <c r="J57" i="38"/>
  <c r="K57" i="38"/>
  <c r="L57" i="38"/>
  <c r="M57" i="38"/>
  <c r="N57" i="38"/>
  <c r="O57" i="38"/>
  <c r="P57" i="38"/>
  <c r="Q57" i="38"/>
  <c r="R57" i="38"/>
  <c r="S57" i="38"/>
  <c r="B58" i="38"/>
  <c r="C58" i="38"/>
  <c r="D58" i="38"/>
  <c r="E58" i="38"/>
  <c r="F58" i="38"/>
  <c r="G58" i="38"/>
  <c r="H58" i="38"/>
  <c r="I58" i="38"/>
  <c r="J58" i="38"/>
  <c r="K58" i="38"/>
  <c r="L58" i="38"/>
  <c r="M58" i="38"/>
  <c r="N58" i="38"/>
  <c r="O58" i="38"/>
  <c r="P58" i="38"/>
  <c r="Q58" i="38"/>
  <c r="R58" i="38"/>
  <c r="S58" i="38"/>
  <c r="B60" i="38"/>
  <c r="C60" i="38"/>
  <c r="D60" i="38"/>
  <c r="E60" i="38"/>
  <c r="F60" i="38"/>
  <c r="G60" i="38"/>
  <c r="H60" i="38"/>
  <c r="I60" i="38"/>
  <c r="J60" i="38"/>
  <c r="K60" i="38"/>
  <c r="L60" i="38"/>
  <c r="M60" i="38"/>
  <c r="N60" i="38"/>
  <c r="O60" i="38"/>
  <c r="P60" i="38"/>
  <c r="Q60" i="38"/>
  <c r="R60" i="38"/>
  <c r="S60" i="38"/>
  <c r="B61" i="38"/>
  <c r="C61" i="38"/>
  <c r="D61" i="38"/>
  <c r="E61" i="38"/>
  <c r="F61" i="38"/>
  <c r="G61" i="38"/>
  <c r="H61" i="38"/>
  <c r="I61" i="38"/>
  <c r="J61" i="38"/>
  <c r="K61" i="38"/>
  <c r="L61" i="38"/>
  <c r="M61" i="38"/>
  <c r="N61" i="38"/>
  <c r="O61" i="38"/>
  <c r="P61" i="38"/>
  <c r="Q61" i="38"/>
  <c r="R61" i="38"/>
  <c r="S61" i="38"/>
  <c r="B62" i="38"/>
  <c r="C62" i="38"/>
  <c r="D62" i="38"/>
  <c r="E62" i="38"/>
  <c r="F62" i="38"/>
  <c r="G62" i="38"/>
  <c r="H62" i="38"/>
  <c r="I62" i="38"/>
  <c r="J62" i="38"/>
  <c r="K62" i="38"/>
  <c r="L62" i="38"/>
  <c r="M62" i="38"/>
  <c r="N62" i="38"/>
  <c r="O62" i="38"/>
  <c r="P62" i="38"/>
  <c r="Q62" i="38"/>
  <c r="R62" i="38"/>
  <c r="S62" i="38"/>
  <c r="L68" i="38"/>
  <c r="O68" i="38"/>
  <c r="R68" i="38"/>
  <c r="S68" i="38"/>
  <c r="B69" i="38"/>
  <c r="C69" i="38"/>
  <c r="E69" i="38"/>
  <c r="F69" i="38"/>
  <c r="G69" i="38"/>
  <c r="H69" i="38"/>
  <c r="I69" i="38"/>
  <c r="J69" i="38"/>
  <c r="K69" i="38"/>
  <c r="L69" i="38"/>
  <c r="M69" i="38"/>
  <c r="N69" i="38"/>
  <c r="O69" i="38"/>
  <c r="P69" i="38"/>
  <c r="Q69" i="38"/>
  <c r="R69" i="38"/>
  <c r="S69" i="38"/>
  <c r="B144" i="38"/>
  <c r="B147" i="38"/>
  <c r="B151" i="38"/>
  <c r="B155" i="38"/>
  <c r="C155" i="38"/>
  <c r="E155" i="38"/>
  <c r="F155" i="38"/>
  <c r="G155" i="38"/>
  <c r="H155" i="38"/>
  <c r="I155" i="38"/>
  <c r="J155" i="38"/>
  <c r="M155" i="38"/>
  <c r="N155" i="38"/>
  <c r="O155" i="38"/>
  <c r="Q155" i="38"/>
  <c r="B10" i="37"/>
  <c r="C10" i="37"/>
  <c r="D10" i="37"/>
  <c r="E10" i="37"/>
  <c r="F10" i="37"/>
  <c r="G10" i="37"/>
  <c r="H10" i="37"/>
  <c r="I10" i="37"/>
  <c r="J10" i="37"/>
  <c r="K10" i="37"/>
  <c r="L10" i="37"/>
  <c r="M10" i="37"/>
  <c r="N10" i="37"/>
  <c r="O10" i="37"/>
  <c r="P10" i="37"/>
  <c r="Q10" i="37"/>
  <c r="B11" i="37"/>
  <c r="C11" i="37"/>
  <c r="D11" i="37"/>
  <c r="E11" i="37"/>
  <c r="F11" i="37"/>
  <c r="G11" i="37"/>
  <c r="H11" i="37"/>
  <c r="I11" i="37"/>
  <c r="J11" i="37"/>
  <c r="K11" i="37"/>
  <c r="L11" i="37"/>
  <c r="M11" i="37"/>
  <c r="N11" i="37"/>
  <c r="O11" i="37"/>
  <c r="P11" i="37"/>
  <c r="Q11" i="37"/>
  <c r="B12" i="37"/>
  <c r="C12" i="37"/>
  <c r="D12" i="37"/>
  <c r="E12" i="37"/>
  <c r="F12" i="37"/>
  <c r="G12" i="37"/>
  <c r="H12" i="37"/>
  <c r="I12" i="37"/>
  <c r="J12" i="37"/>
  <c r="K12" i="37"/>
  <c r="L12" i="37"/>
  <c r="M12" i="37"/>
  <c r="N12" i="37"/>
  <c r="O12" i="37"/>
  <c r="P12" i="37"/>
  <c r="Q12" i="37"/>
  <c r="B13" i="37"/>
  <c r="C13" i="37"/>
  <c r="D13" i="37"/>
  <c r="E13" i="37"/>
  <c r="F13" i="37"/>
  <c r="G13" i="37"/>
  <c r="H13" i="37"/>
  <c r="I13" i="37"/>
  <c r="J13" i="37"/>
  <c r="K13" i="37"/>
  <c r="L13" i="37"/>
  <c r="M13" i="37"/>
  <c r="N13" i="37"/>
  <c r="O13" i="37"/>
  <c r="P13" i="37"/>
  <c r="Q13" i="37"/>
  <c r="B14" i="37"/>
  <c r="C14" i="37"/>
  <c r="D14" i="37"/>
  <c r="E14" i="37"/>
  <c r="F14" i="37"/>
  <c r="G14" i="37"/>
  <c r="H14" i="37"/>
  <c r="I14" i="37"/>
  <c r="J14" i="37"/>
  <c r="K14" i="37"/>
  <c r="L14" i="37"/>
  <c r="M14" i="37"/>
  <c r="N14" i="37"/>
  <c r="O14" i="37"/>
  <c r="P14" i="37"/>
  <c r="Q14" i="37"/>
  <c r="B15" i="37"/>
  <c r="C15" i="37"/>
  <c r="D15" i="37"/>
  <c r="E15" i="37"/>
  <c r="F15" i="37"/>
  <c r="G15" i="37"/>
  <c r="H15" i="37"/>
  <c r="I15" i="37"/>
  <c r="J15" i="37"/>
  <c r="K15" i="37"/>
  <c r="L15" i="37"/>
  <c r="M15" i="37"/>
  <c r="N15" i="37"/>
  <c r="O15" i="37"/>
  <c r="P15" i="37"/>
  <c r="Q15" i="37"/>
  <c r="B17" i="37"/>
  <c r="C17" i="37"/>
  <c r="D17" i="37"/>
  <c r="E17" i="37"/>
  <c r="F17" i="37"/>
  <c r="G17" i="37"/>
  <c r="H17" i="37"/>
  <c r="I17" i="37"/>
  <c r="J17" i="37"/>
  <c r="K17" i="37"/>
  <c r="L17" i="37"/>
  <c r="M17" i="37"/>
  <c r="N17" i="37"/>
  <c r="O17" i="37"/>
  <c r="P17" i="37"/>
  <c r="Q17" i="37"/>
  <c r="B18" i="37"/>
  <c r="C18" i="37"/>
  <c r="D18" i="37"/>
  <c r="E18" i="37"/>
  <c r="F18" i="37"/>
  <c r="G18" i="37"/>
  <c r="H18" i="37"/>
  <c r="I18" i="37"/>
  <c r="J18" i="37"/>
  <c r="K18" i="37"/>
  <c r="L18" i="37"/>
  <c r="M18" i="37"/>
  <c r="N18" i="37"/>
  <c r="O18" i="37"/>
  <c r="P18" i="37"/>
  <c r="Q18" i="37"/>
  <c r="B19" i="37"/>
  <c r="C19" i="37"/>
  <c r="D19" i="37"/>
  <c r="E19" i="37"/>
  <c r="F19" i="37"/>
  <c r="G19" i="37"/>
  <c r="H19" i="37"/>
  <c r="I19" i="37"/>
  <c r="J19" i="37"/>
  <c r="K19" i="37"/>
  <c r="L19" i="37"/>
  <c r="M19" i="37"/>
  <c r="N19" i="37"/>
  <c r="O19" i="37"/>
  <c r="P19" i="37"/>
  <c r="Q19" i="37"/>
  <c r="B20" i="37"/>
  <c r="C20" i="37"/>
  <c r="D20" i="37"/>
  <c r="E20" i="37"/>
  <c r="F20" i="37"/>
  <c r="G20" i="37"/>
  <c r="H20" i="37"/>
  <c r="I20" i="37"/>
  <c r="J20" i="37"/>
  <c r="K20" i="37"/>
  <c r="L20" i="37"/>
  <c r="M20" i="37"/>
  <c r="N20" i="37"/>
  <c r="O20" i="37"/>
  <c r="P20" i="37"/>
  <c r="Q20" i="37"/>
  <c r="B21" i="37"/>
  <c r="C21" i="37"/>
  <c r="D21" i="37"/>
  <c r="E21" i="37"/>
  <c r="F21" i="37"/>
  <c r="G21" i="37"/>
  <c r="H21" i="37"/>
  <c r="I21" i="37"/>
  <c r="J21" i="37"/>
  <c r="K21" i="37"/>
  <c r="L21" i="37"/>
  <c r="M21" i="37"/>
  <c r="N21" i="37"/>
  <c r="O21" i="37"/>
  <c r="P21" i="37"/>
  <c r="Q21" i="37"/>
  <c r="B22" i="37"/>
  <c r="C22" i="37"/>
  <c r="D22" i="37"/>
  <c r="E22" i="37"/>
  <c r="F22" i="37"/>
  <c r="G22" i="37"/>
  <c r="H22" i="37"/>
  <c r="I22" i="37"/>
  <c r="J22" i="37"/>
  <c r="K22" i="37"/>
  <c r="L22" i="37"/>
  <c r="M22" i="37"/>
  <c r="N22" i="37"/>
  <c r="O22" i="37"/>
  <c r="P22" i="37"/>
  <c r="Q22" i="37"/>
  <c r="B26" i="37"/>
  <c r="C26" i="37"/>
  <c r="D26" i="37"/>
  <c r="E26" i="37"/>
  <c r="F26" i="37"/>
  <c r="G26" i="37"/>
  <c r="H26" i="37"/>
  <c r="I26" i="37"/>
  <c r="J26" i="37"/>
  <c r="K26" i="37"/>
  <c r="L26" i="37"/>
  <c r="M26" i="37"/>
  <c r="N26" i="37"/>
  <c r="O26" i="37"/>
  <c r="P26" i="37"/>
  <c r="Q26" i="37"/>
  <c r="B27" i="37"/>
  <c r="C27" i="37"/>
  <c r="D27" i="37"/>
  <c r="E27" i="37"/>
  <c r="F27" i="37"/>
  <c r="G27" i="37"/>
  <c r="H27" i="37"/>
  <c r="I27" i="37"/>
  <c r="J27" i="37"/>
  <c r="K27" i="37"/>
  <c r="L27" i="37"/>
  <c r="M27" i="37"/>
  <c r="N27" i="37"/>
  <c r="O27" i="37"/>
  <c r="P27" i="37"/>
  <c r="Q27" i="37"/>
  <c r="B28" i="37"/>
  <c r="C28" i="37"/>
  <c r="D28" i="37"/>
  <c r="E28" i="37"/>
  <c r="F28" i="37"/>
  <c r="G28" i="37"/>
  <c r="H28" i="37"/>
  <c r="I28" i="37"/>
  <c r="J28" i="37"/>
  <c r="K28" i="37"/>
  <c r="L28" i="37"/>
  <c r="M28" i="37"/>
  <c r="N28" i="37"/>
  <c r="O28" i="37"/>
  <c r="P28" i="37"/>
  <c r="Q28" i="37"/>
  <c r="B29" i="37"/>
  <c r="C29" i="37"/>
  <c r="D29" i="37"/>
  <c r="E29" i="37"/>
  <c r="F29" i="37"/>
  <c r="G29" i="37"/>
  <c r="H29" i="37"/>
  <c r="I29" i="37"/>
  <c r="J29" i="37"/>
  <c r="K29" i="37"/>
  <c r="L29" i="37"/>
  <c r="M29" i="37"/>
  <c r="N29" i="37"/>
  <c r="O29" i="37"/>
  <c r="P29" i="37"/>
  <c r="Q29" i="37"/>
  <c r="B32" i="37"/>
  <c r="C32" i="37"/>
  <c r="D32" i="37"/>
  <c r="E32" i="37"/>
  <c r="F32" i="37"/>
  <c r="G32" i="37"/>
  <c r="H32" i="37"/>
  <c r="I32" i="37"/>
  <c r="J32" i="37"/>
  <c r="K32" i="37"/>
  <c r="L32" i="37"/>
  <c r="M32" i="37"/>
  <c r="N32" i="37"/>
  <c r="O32" i="37"/>
  <c r="P32" i="37"/>
  <c r="Q32" i="37"/>
  <c r="B33" i="37"/>
  <c r="C33" i="37"/>
  <c r="D33" i="37"/>
  <c r="E33" i="37"/>
  <c r="F33" i="37"/>
  <c r="G33" i="37"/>
  <c r="H33" i="37"/>
  <c r="I33" i="37"/>
  <c r="J33" i="37"/>
  <c r="K33" i="37"/>
  <c r="L33" i="37"/>
  <c r="M33" i="37"/>
  <c r="N33" i="37"/>
  <c r="O33" i="37"/>
  <c r="P33" i="37"/>
  <c r="Q33" i="37"/>
  <c r="B34" i="37"/>
  <c r="C34" i="37"/>
  <c r="D34" i="37"/>
  <c r="E34" i="37"/>
  <c r="F34" i="37"/>
  <c r="G34" i="37"/>
  <c r="H34" i="37"/>
  <c r="I34" i="37"/>
  <c r="J34" i="37"/>
  <c r="K34" i="37"/>
  <c r="L34" i="37"/>
  <c r="M34" i="37"/>
  <c r="N34" i="37"/>
  <c r="O34" i="37"/>
  <c r="P34" i="37"/>
  <c r="Q34" i="37"/>
  <c r="B35" i="37"/>
  <c r="C35" i="37"/>
  <c r="D35" i="37"/>
  <c r="E35" i="37"/>
  <c r="F35" i="37"/>
  <c r="G35" i="37"/>
  <c r="H35" i="37"/>
  <c r="I35" i="37"/>
  <c r="J35" i="37"/>
  <c r="K35" i="37"/>
  <c r="L35" i="37"/>
  <c r="M35" i="37"/>
  <c r="N35" i="37"/>
  <c r="O35" i="37"/>
  <c r="P35" i="37"/>
  <c r="Q35" i="37"/>
  <c r="B38" i="37"/>
  <c r="C38" i="37"/>
  <c r="D38" i="37"/>
  <c r="E38" i="37"/>
  <c r="F38" i="37"/>
  <c r="G38" i="37"/>
  <c r="H38" i="37"/>
  <c r="I38" i="37"/>
  <c r="J38" i="37"/>
  <c r="K38" i="37"/>
  <c r="L38" i="37"/>
  <c r="M38" i="37"/>
  <c r="N38" i="37"/>
  <c r="O38" i="37"/>
  <c r="P38" i="37"/>
  <c r="Q38" i="37"/>
  <c r="B39" i="37"/>
  <c r="C39" i="37"/>
  <c r="D39" i="37"/>
  <c r="E39" i="37"/>
  <c r="F39" i="37"/>
  <c r="G39" i="37"/>
  <c r="H39" i="37"/>
  <c r="I39" i="37"/>
  <c r="J39" i="37"/>
  <c r="K39" i="37"/>
  <c r="L39" i="37"/>
  <c r="M39" i="37"/>
  <c r="N39" i="37"/>
  <c r="O39" i="37"/>
  <c r="P39" i="37"/>
  <c r="Q39" i="37"/>
  <c r="B40" i="37"/>
  <c r="C40" i="37"/>
  <c r="D40" i="37"/>
  <c r="E40" i="37"/>
  <c r="F40" i="37"/>
  <c r="G40" i="37"/>
  <c r="H40" i="37"/>
  <c r="I40" i="37"/>
  <c r="J40" i="37"/>
  <c r="K40" i="37"/>
  <c r="L40" i="37"/>
  <c r="M40" i="37"/>
  <c r="N40" i="37"/>
  <c r="O40" i="37"/>
  <c r="P40" i="37"/>
  <c r="Q40" i="37"/>
  <c r="B41" i="37"/>
  <c r="C41" i="37"/>
  <c r="D41" i="37"/>
  <c r="E41" i="37"/>
  <c r="F41" i="37"/>
  <c r="G41" i="37"/>
  <c r="H41" i="37"/>
  <c r="I41" i="37"/>
  <c r="J41" i="37"/>
  <c r="K41" i="37"/>
  <c r="L41" i="37"/>
  <c r="M41" i="37"/>
  <c r="N41" i="37"/>
  <c r="O41" i="37"/>
  <c r="P41" i="37"/>
  <c r="Q41" i="37"/>
  <c r="B43" i="37"/>
  <c r="C43" i="37"/>
  <c r="D43" i="37"/>
  <c r="E43" i="37"/>
  <c r="F43" i="37"/>
  <c r="G43" i="37"/>
  <c r="H43" i="37"/>
  <c r="I43" i="37"/>
  <c r="J43" i="37"/>
  <c r="K43" i="37"/>
  <c r="L43" i="37"/>
  <c r="M43" i="37"/>
  <c r="N43" i="37"/>
  <c r="O43" i="37"/>
  <c r="P43" i="37"/>
  <c r="Q43" i="37"/>
  <c r="B44" i="37"/>
  <c r="C44" i="37"/>
  <c r="D44" i="37"/>
  <c r="E44" i="37"/>
  <c r="F44" i="37"/>
  <c r="G44" i="37"/>
  <c r="H44" i="37"/>
  <c r="I44" i="37"/>
  <c r="J44" i="37"/>
  <c r="K44" i="37"/>
  <c r="L44" i="37"/>
  <c r="M44" i="37"/>
  <c r="N44" i="37"/>
  <c r="O44" i="37"/>
  <c r="P44" i="37"/>
  <c r="Q44" i="37"/>
  <c r="B47" i="37"/>
  <c r="C47" i="37"/>
  <c r="D47" i="37"/>
  <c r="E47" i="37"/>
  <c r="F47" i="37"/>
  <c r="G47" i="37"/>
  <c r="H47" i="37"/>
  <c r="I47" i="37"/>
  <c r="J47" i="37"/>
  <c r="K47" i="37"/>
  <c r="L47" i="37"/>
  <c r="M47" i="37"/>
  <c r="N47" i="37"/>
  <c r="O47" i="37"/>
  <c r="P47" i="37"/>
  <c r="Q47" i="37"/>
  <c r="B48" i="37"/>
  <c r="C48" i="37"/>
  <c r="D48" i="37"/>
  <c r="E48" i="37"/>
  <c r="F48" i="37"/>
  <c r="G48" i="37"/>
  <c r="H48" i="37"/>
  <c r="I48" i="37"/>
  <c r="J48" i="37"/>
  <c r="K48" i="37"/>
  <c r="L48" i="37"/>
  <c r="M48" i="37"/>
  <c r="N48" i="37"/>
  <c r="O48" i="37"/>
  <c r="P48" i="37"/>
  <c r="Q48" i="37"/>
  <c r="B49" i="37"/>
  <c r="C49" i="37"/>
  <c r="D49" i="37"/>
  <c r="E49" i="37"/>
  <c r="F49" i="37"/>
  <c r="G49" i="37"/>
  <c r="H49" i="37"/>
  <c r="I49" i="37"/>
  <c r="J49" i="37"/>
  <c r="K49" i="37"/>
  <c r="L49" i="37"/>
  <c r="M49" i="37"/>
  <c r="N49" i="37"/>
  <c r="O49" i="37"/>
  <c r="P49" i="37"/>
  <c r="Q49" i="37"/>
  <c r="B50" i="37"/>
  <c r="C50" i="37"/>
  <c r="D50" i="37"/>
  <c r="E50" i="37"/>
  <c r="F50" i="37"/>
  <c r="G50" i="37"/>
  <c r="H50" i="37"/>
  <c r="I50" i="37"/>
  <c r="J50" i="37"/>
  <c r="K50" i="37"/>
  <c r="L50" i="37"/>
  <c r="M50" i="37"/>
  <c r="N50" i="37"/>
  <c r="O50" i="37"/>
  <c r="P50" i="37"/>
  <c r="Q50" i="37"/>
  <c r="B51" i="37"/>
  <c r="C51" i="37"/>
  <c r="D51" i="37"/>
  <c r="E51" i="37"/>
  <c r="F51" i="37"/>
  <c r="G51" i="37"/>
  <c r="H51" i="37"/>
  <c r="I51" i="37"/>
  <c r="J51" i="37"/>
  <c r="K51" i="37"/>
  <c r="L51" i="37"/>
  <c r="M51" i="37"/>
  <c r="N51" i="37"/>
  <c r="O51" i="37"/>
  <c r="P51" i="37"/>
  <c r="Q51" i="37"/>
  <c r="B52" i="37"/>
  <c r="C52" i="37"/>
  <c r="D52" i="37"/>
  <c r="E52" i="37"/>
  <c r="F52" i="37"/>
  <c r="G52" i="37"/>
  <c r="H52" i="37"/>
  <c r="I52" i="37"/>
  <c r="J52" i="37"/>
  <c r="K52" i="37"/>
  <c r="L52" i="37"/>
  <c r="M52" i="37"/>
  <c r="N52" i="37"/>
  <c r="O52" i="37"/>
  <c r="P52" i="37"/>
  <c r="Q52" i="37"/>
  <c r="B56" i="37"/>
  <c r="C56" i="37"/>
  <c r="D56" i="37"/>
  <c r="E56" i="37"/>
  <c r="F56" i="37"/>
  <c r="G56" i="37"/>
  <c r="H56" i="37"/>
  <c r="I56" i="37"/>
  <c r="J56" i="37"/>
  <c r="K56" i="37"/>
  <c r="L56" i="37"/>
  <c r="M56" i="37"/>
  <c r="N56" i="37"/>
  <c r="O56" i="37"/>
  <c r="P56" i="37"/>
  <c r="Q56" i="37"/>
  <c r="B57" i="37"/>
  <c r="C57" i="37"/>
  <c r="D57" i="37"/>
  <c r="E57" i="37"/>
  <c r="F57" i="37"/>
  <c r="G57" i="37"/>
  <c r="H57" i="37"/>
  <c r="I57" i="37"/>
  <c r="J57" i="37"/>
  <c r="K57" i="37"/>
  <c r="L57" i="37"/>
  <c r="M57" i="37"/>
  <c r="N57" i="37"/>
  <c r="O57" i="37"/>
  <c r="P57" i="37"/>
  <c r="Q57" i="37"/>
  <c r="B58" i="37"/>
  <c r="C58" i="37"/>
  <c r="D58" i="37"/>
  <c r="E58" i="37"/>
  <c r="F58" i="37"/>
  <c r="G58" i="37"/>
  <c r="H58" i="37"/>
  <c r="I58" i="37"/>
  <c r="J58" i="37"/>
  <c r="K58" i="37"/>
  <c r="L58" i="37"/>
  <c r="M58" i="37"/>
  <c r="N58" i="37"/>
  <c r="O58" i="37"/>
  <c r="P58" i="37"/>
  <c r="Q58" i="37"/>
  <c r="B60" i="37"/>
  <c r="C60" i="37"/>
  <c r="D60" i="37"/>
  <c r="E60" i="37"/>
  <c r="F60" i="37"/>
  <c r="G60" i="37"/>
  <c r="H60" i="37"/>
  <c r="I60" i="37"/>
  <c r="J60" i="37"/>
  <c r="K60" i="37"/>
  <c r="L60" i="37"/>
  <c r="M60" i="37"/>
  <c r="N60" i="37"/>
  <c r="O60" i="37"/>
  <c r="P60" i="37"/>
  <c r="Q60" i="37"/>
  <c r="B61" i="37"/>
  <c r="C61" i="37"/>
  <c r="D61" i="37"/>
  <c r="E61" i="37"/>
  <c r="F61" i="37"/>
  <c r="G61" i="37"/>
  <c r="H61" i="37"/>
  <c r="I61" i="37"/>
  <c r="J61" i="37"/>
  <c r="K61" i="37"/>
  <c r="L61" i="37"/>
  <c r="M61" i="37"/>
  <c r="N61" i="37"/>
  <c r="O61" i="37"/>
  <c r="P61" i="37"/>
  <c r="Q61" i="37"/>
  <c r="B62" i="37"/>
  <c r="C62" i="37"/>
  <c r="D62" i="37"/>
  <c r="E62" i="37"/>
  <c r="F62" i="37"/>
  <c r="G62" i="37"/>
  <c r="H62" i="37"/>
  <c r="I62" i="37"/>
  <c r="J62" i="37"/>
  <c r="K62" i="37"/>
  <c r="L62" i="37"/>
  <c r="M62" i="37"/>
  <c r="N62" i="37"/>
  <c r="O62" i="37"/>
  <c r="P62" i="37"/>
  <c r="Q62" i="37"/>
  <c r="B69" i="37"/>
  <c r="C69" i="37"/>
  <c r="D69" i="37"/>
  <c r="E69" i="37"/>
  <c r="F69" i="37"/>
  <c r="G69" i="37"/>
  <c r="H69" i="37"/>
  <c r="I69" i="37"/>
  <c r="J69" i="37"/>
  <c r="K69" i="37"/>
  <c r="L69" i="37"/>
  <c r="M69" i="37"/>
  <c r="N69" i="37"/>
  <c r="O69" i="37"/>
  <c r="P69" i="37"/>
  <c r="Q69" i="37"/>
  <c r="B145" i="37"/>
  <c r="B148" i="37"/>
  <c r="B152" i="37"/>
  <c r="B156" i="37"/>
  <c r="C156" i="37"/>
  <c r="D156" i="37"/>
  <c r="E156" i="37"/>
  <c r="G156" i="37"/>
  <c r="H156" i="37"/>
  <c r="I156" i="37"/>
  <c r="L156" i="37"/>
  <c r="O156" i="37"/>
  <c r="B10" i="63"/>
  <c r="D10" i="63"/>
  <c r="F10" i="63"/>
  <c r="H10" i="63"/>
  <c r="J10" i="63"/>
  <c r="L10" i="63"/>
  <c r="M10" i="63"/>
  <c r="N10" i="63"/>
  <c r="P10" i="63"/>
  <c r="Q10" i="63"/>
  <c r="B11" i="63"/>
  <c r="D11" i="63"/>
  <c r="F11" i="63"/>
  <c r="H11" i="63"/>
  <c r="J11" i="63"/>
  <c r="L11" i="63"/>
  <c r="M11" i="63"/>
  <c r="N11" i="63"/>
  <c r="P11" i="63"/>
  <c r="Q11" i="63"/>
  <c r="B12" i="63"/>
  <c r="D12" i="63"/>
  <c r="F12" i="63"/>
  <c r="H12" i="63"/>
  <c r="J12" i="63"/>
  <c r="L12" i="63"/>
  <c r="M12" i="63"/>
  <c r="N12" i="63"/>
  <c r="P12" i="63"/>
  <c r="Q12" i="63"/>
  <c r="B13" i="63"/>
  <c r="D13" i="63"/>
  <c r="F13" i="63"/>
  <c r="H13" i="63"/>
  <c r="J13" i="63"/>
  <c r="L13" i="63"/>
  <c r="M13" i="63"/>
  <c r="N13" i="63"/>
  <c r="P13" i="63"/>
  <c r="Q13" i="63"/>
  <c r="B14" i="63"/>
  <c r="D14" i="63"/>
  <c r="F14" i="63"/>
  <c r="H14" i="63"/>
  <c r="J14" i="63"/>
  <c r="L14" i="63"/>
  <c r="M14" i="63"/>
  <c r="N14" i="63"/>
  <c r="P14" i="63"/>
  <c r="Q14" i="63"/>
  <c r="B15" i="63"/>
  <c r="D15" i="63"/>
  <c r="F15" i="63"/>
  <c r="H15" i="63"/>
  <c r="J15" i="63"/>
  <c r="L15" i="63"/>
  <c r="M15" i="63"/>
  <c r="N15" i="63"/>
  <c r="P15" i="63"/>
  <c r="Q15" i="63"/>
  <c r="B17" i="63"/>
  <c r="D17" i="63"/>
  <c r="F17" i="63"/>
  <c r="H17" i="63"/>
  <c r="J17" i="63"/>
  <c r="L17" i="63"/>
  <c r="M17" i="63"/>
  <c r="N17" i="63"/>
  <c r="P17" i="63"/>
  <c r="Q17" i="63"/>
  <c r="B18" i="63"/>
  <c r="D18" i="63"/>
  <c r="F18" i="63"/>
  <c r="H18" i="63"/>
  <c r="J18" i="63"/>
  <c r="L18" i="63"/>
  <c r="M18" i="63"/>
  <c r="N18" i="63"/>
  <c r="P18" i="63"/>
  <c r="Q18" i="63"/>
  <c r="B19" i="63"/>
  <c r="D19" i="63"/>
  <c r="F19" i="63"/>
  <c r="H19" i="63"/>
  <c r="J19" i="63"/>
  <c r="L19" i="63"/>
  <c r="M19" i="63"/>
  <c r="N19" i="63"/>
  <c r="P19" i="63"/>
  <c r="Q19" i="63"/>
  <c r="B20" i="63"/>
  <c r="D20" i="63"/>
  <c r="F20" i="63"/>
  <c r="H20" i="63"/>
  <c r="J20" i="63"/>
  <c r="L20" i="63"/>
  <c r="M20" i="63"/>
  <c r="N20" i="63"/>
  <c r="P20" i="63"/>
  <c r="Q20" i="63"/>
  <c r="B21" i="63"/>
  <c r="D21" i="63"/>
  <c r="F21" i="63"/>
  <c r="H21" i="63"/>
  <c r="J21" i="63"/>
  <c r="L21" i="63"/>
  <c r="M21" i="63"/>
  <c r="N21" i="63"/>
  <c r="P21" i="63"/>
  <c r="Q21" i="63"/>
  <c r="B22" i="63"/>
  <c r="D22" i="63"/>
  <c r="F22" i="63"/>
  <c r="H22" i="63"/>
  <c r="J22" i="63"/>
  <c r="L22" i="63"/>
  <c r="M22" i="63"/>
  <c r="N22" i="63"/>
  <c r="P22" i="63"/>
  <c r="Q22" i="63"/>
  <c r="B26" i="63"/>
  <c r="D26" i="63"/>
  <c r="F26" i="63"/>
  <c r="H26" i="63"/>
  <c r="J26" i="63"/>
  <c r="L26" i="63"/>
  <c r="M26" i="63"/>
  <c r="N26" i="63"/>
  <c r="P26" i="63"/>
  <c r="Q26" i="63"/>
  <c r="B27" i="63"/>
  <c r="D27" i="63"/>
  <c r="F27" i="63"/>
  <c r="H27" i="63"/>
  <c r="J27" i="63"/>
  <c r="L27" i="63"/>
  <c r="M27" i="63"/>
  <c r="N27" i="63"/>
  <c r="P27" i="63"/>
  <c r="Q27" i="63"/>
  <c r="B28" i="63"/>
  <c r="D28" i="63"/>
  <c r="F28" i="63"/>
  <c r="H28" i="63"/>
  <c r="J28" i="63"/>
  <c r="L28" i="63"/>
  <c r="M28" i="63"/>
  <c r="N28" i="63"/>
  <c r="P28" i="63"/>
  <c r="Q28" i="63"/>
  <c r="B29" i="63"/>
  <c r="D29" i="63"/>
  <c r="F29" i="63"/>
  <c r="H29" i="63"/>
  <c r="J29" i="63"/>
  <c r="L29" i="63"/>
  <c r="M29" i="63"/>
  <c r="N29" i="63"/>
  <c r="P29" i="63"/>
  <c r="Q29" i="63"/>
  <c r="B32" i="63"/>
  <c r="D32" i="63"/>
  <c r="F32" i="63"/>
  <c r="H32" i="63"/>
  <c r="J32" i="63"/>
  <c r="L32" i="63"/>
  <c r="M32" i="63"/>
  <c r="N32" i="63"/>
  <c r="P32" i="63"/>
  <c r="Q32" i="63"/>
  <c r="B33" i="63"/>
  <c r="D33" i="63"/>
  <c r="F33" i="63"/>
  <c r="H33" i="63"/>
  <c r="J33" i="63"/>
  <c r="L33" i="63"/>
  <c r="M33" i="63"/>
  <c r="N33" i="63"/>
  <c r="P33" i="63"/>
  <c r="Q33" i="63"/>
  <c r="B34" i="63"/>
  <c r="D34" i="63"/>
  <c r="F34" i="63"/>
  <c r="H34" i="63"/>
  <c r="J34" i="63"/>
  <c r="L34" i="63"/>
  <c r="M34" i="63"/>
  <c r="N34" i="63"/>
  <c r="P34" i="63"/>
  <c r="Q34" i="63"/>
  <c r="B35" i="63"/>
  <c r="D35" i="63"/>
  <c r="F35" i="63"/>
  <c r="H35" i="63"/>
  <c r="J35" i="63"/>
  <c r="L35" i="63"/>
  <c r="M35" i="63"/>
  <c r="N35" i="63"/>
  <c r="P35" i="63"/>
  <c r="Q35" i="63"/>
  <c r="B38" i="63"/>
  <c r="D38" i="63"/>
  <c r="F38" i="63"/>
  <c r="H38" i="63"/>
  <c r="J38" i="63"/>
  <c r="L38" i="63"/>
  <c r="M38" i="63"/>
  <c r="N38" i="63"/>
  <c r="P38" i="63"/>
  <c r="Q38" i="63"/>
  <c r="B39" i="63"/>
  <c r="D39" i="63"/>
  <c r="F39" i="63"/>
  <c r="H39" i="63"/>
  <c r="J39" i="63"/>
  <c r="L39" i="63"/>
  <c r="M39" i="63"/>
  <c r="N39" i="63"/>
  <c r="P39" i="63"/>
  <c r="Q39" i="63"/>
  <c r="B40" i="63"/>
  <c r="D40" i="63"/>
  <c r="F40" i="63"/>
  <c r="H40" i="63"/>
  <c r="J40" i="63"/>
  <c r="L40" i="63"/>
  <c r="M40" i="63"/>
  <c r="N40" i="63"/>
  <c r="P40" i="63"/>
  <c r="Q40" i="63"/>
  <c r="B41" i="63"/>
  <c r="D41" i="63"/>
  <c r="F41" i="63"/>
  <c r="H41" i="63"/>
  <c r="J41" i="63"/>
  <c r="L41" i="63"/>
  <c r="M41" i="63"/>
  <c r="N41" i="63"/>
  <c r="P41" i="63"/>
  <c r="Q41" i="63"/>
  <c r="B43" i="63"/>
  <c r="D43" i="63"/>
  <c r="F43" i="63"/>
  <c r="H43" i="63"/>
  <c r="J43" i="63"/>
  <c r="L43" i="63"/>
  <c r="M43" i="63"/>
  <c r="N43" i="63"/>
  <c r="P43" i="63"/>
  <c r="Q43" i="63"/>
  <c r="B44" i="63"/>
  <c r="D44" i="63"/>
  <c r="F44" i="63"/>
  <c r="H44" i="63"/>
  <c r="J44" i="63"/>
  <c r="L44" i="63"/>
  <c r="M44" i="63"/>
  <c r="N44" i="63"/>
  <c r="P44" i="63"/>
  <c r="Q44" i="63"/>
  <c r="B47" i="63"/>
  <c r="D47" i="63"/>
  <c r="F47" i="63"/>
  <c r="H47" i="63"/>
  <c r="J47" i="63"/>
  <c r="L47" i="63"/>
  <c r="M47" i="63"/>
  <c r="N47" i="63"/>
  <c r="P47" i="63"/>
  <c r="Q47" i="63"/>
  <c r="B48" i="63"/>
  <c r="D48" i="63"/>
  <c r="F48" i="63"/>
  <c r="H48" i="63"/>
  <c r="J48" i="63"/>
  <c r="L48" i="63"/>
  <c r="M48" i="63"/>
  <c r="N48" i="63"/>
  <c r="P48" i="63"/>
  <c r="Q48" i="63"/>
  <c r="B49" i="63"/>
  <c r="D49" i="63"/>
  <c r="F49" i="63"/>
  <c r="H49" i="63"/>
  <c r="J49" i="63"/>
  <c r="L49" i="63"/>
  <c r="M49" i="63"/>
  <c r="N49" i="63"/>
  <c r="P49" i="63"/>
  <c r="Q49" i="63"/>
  <c r="B50" i="63"/>
  <c r="D50" i="63"/>
  <c r="F50" i="63"/>
  <c r="H50" i="63"/>
  <c r="J50" i="63"/>
  <c r="L50" i="63"/>
  <c r="M50" i="63"/>
  <c r="N50" i="63"/>
  <c r="P50" i="63"/>
  <c r="Q50" i="63"/>
  <c r="B51" i="63"/>
  <c r="D51" i="63"/>
  <c r="F51" i="63"/>
  <c r="H51" i="63"/>
  <c r="J51" i="63"/>
  <c r="L51" i="63"/>
  <c r="M51" i="63"/>
  <c r="N51" i="63"/>
  <c r="P51" i="63"/>
  <c r="Q51" i="63"/>
  <c r="B52" i="63"/>
  <c r="D52" i="63"/>
  <c r="F52" i="63"/>
  <c r="H52" i="63"/>
  <c r="J52" i="63"/>
  <c r="L52" i="63"/>
  <c r="M52" i="63"/>
  <c r="N52" i="63"/>
  <c r="P52" i="63"/>
  <c r="Q52" i="63"/>
  <c r="B57" i="63"/>
  <c r="L57" i="63"/>
  <c r="B58" i="63"/>
  <c r="L58" i="63"/>
  <c r="B59" i="63"/>
  <c r="D59" i="63"/>
  <c r="L59" i="63"/>
  <c r="B61" i="63"/>
  <c r="D61" i="63"/>
  <c r="F61" i="63"/>
  <c r="L61" i="63"/>
  <c r="B62" i="63"/>
  <c r="D62" i="63"/>
  <c r="L62" i="63"/>
  <c r="B63" i="63"/>
  <c r="D63" i="63"/>
  <c r="L63" i="63"/>
  <c r="D10" i="64"/>
  <c r="J10" i="64"/>
  <c r="D11" i="64"/>
  <c r="J11" i="64"/>
  <c r="D12" i="64"/>
  <c r="J12" i="64"/>
  <c r="D13" i="64"/>
  <c r="J13" i="64"/>
  <c r="D14" i="64"/>
  <c r="J14" i="64"/>
  <c r="B15" i="64"/>
  <c r="C15" i="64"/>
  <c r="D15" i="64"/>
  <c r="H15" i="64"/>
  <c r="I15" i="64"/>
  <c r="J15" i="64"/>
  <c r="D17" i="64"/>
  <c r="J17" i="64"/>
  <c r="D18" i="64"/>
  <c r="J18" i="64"/>
  <c r="D19" i="64"/>
  <c r="J19" i="64"/>
  <c r="D20" i="64"/>
  <c r="J20" i="64"/>
  <c r="D21" i="64"/>
  <c r="J21" i="64"/>
  <c r="B22" i="64"/>
  <c r="C22" i="64"/>
  <c r="D22" i="64"/>
  <c r="H22" i="64"/>
  <c r="I22" i="64"/>
  <c r="J22" i="64"/>
  <c r="D26" i="64"/>
  <c r="J26" i="64"/>
  <c r="D27" i="64"/>
  <c r="J27" i="64"/>
  <c r="D28" i="64"/>
  <c r="J28" i="64"/>
  <c r="B29" i="64"/>
  <c r="C29" i="64"/>
  <c r="D29" i="64"/>
  <c r="H29" i="64"/>
  <c r="I29" i="64"/>
  <c r="J29" i="64"/>
  <c r="D32" i="64"/>
  <c r="J32" i="64"/>
  <c r="D33" i="64"/>
  <c r="J33" i="64"/>
  <c r="D34" i="64"/>
  <c r="J34" i="64"/>
  <c r="B35" i="64"/>
  <c r="C35" i="64"/>
  <c r="D35" i="64"/>
  <c r="H35" i="64"/>
  <c r="I35" i="64"/>
  <c r="J35" i="64"/>
  <c r="D38" i="64"/>
  <c r="J38" i="64"/>
  <c r="D39" i="64"/>
  <c r="J39" i="64"/>
  <c r="D40" i="64"/>
  <c r="J40" i="64"/>
  <c r="B41" i="64"/>
  <c r="C41" i="64"/>
  <c r="D41" i="64"/>
  <c r="H41" i="64"/>
  <c r="I41" i="64"/>
  <c r="J41" i="64"/>
  <c r="D43" i="64"/>
  <c r="J43" i="64"/>
  <c r="B44" i="64"/>
  <c r="C44" i="64"/>
  <c r="D44" i="64"/>
  <c r="H44" i="64"/>
  <c r="I44" i="64"/>
  <c r="J44" i="64"/>
  <c r="D47" i="64"/>
  <c r="J47" i="64"/>
  <c r="D48" i="64"/>
  <c r="J48" i="64"/>
  <c r="D49" i="64"/>
  <c r="J49" i="64"/>
  <c r="D50" i="64"/>
  <c r="J50" i="64"/>
  <c r="B51" i="64"/>
  <c r="C51" i="64"/>
  <c r="D51" i="64"/>
  <c r="H51" i="64"/>
  <c r="I51" i="64"/>
  <c r="J51" i="64"/>
  <c r="B53" i="64"/>
  <c r="C53" i="64"/>
  <c r="D53" i="64"/>
  <c r="H53" i="64"/>
  <c r="I53" i="64"/>
  <c r="J53" i="64"/>
  <c r="B57" i="64"/>
  <c r="B58" i="64"/>
  <c r="B59" i="64"/>
  <c r="B61" i="64"/>
  <c r="J61" i="64"/>
  <c r="B62" i="64"/>
  <c r="B63" i="64"/>
  <c r="B11" i="61"/>
  <c r="D11" i="61"/>
  <c r="F11" i="61"/>
  <c r="H11" i="61"/>
  <c r="J11" i="61"/>
  <c r="L11" i="61"/>
  <c r="B12" i="61"/>
  <c r="D12" i="61"/>
  <c r="F12" i="61"/>
  <c r="H12" i="61"/>
  <c r="J12" i="61"/>
  <c r="L12" i="61"/>
  <c r="B13" i="61"/>
  <c r="D13" i="61"/>
  <c r="F13" i="61"/>
  <c r="H13" i="61"/>
  <c r="J13" i="61"/>
  <c r="L13" i="61"/>
  <c r="B14" i="61"/>
  <c r="D14" i="61"/>
  <c r="F14" i="61"/>
  <c r="H14" i="61"/>
  <c r="J14" i="61"/>
  <c r="L14" i="61"/>
  <c r="B15" i="61"/>
  <c r="D15" i="61"/>
  <c r="F15" i="61"/>
  <c r="H15" i="61"/>
  <c r="J15" i="61"/>
  <c r="L15" i="61"/>
  <c r="B23" i="61"/>
  <c r="D23" i="61"/>
  <c r="F23" i="61"/>
  <c r="H23" i="61"/>
  <c r="J23" i="61"/>
  <c r="L23" i="61"/>
  <c r="N23" i="61"/>
  <c r="P23" i="61"/>
  <c r="R23" i="61"/>
  <c r="T23" i="61"/>
  <c r="B24" i="61"/>
  <c r="D24" i="61"/>
  <c r="F24" i="61"/>
  <c r="H24" i="61"/>
  <c r="J24" i="61"/>
  <c r="L24" i="61"/>
  <c r="N24" i="61"/>
  <c r="P24" i="61"/>
  <c r="R24" i="61"/>
  <c r="T24" i="61"/>
  <c r="B25" i="61"/>
  <c r="D25" i="61"/>
  <c r="F25" i="61"/>
  <c r="H25" i="61"/>
  <c r="J25" i="61"/>
  <c r="L25" i="61"/>
  <c r="N25" i="61"/>
  <c r="P25" i="61"/>
  <c r="R25" i="61"/>
  <c r="T25" i="61"/>
  <c r="B26" i="61"/>
  <c r="D26" i="61"/>
  <c r="F26" i="61"/>
  <c r="H26" i="61"/>
  <c r="J26" i="61"/>
  <c r="L26" i="61"/>
  <c r="N26" i="61"/>
  <c r="P26" i="61"/>
  <c r="R26" i="61"/>
  <c r="T26" i="61"/>
  <c r="B27" i="61"/>
  <c r="D27" i="61"/>
  <c r="F27" i="61"/>
  <c r="H27" i="61"/>
  <c r="J27" i="61"/>
  <c r="L27" i="61"/>
  <c r="N27" i="61"/>
  <c r="P27" i="61"/>
  <c r="R27" i="61"/>
  <c r="T27" i="61"/>
  <c r="N41" i="61"/>
  <c r="O41" i="61"/>
  <c r="N43" i="61"/>
  <c r="O43" i="61"/>
  <c r="K48" i="61"/>
  <c r="N48" i="61"/>
  <c r="O48" i="61"/>
  <c r="K51" i="61"/>
  <c r="N51" i="61"/>
  <c r="O51" i="61"/>
  <c r="N54" i="61"/>
  <c r="O54" i="61"/>
  <c r="N58" i="61"/>
  <c r="O58" i="61"/>
  <c r="N60" i="61"/>
  <c r="O60" i="61"/>
  <c r="N63" i="61"/>
  <c r="O63" i="61"/>
  <c r="N65" i="61"/>
  <c r="O65" i="61"/>
  <c r="N67" i="61"/>
  <c r="O67" i="61"/>
  <c r="N70" i="61"/>
  <c r="O70" i="61"/>
  <c r="N73" i="61"/>
  <c r="O73" i="61"/>
  <c r="B10" i="65"/>
  <c r="D10" i="65"/>
  <c r="F10" i="65"/>
  <c r="H10" i="65"/>
  <c r="J10" i="65"/>
  <c r="K10" i="65"/>
  <c r="L10" i="65"/>
  <c r="N10" i="65"/>
  <c r="P10" i="65"/>
  <c r="B11" i="65"/>
  <c r="D11" i="65"/>
  <c r="J11" i="65"/>
  <c r="K11" i="65"/>
  <c r="L11" i="65"/>
  <c r="N11" i="65"/>
  <c r="P11" i="65"/>
  <c r="B12" i="65"/>
  <c r="D12" i="65"/>
  <c r="F12" i="65"/>
  <c r="H12" i="65"/>
  <c r="J12" i="65"/>
  <c r="K12" i="65"/>
  <c r="L12" i="65"/>
  <c r="N12" i="65"/>
  <c r="P12" i="65"/>
  <c r="B13" i="65"/>
  <c r="D13" i="65"/>
  <c r="F13" i="65"/>
  <c r="H13" i="65"/>
  <c r="J13" i="65"/>
  <c r="K13" i="65"/>
  <c r="L13" i="65"/>
  <c r="N13" i="65"/>
  <c r="P13" i="65"/>
  <c r="B14" i="65"/>
  <c r="D14" i="65"/>
  <c r="F14" i="65"/>
  <c r="H14" i="65"/>
  <c r="J14" i="65"/>
  <c r="K14" i="65"/>
  <c r="L14" i="65"/>
  <c r="N14" i="65"/>
  <c r="P14" i="65"/>
  <c r="B15" i="65"/>
  <c r="D15" i="65"/>
  <c r="F15" i="65"/>
  <c r="H15" i="65"/>
  <c r="J15" i="65"/>
  <c r="K15" i="65"/>
  <c r="L15" i="65"/>
  <c r="N15" i="65"/>
  <c r="P15" i="65"/>
  <c r="B18" i="65"/>
  <c r="D18" i="65"/>
  <c r="F18" i="65"/>
  <c r="H18" i="65"/>
  <c r="J18" i="65"/>
  <c r="K18" i="65"/>
  <c r="L18" i="65"/>
  <c r="N18" i="65"/>
  <c r="P18" i="65"/>
  <c r="B19" i="65"/>
  <c r="D19" i="65"/>
  <c r="F19" i="65"/>
  <c r="H19" i="65"/>
  <c r="J19" i="65"/>
  <c r="K19" i="65"/>
  <c r="L19" i="65"/>
  <c r="N19" i="65"/>
  <c r="P19" i="65"/>
  <c r="B20" i="65"/>
  <c r="D20" i="65"/>
  <c r="F20" i="65"/>
  <c r="H20" i="65"/>
  <c r="J20" i="65"/>
  <c r="K20" i="65"/>
  <c r="L20" i="65"/>
  <c r="N20" i="65"/>
  <c r="P20" i="65"/>
  <c r="B21" i="65"/>
  <c r="D21" i="65"/>
  <c r="F21" i="65"/>
  <c r="H21" i="65"/>
  <c r="J21" i="65"/>
  <c r="K21" i="65"/>
  <c r="L21" i="65"/>
  <c r="N21" i="65"/>
  <c r="P21" i="65"/>
  <c r="B23" i="65"/>
  <c r="D23" i="65"/>
  <c r="F23" i="65"/>
  <c r="H23" i="65"/>
  <c r="J23" i="65"/>
  <c r="K23" i="65"/>
  <c r="L23" i="65"/>
  <c r="N23" i="65"/>
  <c r="P23" i="65"/>
  <c r="B25" i="65"/>
  <c r="D25" i="65"/>
  <c r="F25" i="65"/>
  <c r="H25" i="65"/>
  <c r="J25" i="65"/>
  <c r="L25" i="65"/>
  <c r="N25" i="65"/>
  <c r="P25" i="65"/>
  <c r="B28" i="65"/>
  <c r="D28" i="65"/>
  <c r="F28" i="65"/>
  <c r="H28" i="65"/>
  <c r="J28" i="65"/>
  <c r="K28" i="65"/>
  <c r="L28" i="65"/>
  <c r="N28" i="65"/>
  <c r="P28" i="65"/>
  <c r="B31" i="65"/>
  <c r="D31" i="65"/>
  <c r="F31" i="65"/>
  <c r="H31" i="65"/>
  <c r="J31" i="65"/>
  <c r="K31" i="65"/>
  <c r="L31" i="65"/>
  <c r="N31" i="65"/>
  <c r="P31" i="65"/>
  <c r="B32" i="65"/>
  <c r="D32" i="65"/>
  <c r="F32" i="65"/>
  <c r="H32" i="65"/>
  <c r="J32" i="65"/>
  <c r="K32" i="65"/>
  <c r="L32" i="65"/>
  <c r="N32" i="65"/>
  <c r="P32" i="65"/>
  <c r="B33" i="65"/>
  <c r="D33" i="65"/>
  <c r="F33" i="65"/>
  <c r="H33" i="65"/>
  <c r="J33" i="65"/>
  <c r="K33" i="65"/>
  <c r="L33" i="65"/>
  <c r="N33" i="65"/>
  <c r="P33" i="65"/>
  <c r="B34" i="65"/>
  <c r="D34" i="65"/>
  <c r="F34" i="65"/>
  <c r="H34" i="65"/>
  <c r="J34" i="65"/>
  <c r="K34" i="65"/>
  <c r="L34" i="65"/>
  <c r="N34" i="65"/>
  <c r="P34" i="65"/>
  <c r="B35" i="65"/>
  <c r="D35" i="65"/>
  <c r="F35" i="65"/>
  <c r="H35" i="65"/>
  <c r="J35" i="65"/>
  <c r="K35" i="65"/>
  <c r="L35" i="65"/>
  <c r="N35" i="65"/>
  <c r="P35" i="65"/>
  <c r="B37" i="65"/>
  <c r="D37" i="65"/>
  <c r="F37" i="65"/>
  <c r="H37" i="65"/>
  <c r="J37" i="65"/>
  <c r="K37" i="65"/>
  <c r="L37" i="65"/>
  <c r="N37" i="65"/>
  <c r="P37" i="65"/>
  <c r="B39" i="65"/>
  <c r="D39" i="65"/>
  <c r="F39" i="65"/>
  <c r="H39" i="65"/>
  <c r="J39" i="65"/>
  <c r="L39" i="65"/>
  <c r="N39" i="65"/>
  <c r="B41" i="65"/>
  <c r="D41" i="65"/>
  <c r="F41" i="65"/>
  <c r="H41" i="65"/>
  <c r="J41" i="65"/>
  <c r="K41" i="65"/>
  <c r="L41" i="65"/>
  <c r="N41" i="65"/>
  <c r="P41" i="65"/>
  <c r="H50" i="65"/>
  <c r="R50" i="65"/>
  <c r="T50" i="65"/>
  <c r="U50" i="65"/>
  <c r="D51" i="65"/>
  <c r="H51" i="65"/>
  <c r="R51" i="65"/>
  <c r="T51" i="65"/>
  <c r="U51" i="65"/>
  <c r="D52" i="65"/>
  <c r="H52" i="65"/>
  <c r="R52" i="65"/>
  <c r="T52" i="65"/>
  <c r="U52" i="65"/>
  <c r="B53" i="65"/>
  <c r="D53" i="65"/>
  <c r="F53" i="65"/>
  <c r="H53" i="65"/>
  <c r="J53" i="65"/>
  <c r="L53" i="65"/>
  <c r="N53" i="65"/>
  <c r="P53" i="65"/>
  <c r="R53" i="65"/>
  <c r="T53" i="65"/>
  <c r="U53" i="65"/>
  <c r="H54" i="65"/>
  <c r="R54" i="65"/>
  <c r="T54" i="65"/>
  <c r="U54" i="65"/>
  <c r="B55" i="65"/>
  <c r="D55" i="65"/>
  <c r="F55" i="65"/>
  <c r="H55" i="65"/>
  <c r="J55" i="65"/>
  <c r="L55" i="65"/>
  <c r="N55" i="65"/>
  <c r="P55" i="65"/>
  <c r="R55" i="65"/>
  <c r="T55" i="65"/>
  <c r="U55" i="65"/>
  <c r="H58" i="65"/>
  <c r="R58" i="65"/>
  <c r="T58" i="65"/>
  <c r="U58" i="65"/>
  <c r="D59" i="65"/>
  <c r="H59" i="65"/>
  <c r="R59" i="65"/>
  <c r="T59" i="65"/>
  <c r="U59" i="65"/>
  <c r="H60" i="65"/>
  <c r="R60" i="65"/>
  <c r="T60" i="65"/>
  <c r="U60" i="65"/>
  <c r="B61" i="65"/>
  <c r="D61" i="65"/>
  <c r="F61" i="65"/>
  <c r="H61" i="65"/>
  <c r="J61" i="65"/>
  <c r="L61" i="65"/>
  <c r="N61" i="65"/>
  <c r="P61" i="65"/>
  <c r="R61" i="65"/>
  <c r="T61" i="65"/>
  <c r="U61" i="65"/>
  <c r="B63" i="65"/>
  <c r="D63" i="65"/>
  <c r="F63" i="65"/>
  <c r="H63" i="65"/>
  <c r="J63" i="65"/>
  <c r="L63" i="65"/>
  <c r="N63" i="65"/>
  <c r="P63" i="65"/>
  <c r="R63" i="65"/>
  <c r="T63" i="65"/>
  <c r="U63" i="65"/>
  <c r="J65" i="65"/>
  <c r="L65" i="65"/>
  <c r="N65" i="65"/>
  <c r="P65" i="65"/>
  <c r="R65" i="65"/>
  <c r="T65" i="65"/>
  <c r="U65" i="65"/>
  <c r="B68" i="65"/>
  <c r="D68" i="65"/>
  <c r="F68" i="65"/>
  <c r="H68" i="65"/>
  <c r="J68" i="65"/>
  <c r="L68" i="65"/>
  <c r="N68" i="65"/>
  <c r="P68" i="65"/>
  <c r="R68" i="65"/>
  <c r="T68" i="65"/>
  <c r="U68" i="65"/>
  <c r="D71" i="65"/>
  <c r="H71" i="65"/>
  <c r="R71" i="65"/>
  <c r="T71" i="65"/>
  <c r="U71" i="65"/>
  <c r="D72" i="65"/>
  <c r="H72" i="65"/>
  <c r="R72" i="65"/>
  <c r="T72" i="65"/>
  <c r="U72" i="65"/>
  <c r="H73" i="65"/>
  <c r="R73" i="65"/>
  <c r="T73" i="65"/>
  <c r="U73" i="65"/>
  <c r="H74" i="65"/>
  <c r="R74" i="65"/>
  <c r="T74" i="65"/>
  <c r="U74" i="65"/>
  <c r="B75" i="65"/>
  <c r="D75" i="65"/>
  <c r="F75" i="65"/>
  <c r="H75" i="65"/>
  <c r="J75" i="65"/>
  <c r="L75" i="65"/>
  <c r="N75" i="65"/>
  <c r="P75" i="65"/>
  <c r="R75" i="65"/>
  <c r="T75" i="65"/>
  <c r="U75" i="65"/>
  <c r="B77" i="65"/>
  <c r="D77" i="65"/>
  <c r="F77" i="65"/>
  <c r="H77" i="65"/>
  <c r="J77" i="65"/>
  <c r="L77" i="65"/>
  <c r="N77" i="65"/>
  <c r="P77" i="65"/>
  <c r="R77" i="65"/>
  <c r="T77" i="65"/>
  <c r="U77" i="65"/>
  <c r="F79" i="65"/>
  <c r="H79" i="65"/>
  <c r="J79" i="65"/>
  <c r="L79" i="65"/>
  <c r="N79" i="65"/>
  <c r="P79" i="65"/>
  <c r="R79" i="65"/>
  <c r="T79" i="65"/>
  <c r="U79" i="65"/>
  <c r="B81" i="65"/>
  <c r="D81" i="65"/>
  <c r="F81" i="65"/>
  <c r="H81" i="65"/>
  <c r="J81" i="65"/>
  <c r="L81" i="65"/>
  <c r="N81" i="65"/>
  <c r="P81" i="65"/>
  <c r="R81" i="65"/>
  <c r="T81" i="65"/>
  <c r="U81" i="65"/>
  <c r="B90" i="65"/>
  <c r="D90" i="65"/>
  <c r="B91" i="65"/>
  <c r="B92" i="65"/>
  <c r="D92" i="65"/>
  <c r="F92" i="65"/>
  <c r="H92" i="65"/>
  <c r="B96" i="65"/>
  <c r="B98" i="65"/>
  <c r="D98" i="65"/>
  <c r="F98" i="65"/>
  <c r="H98" i="65"/>
  <c r="B100" i="65"/>
  <c r="D100" i="65"/>
  <c r="F100" i="65"/>
  <c r="H100" i="65"/>
  <c r="B105" i="65"/>
  <c r="D105" i="65"/>
  <c r="F105" i="65"/>
  <c r="H105" i="65"/>
  <c r="B108" i="65"/>
  <c r="B110" i="65"/>
  <c r="B111" i="65"/>
  <c r="B112" i="65"/>
  <c r="D112" i="65"/>
  <c r="F112" i="65"/>
  <c r="H112" i="65"/>
  <c r="B114" i="65"/>
  <c r="D114" i="65"/>
  <c r="F114" i="65"/>
  <c r="H114" i="65"/>
  <c r="B118" i="65"/>
  <c r="D118" i="65"/>
  <c r="F118" i="65"/>
  <c r="H118" i="65"/>
  <c r="F13" i="62"/>
  <c r="L14" i="62"/>
  <c r="B15" i="62"/>
  <c r="D15" i="62"/>
  <c r="F15" i="62"/>
  <c r="H15" i="62"/>
  <c r="J15" i="62"/>
  <c r="K15" i="62"/>
  <c r="L15" i="62"/>
  <c r="N15" i="62"/>
  <c r="P15" i="62"/>
  <c r="B18" i="62"/>
  <c r="D18" i="62"/>
  <c r="F18" i="62"/>
  <c r="H18" i="62"/>
  <c r="J18" i="62"/>
  <c r="L18" i="62"/>
  <c r="B22" i="62"/>
  <c r="D22" i="62"/>
  <c r="F22" i="62"/>
  <c r="H22" i="62"/>
  <c r="J22" i="62"/>
  <c r="K22" i="62"/>
  <c r="L22" i="62"/>
  <c r="N22" i="62"/>
  <c r="P22" i="62"/>
  <c r="B29" i="62"/>
  <c r="D29" i="62"/>
  <c r="F29" i="62"/>
  <c r="H29" i="62"/>
  <c r="J29" i="62"/>
  <c r="K29" i="62"/>
  <c r="L29" i="62"/>
  <c r="N29" i="62"/>
  <c r="P29" i="62"/>
  <c r="B32" i="62"/>
  <c r="D32" i="62"/>
  <c r="F32" i="62"/>
  <c r="H32" i="62"/>
  <c r="J32" i="62"/>
  <c r="L32" i="62"/>
  <c r="B33" i="62"/>
  <c r="D33" i="62"/>
  <c r="F33" i="62"/>
  <c r="H33" i="62"/>
  <c r="J33" i="62"/>
  <c r="L33" i="62"/>
  <c r="B35" i="62"/>
  <c r="D35" i="62"/>
  <c r="F35" i="62"/>
  <c r="H35" i="62"/>
  <c r="J35" i="62"/>
  <c r="K35" i="62"/>
  <c r="L35" i="62"/>
  <c r="N35" i="62"/>
  <c r="P35" i="62"/>
  <c r="B38" i="62"/>
  <c r="D38" i="62"/>
  <c r="F38" i="62"/>
  <c r="B39" i="62"/>
  <c r="D39" i="62"/>
  <c r="F39" i="62"/>
  <c r="H39" i="62"/>
  <c r="J39" i="62"/>
  <c r="L39" i="62"/>
  <c r="B41" i="62"/>
  <c r="D41" i="62"/>
  <c r="F41" i="62"/>
  <c r="H41" i="62"/>
  <c r="J41" i="62"/>
  <c r="K41" i="62"/>
  <c r="L41" i="62"/>
  <c r="N41" i="62"/>
  <c r="P41" i="62"/>
  <c r="F43" i="62"/>
  <c r="H43" i="62"/>
  <c r="J43" i="62"/>
  <c r="L43" i="62"/>
  <c r="B44" i="62"/>
  <c r="D44" i="62"/>
  <c r="F44" i="62"/>
  <c r="H44" i="62"/>
  <c r="J44" i="62"/>
  <c r="K44" i="62"/>
  <c r="L44" i="62"/>
  <c r="M44" i="62"/>
  <c r="N44" i="62"/>
  <c r="O44" i="62"/>
  <c r="P44" i="62"/>
  <c r="B48" i="62"/>
  <c r="D48" i="62"/>
  <c r="F48" i="62"/>
  <c r="H48" i="62"/>
  <c r="J48" i="62"/>
  <c r="L48" i="62"/>
  <c r="B49" i="62"/>
  <c r="D49" i="62"/>
  <c r="F49" i="62"/>
  <c r="H49" i="62"/>
  <c r="J49" i="62"/>
  <c r="L49" i="62"/>
  <c r="B51" i="62"/>
  <c r="D51" i="62"/>
  <c r="F51" i="62"/>
  <c r="H51" i="62"/>
  <c r="J51" i="62"/>
  <c r="K51" i="62"/>
  <c r="L51" i="62"/>
  <c r="N51" i="62"/>
  <c r="P51" i="62"/>
  <c r="B52" i="62"/>
  <c r="D52" i="62"/>
  <c r="F52" i="62"/>
  <c r="H52" i="62"/>
  <c r="J52" i="62"/>
  <c r="K52" i="62"/>
  <c r="L52" i="62"/>
  <c r="N52" i="62"/>
  <c r="P52" i="62"/>
  <c r="B62" i="62"/>
  <c r="B69" i="62"/>
  <c r="D69" i="62"/>
  <c r="F69" i="62"/>
  <c r="G69" i="62"/>
  <c r="H69" i="62"/>
  <c r="I69" i="62"/>
  <c r="J69" i="62"/>
  <c r="K69" i="62"/>
  <c r="L69" i="62"/>
  <c r="M69" i="62"/>
  <c r="O69" i="62"/>
  <c r="B73" i="62"/>
  <c r="B80" i="62"/>
  <c r="D80" i="62"/>
  <c r="F80" i="62"/>
  <c r="G80" i="62"/>
  <c r="H80" i="62"/>
  <c r="I80" i="62"/>
  <c r="J80" i="62"/>
  <c r="K80" i="62"/>
  <c r="L80" i="62"/>
  <c r="M80" i="62"/>
  <c r="O80" i="62"/>
  <c r="B84" i="62"/>
  <c r="D84" i="62"/>
  <c r="F84" i="62"/>
  <c r="G84" i="62"/>
  <c r="H84" i="62"/>
  <c r="I84" i="62"/>
  <c r="J84" i="62"/>
  <c r="K84" i="62"/>
  <c r="L84" i="62"/>
  <c r="M84" i="62"/>
  <c r="O84" i="62"/>
  <c r="B96" i="62"/>
  <c r="D96" i="62"/>
  <c r="F96" i="62"/>
  <c r="G96" i="62"/>
  <c r="H96" i="62"/>
  <c r="I96" i="62"/>
  <c r="J96" i="62"/>
  <c r="K96" i="62"/>
  <c r="L96" i="62"/>
  <c r="M96" i="62"/>
  <c r="O96" i="62"/>
  <c r="B97" i="62"/>
  <c r="B100" i="62"/>
  <c r="B102" i="62"/>
  <c r="B106" i="62"/>
  <c r="D106" i="62"/>
  <c r="F106" i="62"/>
  <c r="G106" i="62"/>
  <c r="H106" i="62"/>
  <c r="I106" i="62"/>
  <c r="J106" i="62"/>
  <c r="K106" i="62"/>
  <c r="L106" i="62"/>
  <c r="M106" i="62"/>
  <c r="O106" i="62"/>
  <c r="B107" i="62"/>
  <c r="B110" i="62"/>
  <c r="B114" i="62"/>
  <c r="F114" i="62"/>
  <c r="G114" i="62"/>
  <c r="H114" i="62"/>
  <c r="I114" i="62"/>
  <c r="J114" i="62"/>
  <c r="K114" i="62"/>
  <c r="L114" i="62"/>
  <c r="M114" i="62"/>
  <c r="O114" i="62"/>
  <c r="B119" i="62"/>
  <c r="D119" i="62"/>
  <c r="B125" i="62"/>
  <c r="B127" i="62"/>
  <c r="D127" i="62"/>
  <c r="B135" i="62"/>
  <c r="B136" i="62"/>
  <c r="B142" i="62"/>
  <c r="D142" i="62"/>
  <c r="B149" i="62"/>
  <c r="B157" i="62"/>
  <c r="D157" i="62"/>
  <c r="B158" i="62"/>
  <c r="B161" i="62"/>
  <c r="D161" i="62"/>
  <c r="B163" i="62"/>
  <c r="B165" i="62"/>
  <c r="D165" i="62"/>
  <c r="B169" i="62"/>
  <c r="D169" i="62"/>
  <c r="F169" i="62"/>
  <c r="G169" i="62"/>
  <c r="H169" i="62"/>
  <c r="I169" i="62"/>
  <c r="J169" i="62"/>
  <c r="K169" i="62"/>
  <c r="L169" i="62"/>
  <c r="M169" i="62"/>
  <c r="O169" i="62"/>
  <c r="B12" i="66"/>
  <c r="C12" i="66"/>
  <c r="D12" i="66"/>
  <c r="F12" i="66"/>
  <c r="G12" i="66"/>
  <c r="I12" i="66"/>
  <c r="B13" i="66"/>
  <c r="C13" i="66"/>
  <c r="D13" i="66"/>
  <c r="F13" i="66"/>
  <c r="B14" i="66"/>
  <c r="C14" i="66"/>
  <c r="D14" i="66"/>
  <c r="F14" i="66"/>
  <c r="G14" i="66"/>
  <c r="B15" i="66"/>
  <c r="C15" i="66"/>
  <c r="D15" i="66"/>
  <c r="F15" i="66"/>
  <c r="G15" i="66"/>
  <c r="H15" i="66"/>
  <c r="I15" i="66"/>
  <c r="J15" i="66"/>
  <c r="B16" i="66"/>
  <c r="C16" i="66"/>
  <c r="D16" i="66"/>
  <c r="F16" i="66"/>
  <c r="G16" i="66"/>
  <c r="I16" i="66"/>
  <c r="B17" i="66"/>
  <c r="C17" i="66"/>
  <c r="D17" i="66"/>
  <c r="F17" i="66"/>
  <c r="G17" i="66"/>
  <c r="H17" i="66"/>
  <c r="I17" i="66"/>
  <c r="J17" i="66"/>
  <c r="L17" i="66"/>
  <c r="B20" i="66"/>
  <c r="C20" i="66"/>
  <c r="D20" i="66"/>
  <c r="F20" i="66"/>
  <c r="G20" i="66"/>
  <c r="I20" i="66"/>
  <c r="B21" i="66"/>
  <c r="C21" i="66"/>
  <c r="D21" i="66"/>
  <c r="F21" i="66"/>
  <c r="G21" i="66"/>
  <c r="I21" i="66"/>
  <c r="B22" i="66"/>
  <c r="C22" i="66"/>
  <c r="D22" i="66"/>
  <c r="F22" i="66"/>
  <c r="G22" i="66"/>
  <c r="I22" i="66"/>
  <c r="B23" i="66"/>
  <c r="C23" i="66"/>
  <c r="D23" i="66"/>
  <c r="F23" i="66"/>
  <c r="G23" i="66"/>
  <c r="H23" i="66"/>
  <c r="I23" i="66"/>
  <c r="J23" i="66"/>
  <c r="B25" i="66"/>
  <c r="C25" i="66"/>
  <c r="D25" i="66"/>
  <c r="F25" i="66"/>
  <c r="G25" i="66"/>
  <c r="H25" i="66"/>
  <c r="I25" i="66"/>
  <c r="J25" i="66"/>
  <c r="L25" i="66"/>
  <c r="B27" i="66"/>
  <c r="D27" i="66"/>
  <c r="F27" i="66"/>
  <c r="B30" i="66"/>
  <c r="C30" i="66"/>
  <c r="D30" i="66"/>
  <c r="F30" i="66"/>
  <c r="G30" i="66"/>
  <c r="H30" i="66"/>
  <c r="I30" i="66"/>
  <c r="J30" i="66"/>
  <c r="L30" i="66"/>
  <c r="B33" i="66"/>
  <c r="C33" i="66"/>
  <c r="D33" i="66"/>
  <c r="F33" i="66"/>
  <c r="G33" i="66"/>
  <c r="I33" i="66"/>
  <c r="B34" i="66"/>
  <c r="C34" i="66"/>
  <c r="D34" i="66"/>
  <c r="F34" i="66"/>
  <c r="G34" i="66"/>
  <c r="I34" i="66"/>
  <c r="B35" i="66"/>
  <c r="C35" i="66"/>
  <c r="D35" i="66"/>
  <c r="F35" i="66"/>
  <c r="G35" i="66"/>
  <c r="I35" i="66"/>
  <c r="B36" i="66"/>
  <c r="C36" i="66"/>
  <c r="D36" i="66"/>
  <c r="F36" i="66"/>
  <c r="G36" i="66"/>
  <c r="I36" i="66"/>
  <c r="B37" i="66"/>
  <c r="C37" i="66"/>
  <c r="D37" i="66"/>
  <c r="F37" i="66"/>
  <c r="G37" i="66"/>
  <c r="H37" i="66"/>
  <c r="I37" i="66"/>
  <c r="J37" i="66"/>
  <c r="B39" i="66"/>
  <c r="C39" i="66"/>
  <c r="D39" i="66"/>
  <c r="F39" i="66"/>
  <c r="G39" i="66"/>
  <c r="H39" i="66"/>
  <c r="I39" i="66"/>
  <c r="J39" i="66"/>
  <c r="L39" i="66"/>
  <c r="B41" i="66"/>
  <c r="D41" i="66"/>
  <c r="F41" i="66"/>
  <c r="I41" i="66"/>
  <c r="B43" i="66"/>
  <c r="C43" i="66"/>
  <c r="D43" i="66"/>
  <c r="F43" i="66"/>
  <c r="G43" i="66"/>
  <c r="H43" i="66"/>
  <c r="I43" i="66"/>
  <c r="J43" i="66"/>
  <c r="L43" i="66"/>
  <c r="B10" i="69"/>
  <c r="C10" i="69"/>
  <c r="D10" i="69"/>
  <c r="F10" i="69"/>
  <c r="H10" i="69"/>
  <c r="J10" i="69"/>
  <c r="K10" i="69"/>
  <c r="L10" i="69"/>
  <c r="M10" i="69"/>
  <c r="N10" i="69"/>
  <c r="O10" i="69"/>
  <c r="P10" i="69"/>
  <c r="Q10" i="69"/>
  <c r="B11" i="69"/>
  <c r="C11" i="69"/>
  <c r="D11" i="69"/>
  <c r="F11" i="69"/>
  <c r="H11" i="69"/>
  <c r="J11" i="69"/>
  <c r="K11" i="69"/>
  <c r="L11" i="69"/>
  <c r="M11" i="69"/>
  <c r="N11" i="69"/>
  <c r="O11" i="69"/>
  <c r="P11" i="69"/>
  <c r="Q11" i="69"/>
  <c r="B12" i="69"/>
  <c r="C12" i="69"/>
  <c r="D12" i="69"/>
  <c r="F12" i="69"/>
  <c r="H12" i="69"/>
  <c r="J12" i="69"/>
  <c r="K12" i="69"/>
  <c r="L12" i="69"/>
  <c r="M12" i="69"/>
  <c r="N12" i="69"/>
  <c r="O12" i="69"/>
  <c r="P12" i="69"/>
  <c r="Q12" i="69"/>
  <c r="B13" i="69"/>
  <c r="C13" i="69"/>
  <c r="D13" i="69"/>
  <c r="F13" i="69"/>
  <c r="H13" i="69"/>
  <c r="J13" i="69"/>
  <c r="K13" i="69"/>
  <c r="L13" i="69"/>
  <c r="M13" i="69"/>
  <c r="N13" i="69"/>
  <c r="O13" i="69"/>
  <c r="P13" i="69"/>
  <c r="Q13" i="69"/>
  <c r="B14" i="69"/>
  <c r="C14" i="69"/>
  <c r="D14" i="69"/>
  <c r="F14" i="69"/>
  <c r="H14" i="69"/>
  <c r="J14" i="69"/>
  <c r="K14" i="69"/>
  <c r="L14" i="69"/>
  <c r="M14" i="69"/>
  <c r="N14" i="69"/>
  <c r="O14" i="69"/>
  <c r="P14" i="69"/>
  <c r="Q14" i="69"/>
  <c r="B15" i="69"/>
  <c r="C15" i="69"/>
  <c r="D15" i="69"/>
  <c r="F15" i="69"/>
  <c r="H15" i="69"/>
  <c r="J15" i="69"/>
  <c r="K15" i="69"/>
  <c r="L15" i="69"/>
  <c r="M15" i="69"/>
  <c r="N15" i="69"/>
  <c r="O15" i="69"/>
  <c r="P15" i="69"/>
  <c r="Q15" i="69"/>
  <c r="B17" i="69"/>
  <c r="C17" i="69"/>
  <c r="D17" i="69"/>
  <c r="F17" i="69"/>
  <c r="H17" i="69"/>
  <c r="J17" i="69"/>
  <c r="K17" i="69"/>
  <c r="L17" i="69"/>
  <c r="M17" i="69"/>
  <c r="N17" i="69"/>
  <c r="O17" i="69"/>
  <c r="P17" i="69"/>
  <c r="Q17" i="69"/>
  <c r="B18" i="69"/>
  <c r="C18" i="69"/>
  <c r="D18" i="69"/>
  <c r="F18" i="69"/>
  <c r="H18" i="69"/>
  <c r="J18" i="69"/>
  <c r="K18" i="69"/>
  <c r="L18" i="69"/>
  <c r="M18" i="69"/>
  <c r="N18" i="69"/>
  <c r="O18" i="69"/>
  <c r="P18" i="69"/>
  <c r="Q18" i="69"/>
  <c r="B19" i="69"/>
  <c r="C19" i="69"/>
  <c r="D19" i="69"/>
  <c r="F19" i="69"/>
  <c r="H19" i="69"/>
  <c r="J19" i="69"/>
  <c r="K19" i="69"/>
  <c r="L19" i="69"/>
  <c r="M19" i="69"/>
  <c r="N19" i="69"/>
  <c r="O19" i="69"/>
  <c r="P19" i="69"/>
  <c r="Q19" i="69"/>
  <c r="B20" i="69"/>
  <c r="C20" i="69"/>
  <c r="D20" i="69"/>
  <c r="F20" i="69"/>
  <c r="H20" i="69"/>
  <c r="J20" i="69"/>
  <c r="K20" i="69"/>
  <c r="L20" i="69"/>
  <c r="M20" i="69"/>
  <c r="N20" i="69"/>
  <c r="O20" i="69"/>
  <c r="P20" i="69"/>
  <c r="Q20" i="69"/>
  <c r="B21" i="69"/>
  <c r="C21" i="69"/>
  <c r="D21" i="69"/>
  <c r="F21" i="69"/>
  <c r="H21" i="69"/>
  <c r="J21" i="69"/>
  <c r="K21" i="69"/>
  <c r="L21" i="69"/>
  <c r="M21" i="69"/>
  <c r="N21" i="69"/>
  <c r="O21" i="69"/>
  <c r="P21" i="69"/>
  <c r="Q21" i="69"/>
  <c r="B22" i="69"/>
  <c r="C22" i="69"/>
  <c r="D22" i="69"/>
  <c r="F22" i="69"/>
  <c r="H22" i="69"/>
  <c r="J22" i="69"/>
  <c r="K22" i="69"/>
  <c r="L22" i="69"/>
  <c r="M22" i="69"/>
  <c r="N22" i="69"/>
  <c r="O22" i="69"/>
  <c r="P22" i="69"/>
  <c r="Q22" i="69"/>
  <c r="B26" i="69"/>
  <c r="C26" i="69"/>
  <c r="D26" i="69"/>
  <c r="F26" i="69"/>
  <c r="H26" i="69"/>
  <c r="J26" i="69"/>
  <c r="K26" i="69"/>
  <c r="L26" i="69"/>
  <c r="M26" i="69"/>
  <c r="N26" i="69"/>
  <c r="O26" i="69"/>
  <c r="P26" i="69"/>
  <c r="Q26" i="69"/>
  <c r="B27" i="69"/>
  <c r="C27" i="69"/>
  <c r="D27" i="69"/>
  <c r="F27" i="69"/>
  <c r="H27" i="69"/>
  <c r="J27" i="69"/>
  <c r="K27" i="69"/>
  <c r="L27" i="69"/>
  <c r="M27" i="69"/>
  <c r="N27" i="69"/>
  <c r="O27" i="69"/>
  <c r="P27" i="69"/>
  <c r="Q27" i="69"/>
  <c r="B28" i="69"/>
  <c r="C28" i="69"/>
  <c r="D28" i="69"/>
  <c r="F28" i="69"/>
  <c r="H28" i="69"/>
  <c r="J28" i="69"/>
  <c r="K28" i="69"/>
  <c r="L28" i="69"/>
  <c r="M28" i="69"/>
  <c r="N28" i="69"/>
  <c r="O28" i="69"/>
  <c r="P28" i="69"/>
  <c r="Q28" i="69"/>
  <c r="B29" i="69"/>
  <c r="C29" i="69"/>
  <c r="D29" i="69"/>
  <c r="F29" i="69"/>
  <c r="H29" i="69"/>
  <c r="J29" i="69"/>
  <c r="K29" i="69"/>
  <c r="L29" i="69"/>
  <c r="M29" i="69"/>
  <c r="N29" i="69"/>
  <c r="O29" i="69"/>
  <c r="P29" i="69"/>
  <c r="Q29" i="69"/>
  <c r="B32" i="69"/>
  <c r="C32" i="69"/>
  <c r="D32" i="69"/>
  <c r="F32" i="69"/>
  <c r="H32" i="69"/>
  <c r="J32" i="69"/>
  <c r="K32" i="69"/>
  <c r="L32" i="69"/>
  <c r="M32" i="69"/>
  <c r="N32" i="69"/>
  <c r="O32" i="69"/>
  <c r="P32" i="69"/>
  <c r="Q32" i="69"/>
  <c r="B33" i="69"/>
  <c r="C33" i="69"/>
  <c r="D33" i="69"/>
  <c r="F33" i="69"/>
  <c r="H33" i="69"/>
  <c r="J33" i="69"/>
  <c r="K33" i="69"/>
  <c r="L33" i="69"/>
  <c r="M33" i="69"/>
  <c r="N33" i="69"/>
  <c r="O33" i="69"/>
  <c r="P33" i="69"/>
  <c r="Q33" i="69"/>
  <c r="B34" i="69"/>
  <c r="C34" i="69"/>
  <c r="D34" i="69"/>
  <c r="F34" i="69"/>
  <c r="H34" i="69"/>
  <c r="J34" i="69"/>
  <c r="K34" i="69"/>
  <c r="L34" i="69"/>
  <c r="M34" i="69"/>
  <c r="N34" i="69"/>
  <c r="O34" i="69"/>
  <c r="P34" i="69"/>
  <c r="Q34" i="69"/>
  <c r="B35" i="69"/>
  <c r="C35" i="69"/>
  <c r="D35" i="69"/>
  <c r="F35" i="69"/>
  <c r="H35" i="69"/>
  <c r="J35" i="69"/>
  <c r="K35" i="69"/>
  <c r="L35" i="69"/>
  <c r="M35" i="69"/>
  <c r="N35" i="69"/>
  <c r="O35" i="69"/>
  <c r="P35" i="69"/>
  <c r="Q35" i="69"/>
  <c r="B38" i="69"/>
  <c r="C38" i="69"/>
  <c r="D38" i="69"/>
  <c r="F38" i="69"/>
  <c r="H38" i="69"/>
  <c r="J38" i="69"/>
  <c r="K38" i="69"/>
  <c r="L38" i="69"/>
  <c r="M38" i="69"/>
  <c r="N38" i="69"/>
  <c r="O38" i="69"/>
  <c r="P38" i="69"/>
  <c r="Q38" i="69"/>
  <c r="B39" i="69"/>
  <c r="C39" i="69"/>
  <c r="D39" i="69"/>
  <c r="F39" i="69"/>
  <c r="H39" i="69"/>
  <c r="J39" i="69"/>
  <c r="K39" i="69"/>
  <c r="L39" i="69"/>
  <c r="M39" i="69"/>
  <c r="N39" i="69"/>
  <c r="O39" i="69"/>
  <c r="P39" i="69"/>
  <c r="Q39" i="69"/>
  <c r="B40" i="69"/>
  <c r="C40" i="69"/>
  <c r="D40" i="69"/>
  <c r="F40" i="69"/>
  <c r="H40" i="69"/>
  <c r="J40" i="69"/>
  <c r="K40" i="69"/>
  <c r="L40" i="69"/>
  <c r="M40" i="69"/>
  <c r="N40" i="69"/>
  <c r="O40" i="69"/>
  <c r="P40" i="69"/>
  <c r="Q40" i="69"/>
  <c r="B41" i="69"/>
  <c r="C41" i="69"/>
  <c r="D41" i="69"/>
  <c r="F41" i="69"/>
  <c r="H41" i="69"/>
  <c r="J41" i="69"/>
  <c r="K41" i="69"/>
  <c r="L41" i="69"/>
  <c r="M41" i="69"/>
  <c r="N41" i="69"/>
  <c r="O41" i="69"/>
  <c r="P41" i="69"/>
  <c r="Q41" i="69"/>
  <c r="B43" i="69"/>
  <c r="C43" i="69"/>
  <c r="D43" i="69"/>
  <c r="F43" i="69"/>
  <c r="H43" i="69"/>
  <c r="J43" i="69"/>
  <c r="K43" i="69"/>
  <c r="L43" i="69"/>
  <c r="M43" i="69"/>
  <c r="N43" i="69"/>
  <c r="O43" i="69"/>
  <c r="P43" i="69"/>
  <c r="Q43" i="69"/>
  <c r="B44" i="69"/>
  <c r="C44" i="69"/>
  <c r="D44" i="69"/>
  <c r="F44" i="69"/>
  <c r="H44" i="69"/>
  <c r="J44" i="69"/>
  <c r="K44" i="69"/>
  <c r="L44" i="69"/>
  <c r="M44" i="69"/>
  <c r="N44" i="69"/>
  <c r="O44" i="69"/>
  <c r="P44" i="69"/>
  <c r="Q44" i="69"/>
  <c r="B47" i="69"/>
  <c r="C47" i="69"/>
  <c r="D47" i="69"/>
  <c r="F47" i="69"/>
  <c r="H47" i="69"/>
  <c r="J47" i="69"/>
  <c r="K47" i="69"/>
  <c r="L47" i="69"/>
  <c r="M47" i="69"/>
  <c r="N47" i="69"/>
  <c r="O47" i="69"/>
  <c r="P47" i="69"/>
  <c r="Q47" i="69"/>
  <c r="B48" i="69"/>
  <c r="C48" i="69"/>
  <c r="D48" i="69"/>
  <c r="F48" i="69"/>
  <c r="H48" i="69"/>
  <c r="J48" i="69"/>
  <c r="K48" i="69"/>
  <c r="L48" i="69"/>
  <c r="M48" i="69"/>
  <c r="N48" i="69"/>
  <c r="O48" i="69"/>
  <c r="P48" i="69"/>
  <c r="Q48" i="69"/>
  <c r="B49" i="69"/>
  <c r="C49" i="69"/>
  <c r="D49" i="69"/>
  <c r="F49" i="69"/>
  <c r="H49" i="69"/>
  <c r="B50" i="69"/>
  <c r="C50" i="69"/>
  <c r="D50" i="69"/>
  <c r="F50" i="69"/>
  <c r="H50" i="69"/>
  <c r="J50" i="69"/>
  <c r="K50" i="69"/>
  <c r="L50" i="69"/>
  <c r="M50" i="69"/>
  <c r="N50" i="69"/>
  <c r="O50" i="69"/>
  <c r="P50" i="69"/>
  <c r="Q50" i="69"/>
  <c r="B51" i="69"/>
  <c r="C51" i="69"/>
  <c r="D51" i="69"/>
  <c r="F51" i="69"/>
  <c r="H51" i="69"/>
  <c r="J51" i="69"/>
  <c r="K51" i="69"/>
  <c r="L51" i="69"/>
  <c r="M51" i="69"/>
  <c r="N51" i="69"/>
  <c r="O51" i="69"/>
  <c r="P51" i="69"/>
  <c r="Q51" i="69"/>
  <c r="B52" i="69"/>
  <c r="C52" i="69"/>
  <c r="D52" i="69"/>
  <c r="F52" i="69"/>
  <c r="H52" i="69"/>
  <c r="J52" i="69"/>
  <c r="K52" i="69"/>
  <c r="L52" i="69"/>
  <c r="M52" i="69"/>
  <c r="N52" i="69"/>
  <c r="O52" i="69"/>
  <c r="P52" i="69"/>
  <c r="Q52" i="69"/>
  <c r="B56" i="69"/>
  <c r="D56" i="69"/>
  <c r="F56" i="69"/>
  <c r="H56" i="69"/>
  <c r="J56" i="69"/>
  <c r="L56" i="69"/>
  <c r="N56" i="69"/>
  <c r="P56" i="69"/>
  <c r="B57" i="69"/>
  <c r="D57" i="69"/>
  <c r="F57" i="69"/>
  <c r="H57" i="69"/>
  <c r="J57" i="69"/>
  <c r="L57" i="69"/>
  <c r="N57" i="69"/>
  <c r="P57" i="69"/>
  <c r="B58" i="69"/>
  <c r="D58" i="69"/>
  <c r="F58" i="69"/>
  <c r="H58" i="69"/>
  <c r="J58" i="69"/>
  <c r="L58" i="69"/>
  <c r="N58" i="69"/>
  <c r="P58" i="69"/>
  <c r="B60" i="69"/>
  <c r="D60" i="69"/>
  <c r="F60" i="69"/>
  <c r="H60" i="69"/>
  <c r="J60" i="69"/>
  <c r="L60" i="69"/>
  <c r="N60" i="69"/>
  <c r="P60" i="69"/>
  <c r="B61" i="69"/>
  <c r="D61" i="69"/>
  <c r="F61" i="69"/>
  <c r="H61" i="69"/>
  <c r="J61" i="69"/>
  <c r="L61" i="69"/>
  <c r="N61" i="69"/>
  <c r="P61" i="69"/>
  <c r="B62" i="69"/>
  <c r="D62" i="69"/>
  <c r="F62" i="69"/>
  <c r="H62" i="69"/>
  <c r="J62" i="69"/>
  <c r="L62" i="69"/>
  <c r="N62" i="69"/>
  <c r="P62" i="69"/>
  <c r="D10" i="70"/>
  <c r="E10" i="70"/>
  <c r="J10" i="70"/>
  <c r="K10" i="70"/>
  <c r="D11" i="70"/>
  <c r="E11" i="70"/>
  <c r="J11" i="70"/>
  <c r="K11" i="70"/>
  <c r="D12" i="70"/>
  <c r="E12" i="70"/>
  <c r="J12" i="70"/>
  <c r="K12" i="70"/>
  <c r="D13" i="70"/>
  <c r="J13" i="70"/>
  <c r="D14" i="70"/>
  <c r="E14" i="70"/>
  <c r="H14" i="70"/>
  <c r="I14" i="70"/>
  <c r="J14" i="70"/>
  <c r="K14" i="70"/>
  <c r="B15" i="70"/>
  <c r="C15" i="70"/>
  <c r="D15" i="70"/>
  <c r="E15" i="70"/>
  <c r="H15" i="70"/>
  <c r="I15" i="70"/>
  <c r="J15" i="70"/>
  <c r="K15" i="70"/>
  <c r="D17" i="70"/>
  <c r="J17" i="70"/>
  <c r="D18" i="70"/>
  <c r="E18" i="70"/>
  <c r="I18" i="70"/>
  <c r="J18" i="70"/>
  <c r="K18" i="70"/>
  <c r="D19" i="70"/>
  <c r="E19" i="70"/>
  <c r="J19" i="70"/>
  <c r="K19" i="70"/>
  <c r="D20" i="70"/>
  <c r="J20" i="70"/>
  <c r="D21" i="70"/>
  <c r="J21" i="70"/>
  <c r="B22" i="70"/>
  <c r="C22" i="70"/>
  <c r="D22" i="70"/>
  <c r="E22" i="70"/>
  <c r="H22" i="70"/>
  <c r="I22" i="70"/>
  <c r="J22" i="70"/>
  <c r="K22" i="70"/>
  <c r="D26" i="70"/>
  <c r="E26" i="70"/>
  <c r="J26" i="70"/>
  <c r="K26" i="70"/>
  <c r="D27" i="70"/>
  <c r="E27" i="70"/>
  <c r="J27" i="70"/>
  <c r="K27" i="70"/>
  <c r="D28" i="70"/>
  <c r="E28" i="70"/>
  <c r="J28" i="70"/>
  <c r="K28" i="70"/>
  <c r="B29" i="70"/>
  <c r="C29" i="70"/>
  <c r="D29" i="70"/>
  <c r="E29" i="70"/>
  <c r="H29" i="70"/>
  <c r="I29" i="70"/>
  <c r="J29" i="70"/>
  <c r="K29" i="70"/>
  <c r="D32" i="70"/>
  <c r="J32" i="70"/>
  <c r="D33" i="70"/>
  <c r="J33" i="70"/>
  <c r="D34" i="70"/>
  <c r="E34" i="70"/>
  <c r="I34" i="70"/>
  <c r="J34" i="70"/>
  <c r="K34" i="70"/>
  <c r="B35" i="70"/>
  <c r="C35" i="70"/>
  <c r="D35" i="70"/>
  <c r="E35" i="70"/>
  <c r="H35" i="70"/>
  <c r="I35" i="70"/>
  <c r="J35" i="70"/>
  <c r="K35" i="70"/>
  <c r="D38" i="70"/>
  <c r="J38" i="70"/>
  <c r="D39" i="70"/>
  <c r="J39" i="70"/>
  <c r="D40" i="70"/>
  <c r="J40" i="70"/>
  <c r="K40" i="70"/>
  <c r="B41" i="70"/>
  <c r="C41" i="70"/>
  <c r="D41" i="70"/>
  <c r="H41" i="70"/>
  <c r="I41" i="70"/>
  <c r="J41" i="70"/>
  <c r="K41" i="70"/>
  <c r="D43" i="70"/>
  <c r="J43" i="70"/>
  <c r="B44" i="70"/>
  <c r="C44" i="70"/>
  <c r="D44" i="70"/>
  <c r="E44" i="70"/>
  <c r="H44" i="70"/>
  <c r="I44" i="70"/>
  <c r="J44" i="70"/>
  <c r="K44" i="70"/>
  <c r="D47" i="70"/>
  <c r="E47" i="70"/>
  <c r="J47" i="70"/>
  <c r="K47" i="70"/>
  <c r="D48" i="70"/>
  <c r="J48" i="70"/>
  <c r="J49" i="70"/>
  <c r="D50" i="70"/>
  <c r="J50" i="70"/>
  <c r="B51" i="70"/>
  <c r="C51" i="70"/>
  <c r="D51" i="70"/>
  <c r="H51" i="70"/>
  <c r="I51" i="70"/>
  <c r="J51" i="70"/>
  <c r="B53" i="70"/>
  <c r="C53" i="70"/>
  <c r="D53" i="70"/>
  <c r="E53" i="70"/>
  <c r="H53" i="70"/>
  <c r="I53" i="70"/>
  <c r="J53" i="70"/>
  <c r="K53" i="70"/>
  <c r="D58" i="70"/>
  <c r="J58" i="70"/>
  <c r="D59" i="70"/>
  <c r="J59" i="70"/>
  <c r="D60" i="70"/>
  <c r="J60" i="70"/>
  <c r="B62" i="70"/>
  <c r="J62" i="70"/>
  <c r="B63" i="70"/>
  <c r="J63" i="70"/>
  <c r="B64" i="70"/>
  <c r="J64" i="70"/>
  <c r="B11" i="67"/>
  <c r="D11" i="67"/>
  <c r="F11" i="67"/>
  <c r="H11" i="67"/>
  <c r="I11" i="67"/>
  <c r="J11" i="67"/>
  <c r="K11" i="67"/>
  <c r="L11" i="67"/>
  <c r="M11" i="67"/>
  <c r="N11" i="67"/>
  <c r="O11" i="67"/>
  <c r="P11" i="67"/>
  <c r="B12" i="67"/>
  <c r="D12" i="67"/>
  <c r="F12" i="67"/>
  <c r="H12" i="67"/>
  <c r="I12" i="67"/>
  <c r="J12" i="67"/>
  <c r="K12" i="67"/>
  <c r="L12" i="67"/>
  <c r="M12" i="67"/>
  <c r="N12" i="67"/>
  <c r="P12" i="67"/>
  <c r="B13" i="67"/>
  <c r="D13" i="67"/>
  <c r="F13" i="67"/>
  <c r="H13" i="67"/>
  <c r="I13" i="67"/>
  <c r="J13" i="67"/>
  <c r="K13" i="67"/>
  <c r="L13" i="67"/>
  <c r="M13" i="67"/>
  <c r="N13" i="67"/>
  <c r="O13" i="67"/>
  <c r="P13" i="67"/>
  <c r="B14" i="67"/>
  <c r="D14" i="67"/>
  <c r="F14" i="67"/>
  <c r="H14" i="67"/>
  <c r="I14" i="67"/>
  <c r="J14" i="67"/>
  <c r="K14" i="67"/>
  <c r="L14" i="67"/>
  <c r="M14" i="67"/>
  <c r="N14" i="67"/>
  <c r="O14" i="67"/>
  <c r="P14" i="67"/>
  <c r="B15" i="67"/>
  <c r="D15" i="67"/>
  <c r="F15" i="67"/>
  <c r="H15" i="67"/>
  <c r="I15" i="67"/>
  <c r="J15" i="67"/>
  <c r="K15" i="67"/>
  <c r="L15" i="67"/>
  <c r="M15" i="67"/>
  <c r="N15" i="67"/>
  <c r="O15" i="67"/>
  <c r="P15" i="67"/>
  <c r="B23" i="67"/>
  <c r="C23" i="67"/>
  <c r="D23" i="67"/>
  <c r="F23" i="67"/>
  <c r="H23" i="67"/>
  <c r="J23" i="67"/>
  <c r="L23" i="67"/>
  <c r="N23" i="67"/>
  <c r="P23" i="67"/>
  <c r="R23" i="67"/>
  <c r="S23" i="67"/>
  <c r="T23" i="67"/>
  <c r="B24" i="67"/>
  <c r="C24" i="67"/>
  <c r="D24" i="67"/>
  <c r="F24" i="67"/>
  <c r="H24" i="67"/>
  <c r="J24" i="67"/>
  <c r="L24" i="67"/>
  <c r="N24" i="67"/>
  <c r="P24" i="67"/>
  <c r="R24" i="67"/>
  <c r="S24" i="67"/>
  <c r="T24" i="67"/>
  <c r="B25" i="67"/>
  <c r="D25" i="67"/>
  <c r="F25" i="67"/>
  <c r="H25" i="67"/>
  <c r="J25" i="67"/>
  <c r="L25" i="67"/>
  <c r="N25" i="67"/>
  <c r="P25" i="67"/>
  <c r="R25" i="67"/>
  <c r="T25" i="67"/>
  <c r="B26" i="67"/>
  <c r="C26" i="67"/>
  <c r="D26" i="67"/>
  <c r="F26" i="67"/>
  <c r="H26" i="67"/>
  <c r="J26" i="67"/>
  <c r="L26" i="67"/>
  <c r="N26" i="67"/>
  <c r="P26" i="67"/>
  <c r="R26" i="67"/>
  <c r="S26" i="67"/>
  <c r="T26" i="67"/>
  <c r="B27" i="67"/>
  <c r="C27" i="67"/>
  <c r="D27" i="67"/>
  <c r="F27" i="67"/>
  <c r="H27" i="67"/>
  <c r="J27" i="67"/>
  <c r="L27" i="67"/>
  <c r="N27" i="67"/>
  <c r="P27" i="67"/>
  <c r="R27" i="67"/>
  <c r="S27" i="67"/>
  <c r="T27" i="67"/>
  <c r="B42" i="67"/>
  <c r="L42" i="67"/>
  <c r="N42" i="67"/>
  <c r="O42" i="67"/>
  <c r="Q42" i="67"/>
  <c r="B44" i="67"/>
  <c r="L44" i="67"/>
  <c r="N44" i="67"/>
  <c r="O44" i="67"/>
  <c r="Q44" i="67"/>
  <c r="B49" i="67"/>
  <c r="L49" i="67"/>
  <c r="N49" i="67"/>
  <c r="O49" i="67"/>
  <c r="Q49" i="67"/>
  <c r="B52" i="67"/>
  <c r="L52" i="67"/>
  <c r="N52" i="67"/>
  <c r="O52" i="67"/>
  <c r="Q52" i="67"/>
  <c r="B55" i="67"/>
  <c r="L55" i="67"/>
  <c r="N55" i="67"/>
  <c r="O55" i="67"/>
  <c r="Q55" i="67"/>
  <c r="B59" i="67"/>
  <c r="N59" i="67"/>
  <c r="O59" i="67"/>
  <c r="Q59" i="67"/>
  <c r="B61" i="67"/>
  <c r="N61" i="67"/>
  <c r="O61" i="67"/>
  <c r="Q61" i="67"/>
  <c r="B64" i="67"/>
  <c r="N64" i="67"/>
  <c r="O64" i="67"/>
  <c r="Q64" i="67"/>
  <c r="B66" i="67"/>
  <c r="N66" i="67"/>
  <c r="O66" i="67"/>
  <c r="Q66" i="67"/>
  <c r="B68" i="67"/>
  <c r="N68" i="67"/>
  <c r="O68" i="67"/>
  <c r="Q68" i="67"/>
  <c r="B71" i="67"/>
  <c r="N71" i="67"/>
  <c r="O71" i="67"/>
  <c r="Q71" i="67"/>
  <c r="B74" i="67"/>
  <c r="N74" i="67"/>
  <c r="O74" i="67"/>
  <c r="B10" i="71"/>
  <c r="D10" i="71"/>
  <c r="F10" i="71"/>
  <c r="H10" i="71"/>
  <c r="J10" i="71"/>
  <c r="K10" i="71"/>
  <c r="L10" i="71"/>
  <c r="M10" i="71"/>
  <c r="N10" i="71"/>
  <c r="O10" i="71"/>
  <c r="P10" i="71"/>
  <c r="B11" i="71"/>
  <c r="D11" i="71"/>
  <c r="F11" i="71"/>
  <c r="H11" i="71"/>
  <c r="J11" i="71"/>
  <c r="K11" i="71"/>
  <c r="L11" i="71"/>
  <c r="M11" i="71"/>
  <c r="N11" i="71"/>
  <c r="O11" i="71"/>
  <c r="P11" i="71"/>
  <c r="B12" i="71"/>
  <c r="D12" i="71"/>
  <c r="F12" i="71"/>
  <c r="H12" i="71"/>
  <c r="J12" i="71"/>
  <c r="L12" i="71"/>
  <c r="N12" i="71"/>
  <c r="P12" i="71"/>
  <c r="B13" i="71"/>
  <c r="D13" i="71"/>
  <c r="F13" i="71"/>
  <c r="H13" i="71"/>
  <c r="J13" i="71"/>
  <c r="K13" i="71"/>
  <c r="L13" i="71"/>
  <c r="M13" i="71"/>
  <c r="N13" i="71"/>
  <c r="O13" i="71"/>
  <c r="P13" i="71"/>
  <c r="B14" i="71"/>
  <c r="D14" i="71"/>
  <c r="F14" i="71"/>
  <c r="H14" i="71"/>
  <c r="J14" i="71"/>
  <c r="K14" i="71"/>
  <c r="L14" i="71"/>
  <c r="M14" i="71"/>
  <c r="N14" i="71"/>
  <c r="O14" i="71"/>
  <c r="P14" i="71"/>
  <c r="B15" i="71"/>
  <c r="D15" i="71"/>
  <c r="F15" i="71"/>
  <c r="H15" i="71"/>
  <c r="J15" i="71"/>
  <c r="K15" i="71"/>
  <c r="L15" i="71"/>
  <c r="M15" i="71"/>
  <c r="N15" i="71"/>
  <c r="O15" i="71"/>
  <c r="P15" i="71"/>
  <c r="B18" i="71"/>
  <c r="D18" i="71"/>
  <c r="F18" i="71"/>
  <c r="H18" i="71"/>
  <c r="J18" i="71"/>
  <c r="K18" i="71"/>
  <c r="L18" i="71"/>
  <c r="M18" i="71"/>
  <c r="N18" i="71"/>
  <c r="O18" i="71"/>
  <c r="P18" i="71"/>
  <c r="B19" i="71"/>
  <c r="D19" i="71"/>
  <c r="F19" i="71"/>
  <c r="H19" i="71"/>
  <c r="J19" i="71"/>
  <c r="K19" i="71"/>
  <c r="L19" i="71"/>
  <c r="M19" i="71"/>
  <c r="N19" i="71"/>
  <c r="O19" i="71"/>
  <c r="P19" i="71"/>
  <c r="B20" i="71"/>
  <c r="D20" i="71"/>
  <c r="F20" i="71"/>
  <c r="H20" i="71"/>
  <c r="J20" i="71"/>
  <c r="K20" i="71"/>
  <c r="L20" i="71"/>
  <c r="M20" i="71"/>
  <c r="N20" i="71"/>
  <c r="O20" i="71"/>
  <c r="P20" i="71"/>
  <c r="B21" i="71"/>
  <c r="D21" i="71"/>
  <c r="F21" i="71"/>
  <c r="H21" i="71"/>
  <c r="J21" i="71"/>
  <c r="K21" i="71"/>
  <c r="L21" i="71"/>
  <c r="M21" i="71"/>
  <c r="N21" i="71"/>
  <c r="O21" i="71"/>
  <c r="P21" i="71"/>
  <c r="B23" i="71"/>
  <c r="D23" i="71"/>
  <c r="F23" i="71"/>
  <c r="H23" i="71"/>
  <c r="J23" i="71"/>
  <c r="K23" i="71"/>
  <c r="L23" i="71"/>
  <c r="M23" i="71"/>
  <c r="N23" i="71"/>
  <c r="O23" i="71"/>
  <c r="P23" i="71"/>
  <c r="B25" i="71"/>
  <c r="D25" i="71"/>
  <c r="F25" i="71"/>
  <c r="H25" i="71"/>
  <c r="J25" i="71"/>
  <c r="L25" i="71"/>
  <c r="N25" i="71"/>
  <c r="P25" i="71"/>
  <c r="B28" i="71"/>
  <c r="D28" i="71"/>
  <c r="F28" i="71"/>
  <c r="H28" i="71"/>
  <c r="J28" i="71"/>
  <c r="K28" i="71"/>
  <c r="L28" i="71"/>
  <c r="M28" i="71"/>
  <c r="N28" i="71"/>
  <c r="O28" i="71"/>
  <c r="P28" i="71"/>
  <c r="B31" i="71"/>
  <c r="D31" i="71"/>
  <c r="F31" i="71"/>
  <c r="H31" i="71"/>
  <c r="J31" i="71"/>
  <c r="K31" i="71"/>
  <c r="L31" i="71"/>
  <c r="M31" i="71"/>
  <c r="N31" i="71"/>
  <c r="O31" i="71"/>
  <c r="P31" i="71"/>
  <c r="B32" i="71"/>
  <c r="D32" i="71"/>
  <c r="F32" i="71"/>
  <c r="H32" i="71"/>
  <c r="J32" i="71"/>
  <c r="K32" i="71"/>
  <c r="L32" i="71"/>
  <c r="M32" i="71"/>
  <c r="N32" i="71"/>
  <c r="O32" i="71"/>
  <c r="P32" i="71"/>
  <c r="B33" i="71"/>
  <c r="D33" i="71"/>
  <c r="F33" i="71"/>
  <c r="H33" i="71"/>
  <c r="J33" i="71"/>
  <c r="K33" i="71"/>
  <c r="L33" i="71"/>
  <c r="M33" i="71"/>
  <c r="N33" i="71"/>
  <c r="O33" i="71"/>
  <c r="P33" i="71"/>
  <c r="B34" i="71"/>
  <c r="D34" i="71"/>
  <c r="F34" i="71"/>
  <c r="H34" i="71"/>
  <c r="J34" i="71"/>
  <c r="K34" i="71"/>
  <c r="L34" i="71"/>
  <c r="M34" i="71"/>
  <c r="N34" i="71"/>
  <c r="O34" i="71"/>
  <c r="P34" i="71"/>
  <c r="B35" i="71"/>
  <c r="D35" i="71"/>
  <c r="F35" i="71"/>
  <c r="H35" i="71"/>
  <c r="J35" i="71"/>
  <c r="K35" i="71"/>
  <c r="L35" i="71"/>
  <c r="M35" i="71"/>
  <c r="N35" i="71"/>
  <c r="O35" i="71"/>
  <c r="P35" i="71"/>
  <c r="B37" i="71"/>
  <c r="D37" i="71"/>
  <c r="F37" i="71"/>
  <c r="H37" i="71"/>
  <c r="J37" i="71"/>
  <c r="K37" i="71"/>
  <c r="L37" i="71"/>
  <c r="M37" i="71"/>
  <c r="N37" i="71"/>
  <c r="O37" i="71"/>
  <c r="P37" i="71"/>
  <c r="B39" i="71"/>
  <c r="D39" i="71"/>
  <c r="F39" i="71"/>
  <c r="H39" i="71"/>
  <c r="J39" i="71"/>
  <c r="L39" i="71"/>
  <c r="N39" i="71"/>
  <c r="P39" i="71"/>
  <c r="B41" i="71"/>
  <c r="D41" i="71"/>
  <c r="F41" i="71"/>
  <c r="H41" i="71"/>
  <c r="J41" i="71"/>
  <c r="K41" i="71"/>
  <c r="L41" i="71"/>
  <c r="M41" i="71"/>
  <c r="N41" i="71"/>
  <c r="O41" i="71"/>
  <c r="P41" i="71"/>
  <c r="C50" i="71"/>
  <c r="D50" i="71"/>
  <c r="H50" i="71"/>
  <c r="L50" i="71"/>
  <c r="P50" i="71"/>
  <c r="R50" i="71"/>
  <c r="S50" i="71"/>
  <c r="T50" i="71"/>
  <c r="U50" i="71"/>
  <c r="C51" i="71"/>
  <c r="D51" i="71"/>
  <c r="H51" i="71"/>
  <c r="L51" i="71"/>
  <c r="P51" i="71"/>
  <c r="R51" i="71"/>
  <c r="S51" i="71"/>
  <c r="T51" i="71"/>
  <c r="U51" i="71"/>
  <c r="P52" i="71"/>
  <c r="R52" i="71"/>
  <c r="T52" i="71"/>
  <c r="U52" i="71"/>
  <c r="B53" i="71"/>
  <c r="C53" i="71"/>
  <c r="D53" i="71"/>
  <c r="F53" i="71"/>
  <c r="H53" i="71"/>
  <c r="J53" i="71"/>
  <c r="L53" i="71"/>
  <c r="N53" i="71"/>
  <c r="P53" i="71"/>
  <c r="R53" i="71"/>
  <c r="S53" i="71"/>
  <c r="T53" i="71"/>
  <c r="U53" i="71"/>
  <c r="C54" i="71"/>
  <c r="D54" i="71"/>
  <c r="H54" i="71"/>
  <c r="L54" i="71"/>
  <c r="P54" i="71"/>
  <c r="R54" i="71"/>
  <c r="S54" i="71"/>
  <c r="T54" i="71"/>
  <c r="U54" i="71"/>
  <c r="B55" i="71"/>
  <c r="C55" i="71"/>
  <c r="D55" i="71"/>
  <c r="F55" i="71"/>
  <c r="H55" i="71"/>
  <c r="J55" i="71"/>
  <c r="L55" i="71"/>
  <c r="N55" i="71"/>
  <c r="P55" i="71"/>
  <c r="R55" i="71"/>
  <c r="S55" i="71"/>
  <c r="T55" i="71"/>
  <c r="U55" i="71"/>
  <c r="C58" i="71"/>
  <c r="D58" i="71"/>
  <c r="H58" i="71"/>
  <c r="L58" i="71"/>
  <c r="P58" i="71"/>
  <c r="R58" i="71"/>
  <c r="S58" i="71"/>
  <c r="T58" i="71"/>
  <c r="U58" i="71"/>
  <c r="C59" i="71"/>
  <c r="D59" i="71"/>
  <c r="H59" i="71"/>
  <c r="L59" i="71"/>
  <c r="P59" i="71"/>
  <c r="R59" i="71"/>
  <c r="S59" i="71"/>
  <c r="T59" i="71"/>
  <c r="U59" i="71"/>
  <c r="C60" i="71"/>
  <c r="D60" i="71"/>
  <c r="H60" i="71"/>
  <c r="L60" i="71"/>
  <c r="P60" i="71"/>
  <c r="R60" i="71"/>
  <c r="S60" i="71"/>
  <c r="T60" i="71"/>
  <c r="U60" i="71"/>
  <c r="B61" i="71"/>
  <c r="C61" i="71"/>
  <c r="D61" i="71"/>
  <c r="F61" i="71"/>
  <c r="H61" i="71"/>
  <c r="J61" i="71"/>
  <c r="L61" i="71"/>
  <c r="N61" i="71"/>
  <c r="P61" i="71"/>
  <c r="R61" i="71"/>
  <c r="S61" i="71"/>
  <c r="T61" i="71"/>
  <c r="U61" i="71"/>
  <c r="B63" i="71"/>
  <c r="C63" i="71"/>
  <c r="D63" i="71"/>
  <c r="F63" i="71"/>
  <c r="H63" i="71"/>
  <c r="J63" i="71"/>
  <c r="L63" i="71"/>
  <c r="N63" i="71"/>
  <c r="P63" i="71"/>
  <c r="R63" i="71"/>
  <c r="S63" i="71"/>
  <c r="T63" i="71"/>
  <c r="U63" i="71"/>
  <c r="B65" i="71"/>
  <c r="D65" i="71"/>
  <c r="F65" i="71"/>
  <c r="H65" i="71"/>
  <c r="J65" i="71"/>
  <c r="L65" i="71"/>
  <c r="R65" i="71"/>
  <c r="T65" i="71"/>
  <c r="U65" i="71"/>
  <c r="B68" i="71"/>
  <c r="C68" i="71"/>
  <c r="D68" i="71"/>
  <c r="F68" i="71"/>
  <c r="H68" i="71"/>
  <c r="J68" i="71"/>
  <c r="L68" i="71"/>
  <c r="N68" i="71"/>
  <c r="P68" i="71"/>
  <c r="R68" i="71"/>
  <c r="S68" i="71"/>
  <c r="T68" i="71"/>
  <c r="U68" i="71"/>
  <c r="C71" i="71"/>
  <c r="D71" i="71"/>
  <c r="H71" i="71"/>
  <c r="L71" i="71"/>
  <c r="P71" i="71"/>
  <c r="R71" i="71"/>
  <c r="S71" i="71"/>
  <c r="T71" i="71"/>
  <c r="U71" i="71"/>
  <c r="C72" i="71"/>
  <c r="D72" i="71"/>
  <c r="H72" i="71"/>
  <c r="L72" i="71"/>
  <c r="P72" i="71"/>
  <c r="R72" i="71"/>
  <c r="S72" i="71"/>
  <c r="T72" i="71"/>
  <c r="U72" i="71"/>
  <c r="C73" i="71"/>
  <c r="D73" i="71"/>
  <c r="H73" i="71"/>
  <c r="L73" i="71"/>
  <c r="P73" i="71"/>
  <c r="R73" i="71"/>
  <c r="S73" i="71"/>
  <c r="T73" i="71"/>
  <c r="U73" i="71"/>
  <c r="C74" i="71"/>
  <c r="D74" i="71"/>
  <c r="H74" i="71"/>
  <c r="L74" i="71"/>
  <c r="P74" i="71"/>
  <c r="R74" i="71"/>
  <c r="S74" i="71"/>
  <c r="T74" i="71"/>
  <c r="U74" i="71"/>
  <c r="B75" i="71"/>
  <c r="C75" i="71"/>
  <c r="D75" i="71"/>
  <c r="F75" i="71"/>
  <c r="H75" i="71"/>
  <c r="J75" i="71"/>
  <c r="L75" i="71"/>
  <c r="N75" i="71"/>
  <c r="P75" i="71"/>
  <c r="R75" i="71"/>
  <c r="S75" i="71"/>
  <c r="T75" i="71"/>
  <c r="U75" i="71"/>
  <c r="B77" i="71"/>
  <c r="C77" i="71"/>
  <c r="D77" i="71"/>
  <c r="F77" i="71"/>
  <c r="H77" i="71"/>
  <c r="J77" i="71"/>
  <c r="L77" i="71"/>
  <c r="N77" i="71"/>
  <c r="P77" i="71"/>
  <c r="R77" i="71"/>
  <c r="S77" i="71"/>
  <c r="T77" i="71"/>
  <c r="U77" i="71"/>
  <c r="B79" i="71"/>
  <c r="D79" i="71"/>
  <c r="J79" i="71"/>
  <c r="L79" i="71"/>
  <c r="N79" i="71"/>
  <c r="P79" i="71"/>
  <c r="R79" i="71"/>
  <c r="T79" i="71"/>
  <c r="U79" i="71"/>
  <c r="B81" i="71"/>
  <c r="C81" i="71"/>
  <c r="D81" i="71"/>
  <c r="F81" i="71"/>
  <c r="H81" i="71"/>
  <c r="J81" i="71"/>
  <c r="L81" i="71"/>
  <c r="N81" i="71"/>
  <c r="P81" i="71"/>
  <c r="R81" i="71"/>
  <c r="S81" i="71"/>
  <c r="T81" i="71"/>
  <c r="U81" i="71"/>
  <c r="B88" i="71"/>
  <c r="B89" i="71"/>
  <c r="B90" i="71"/>
  <c r="D90" i="71"/>
  <c r="F90" i="71"/>
  <c r="H90" i="71"/>
  <c r="B91" i="71"/>
  <c r="B92" i="71"/>
  <c r="D92" i="71"/>
  <c r="F92" i="71"/>
  <c r="H92" i="71"/>
  <c r="B95" i="71"/>
  <c r="B96" i="71"/>
  <c r="B97" i="71"/>
  <c r="B98" i="71"/>
  <c r="D98" i="71"/>
  <c r="F98" i="71"/>
  <c r="H98" i="71"/>
  <c r="B100" i="71"/>
  <c r="D100" i="71"/>
  <c r="F100" i="71"/>
  <c r="H100" i="71"/>
  <c r="B105" i="71"/>
  <c r="D105" i="71"/>
  <c r="F105" i="71"/>
  <c r="H105" i="71"/>
  <c r="B108" i="71"/>
  <c r="B109" i="71"/>
  <c r="B110" i="71"/>
  <c r="B111" i="71"/>
  <c r="B112" i="71"/>
  <c r="D112" i="71"/>
  <c r="F112" i="71"/>
  <c r="H112" i="71"/>
  <c r="B114" i="71"/>
  <c r="D114" i="71"/>
  <c r="F114" i="71"/>
  <c r="H114" i="71"/>
  <c r="B118" i="71"/>
  <c r="D118" i="71"/>
  <c r="F118" i="71"/>
  <c r="H118" i="71"/>
  <c r="I10" i="68"/>
  <c r="K10" i="68"/>
  <c r="M10" i="68"/>
  <c r="O10" i="68"/>
  <c r="P10" i="68"/>
  <c r="I11" i="68"/>
  <c r="K11" i="68"/>
  <c r="M11" i="68"/>
  <c r="O11" i="68"/>
  <c r="P11" i="68"/>
  <c r="I12" i="68"/>
  <c r="K12" i="68"/>
  <c r="M12" i="68"/>
  <c r="O12" i="68"/>
  <c r="P12" i="68"/>
  <c r="B13" i="68"/>
  <c r="D13" i="68"/>
  <c r="F13" i="68"/>
  <c r="H13" i="68"/>
  <c r="J13" i="68"/>
  <c r="L13" i="68"/>
  <c r="I14" i="68"/>
  <c r="K14" i="68"/>
  <c r="L14" i="68"/>
  <c r="M14" i="68"/>
  <c r="O14" i="68"/>
  <c r="P14" i="68"/>
  <c r="B15" i="68"/>
  <c r="D15" i="68"/>
  <c r="F15" i="68"/>
  <c r="H15" i="68"/>
  <c r="I15" i="68"/>
  <c r="J15" i="68"/>
  <c r="K15" i="68"/>
  <c r="L15" i="68"/>
  <c r="M15" i="68"/>
  <c r="N15" i="68"/>
  <c r="O15" i="68"/>
  <c r="P15" i="68"/>
  <c r="I17" i="68"/>
  <c r="L17" i="68"/>
  <c r="I18" i="68"/>
  <c r="K18" i="68"/>
  <c r="L18" i="68"/>
  <c r="M18" i="68"/>
  <c r="O18" i="68"/>
  <c r="P18" i="68"/>
  <c r="I19" i="68"/>
  <c r="K19" i="68"/>
  <c r="M19" i="68"/>
  <c r="O19" i="68"/>
  <c r="P19" i="68"/>
  <c r="I20" i="68"/>
  <c r="K20" i="68"/>
  <c r="M20" i="68"/>
  <c r="O20" i="68"/>
  <c r="P20" i="68"/>
  <c r="I21" i="68"/>
  <c r="K21" i="68"/>
  <c r="M21" i="68"/>
  <c r="O21" i="68"/>
  <c r="P21" i="68"/>
  <c r="B22" i="68"/>
  <c r="D22" i="68"/>
  <c r="F22" i="68"/>
  <c r="H22" i="68"/>
  <c r="I22" i="68"/>
  <c r="J22" i="68"/>
  <c r="K22" i="68"/>
  <c r="L22" i="68"/>
  <c r="M22" i="68"/>
  <c r="N22" i="68"/>
  <c r="O22" i="68"/>
  <c r="P22" i="68"/>
  <c r="I26" i="68"/>
  <c r="K26" i="68"/>
  <c r="M26" i="68"/>
  <c r="O26" i="68"/>
  <c r="P26" i="68"/>
  <c r="I27" i="68"/>
  <c r="K27" i="68"/>
  <c r="M27" i="68"/>
  <c r="O27" i="68"/>
  <c r="P27" i="68"/>
  <c r="I28" i="68"/>
  <c r="K28" i="68"/>
  <c r="M28" i="68"/>
  <c r="O28" i="68"/>
  <c r="P28" i="68"/>
  <c r="B29" i="68"/>
  <c r="D29" i="68"/>
  <c r="F29" i="68"/>
  <c r="H29" i="68"/>
  <c r="I29" i="68"/>
  <c r="J29" i="68"/>
  <c r="K29" i="68"/>
  <c r="L29" i="68"/>
  <c r="M29" i="68"/>
  <c r="N29" i="68"/>
  <c r="O29" i="68"/>
  <c r="P29" i="68"/>
  <c r="I32" i="68"/>
  <c r="K32" i="68"/>
  <c r="M32" i="68"/>
  <c r="O32" i="68"/>
  <c r="P32" i="68"/>
  <c r="H33" i="68"/>
  <c r="J33" i="68"/>
  <c r="L33" i="68"/>
  <c r="M33" i="68"/>
  <c r="O33" i="68"/>
  <c r="P33" i="68"/>
  <c r="I34" i="68"/>
  <c r="K34" i="68"/>
  <c r="L34" i="68"/>
  <c r="M34" i="68"/>
  <c r="O34" i="68"/>
  <c r="P34" i="68"/>
  <c r="B35" i="68"/>
  <c r="D35" i="68"/>
  <c r="F35" i="68"/>
  <c r="H35" i="68"/>
  <c r="I35" i="68"/>
  <c r="J35" i="68"/>
  <c r="K35" i="68"/>
  <c r="L35" i="68"/>
  <c r="M35" i="68"/>
  <c r="N35" i="68"/>
  <c r="O35" i="68"/>
  <c r="P35" i="68"/>
  <c r="I38" i="68"/>
  <c r="P38" i="68"/>
  <c r="B39" i="68"/>
  <c r="D39" i="68"/>
  <c r="H39" i="68"/>
  <c r="J39" i="68"/>
  <c r="L39" i="68"/>
  <c r="I40" i="68"/>
  <c r="K40" i="68"/>
  <c r="M40" i="68"/>
  <c r="O40" i="68"/>
  <c r="P40" i="68"/>
  <c r="B41" i="68"/>
  <c r="D41" i="68"/>
  <c r="F41" i="68"/>
  <c r="H41" i="68"/>
  <c r="I41" i="68"/>
  <c r="J41" i="68"/>
  <c r="K41" i="68"/>
  <c r="L41" i="68"/>
  <c r="M41" i="68"/>
  <c r="N41" i="68"/>
  <c r="O41" i="68"/>
  <c r="P41" i="68"/>
  <c r="I43" i="68"/>
  <c r="K43" i="68"/>
  <c r="M43" i="68"/>
  <c r="O43" i="68"/>
  <c r="P43" i="68"/>
  <c r="B44" i="68"/>
  <c r="D44" i="68"/>
  <c r="F44" i="68"/>
  <c r="H44" i="68"/>
  <c r="I44" i="68"/>
  <c r="J44" i="68"/>
  <c r="K44" i="68"/>
  <c r="L44" i="68"/>
  <c r="M44" i="68"/>
  <c r="N44" i="68"/>
  <c r="O44" i="68"/>
  <c r="P44" i="68"/>
  <c r="I47" i="68"/>
  <c r="K47" i="68"/>
  <c r="M47" i="68"/>
  <c r="N47" i="68"/>
  <c r="O47" i="68"/>
  <c r="P47" i="68"/>
  <c r="I48" i="68"/>
  <c r="K48" i="68"/>
  <c r="L48" i="68"/>
  <c r="M48" i="68"/>
  <c r="O48" i="68"/>
  <c r="P48" i="68"/>
  <c r="B49" i="68"/>
  <c r="D49" i="68"/>
  <c r="H49" i="68"/>
  <c r="J49" i="68"/>
  <c r="L49" i="68"/>
  <c r="I50" i="68"/>
  <c r="K50" i="68"/>
  <c r="L50" i="68"/>
  <c r="M50" i="68"/>
  <c r="O50" i="68"/>
  <c r="P50" i="68"/>
  <c r="B51" i="68"/>
  <c r="D51" i="68"/>
  <c r="F51" i="68"/>
  <c r="H51" i="68"/>
  <c r="I51" i="68"/>
  <c r="J51" i="68"/>
  <c r="K51" i="68"/>
  <c r="L51" i="68"/>
  <c r="M51" i="68"/>
  <c r="N51" i="68"/>
  <c r="O51" i="68"/>
  <c r="P51" i="68"/>
  <c r="B52" i="68"/>
  <c r="D52" i="68"/>
  <c r="F52" i="68"/>
  <c r="H52" i="68"/>
  <c r="I52" i="68"/>
  <c r="J52" i="68"/>
  <c r="K52" i="68"/>
  <c r="L52" i="68"/>
  <c r="M52" i="68"/>
  <c r="N52" i="68"/>
  <c r="O52" i="68"/>
  <c r="P52" i="68"/>
  <c r="P60" i="68"/>
  <c r="P61" i="68"/>
  <c r="L62" i="68"/>
  <c r="P62" i="68"/>
  <c r="B69" i="68"/>
  <c r="D69" i="68"/>
  <c r="F69" i="68"/>
  <c r="H69" i="68"/>
  <c r="B70" i="68"/>
  <c r="B71" i="68"/>
  <c r="B72" i="68"/>
  <c r="B74" i="68"/>
  <c r="B76" i="68"/>
  <c r="B77" i="68"/>
  <c r="B78" i="68"/>
  <c r="B80" i="68"/>
  <c r="D80" i="68"/>
  <c r="F80" i="68"/>
  <c r="G80" i="68"/>
  <c r="H80" i="68"/>
  <c r="I80" i="68"/>
  <c r="J80" i="68"/>
  <c r="K80" i="68"/>
  <c r="L80" i="68"/>
  <c r="M80" i="68"/>
  <c r="O80" i="68"/>
  <c r="B81" i="68"/>
  <c r="B82" i="68"/>
  <c r="B84" i="68"/>
  <c r="D84" i="68"/>
  <c r="F84" i="68"/>
  <c r="G84" i="68"/>
  <c r="H84" i="68"/>
  <c r="I84" i="68"/>
  <c r="J84" i="68"/>
  <c r="K84" i="68"/>
  <c r="L84" i="68"/>
  <c r="M84" i="68"/>
  <c r="O84" i="68"/>
  <c r="B85" i="68"/>
  <c r="B86" i="68"/>
  <c r="B87" i="68"/>
  <c r="B89" i="68"/>
  <c r="B90" i="68"/>
  <c r="B93" i="68"/>
  <c r="B95" i="68"/>
  <c r="B96" i="68"/>
  <c r="B98" i="68"/>
  <c r="D98" i="68"/>
  <c r="F98" i="68"/>
  <c r="G98" i="68"/>
  <c r="H98" i="68"/>
  <c r="I98" i="68"/>
  <c r="J98" i="68"/>
  <c r="K98" i="68"/>
  <c r="L98" i="68"/>
  <c r="M98" i="68"/>
  <c r="O98" i="68"/>
  <c r="B99" i="68"/>
  <c r="B100" i="68"/>
  <c r="B104" i="68"/>
  <c r="B106" i="68"/>
  <c r="B108" i="68"/>
  <c r="D108" i="68"/>
  <c r="F108" i="68"/>
  <c r="G108" i="68"/>
  <c r="H108" i="68"/>
  <c r="I108" i="68"/>
  <c r="J108" i="68"/>
  <c r="K108" i="68"/>
  <c r="L108" i="68"/>
  <c r="M108" i="68"/>
  <c r="O108" i="68"/>
  <c r="B109" i="68"/>
  <c r="B110" i="68"/>
  <c r="B111" i="68"/>
  <c r="B116" i="68"/>
  <c r="D116" i="68"/>
  <c r="F116" i="68"/>
  <c r="G116" i="68"/>
  <c r="H116" i="68"/>
  <c r="I116" i="68"/>
  <c r="J116" i="68"/>
  <c r="K116" i="68"/>
  <c r="L116" i="68"/>
  <c r="M116" i="68"/>
  <c r="O116" i="68"/>
  <c r="B121" i="68"/>
  <c r="D121" i="68"/>
  <c r="F121" i="68"/>
  <c r="H121" i="68"/>
  <c r="B122" i="68"/>
  <c r="B123" i="68"/>
  <c r="B125" i="68"/>
  <c r="B127" i="68"/>
  <c r="B129" i="68"/>
  <c r="D129" i="68"/>
  <c r="F129" i="68"/>
  <c r="H129" i="68"/>
  <c r="B130" i="68"/>
  <c r="B132" i="68"/>
  <c r="B133" i="68"/>
  <c r="B134" i="68"/>
  <c r="B135" i="68"/>
  <c r="B137" i="68"/>
  <c r="B138" i="68"/>
  <c r="B140" i="68"/>
  <c r="B144" i="68"/>
  <c r="D144" i="68"/>
  <c r="F144" i="68"/>
  <c r="H144" i="68"/>
  <c r="B145" i="68"/>
  <c r="B150" i="68"/>
  <c r="B155" i="68"/>
  <c r="B157" i="68"/>
  <c r="B159" i="68"/>
  <c r="D159" i="68"/>
  <c r="F159" i="68"/>
  <c r="H159" i="68"/>
  <c r="B160" i="68"/>
  <c r="B163" i="68"/>
  <c r="D163" i="68"/>
  <c r="F163" i="68"/>
  <c r="H163" i="68"/>
  <c r="B164" i="68"/>
  <c r="B165" i="68"/>
  <c r="B167" i="68"/>
  <c r="D167" i="68"/>
  <c r="F167" i="68"/>
  <c r="H167" i="68"/>
  <c r="B168" i="68"/>
  <c r="B169" i="68"/>
  <c r="B171" i="68"/>
  <c r="D171" i="68"/>
  <c r="F171" i="68"/>
  <c r="G171" i="68"/>
  <c r="H171" i="68"/>
  <c r="I171" i="68"/>
  <c r="J171" i="68"/>
  <c r="K171" i="68"/>
  <c r="L171" i="68"/>
  <c r="M171" i="68"/>
  <c r="O171" i="68"/>
  <c r="B11" i="72"/>
  <c r="D11" i="72"/>
  <c r="B12" i="72"/>
  <c r="C12" i="72"/>
  <c r="D12" i="72"/>
  <c r="F12" i="72"/>
  <c r="G12" i="72"/>
  <c r="I12" i="72"/>
  <c r="K12" i="72"/>
  <c r="B13" i="72"/>
  <c r="C13" i="72"/>
  <c r="D13" i="72"/>
  <c r="F13" i="72"/>
  <c r="B14" i="72"/>
  <c r="D14" i="72"/>
  <c r="F14" i="72"/>
  <c r="G14" i="72"/>
  <c r="I14" i="72"/>
  <c r="B15" i="72"/>
  <c r="C15" i="72"/>
  <c r="D15" i="72"/>
  <c r="F15" i="72"/>
  <c r="G15" i="72"/>
  <c r="H15" i="72"/>
  <c r="I15" i="72"/>
  <c r="J15" i="72"/>
  <c r="K15" i="72"/>
  <c r="L15" i="72"/>
  <c r="B16" i="72"/>
  <c r="C16" i="72"/>
  <c r="D16" i="72"/>
  <c r="F16" i="72"/>
  <c r="G16" i="72"/>
  <c r="I16" i="72"/>
  <c r="K16" i="72"/>
  <c r="B17" i="72"/>
  <c r="C17" i="72"/>
  <c r="D17" i="72"/>
  <c r="F17" i="72"/>
  <c r="G17" i="72"/>
  <c r="H17" i="72"/>
  <c r="I17" i="72"/>
  <c r="J17" i="72"/>
  <c r="K17" i="72"/>
  <c r="L17" i="72"/>
  <c r="B20" i="72"/>
  <c r="C20" i="72"/>
  <c r="D20" i="72"/>
  <c r="F20" i="72"/>
  <c r="G20" i="72"/>
  <c r="I20" i="72"/>
  <c r="K20" i="72"/>
  <c r="B21" i="72"/>
  <c r="C21" i="72"/>
  <c r="D21" i="72"/>
  <c r="F21" i="72"/>
  <c r="G21" i="72"/>
  <c r="I21" i="72"/>
  <c r="K21" i="72"/>
  <c r="B22" i="72"/>
  <c r="C22" i="72"/>
  <c r="D22" i="72"/>
  <c r="F22" i="72"/>
  <c r="G22" i="72"/>
  <c r="I22" i="72"/>
  <c r="K22" i="72"/>
  <c r="B23" i="72"/>
  <c r="C23" i="72"/>
  <c r="D23" i="72"/>
  <c r="F23" i="72"/>
  <c r="G23" i="72"/>
  <c r="H23" i="72"/>
  <c r="I23" i="72"/>
  <c r="J23" i="72"/>
  <c r="K23" i="72"/>
  <c r="L23" i="72"/>
  <c r="B25" i="72"/>
  <c r="C25" i="72"/>
  <c r="D25" i="72"/>
  <c r="F25" i="72"/>
  <c r="G25" i="72"/>
  <c r="H25" i="72"/>
  <c r="I25" i="72"/>
  <c r="J25" i="72"/>
  <c r="K25" i="72"/>
  <c r="L25" i="72"/>
  <c r="B27" i="72"/>
  <c r="D27" i="72"/>
  <c r="F27" i="72"/>
  <c r="J27" i="72"/>
  <c r="B30" i="72"/>
  <c r="C30" i="72"/>
  <c r="D30" i="72"/>
  <c r="F30" i="72"/>
  <c r="G30" i="72"/>
  <c r="H30" i="72"/>
  <c r="I30" i="72"/>
  <c r="J30" i="72"/>
  <c r="K30" i="72"/>
  <c r="L30" i="72"/>
  <c r="B33" i="72"/>
  <c r="C33" i="72"/>
  <c r="D33" i="72"/>
  <c r="F33" i="72"/>
  <c r="G33" i="72"/>
  <c r="I33" i="72"/>
  <c r="K33" i="72"/>
  <c r="B34" i="72"/>
  <c r="C34" i="72"/>
  <c r="D34" i="72"/>
  <c r="F34" i="72"/>
  <c r="G34" i="72"/>
  <c r="I34" i="72"/>
  <c r="K34" i="72"/>
  <c r="B35" i="72"/>
  <c r="C35" i="72"/>
  <c r="D35" i="72"/>
  <c r="F35" i="72"/>
  <c r="G35" i="72"/>
  <c r="I35" i="72"/>
  <c r="K35" i="72"/>
  <c r="B36" i="72"/>
  <c r="C36" i="72"/>
  <c r="D36" i="72"/>
  <c r="F36" i="72"/>
  <c r="G36" i="72"/>
  <c r="I36" i="72"/>
  <c r="K36" i="72"/>
  <c r="B37" i="72"/>
  <c r="C37" i="72"/>
  <c r="D37" i="72"/>
  <c r="F37" i="72"/>
  <c r="G37" i="72"/>
  <c r="H37" i="72"/>
  <c r="I37" i="72"/>
  <c r="J37" i="72"/>
  <c r="K37" i="72"/>
  <c r="L37" i="72"/>
  <c r="B39" i="72"/>
  <c r="C39" i="72"/>
  <c r="D39" i="72"/>
  <c r="F39" i="72"/>
  <c r="G39" i="72"/>
  <c r="H39" i="72"/>
  <c r="I39" i="72"/>
  <c r="J39" i="72"/>
  <c r="K39" i="72"/>
  <c r="L39" i="72"/>
  <c r="B41" i="72"/>
  <c r="D41" i="72"/>
  <c r="F41" i="72"/>
  <c r="I41" i="72"/>
  <c r="K41" i="72"/>
  <c r="B43" i="72"/>
  <c r="C43" i="72"/>
  <c r="D43" i="72"/>
  <c r="F43" i="72"/>
  <c r="G43" i="72"/>
  <c r="H43" i="72"/>
  <c r="I43" i="72"/>
  <c r="J43" i="72"/>
  <c r="K43" i="72"/>
  <c r="L43" i="72"/>
  <c r="B10" i="75"/>
  <c r="C10" i="75"/>
  <c r="D10" i="75"/>
  <c r="F10" i="75"/>
  <c r="H10" i="75"/>
  <c r="J10" i="75"/>
  <c r="K10" i="75"/>
  <c r="L10" i="75"/>
  <c r="M10" i="75"/>
  <c r="N10" i="75"/>
  <c r="O10" i="75"/>
  <c r="P10" i="75"/>
  <c r="Q10" i="75"/>
  <c r="B11" i="75"/>
  <c r="C11" i="75"/>
  <c r="D11" i="75"/>
  <c r="F11" i="75"/>
  <c r="H11" i="75"/>
  <c r="J11" i="75"/>
  <c r="K11" i="75"/>
  <c r="L11" i="75"/>
  <c r="M11" i="75"/>
  <c r="N11" i="75"/>
  <c r="O11" i="75"/>
  <c r="P11" i="75"/>
  <c r="Q11" i="75"/>
  <c r="B12" i="75"/>
  <c r="C12" i="75"/>
  <c r="D12" i="75"/>
  <c r="F12" i="75"/>
  <c r="H12" i="75"/>
  <c r="J12" i="75"/>
  <c r="K12" i="75"/>
  <c r="L12" i="75"/>
  <c r="M12" i="75"/>
  <c r="N12" i="75"/>
  <c r="O12" i="75"/>
  <c r="P12" i="75"/>
  <c r="Q12" i="75"/>
  <c r="B13" i="75"/>
  <c r="C13" i="75"/>
  <c r="D13" i="75"/>
  <c r="F13" i="75"/>
  <c r="H13" i="75"/>
  <c r="J13" i="75"/>
  <c r="K13" i="75"/>
  <c r="L13" i="75"/>
  <c r="M13" i="75"/>
  <c r="N13" i="75"/>
  <c r="O13" i="75"/>
  <c r="P13" i="75"/>
  <c r="Q13" i="75"/>
  <c r="B14" i="75"/>
  <c r="C14" i="75"/>
  <c r="D14" i="75"/>
  <c r="F14" i="75"/>
  <c r="H14" i="75"/>
  <c r="J14" i="75"/>
  <c r="K14" i="75"/>
  <c r="L14" i="75"/>
  <c r="M14" i="75"/>
  <c r="N14" i="75"/>
  <c r="O14" i="75"/>
  <c r="P14" i="75"/>
  <c r="Q14" i="75"/>
  <c r="B15" i="75"/>
  <c r="C15" i="75"/>
  <c r="D15" i="75"/>
  <c r="F15" i="75"/>
  <c r="H15" i="75"/>
  <c r="J15" i="75"/>
  <c r="K15" i="75"/>
  <c r="L15" i="75"/>
  <c r="M15" i="75"/>
  <c r="N15" i="75"/>
  <c r="O15" i="75"/>
  <c r="P15" i="75"/>
  <c r="Q15" i="75"/>
  <c r="B17" i="75"/>
  <c r="C17" i="75"/>
  <c r="D17" i="75"/>
  <c r="F17" i="75"/>
  <c r="H17" i="75"/>
  <c r="J17" i="75"/>
  <c r="K17" i="75"/>
  <c r="L17" i="75"/>
  <c r="M17" i="75"/>
  <c r="N17" i="75"/>
  <c r="O17" i="75"/>
  <c r="P17" i="75"/>
  <c r="Q17" i="75"/>
  <c r="B18" i="75"/>
  <c r="C18" i="75"/>
  <c r="D18" i="75"/>
  <c r="F18" i="75"/>
  <c r="H18" i="75"/>
  <c r="J18" i="75"/>
  <c r="K18" i="75"/>
  <c r="L18" i="75"/>
  <c r="M18" i="75"/>
  <c r="N18" i="75"/>
  <c r="O18" i="75"/>
  <c r="P18" i="75"/>
  <c r="Q18" i="75"/>
  <c r="B19" i="75"/>
  <c r="C19" i="75"/>
  <c r="D19" i="75"/>
  <c r="F19" i="75"/>
  <c r="H19" i="75"/>
  <c r="J19" i="75"/>
  <c r="K19" i="75"/>
  <c r="L19" i="75"/>
  <c r="M19" i="75"/>
  <c r="N19" i="75"/>
  <c r="O19" i="75"/>
  <c r="P19" i="75"/>
  <c r="Q19" i="75"/>
  <c r="B20" i="75"/>
  <c r="C20" i="75"/>
  <c r="D20" i="75"/>
  <c r="F20" i="75"/>
  <c r="H20" i="75"/>
  <c r="J20" i="75"/>
  <c r="K20" i="75"/>
  <c r="L20" i="75"/>
  <c r="M20" i="75"/>
  <c r="N20" i="75"/>
  <c r="O20" i="75"/>
  <c r="P20" i="75"/>
  <c r="Q20" i="75"/>
  <c r="B21" i="75"/>
  <c r="C21" i="75"/>
  <c r="D21" i="75"/>
  <c r="F21" i="75"/>
  <c r="H21" i="75"/>
  <c r="J21" i="75"/>
  <c r="K21" i="75"/>
  <c r="L21" i="75"/>
  <c r="M21" i="75"/>
  <c r="N21" i="75"/>
  <c r="O21" i="75"/>
  <c r="P21" i="75"/>
  <c r="Q21" i="75"/>
  <c r="B22" i="75"/>
  <c r="C22" i="75"/>
  <c r="D22" i="75"/>
  <c r="F22" i="75"/>
  <c r="H22" i="75"/>
  <c r="J22" i="75"/>
  <c r="K22" i="75"/>
  <c r="L22" i="75"/>
  <c r="M22" i="75"/>
  <c r="N22" i="75"/>
  <c r="O22" i="75"/>
  <c r="P22" i="75"/>
  <c r="Q22" i="75"/>
  <c r="B26" i="75"/>
  <c r="C26" i="75"/>
  <c r="D26" i="75"/>
  <c r="F26" i="75"/>
  <c r="H26" i="75"/>
  <c r="J26" i="75"/>
  <c r="K26" i="75"/>
  <c r="L26" i="75"/>
  <c r="M26" i="75"/>
  <c r="N26" i="75"/>
  <c r="O26" i="75"/>
  <c r="P26" i="75"/>
  <c r="Q26" i="75"/>
  <c r="B27" i="75"/>
  <c r="C27" i="75"/>
  <c r="D27" i="75"/>
  <c r="F27" i="75"/>
  <c r="H27" i="75"/>
  <c r="J27" i="75"/>
  <c r="K27" i="75"/>
  <c r="L27" i="75"/>
  <c r="M27" i="75"/>
  <c r="N27" i="75"/>
  <c r="O27" i="75"/>
  <c r="P27" i="75"/>
  <c r="Q27" i="75"/>
  <c r="B28" i="75"/>
  <c r="C28" i="75"/>
  <c r="D28" i="75"/>
  <c r="F28" i="75"/>
  <c r="H28" i="75"/>
  <c r="J28" i="75"/>
  <c r="K28" i="75"/>
  <c r="L28" i="75"/>
  <c r="M28" i="75"/>
  <c r="N28" i="75"/>
  <c r="O28" i="75"/>
  <c r="P28" i="75"/>
  <c r="Q28" i="75"/>
  <c r="B29" i="75"/>
  <c r="C29" i="75"/>
  <c r="D29" i="75"/>
  <c r="F29" i="75"/>
  <c r="H29" i="75"/>
  <c r="J29" i="75"/>
  <c r="K29" i="75"/>
  <c r="L29" i="75"/>
  <c r="M29" i="75"/>
  <c r="N29" i="75"/>
  <c r="O29" i="75"/>
  <c r="P29" i="75"/>
  <c r="Q29" i="75"/>
  <c r="B32" i="75"/>
  <c r="C32" i="75"/>
  <c r="D32" i="75"/>
  <c r="F32" i="75"/>
  <c r="H32" i="75"/>
  <c r="J32" i="75"/>
  <c r="K32" i="75"/>
  <c r="L32" i="75"/>
  <c r="M32" i="75"/>
  <c r="N32" i="75"/>
  <c r="O32" i="75"/>
  <c r="P32" i="75"/>
  <c r="Q32" i="75"/>
  <c r="B33" i="75"/>
  <c r="C33" i="75"/>
  <c r="D33" i="75"/>
  <c r="F33" i="75"/>
  <c r="H33" i="75"/>
  <c r="J33" i="75"/>
  <c r="K33" i="75"/>
  <c r="L33" i="75"/>
  <c r="M33" i="75"/>
  <c r="N33" i="75"/>
  <c r="O33" i="75"/>
  <c r="P33" i="75"/>
  <c r="Q33" i="75"/>
  <c r="B34" i="75"/>
  <c r="C34" i="75"/>
  <c r="D34" i="75"/>
  <c r="F34" i="75"/>
  <c r="H34" i="75"/>
  <c r="J34" i="75"/>
  <c r="K34" i="75"/>
  <c r="L34" i="75"/>
  <c r="M34" i="75"/>
  <c r="N34" i="75"/>
  <c r="O34" i="75"/>
  <c r="P34" i="75"/>
  <c r="Q34" i="75"/>
  <c r="B35" i="75"/>
  <c r="C35" i="75"/>
  <c r="D35" i="75"/>
  <c r="F35" i="75"/>
  <c r="H35" i="75"/>
  <c r="J35" i="75"/>
  <c r="K35" i="75"/>
  <c r="L35" i="75"/>
  <c r="M35" i="75"/>
  <c r="N35" i="75"/>
  <c r="O35" i="75"/>
  <c r="P35" i="75"/>
  <c r="Q35" i="75"/>
  <c r="B38" i="75"/>
  <c r="C38" i="75"/>
  <c r="D38" i="75"/>
  <c r="F38" i="75"/>
  <c r="H38" i="75"/>
  <c r="J38" i="75"/>
  <c r="K38" i="75"/>
  <c r="L38" i="75"/>
  <c r="M38" i="75"/>
  <c r="N38" i="75"/>
  <c r="O38" i="75"/>
  <c r="P38" i="75"/>
  <c r="Q38" i="75"/>
  <c r="B39" i="75"/>
  <c r="C39" i="75"/>
  <c r="D39" i="75"/>
  <c r="F39" i="75"/>
  <c r="H39" i="75"/>
  <c r="J39" i="75"/>
  <c r="K39" i="75"/>
  <c r="L39" i="75"/>
  <c r="M39" i="75"/>
  <c r="N39" i="75"/>
  <c r="O39" i="75"/>
  <c r="P39" i="75"/>
  <c r="Q39" i="75"/>
  <c r="B40" i="75"/>
  <c r="C40" i="75"/>
  <c r="D40" i="75"/>
  <c r="F40" i="75"/>
  <c r="H40" i="75"/>
  <c r="J40" i="75"/>
  <c r="K40" i="75"/>
  <c r="L40" i="75"/>
  <c r="M40" i="75"/>
  <c r="N40" i="75"/>
  <c r="O40" i="75"/>
  <c r="P40" i="75"/>
  <c r="Q40" i="75"/>
  <c r="B41" i="75"/>
  <c r="C41" i="75"/>
  <c r="D41" i="75"/>
  <c r="F41" i="75"/>
  <c r="H41" i="75"/>
  <c r="J41" i="75"/>
  <c r="K41" i="75"/>
  <c r="L41" i="75"/>
  <c r="M41" i="75"/>
  <c r="N41" i="75"/>
  <c r="O41" i="75"/>
  <c r="P41" i="75"/>
  <c r="Q41" i="75"/>
  <c r="B43" i="75"/>
  <c r="C43" i="75"/>
  <c r="D43" i="75"/>
  <c r="F43" i="75"/>
  <c r="H43" i="75"/>
  <c r="J43" i="75"/>
  <c r="K43" i="75"/>
  <c r="L43" i="75"/>
  <c r="M43" i="75"/>
  <c r="N43" i="75"/>
  <c r="O43" i="75"/>
  <c r="P43" i="75"/>
  <c r="Q43" i="75"/>
  <c r="B44" i="75"/>
  <c r="C44" i="75"/>
  <c r="D44" i="75"/>
  <c r="F44" i="75"/>
  <c r="H44" i="75"/>
  <c r="J44" i="75"/>
  <c r="K44" i="75"/>
  <c r="L44" i="75"/>
  <c r="M44" i="75"/>
  <c r="N44" i="75"/>
  <c r="O44" i="75"/>
  <c r="P44" i="75"/>
  <c r="Q44" i="75"/>
  <c r="B47" i="75"/>
  <c r="C47" i="75"/>
  <c r="D47" i="75"/>
  <c r="F47" i="75"/>
  <c r="H47" i="75"/>
  <c r="J47" i="75"/>
  <c r="K47" i="75"/>
  <c r="L47" i="75"/>
  <c r="M47" i="75"/>
  <c r="N47" i="75"/>
  <c r="O47" i="75"/>
  <c r="P47" i="75"/>
  <c r="Q47" i="75"/>
  <c r="B48" i="75"/>
  <c r="C48" i="75"/>
  <c r="D48" i="75"/>
  <c r="F48" i="75"/>
  <c r="H48" i="75"/>
  <c r="J48" i="75"/>
  <c r="K48" i="75"/>
  <c r="L48" i="75"/>
  <c r="M48" i="75"/>
  <c r="N48" i="75"/>
  <c r="O48" i="75"/>
  <c r="P48" i="75"/>
  <c r="Q48" i="75"/>
  <c r="B49" i="75"/>
  <c r="C49" i="75"/>
  <c r="D49" i="75"/>
  <c r="F49" i="75"/>
  <c r="H49" i="75"/>
  <c r="J49" i="75"/>
  <c r="K49" i="75"/>
  <c r="L49" i="75"/>
  <c r="M49" i="75"/>
  <c r="N49" i="75"/>
  <c r="O49" i="75"/>
  <c r="P49" i="75"/>
  <c r="Q49" i="75"/>
  <c r="B50" i="75"/>
  <c r="C50" i="75"/>
  <c r="D50" i="75"/>
  <c r="F50" i="75"/>
  <c r="H50" i="75"/>
  <c r="J50" i="75"/>
  <c r="K50" i="75"/>
  <c r="L50" i="75"/>
  <c r="M50" i="75"/>
  <c r="N50" i="75"/>
  <c r="O50" i="75"/>
  <c r="P50" i="75"/>
  <c r="Q50" i="75"/>
  <c r="B51" i="75"/>
  <c r="C51" i="75"/>
  <c r="D51" i="75"/>
  <c r="F51" i="75"/>
  <c r="H51" i="75"/>
  <c r="J51" i="75"/>
  <c r="K51" i="75"/>
  <c r="L51" i="75"/>
  <c r="M51" i="75"/>
  <c r="N51" i="75"/>
  <c r="O51" i="75"/>
  <c r="P51" i="75"/>
  <c r="Q51" i="75"/>
  <c r="B52" i="75"/>
  <c r="C52" i="75"/>
  <c r="D52" i="75"/>
  <c r="F52" i="75"/>
  <c r="H52" i="75"/>
  <c r="J52" i="75"/>
  <c r="K52" i="75"/>
  <c r="L52" i="75"/>
  <c r="M52" i="75"/>
  <c r="N52" i="75"/>
  <c r="O52" i="75"/>
  <c r="P52" i="75"/>
  <c r="Q52" i="75"/>
  <c r="B57" i="75"/>
  <c r="D57" i="75"/>
  <c r="F57" i="75"/>
  <c r="H57" i="75"/>
  <c r="J57" i="75"/>
  <c r="L57" i="75"/>
  <c r="N57" i="75"/>
  <c r="P57" i="75"/>
  <c r="B58" i="75"/>
  <c r="D58" i="75"/>
  <c r="F58" i="75"/>
  <c r="H58" i="75"/>
  <c r="J58" i="75"/>
  <c r="L58" i="75"/>
  <c r="N58" i="75"/>
  <c r="P58" i="75"/>
  <c r="B59" i="75"/>
  <c r="D59" i="75"/>
  <c r="F59" i="75"/>
  <c r="H59" i="75"/>
  <c r="J59" i="75"/>
  <c r="L59" i="75"/>
  <c r="N59" i="75"/>
  <c r="P59" i="75"/>
  <c r="B61" i="75"/>
  <c r="D61" i="75"/>
  <c r="F61" i="75"/>
  <c r="H61" i="75"/>
  <c r="J61" i="75"/>
  <c r="L61" i="75"/>
  <c r="N61" i="75"/>
  <c r="P61" i="75"/>
  <c r="B62" i="75"/>
  <c r="D62" i="75"/>
  <c r="F62" i="75"/>
  <c r="H62" i="75"/>
  <c r="J62" i="75"/>
  <c r="L62" i="75"/>
  <c r="N62" i="75"/>
  <c r="P62" i="75"/>
  <c r="B63" i="75"/>
  <c r="D63" i="75"/>
  <c r="F63" i="75"/>
  <c r="H63" i="75"/>
  <c r="J63" i="75"/>
  <c r="L63" i="75"/>
  <c r="N63" i="75"/>
  <c r="P63" i="75"/>
  <c r="D10" i="76"/>
  <c r="E10" i="76"/>
  <c r="J10" i="76"/>
  <c r="K10" i="76"/>
  <c r="D11" i="76"/>
  <c r="E11" i="76"/>
  <c r="J11" i="76"/>
  <c r="K11" i="76"/>
  <c r="D12" i="76"/>
  <c r="E12" i="76"/>
  <c r="J12" i="76"/>
  <c r="K12" i="76"/>
  <c r="D13" i="76"/>
  <c r="J13" i="76"/>
  <c r="D14" i="76"/>
  <c r="E14" i="76"/>
  <c r="H14" i="76"/>
  <c r="I14" i="76"/>
  <c r="J14" i="76"/>
  <c r="K14" i="76"/>
  <c r="B15" i="76"/>
  <c r="C15" i="76"/>
  <c r="D15" i="76"/>
  <c r="E15" i="76"/>
  <c r="H15" i="76"/>
  <c r="I15" i="76"/>
  <c r="J15" i="76"/>
  <c r="K15" i="76"/>
  <c r="D17" i="76"/>
  <c r="J17" i="76"/>
  <c r="D18" i="76"/>
  <c r="E18" i="76"/>
  <c r="I18" i="76"/>
  <c r="J18" i="76"/>
  <c r="K18" i="76"/>
  <c r="D19" i="76"/>
  <c r="E19" i="76"/>
  <c r="J19" i="76"/>
  <c r="K19" i="76"/>
  <c r="D20" i="76"/>
  <c r="J20" i="76"/>
  <c r="D21" i="76"/>
  <c r="E21" i="76"/>
  <c r="J21" i="76"/>
  <c r="K21" i="76"/>
  <c r="B22" i="76"/>
  <c r="C22" i="76"/>
  <c r="D22" i="76"/>
  <c r="E22" i="76"/>
  <c r="H22" i="76"/>
  <c r="I22" i="76"/>
  <c r="J22" i="76"/>
  <c r="K22" i="76"/>
  <c r="D26" i="76"/>
  <c r="E26" i="76"/>
  <c r="J26" i="76"/>
  <c r="K26" i="76"/>
  <c r="D27" i="76"/>
  <c r="E27" i="76"/>
  <c r="J27" i="76"/>
  <c r="K27" i="76"/>
  <c r="D28" i="76"/>
  <c r="E28" i="76"/>
  <c r="J28" i="76"/>
  <c r="K28" i="76"/>
  <c r="B29" i="76"/>
  <c r="C29" i="76"/>
  <c r="D29" i="76"/>
  <c r="E29" i="76"/>
  <c r="H29" i="76"/>
  <c r="I29" i="76"/>
  <c r="J29" i="76"/>
  <c r="K29" i="76"/>
  <c r="D32" i="76"/>
  <c r="J32" i="76"/>
  <c r="D33" i="76"/>
  <c r="J33" i="76"/>
  <c r="D34" i="76"/>
  <c r="E34" i="76"/>
  <c r="I34" i="76"/>
  <c r="J34" i="76"/>
  <c r="K34" i="76"/>
  <c r="B35" i="76"/>
  <c r="C35" i="76"/>
  <c r="D35" i="76"/>
  <c r="E35" i="76"/>
  <c r="H35" i="76"/>
  <c r="I35" i="76"/>
  <c r="J35" i="76"/>
  <c r="K35" i="76"/>
  <c r="D38" i="76"/>
  <c r="J38" i="76"/>
  <c r="D39" i="76"/>
  <c r="J39" i="76"/>
  <c r="D40" i="76"/>
  <c r="E40" i="76"/>
  <c r="J40" i="76"/>
  <c r="K40" i="76"/>
  <c r="B41" i="76"/>
  <c r="C41" i="76"/>
  <c r="D41" i="76"/>
  <c r="E41" i="76"/>
  <c r="H41" i="76"/>
  <c r="I41" i="76"/>
  <c r="J41" i="76"/>
  <c r="K41" i="76"/>
  <c r="D43" i="76"/>
  <c r="J43" i="76"/>
  <c r="B44" i="76"/>
  <c r="C44" i="76"/>
  <c r="D44" i="76"/>
  <c r="E44" i="76"/>
  <c r="H44" i="76"/>
  <c r="I44" i="76"/>
  <c r="J44" i="76"/>
  <c r="K44" i="76"/>
  <c r="D47" i="76"/>
  <c r="E47" i="76"/>
  <c r="J47" i="76"/>
  <c r="K47" i="76"/>
  <c r="D48" i="76"/>
  <c r="J48" i="76"/>
  <c r="D50" i="76"/>
  <c r="J50" i="76"/>
  <c r="B51" i="76"/>
  <c r="C51" i="76"/>
  <c r="D51" i="76"/>
  <c r="H51" i="76"/>
  <c r="I51" i="76"/>
  <c r="J51" i="76"/>
  <c r="B53" i="76"/>
  <c r="C53" i="76"/>
  <c r="D53" i="76"/>
  <c r="E53" i="76"/>
  <c r="H53" i="76"/>
  <c r="I53" i="76"/>
  <c r="J53" i="76"/>
  <c r="K53" i="76"/>
  <c r="B58" i="76"/>
  <c r="D58" i="76"/>
  <c r="B59" i="76"/>
  <c r="D59" i="76"/>
  <c r="C60" i="76"/>
  <c r="D60" i="76"/>
  <c r="B62" i="76"/>
  <c r="J62" i="76"/>
  <c r="B63" i="76"/>
  <c r="J63" i="76"/>
  <c r="B64" i="76"/>
  <c r="J64" i="76"/>
  <c r="B11" i="73"/>
  <c r="D11" i="73"/>
  <c r="F11" i="73"/>
  <c r="H11" i="73"/>
  <c r="I11" i="73"/>
  <c r="J11" i="73"/>
  <c r="K11" i="73"/>
  <c r="L11" i="73"/>
  <c r="M11" i="73"/>
  <c r="N11" i="73"/>
  <c r="O11" i="73"/>
  <c r="P11" i="73"/>
  <c r="B12" i="73"/>
  <c r="D12" i="73"/>
  <c r="F12" i="73"/>
  <c r="H12" i="73"/>
  <c r="I12" i="73"/>
  <c r="J12" i="73"/>
  <c r="K12" i="73"/>
  <c r="L12" i="73"/>
  <c r="B13" i="73"/>
  <c r="D13" i="73"/>
  <c r="F13" i="73"/>
  <c r="H13" i="73"/>
  <c r="I13" i="73"/>
  <c r="J13" i="73"/>
  <c r="K13" i="73"/>
  <c r="L13" i="73"/>
  <c r="M13" i="73"/>
  <c r="N13" i="73"/>
  <c r="O13" i="73"/>
  <c r="P13" i="73"/>
  <c r="B14" i="73"/>
  <c r="D14" i="73"/>
  <c r="F14" i="73"/>
  <c r="H14" i="73"/>
  <c r="I14" i="73"/>
  <c r="J14" i="73"/>
  <c r="K14" i="73"/>
  <c r="L14" i="73"/>
  <c r="M14" i="73"/>
  <c r="N14" i="73"/>
  <c r="O14" i="73"/>
  <c r="P14" i="73"/>
  <c r="B15" i="73"/>
  <c r="D15" i="73"/>
  <c r="F15" i="73"/>
  <c r="H15" i="73"/>
  <c r="I15" i="73"/>
  <c r="J15" i="73"/>
  <c r="K15" i="73"/>
  <c r="L15" i="73"/>
  <c r="M15" i="73"/>
  <c r="N15" i="73"/>
  <c r="O15" i="73"/>
  <c r="P15" i="73"/>
  <c r="B23" i="73"/>
  <c r="C23" i="73"/>
  <c r="D23" i="73"/>
  <c r="F23" i="73"/>
  <c r="H23" i="73"/>
  <c r="J23" i="73"/>
  <c r="L23" i="73"/>
  <c r="N23" i="73"/>
  <c r="P23" i="73"/>
  <c r="R23" i="73"/>
  <c r="S23" i="73"/>
  <c r="T23" i="73"/>
  <c r="B24" i="73"/>
  <c r="C24" i="73"/>
  <c r="D24" i="73"/>
  <c r="F24" i="73"/>
  <c r="H24" i="73"/>
  <c r="J24" i="73"/>
  <c r="L24" i="73"/>
  <c r="N24" i="73"/>
  <c r="P24" i="73"/>
  <c r="R24" i="73"/>
  <c r="S24" i="73"/>
  <c r="T24" i="73"/>
  <c r="B25" i="73"/>
  <c r="C25" i="73"/>
  <c r="D25" i="73"/>
  <c r="F25" i="73"/>
  <c r="H25" i="73"/>
  <c r="J25" i="73"/>
  <c r="L25" i="73"/>
  <c r="N25" i="73"/>
  <c r="P25" i="73"/>
  <c r="R25" i="73"/>
  <c r="S25" i="73"/>
  <c r="T25" i="73"/>
  <c r="B26" i="73"/>
  <c r="C26" i="73"/>
  <c r="D26" i="73"/>
  <c r="F26" i="73"/>
  <c r="H26" i="73"/>
  <c r="J26" i="73"/>
  <c r="L26" i="73"/>
  <c r="N26" i="73"/>
  <c r="P26" i="73"/>
  <c r="R26" i="73"/>
  <c r="S26" i="73"/>
  <c r="T26" i="73"/>
  <c r="B27" i="73"/>
  <c r="C27" i="73"/>
  <c r="D27" i="73"/>
  <c r="F27" i="73"/>
  <c r="H27" i="73"/>
  <c r="J27" i="73"/>
  <c r="L27" i="73"/>
  <c r="N27" i="73"/>
  <c r="P27" i="73"/>
  <c r="R27" i="73"/>
  <c r="S27" i="73"/>
  <c r="T27" i="73"/>
  <c r="B42" i="73"/>
  <c r="N42" i="73"/>
  <c r="O42" i="73"/>
  <c r="Q42" i="73"/>
  <c r="B44" i="73"/>
  <c r="N44" i="73"/>
  <c r="O44" i="73"/>
  <c r="Q44" i="73"/>
  <c r="B49" i="73"/>
  <c r="N49" i="73"/>
  <c r="O49" i="73"/>
  <c r="Q49" i="73"/>
  <c r="B52" i="73"/>
  <c r="N52" i="73"/>
  <c r="O52" i="73"/>
  <c r="Q52" i="73"/>
  <c r="B55" i="73"/>
  <c r="N55" i="73"/>
  <c r="O55" i="73"/>
  <c r="Q55" i="73"/>
  <c r="B59" i="73"/>
  <c r="N59" i="73"/>
  <c r="O59" i="73"/>
  <c r="Q59" i="73"/>
  <c r="B61" i="73"/>
  <c r="N61" i="73"/>
  <c r="O61" i="73"/>
  <c r="Q61" i="73"/>
  <c r="B64" i="73"/>
  <c r="N64" i="73"/>
  <c r="O64" i="73"/>
  <c r="Q64" i="73"/>
  <c r="B66" i="73"/>
  <c r="N66" i="73"/>
  <c r="O66" i="73"/>
  <c r="Q66" i="73"/>
  <c r="B68" i="73"/>
  <c r="N68" i="73"/>
  <c r="O68" i="73"/>
  <c r="Q68" i="73"/>
  <c r="B71" i="73"/>
  <c r="N71" i="73"/>
  <c r="O71" i="73"/>
  <c r="Q71" i="73"/>
  <c r="B74" i="73"/>
  <c r="N74" i="73"/>
  <c r="O74" i="73"/>
  <c r="B10" i="77"/>
  <c r="D10" i="77"/>
  <c r="F10" i="77"/>
  <c r="H10" i="77"/>
  <c r="J10" i="77"/>
  <c r="K10" i="77"/>
  <c r="L10" i="77"/>
  <c r="M10" i="77"/>
  <c r="N10" i="77"/>
  <c r="O10" i="77"/>
  <c r="P10" i="77"/>
  <c r="B11" i="77"/>
  <c r="D11" i="77"/>
  <c r="F11" i="77"/>
  <c r="H11" i="77"/>
  <c r="J11" i="77"/>
  <c r="L11" i="77"/>
  <c r="M11" i="77"/>
  <c r="N11" i="77"/>
  <c r="O11" i="77"/>
  <c r="P11" i="77"/>
  <c r="B12" i="77"/>
  <c r="D12" i="77"/>
  <c r="F12" i="77"/>
  <c r="H12" i="77"/>
  <c r="J12" i="77"/>
  <c r="L12" i="77"/>
  <c r="N12" i="77"/>
  <c r="O12" i="77"/>
  <c r="P12" i="77"/>
  <c r="B13" i="77"/>
  <c r="D13" i="77"/>
  <c r="F13" i="77"/>
  <c r="H13" i="77"/>
  <c r="J13" i="77"/>
  <c r="K13" i="77"/>
  <c r="L13" i="77"/>
  <c r="M13" i="77"/>
  <c r="N13" i="77"/>
  <c r="O13" i="77"/>
  <c r="P13" i="77"/>
  <c r="B14" i="77"/>
  <c r="D14" i="77"/>
  <c r="F14" i="77"/>
  <c r="H14" i="77"/>
  <c r="J14" i="77"/>
  <c r="K14" i="77"/>
  <c r="L14" i="77"/>
  <c r="M14" i="77"/>
  <c r="N14" i="77"/>
  <c r="O14" i="77"/>
  <c r="P14" i="77"/>
  <c r="B15" i="77"/>
  <c r="D15" i="77"/>
  <c r="F15" i="77"/>
  <c r="H15" i="77"/>
  <c r="J15" i="77"/>
  <c r="K15" i="77"/>
  <c r="L15" i="77"/>
  <c r="M15" i="77"/>
  <c r="N15" i="77"/>
  <c r="O15" i="77"/>
  <c r="P15" i="77"/>
  <c r="B18" i="77"/>
  <c r="D18" i="77"/>
  <c r="F18" i="77"/>
  <c r="H18" i="77"/>
  <c r="J18" i="77"/>
  <c r="K18" i="77"/>
  <c r="L18" i="77"/>
  <c r="M18" i="77"/>
  <c r="N18" i="77"/>
  <c r="O18" i="77"/>
  <c r="P18" i="77"/>
  <c r="B19" i="77"/>
  <c r="D19" i="77"/>
  <c r="F19" i="77"/>
  <c r="H19" i="77"/>
  <c r="J19" i="77"/>
  <c r="K19" i="77"/>
  <c r="L19" i="77"/>
  <c r="M19" i="77"/>
  <c r="N19" i="77"/>
  <c r="O19" i="77"/>
  <c r="P19" i="77"/>
  <c r="B20" i="77"/>
  <c r="D20" i="77"/>
  <c r="F20" i="77"/>
  <c r="H20" i="77"/>
  <c r="J20" i="77"/>
  <c r="K20" i="77"/>
  <c r="L20" i="77"/>
  <c r="M20" i="77"/>
  <c r="N20" i="77"/>
  <c r="O20" i="77"/>
  <c r="P20" i="77"/>
  <c r="B21" i="77"/>
  <c r="D21" i="77"/>
  <c r="F21" i="77"/>
  <c r="H21" i="77"/>
  <c r="J21" i="77"/>
  <c r="K21" i="77"/>
  <c r="L21" i="77"/>
  <c r="M21" i="77"/>
  <c r="N21" i="77"/>
  <c r="O21" i="77"/>
  <c r="P21" i="77"/>
  <c r="B23" i="77"/>
  <c r="D23" i="77"/>
  <c r="F23" i="77"/>
  <c r="H23" i="77"/>
  <c r="J23" i="77"/>
  <c r="K23" i="77"/>
  <c r="L23" i="77"/>
  <c r="M23" i="77"/>
  <c r="N23" i="77"/>
  <c r="O23" i="77"/>
  <c r="P23" i="77"/>
  <c r="B25" i="77"/>
  <c r="D25" i="77"/>
  <c r="F25" i="77"/>
  <c r="H25" i="77"/>
  <c r="J25" i="77"/>
  <c r="K25" i="77"/>
  <c r="L25" i="77"/>
  <c r="M25" i="77"/>
  <c r="N25" i="77"/>
  <c r="O25" i="77"/>
  <c r="P25" i="77"/>
  <c r="B28" i="77"/>
  <c r="D28" i="77"/>
  <c r="F28" i="77"/>
  <c r="H28" i="77"/>
  <c r="J28" i="77"/>
  <c r="K28" i="77"/>
  <c r="L28" i="77"/>
  <c r="M28" i="77"/>
  <c r="N28" i="77"/>
  <c r="O28" i="77"/>
  <c r="P28" i="77"/>
  <c r="B31" i="77"/>
  <c r="D31" i="77"/>
  <c r="F31" i="77"/>
  <c r="H31" i="77"/>
  <c r="J31" i="77"/>
  <c r="K31" i="77"/>
  <c r="L31" i="77"/>
  <c r="M31" i="77"/>
  <c r="N31" i="77"/>
  <c r="O31" i="77"/>
  <c r="P31" i="77"/>
  <c r="B32" i="77"/>
  <c r="D32" i="77"/>
  <c r="F32" i="77"/>
  <c r="H32" i="77"/>
  <c r="J32" i="77"/>
  <c r="K32" i="77"/>
  <c r="L32" i="77"/>
  <c r="M32" i="77"/>
  <c r="N32" i="77"/>
  <c r="O32" i="77"/>
  <c r="P32" i="77"/>
  <c r="B33" i="77"/>
  <c r="D33" i="77"/>
  <c r="F33" i="77"/>
  <c r="H33" i="77"/>
  <c r="J33" i="77"/>
  <c r="K33" i="77"/>
  <c r="L33" i="77"/>
  <c r="M33" i="77"/>
  <c r="N33" i="77"/>
  <c r="O33" i="77"/>
  <c r="P33" i="77"/>
  <c r="B34" i="77"/>
  <c r="D34" i="77"/>
  <c r="F34" i="77"/>
  <c r="H34" i="77"/>
  <c r="J34" i="77"/>
  <c r="K34" i="77"/>
  <c r="L34" i="77"/>
  <c r="M34" i="77"/>
  <c r="N34" i="77"/>
  <c r="O34" i="77"/>
  <c r="P34" i="77"/>
  <c r="B35" i="77"/>
  <c r="D35" i="77"/>
  <c r="F35" i="77"/>
  <c r="H35" i="77"/>
  <c r="J35" i="77"/>
  <c r="K35" i="77"/>
  <c r="L35" i="77"/>
  <c r="M35" i="77"/>
  <c r="N35" i="77"/>
  <c r="O35" i="77"/>
  <c r="P35" i="77"/>
  <c r="B37" i="77"/>
  <c r="D37" i="77"/>
  <c r="F37" i="77"/>
  <c r="H37" i="77"/>
  <c r="J37" i="77"/>
  <c r="K37" i="77"/>
  <c r="L37" i="77"/>
  <c r="M37" i="77"/>
  <c r="N37" i="77"/>
  <c r="O37" i="77"/>
  <c r="P37" i="77"/>
  <c r="B39" i="77"/>
  <c r="D39" i="77"/>
  <c r="F39" i="77"/>
  <c r="H39" i="77"/>
  <c r="J39" i="77"/>
  <c r="L39" i="77"/>
  <c r="N39" i="77"/>
  <c r="P39" i="77"/>
  <c r="B41" i="77"/>
  <c r="D41" i="77"/>
  <c r="F41" i="77"/>
  <c r="H41" i="77"/>
  <c r="J41" i="77"/>
  <c r="K41" i="77"/>
  <c r="L41" i="77"/>
  <c r="M41" i="77"/>
  <c r="N41" i="77"/>
  <c r="O41" i="77"/>
  <c r="P41" i="77"/>
  <c r="C50" i="77"/>
  <c r="D50" i="77"/>
  <c r="H50" i="77"/>
  <c r="L50" i="77"/>
  <c r="P50" i="77"/>
  <c r="R50" i="77"/>
  <c r="S50" i="77"/>
  <c r="T50" i="77"/>
  <c r="U50" i="77"/>
  <c r="C51" i="77"/>
  <c r="D51" i="77"/>
  <c r="H51" i="77"/>
  <c r="L51" i="77"/>
  <c r="P51" i="77"/>
  <c r="R51" i="77"/>
  <c r="T51" i="77"/>
  <c r="U51" i="77"/>
  <c r="C52" i="77"/>
  <c r="D52" i="77"/>
  <c r="P52" i="77"/>
  <c r="R52" i="77"/>
  <c r="S52" i="77"/>
  <c r="T52" i="77"/>
  <c r="U52" i="77"/>
  <c r="B53" i="77"/>
  <c r="C53" i="77"/>
  <c r="D53" i="77"/>
  <c r="F53" i="77"/>
  <c r="H53" i="77"/>
  <c r="J53" i="77"/>
  <c r="L53" i="77"/>
  <c r="N53" i="77"/>
  <c r="P53" i="77"/>
  <c r="R53" i="77"/>
  <c r="S53" i="77"/>
  <c r="T53" i="77"/>
  <c r="U53" i="77"/>
  <c r="C54" i="77"/>
  <c r="D54" i="77"/>
  <c r="H54" i="77"/>
  <c r="L54" i="77"/>
  <c r="P54" i="77"/>
  <c r="R54" i="77"/>
  <c r="S54" i="77"/>
  <c r="T54" i="77"/>
  <c r="U54" i="77"/>
  <c r="B55" i="77"/>
  <c r="C55" i="77"/>
  <c r="D55" i="77"/>
  <c r="F55" i="77"/>
  <c r="H55" i="77"/>
  <c r="J55" i="77"/>
  <c r="L55" i="77"/>
  <c r="N55" i="77"/>
  <c r="P55" i="77"/>
  <c r="R55" i="77"/>
  <c r="S55" i="77"/>
  <c r="T55" i="77"/>
  <c r="U55" i="77"/>
  <c r="C58" i="77"/>
  <c r="D58" i="77"/>
  <c r="H58" i="77"/>
  <c r="L58" i="77"/>
  <c r="P58" i="77"/>
  <c r="R58" i="77"/>
  <c r="S58" i="77"/>
  <c r="T58" i="77"/>
  <c r="U58" i="77"/>
  <c r="C59" i="77"/>
  <c r="D59" i="77"/>
  <c r="H59" i="77"/>
  <c r="L59" i="77"/>
  <c r="P59" i="77"/>
  <c r="R59" i="77"/>
  <c r="S59" i="77"/>
  <c r="T59" i="77"/>
  <c r="U59" i="77"/>
  <c r="C60" i="77"/>
  <c r="D60" i="77"/>
  <c r="H60" i="77"/>
  <c r="L60" i="77"/>
  <c r="P60" i="77"/>
  <c r="R60" i="77"/>
  <c r="S60" i="77"/>
  <c r="T60" i="77"/>
  <c r="U60" i="77"/>
  <c r="B61" i="77"/>
  <c r="C61" i="77"/>
  <c r="D61" i="77"/>
  <c r="F61" i="77"/>
  <c r="H61" i="77"/>
  <c r="J61" i="77"/>
  <c r="L61" i="77"/>
  <c r="N61" i="77"/>
  <c r="P61" i="77"/>
  <c r="R61" i="77"/>
  <c r="S61" i="77"/>
  <c r="T61" i="77"/>
  <c r="U61" i="77"/>
  <c r="B63" i="77"/>
  <c r="C63" i="77"/>
  <c r="D63" i="77"/>
  <c r="F63" i="77"/>
  <c r="H63" i="77"/>
  <c r="J63" i="77"/>
  <c r="L63" i="77"/>
  <c r="N63" i="77"/>
  <c r="P63" i="77"/>
  <c r="R63" i="77"/>
  <c r="S63" i="77"/>
  <c r="T63" i="77"/>
  <c r="U63" i="77"/>
  <c r="C65" i="77"/>
  <c r="D65" i="77"/>
  <c r="H65" i="77"/>
  <c r="L65" i="77"/>
  <c r="P65" i="77"/>
  <c r="R65" i="77"/>
  <c r="S65" i="77"/>
  <c r="T65" i="77"/>
  <c r="U65" i="77"/>
  <c r="B68" i="77"/>
  <c r="C68" i="77"/>
  <c r="D68" i="77"/>
  <c r="F68" i="77"/>
  <c r="H68" i="77"/>
  <c r="J68" i="77"/>
  <c r="L68" i="77"/>
  <c r="N68" i="77"/>
  <c r="P68" i="77"/>
  <c r="R68" i="77"/>
  <c r="S68" i="77"/>
  <c r="T68" i="77"/>
  <c r="U68" i="77"/>
  <c r="C71" i="77"/>
  <c r="D71" i="77"/>
  <c r="H71" i="77"/>
  <c r="L71" i="77"/>
  <c r="P71" i="77"/>
  <c r="R71" i="77"/>
  <c r="S71" i="77"/>
  <c r="T71" i="77"/>
  <c r="U71" i="77"/>
  <c r="C72" i="77"/>
  <c r="D72" i="77"/>
  <c r="H72" i="77"/>
  <c r="L72" i="77"/>
  <c r="P72" i="77"/>
  <c r="R72" i="77"/>
  <c r="S72" i="77"/>
  <c r="T72" i="77"/>
  <c r="U72" i="77"/>
  <c r="C73" i="77"/>
  <c r="D73" i="77"/>
  <c r="H73" i="77"/>
  <c r="L73" i="77"/>
  <c r="P73" i="77"/>
  <c r="R73" i="77"/>
  <c r="S73" i="77"/>
  <c r="T73" i="77"/>
  <c r="U73" i="77"/>
  <c r="C74" i="77"/>
  <c r="D74" i="77"/>
  <c r="H74" i="77"/>
  <c r="L74" i="77"/>
  <c r="P74" i="77"/>
  <c r="R74" i="77"/>
  <c r="S74" i="77"/>
  <c r="T74" i="77"/>
  <c r="U74" i="77"/>
  <c r="B75" i="77"/>
  <c r="C75" i="77"/>
  <c r="D75" i="77"/>
  <c r="F75" i="77"/>
  <c r="H75" i="77"/>
  <c r="J75" i="77"/>
  <c r="L75" i="77"/>
  <c r="N75" i="77"/>
  <c r="P75" i="77"/>
  <c r="R75" i="77"/>
  <c r="S75" i="77"/>
  <c r="T75" i="77"/>
  <c r="U75" i="77"/>
  <c r="B77" i="77"/>
  <c r="C77" i="77"/>
  <c r="D77" i="77"/>
  <c r="F77" i="77"/>
  <c r="H77" i="77"/>
  <c r="J77" i="77"/>
  <c r="L77" i="77"/>
  <c r="N77" i="77"/>
  <c r="P77" i="77"/>
  <c r="R77" i="77"/>
  <c r="S77" i="77"/>
  <c r="T77" i="77"/>
  <c r="U77" i="77"/>
  <c r="B79" i="77"/>
  <c r="D79" i="77"/>
  <c r="R79" i="77"/>
  <c r="T79" i="77"/>
  <c r="U79" i="77"/>
  <c r="B81" i="77"/>
  <c r="C81" i="77"/>
  <c r="D81" i="77"/>
  <c r="F81" i="77"/>
  <c r="H81" i="77"/>
  <c r="J81" i="77"/>
  <c r="L81" i="77"/>
  <c r="N81" i="77"/>
  <c r="P81" i="77"/>
  <c r="R81" i="77"/>
  <c r="S81" i="77"/>
  <c r="T81" i="77"/>
  <c r="U81" i="77"/>
  <c r="B88" i="77"/>
  <c r="B90" i="77"/>
  <c r="D90" i="77"/>
  <c r="F90" i="77"/>
  <c r="H90" i="77"/>
  <c r="B91" i="77"/>
  <c r="B92" i="77"/>
  <c r="D92" i="77"/>
  <c r="F92" i="77"/>
  <c r="H92" i="77"/>
  <c r="B95" i="77"/>
  <c r="B96" i="77"/>
  <c r="B97" i="77"/>
  <c r="B98" i="77"/>
  <c r="D98" i="77"/>
  <c r="F98" i="77"/>
  <c r="H98" i="77"/>
  <c r="B100" i="77"/>
  <c r="D100" i="77"/>
  <c r="F100" i="77"/>
  <c r="H100" i="77"/>
  <c r="B102" i="77"/>
  <c r="B105" i="77"/>
  <c r="D105" i="77"/>
  <c r="F105" i="77"/>
  <c r="H105" i="77"/>
  <c r="B108" i="77"/>
  <c r="B109" i="77"/>
  <c r="B110" i="77"/>
  <c r="B111" i="77"/>
  <c r="B112" i="77"/>
  <c r="D112" i="77"/>
  <c r="F112" i="77"/>
  <c r="H112" i="77"/>
  <c r="B114" i="77"/>
  <c r="D114" i="77"/>
  <c r="F114" i="77"/>
  <c r="H114" i="77"/>
  <c r="B118" i="77"/>
  <c r="D118" i="77"/>
  <c r="F118" i="77"/>
  <c r="H118" i="77"/>
  <c r="I10" i="74"/>
  <c r="K10" i="74"/>
  <c r="M10" i="74"/>
  <c r="O10" i="74"/>
  <c r="P10" i="74"/>
  <c r="I11" i="74"/>
  <c r="K11" i="74"/>
  <c r="M11" i="74"/>
  <c r="O11" i="74"/>
  <c r="P11" i="74"/>
  <c r="I12" i="74"/>
  <c r="K12" i="74"/>
  <c r="M12" i="74"/>
  <c r="O12" i="74"/>
  <c r="P12" i="74"/>
  <c r="B13" i="74"/>
  <c r="D13" i="74"/>
  <c r="F13" i="74"/>
  <c r="H13" i="74"/>
  <c r="J13" i="74"/>
  <c r="L13" i="74"/>
  <c r="M13" i="74"/>
  <c r="O13" i="74"/>
  <c r="P13" i="74"/>
  <c r="I14" i="74"/>
  <c r="K14" i="74"/>
  <c r="L14" i="74"/>
  <c r="M14" i="74"/>
  <c r="O14" i="74"/>
  <c r="P14" i="74"/>
  <c r="B15" i="74"/>
  <c r="D15" i="74"/>
  <c r="F15" i="74"/>
  <c r="H15" i="74"/>
  <c r="I15" i="74"/>
  <c r="J15" i="74"/>
  <c r="K15" i="74"/>
  <c r="L15" i="74"/>
  <c r="M15" i="74"/>
  <c r="N15" i="74"/>
  <c r="O15" i="74"/>
  <c r="P15" i="74"/>
  <c r="I17" i="74"/>
  <c r="K17" i="74"/>
  <c r="I18" i="74"/>
  <c r="K18" i="74"/>
  <c r="L18" i="74"/>
  <c r="M18" i="74"/>
  <c r="O18" i="74"/>
  <c r="P18" i="74"/>
  <c r="I19" i="74"/>
  <c r="K19" i="74"/>
  <c r="M19" i="74"/>
  <c r="O19" i="74"/>
  <c r="P19" i="74"/>
  <c r="I20" i="74"/>
  <c r="K20" i="74"/>
  <c r="M20" i="74"/>
  <c r="O20" i="74"/>
  <c r="P20" i="74"/>
  <c r="I21" i="74"/>
  <c r="K21" i="74"/>
  <c r="M21" i="74"/>
  <c r="O21" i="74"/>
  <c r="P21" i="74"/>
  <c r="B22" i="74"/>
  <c r="D22" i="74"/>
  <c r="F22" i="74"/>
  <c r="H22" i="74"/>
  <c r="I22" i="74"/>
  <c r="J22" i="74"/>
  <c r="K22" i="74"/>
  <c r="L22" i="74"/>
  <c r="M22" i="74"/>
  <c r="N22" i="74"/>
  <c r="O22" i="74"/>
  <c r="P22" i="74"/>
  <c r="I26" i="74"/>
  <c r="K26" i="74"/>
  <c r="M26" i="74"/>
  <c r="O26" i="74"/>
  <c r="P26" i="74"/>
  <c r="I27" i="74"/>
  <c r="K27" i="74"/>
  <c r="M27" i="74"/>
  <c r="O27" i="74"/>
  <c r="P27" i="74"/>
  <c r="I28" i="74"/>
  <c r="K28" i="74"/>
  <c r="M28" i="74"/>
  <c r="O28" i="74"/>
  <c r="P28" i="74"/>
  <c r="B29" i="74"/>
  <c r="D29" i="74"/>
  <c r="F29" i="74"/>
  <c r="H29" i="74"/>
  <c r="I29" i="74"/>
  <c r="J29" i="74"/>
  <c r="K29" i="74"/>
  <c r="L29" i="74"/>
  <c r="M29" i="74"/>
  <c r="N29" i="74"/>
  <c r="O29" i="74"/>
  <c r="P29" i="74"/>
  <c r="I32" i="74"/>
  <c r="L32" i="74"/>
  <c r="D33" i="74"/>
  <c r="F33" i="74"/>
  <c r="H33" i="74"/>
  <c r="J33" i="74"/>
  <c r="L33" i="74"/>
  <c r="I34" i="74"/>
  <c r="K34" i="74"/>
  <c r="M34" i="74"/>
  <c r="O34" i="74"/>
  <c r="P34" i="74"/>
  <c r="B35" i="74"/>
  <c r="D35" i="74"/>
  <c r="F35" i="74"/>
  <c r="H35" i="74"/>
  <c r="I35" i="74"/>
  <c r="J35" i="74"/>
  <c r="K35" i="74"/>
  <c r="L35" i="74"/>
  <c r="M35" i="74"/>
  <c r="N35" i="74"/>
  <c r="O35" i="74"/>
  <c r="P35" i="74"/>
  <c r="B38" i="74"/>
  <c r="D38" i="74"/>
  <c r="F38" i="74"/>
  <c r="H38" i="74"/>
  <c r="J38" i="74"/>
  <c r="L38" i="74"/>
  <c r="B39" i="74"/>
  <c r="D39" i="74"/>
  <c r="F39" i="74"/>
  <c r="H39" i="74"/>
  <c r="J39" i="74"/>
  <c r="L39" i="74"/>
  <c r="I40" i="74"/>
  <c r="K40" i="74"/>
  <c r="M40" i="74"/>
  <c r="O40" i="74"/>
  <c r="P40" i="74"/>
  <c r="B41" i="74"/>
  <c r="D41" i="74"/>
  <c r="F41" i="74"/>
  <c r="H41" i="74"/>
  <c r="I41" i="74"/>
  <c r="J41" i="74"/>
  <c r="K41" i="74"/>
  <c r="L41" i="74"/>
  <c r="M41" i="74"/>
  <c r="N41" i="74"/>
  <c r="O41" i="74"/>
  <c r="P41" i="74"/>
  <c r="I43" i="74"/>
  <c r="K43" i="74"/>
  <c r="M43" i="74"/>
  <c r="O43" i="74"/>
  <c r="B44" i="74"/>
  <c r="D44" i="74"/>
  <c r="F44" i="74"/>
  <c r="H44" i="74"/>
  <c r="I44" i="74"/>
  <c r="J44" i="74"/>
  <c r="K44" i="74"/>
  <c r="L44" i="74"/>
  <c r="M44" i="74"/>
  <c r="N44" i="74"/>
  <c r="O44" i="74"/>
  <c r="P44" i="74"/>
  <c r="I47" i="74"/>
  <c r="K47" i="74"/>
  <c r="M47" i="74"/>
  <c r="N47" i="74"/>
  <c r="O47" i="74"/>
  <c r="P47" i="74"/>
  <c r="I48" i="74"/>
  <c r="B49" i="74"/>
  <c r="D49" i="74"/>
  <c r="F49" i="74"/>
  <c r="H49" i="74"/>
  <c r="J49" i="74"/>
  <c r="L49" i="74"/>
  <c r="I50" i="74"/>
  <c r="K50" i="74"/>
  <c r="L50" i="74"/>
  <c r="M50" i="74"/>
  <c r="O50" i="74"/>
  <c r="P50" i="74"/>
  <c r="B51" i="74"/>
  <c r="D51" i="74"/>
  <c r="F51" i="74"/>
  <c r="H51" i="74"/>
  <c r="I51" i="74"/>
  <c r="J51" i="74"/>
  <c r="K51" i="74"/>
  <c r="L51" i="74"/>
  <c r="M51" i="74"/>
  <c r="N51" i="74"/>
  <c r="O51" i="74"/>
  <c r="P51" i="74"/>
  <c r="B52" i="74"/>
  <c r="D52" i="74"/>
  <c r="F52" i="74"/>
  <c r="H52" i="74"/>
  <c r="I52" i="74"/>
  <c r="J52" i="74"/>
  <c r="K52" i="74"/>
  <c r="L52" i="74"/>
  <c r="M52" i="74"/>
  <c r="N52" i="74"/>
  <c r="O52" i="74"/>
  <c r="P52" i="74"/>
  <c r="P60" i="74"/>
  <c r="P61" i="74"/>
  <c r="L62" i="74"/>
  <c r="P62" i="74"/>
  <c r="B69" i="74"/>
  <c r="D69" i="74"/>
  <c r="E69" i="74"/>
  <c r="F69" i="74"/>
  <c r="G69" i="74"/>
  <c r="H69" i="74"/>
  <c r="I69" i="74"/>
  <c r="J69" i="74"/>
  <c r="K69" i="74"/>
  <c r="L69" i="74"/>
  <c r="M69" i="74"/>
  <c r="O69" i="74"/>
  <c r="B70" i="74"/>
  <c r="B71" i="74"/>
  <c r="B72" i="74"/>
  <c r="B73" i="74"/>
  <c r="B76" i="74"/>
  <c r="B78" i="74"/>
  <c r="B80" i="74"/>
  <c r="D80" i="74"/>
  <c r="E80" i="74"/>
  <c r="F80" i="74"/>
  <c r="G80" i="74"/>
  <c r="H80" i="74"/>
  <c r="I80" i="74"/>
  <c r="J80" i="74"/>
  <c r="K80" i="74"/>
  <c r="L80" i="74"/>
  <c r="M80" i="74"/>
  <c r="O80" i="74"/>
  <c r="B81" i="74"/>
  <c r="B82" i="74"/>
  <c r="B84" i="74"/>
  <c r="D84" i="74"/>
  <c r="E84" i="74"/>
  <c r="F84" i="74"/>
  <c r="G84" i="74"/>
  <c r="H84" i="74"/>
  <c r="I84" i="74"/>
  <c r="J84" i="74"/>
  <c r="K84" i="74"/>
  <c r="L84" i="74"/>
  <c r="M84" i="74"/>
  <c r="O84" i="74"/>
  <c r="B86" i="74"/>
  <c r="B87" i="74"/>
  <c r="B94" i="74"/>
  <c r="B95" i="74"/>
  <c r="B97" i="74"/>
  <c r="D97" i="74"/>
  <c r="E97" i="74"/>
  <c r="F97" i="74"/>
  <c r="G97" i="74"/>
  <c r="H97" i="74"/>
  <c r="I97" i="74"/>
  <c r="J97" i="74"/>
  <c r="K97" i="74"/>
  <c r="L97" i="74"/>
  <c r="M97" i="74"/>
  <c r="O97" i="74"/>
  <c r="B98" i="74"/>
  <c r="B99" i="74"/>
  <c r="B101" i="74"/>
  <c r="B103" i="74"/>
  <c r="B107" i="74"/>
  <c r="D107" i="74"/>
  <c r="E107" i="74"/>
  <c r="F107" i="74"/>
  <c r="G107" i="74"/>
  <c r="H107" i="74"/>
  <c r="I107" i="74"/>
  <c r="J107" i="74"/>
  <c r="K107" i="74"/>
  <c r="L107" i="74"/>
  <c r="M107" i="74"/>
  <c r="O107" i="74"/>
  <c r="B108" i="74"/>
  <c r="B109" i="74"/>
  <c r="B110" i="74"/>
  <c r="B111" i="74"/>
  <c r="B115" i="74"/>
  <c r="D115" i="74"/>
  <c r="E115" i="74"/>
  <c r="F115" i="74"/>
  <c r="G115" i="74"/>
  <c r="H115" i="74"/>
  <c r="I115" i="74"/>
  <c r="J115" i="74"/>
  <c r="K115" i="74"/>
  <c r="L115" i="74"/>
  <c r="M115" i="74"/>
  <c r="O115" i="74"/>
  <c r="B120" i="74"/>
  <c r="D120" i="74"/>
  <c r="F120" i="74"/>
  <c r="H120" i="74"/>
  <c r="B121" i="74"/>
  <c r="B122" i="74"/>
  <c r="B124" i="74"/>
  <c r="B126" i="74"/>
  <c r="B128" i="74"/>
  <c r="D128" i="74"/>
  <c r="F128" i="74"/>
  <c r="H128" i="74"/>
  <c r="B129" i="74"/>
  <c r="B130" i="74"/>
  <c r="B132" i="74"/>
  <c r="B134" i="74"/>
  <c r="B136" i="74"/>
  <c r="B137" i="74"/>
  <c r="B138" i="74"/>
  <c r="B143" i="74"/>
  <c r="D143" i="74"/>
  <c r="F143" i="74"/>
  <c r="H143" i="74"/>
  <c r="B150" i="74"/>
  <c r="B154" i="74"/>
  <c r="B158" i="74"/>
  <c r="D158" i="74"/>
  <c r="F158" i="74"/>
  <c r="H158" i="74"/>
  <c r="B159" i="74"/>
  <c r="B162" i="74"/>
  <c r="D162" i="74"/>
  <c r="F162" i="74"/>
  <c r="H162" i="74"/>
  <c r="B163" i="74"/>
  <c r="B164" i="74"/>
  <c r="B166" i="74"/>
  <c r="D166" i="74"/>
  <c r="F166" i="74"/>
  <c r="H166" i="74"/>
  <c r="B170" i="74"/>
  <c r="D170" i="74"/>
  <c r="E170" i="74"/>
  <c r="F170" i="74"/>
  <c r="G170" i="74"/>
  <c r="H170" i="74"/>
  <c r="I170" i="74"/>
  <c r="J170" i="74"/>
  <c r="K170" i="74"/>
  <c r="L170" i="74"/>
  <c r="M170" i="74"/>
  <c r="O170" i="74"/>
  <c r="B12" i="78"/>
  <c r="C12" i="78"/>
  <c r="D12" i="78"/>
  <c r="F12" i="78"/>
  <c r="G12" i="78"/>
  <c r="I12" i="78"/>
  <c r="K12" i="78"/>
  <c r="B13" i="78"/>
  <c r="C13" i="78"/>
  <c r="D13" i="78"/>
  <c r="F13" i="78"/>
  <c r="B14" i="78"/>
  <c r="C14" i="78"/>
  <c r="D14" i="78"/>
  <c r="F14" i="78"/>
  <c r="G14" i="78"/>
  <c r="I14" i="78"/>
  <c r="B15" i="78"/>
  <c r="C15" i="78"/>
  <c r="D15" i="78"/>
  <c r="F15" i="78"/>
  <c r="G15" i="78"/>
  <c r="H15" i="78"/>
  <c r="I15" i="78"/>
  <c r="J15" i="78"/>
  <c r="K15" i="78"/>
  <c r="L15" i="78"/>
  <c r="B16" i="78"/>
  <c r="C16" i="78"/>
  <c r="D16" i="78"/>
  <c r="F16" i="78"/>
  <c r="G16" i="78"/>
  <c r="I16" i="78"/>
  <c r="K16" i="78"/>
  <c r="B17" i="78"/>
  <c r="C17" i="78"/>
  <c r="D17" i="78"/>
  <c r="F17" i="78"/>
  <c r="G17" i="78"/>
  <c r="H17" i="78"/>
  <c r="I17" i="78"/>
  <c r="J17" i="78"/>
  <c r="K17" i="78"/>
  <c r="L17" i="78"/>
  <c r="B20" i="78"/>
  <c r="C20" i="78"/>
  <c r="D20" i="78"/>
  <c r="F20" i="78"/>
  <c r="G20" i="78"/>
  <c r="I20" i="78"/>
  <c r="K20" i="78"/>
  <c r="B21" i="78"/>
  <c r="C21" i="78"/>
  <c r="D21" i="78"/>
  <c r="F21" i="78"/>
  <c r="G21" i="78"/>
  <c r="I21" i="78"/>
  <c r="B22" i="78"/>
  <c r="C22" i="78"/>
  <c r="D22" i="78"/>
  <c r="F22" i="78"/>
  <c r="G22" i="78"/>
  <c r="I22" i="78"/>
  <c r="K22" i="78"/>
  <c r="B23" i="78"/>
  <c r="C23" i="78"/>
  <c r="D23" i="78"/>
  <c r="F23" i="78"/>
  <c r="G23" i="78"/>
  <c r="H23" i="78"/>
  <c r="I23" i="78"/>
  <c r="J23" i="78"/>
  <c r="K23" i="78"/>
  <c r="L23" i="78"/>
  <c r="B25" i="78"/>
  <c r="C25" i="78"/>
  <c r="D25" i="78"/>
  <c r="F25" i="78"/>
  <c r="G25" i="78"/>
  <c r="H25" i="78"/>
  <c r="I25" i="78"/>
  <c r="J25" i="78"/>
  <c r="K25" i="78"/>
  <c r="L25" i="78"/>
  <c r="B27" i="78"/>
  <c r="C27" i="78"/>
  <c r="D27" i="78"/>
  <c r="F27" i="78"/>
  <c r="G27" i="78"/>
  <c r="I27" i="78"/>
  <c r="K27" i="78"/>
  <c r="B30" i="78"/>
  <c r="C30" i="78"/>
  <c r="D30" i="78"/>
  <c r="F30" i="78"/>
  <c r="G30" i="78"/>
  <c r="H30" i="78"/>
  <c r="I30" i="78"/>
  <c r="J30" i="78"/>
  <c r="K30" i="78"/>
  <c r="L30" i="78"/>
  <c r="B33" i="78"/>
  <c r="C33" i="78"/>
  <c r="D33" i="78"/>
  <c r="F33" i="78"/>
  <c r="G33" i="78"/>
  <c r="I33" i="78"/>
  <c r="K33" i="78"/>
  <c r="B34" i="78"/>
  <c r="C34" i="78"/>
  <c r="D34" i="78"/>
  <c r="F34" i="78"/>
  <c r="G34" i="78"/>
  <c r="I34" i="78"/>
  <c r="K34" i="78"/>
  <c r="B35" i="78"/>
  <c r="C35" i="78"/>
  <c r="D35" i="78"/>
  <c r="F35" i="78"/>
  <c r="G35" i="78"/>
  <c r="I35" i="78"/>
  <c r="K35" i="78"/>
  <c r="B36" i="78"/>
  <c r="C36" i="78"/>
  <c r="D36" i="78"/>
  <c r="F36" i="78"/>
  <c r="G36" i="78"/>
  <c r="I36" i="78"/>
  <c r="K36" i="78"/>
  <c r="B37" i="78"/>
  <c r="C37" i="78"/>
  <c r="D37" i="78"/>
  <c r="F37" i="78"/>
  <c r="G37" i="78"/>
  <c r="H37" i="78"/>
  <c r="I37" i="78"/>
  <c r="J37" i="78"/>
  <c r="K37" i="78"/>
  <c r="L37" i="78"/>
  <c r="B39" i="78"/>
  <c r="C39" i="78"/>
  <c r="D39" i="78"/>
  <c r="F39" i="78"/>
  <c r="G39" i="78"/>
  <c r="H39" i="78"/>
  <c r="I39" i="78"/>
  <c r="J39" i="78"/>
  <c r="K39" i="78"/>
  <c r="L39" i="78"/>
  <c r="B41" i="78"/>
  <c r="D41" i="78"/>
  <c r="F41" i="78"/>
  <c r="K41" i="78"/>
  <c r="B43" i="78"/>
  <c r="C43" i="78"/>
  <c r="D43" i="78"/>
  <c r="F43" i="78"/>
  <c r="G43" i="78"/>
  <c r="H43" i="78"/>
  <c r="I43" i="78"/>
  <c r="J43" i="78"/>
  <c r="K43" i="78"/>
  <c r="L43" i="78"/>
  <c r="B9" i="81"/>
  <c r="C9" i="81"/>
  <c r="D9" i="81"/>
  <c r="F9" i="81"/>
  <c r="H9" i="81"/>
  <c r="J9" i="81"/>
  <c r="K9" i="81"/>
  <c r="L9" i="81"/>
  <c r="M9" i="81"/>
  <c r="N9" i="81"/>
  <c r="O9" i="81"/>
  <c r="P9" i="81"/>
  <c r="Q9" i="81"/>
  <c r="B10" i="81"/>
  <c r="C10" i="81"/>
  <c r="D10" i="81"/>
  <c r="F10" i="81"/>
  <c r="H10" i="81"/>
  <c r="J10" i="81"/>
  <c r="K10" i="81"/>
  <c r="L10" i="81"/>
  <c r="M10" i="81"/>
  <c r="N10" i="81"/>
  <c r="O10" i="81"/>
  <c r="P10" i="81"/>
  <c r="Q10" i="81"/>
  <c r="B11" i="81"/>
  <c r="C11" i="81"/>
  <c r="D11" i="81"/>
  <c r="F11" i="81"/>
  <c r="H11" i="81"/>
  <c r="J11" i="81"/>
  <c r="K11" i="81"/>
  <c r="L11" i="81"/>
  <c r="M11" i="81"/>
  <c r="N11" i="81"/>
  <c r="O11" i="81"/>
  <c r="P11" i="81"/>
  <c r="Q11" i="81"/>
  <c r="B12" i="81"/>
  <c r="C12" i="81"/>
  <c r="D12" i="81"/>
  <c r="F12" i="81"/>
  <c r="H12" i="81"/>
  <c r="J12" i="81"/>
  <c r="K12" i="81"/>
  <c r="L12" i="81"/>
  <c r="M12" i="81"/>
  <c r="N12" i="81"/>
  <c r="O12" i="81"/>
  <c r="P12" i="81"/>
  <c r="Q12" i="81"/>
  <c r="B13" i="81"/>
  <c r="C13" i="81"/>
  <c r="D13" i="81"/>
  <c r="F13" i="81"/>
  <c r="H13" i="81"/>
  <c r="J13" i="81"/>
  <c r="K13" i="81"/>
  <c r="L13" i="81"/>
  <c r="M13" i="81"/>
  <c r="N13" i="81"/>
  <c r="O13" i="81"/>
  <c r="P13" i="81"/>
  <c r="Q13" i="81"/>
  <c r="B14" i="81"/>
  <c r="C14" i="81"/>
  <c r="D14" i="81"/>
  <c r="F14" i="81"/>
  <c r="H14" i="81"/>
  <c r="J14" i="81"/>
  <c r="K14" i="81"/>
  <c r="L14" i="81"/>
  <c r="M14" i="81"/>
  <c r="N14" i="81"/>
  <c r="O14" i="81"/>
  <c r="P14" i="81"/>
  <c r="Q14" i="81"/>
  <c r="B16" i="81"/>
  <c r="C16" i="81"/>
  <c r="D16" i="81"/>
  <c r="F16" i="81"/>
  <c r="H16" i="81"/>
  <c r="J16" i="81"/>
  <c r="K16" i="81"/>
  <c r="L16" i="81"/>
  <c r="M16" i="81"/>
  <c r="N16" i="81"/>
  <c r="O16" i="81"/>
  <c r="P16" i="81"/>
  <c r="Q16" i="81"/>
  <c r="B17" i="81"/>
  <c r="C17" i="81"/>
  <c r="D17" i="81"/>
  <c r="F17" i="81"/>
  <c r="H17" i="81"/>
  <c r="J17" i="81"/>
  <c r="K17" i="81"/>
  <c r="L17" i="81"/>
  <c r="M17" i="81"/>
  <c r="N17" i="81"/>
  <c r="O17" i="81"/>
  <c r="P17" i="81"/>
  <c r="Q17" i="81"/>
  <c r="B18" i="81"/>
  <c r="C18" i="81"/>
  <c r="D18" i="81"/>
  <c r="F18" i="81"/>
  <c r="H18" i="81"/>
  <c r="J18" i="81"/>
  <c r="K18" i="81"/>
  <c r="L18" i="81"/>
  <c r="M18" i="81"/>
  <c r="N18" i="81"/>
  <c r="O18" i="81"/>
  <c r="P18" i="81"/>
  <c r="Q18" i="81"/>
  <c r="B19" i="81"/>
  <c r="C19" i="81"/>
  <c r="D19" i="81"/>
  <c r="F19" i="81"/>
  <c r="H19" i="81"/>
  <c r="J19" i="81"/>
  <c r="K19" i="81"/>
  <c r="L19" i="81"/>
  <c r="M19" i="81"/>
  <c r="N19" i="81"/>
  <c r="O19" i="81"/>
  <c r="P19" i="81"/>
  <c r="Q19" i="81"/>
  <c r="B20" i="81"/>
  <c r="C20" i="81"/>
  <c r="D20" i="81"/>
  <c r="F20" i="81"/>
  <c r="H20" i="81"/>
  <c r="J20" i="81"/>
  <c r="K20" i="81"/>
  <c r="L20" i="81"/>
  <c r="M20" i="81"/>
  <c r="N20" i="81"/>
  <c r="O20" i="81"/>
  <c r="P20" i="81"/>
  <c r="Q20" i="81"/>
  <c r="B21" i="81"/>
  <c r="C21" i="81"/>
  <c r="D21" i="81"/>
  <c r="F21" i="81"/>
  <c r="H21" i="81"/>
  <c r="J21" i="81"/>
  <c r="K21" i="81"/>
  <c r="L21" i="81"/>
  <c r="M21" i="81"/>
  <c r="N21" i="81"/>
  <c r="O21" i="81"/>
  <c r="P21" i="81"/>
  <c r="Q21" i="81"/>
  <c r="B26" i="81"/>
  <c r="C26" i="81"/>
  <c r="D26" i="81"/>
  <c r="F26" i="81"/>
  <c r="H26" i="81"/>
  <c r="J26" i="81"/>
  <c r="K26" i="81"/>
  <c r="L26" i="81"/>
  <c r="M26" i="81"/>
  <c r="N26" i="81"/>
  <c r="O26" i="81"/>
  <c r="P26" i="81"/>
  <c r="Q26" i="81"/>
  <c r="B27" i="81"/>
  <c r="C27" i="81"/>
  <c r="D27" i="81"/>
  <c r="F27" i="81"/>
  <c r="H27" i="81"/>
  <c r="J27" i="81"/>
  <c r="K27" i="81"/>
  <c r="L27" i="81"/>
  <c r="M27" i="81"/>
  <c r="N27" i="81"/>
  <c r="O27" i="81"/>
  <c r="P27" i="81"/>
  <c r="Q27" i="81"/>
  <c r="B28" i="81"/>
  <c r="C28" i="81"/>
  <c r="D28" i="81"/>
  <c r="F28" i="81"/>
  <c r="H28" i="81"/>
  <c r="J28" i="81"/>
  <c r="K28" i="81"/>
  <c r="L28" i="81"/>
  <c r="M28" i="81"/>
  <c r="N28" i="81"/>
  <c r="O28" i="81"/>
  <c r="P28" i="81"/>
  <c r="Q28" i="81"/>
  <c r="B29" i="81"/>
  <c r="C29" i="81"/>
  <c r="D29" i="81"/>
  <c r="F29" i="81"/>
  <c r="H29" i="81"/>
  <c r="J29" i="81"/>
  <c r="K29" i="81"/>
  <c r="L29" i="81"/>
  <c r="M29" i="81"/>
  <c r="N29" i="81"/>
  <c r="O29" i="81"/>
  <c r="P29" i="81"/>
  <c r="Q29" i="81"/>
  <c r="B32" i="81"/>
  <c r="C32" i="81"/>
  <c r="D32" i="81"/>
  <c r="F32" i="81"/>
  <c r="H32" i="81"/>
  <c r="J32" i="81"/>
  <c r="K32" i="81"/>
  <c r="L32" i="81"/>
  <c r="M32" i="81"/>
  <c r="N32" i="81"/>
  <c r="O32" i="81"/>
  <c r="P32" i="81"/>
  <c r="Q32" i="81"/>
  <c r="B33" i="81"/>
  <c r="C33" i="81"/>
  <c r="D33" i="81"/>
  <c r="F33" i="81"/>
  <c r="H33" i="81"/>
  <c r="J33" i="81"/>
  <c r="K33" i="81"/>
  <c r="L33" i="81"/>
  <c r="M33" i="81"/>
  <c r="N33" i="81"/>
  <c r="O33" i="81"/>
  <c r="P33" i="81"/>
  <c r="Q33" i="81"/>
  <c r="B34" i="81"/>
  <c r="C34" i="81"/>
  <c r="D34" i="81"/>
  <c r="F34" i="81"/>
  <c r="H34" i="81"/>
  <c r="J34" i="81"/>
  <c r="K34" i="81"/>
  <c r="L34" i="81"/>
  <c r="M34" i="81"/>
  <c r="N34" i="81"/>
  <c r="O34" i="81"/>
  <c r="P34" i="81"/>
  <c r="Q34" i="81"/>
  <c r="B35" i="81"/>
  <c r="C35" i="81"/>
  <c r="D35" i="81"/>
  <c r="F35" i="81"/>
  <c r="H35" i="81"/>
  <c r="J35" i="81"/>
  <c r="K35" i="81"/>
  <c r="L35" i="81"/>
  <c r="M35" i="81"/>
  <c r="N35" i="81"/>
  <c r="O35" i="81"/>
  <c r="P35" i="81"/>
  <c r="Q35" i="81"/>
  <c r="B38" i="81"/>
  <c r="C38" i="81"/>
  <c r="D38" i="81"/>
  <c r="F38" i="81"/>
  <c r="H38" i="81"/>
  <c r="J38" i="81"/>
  <c r="K38" i="81"/>
  <c r="L38" i="81"/>
  <c r="M38" i="81"/>
  <c r="N38" i="81"/>
  <c r="O38" i="81"/>
  <c r="P38" i="81"/>
  <c r="Q38" i="81"/>
  <c r="B39" i="81"/>
  <c r="C39" i="81"/>
  <c r="D39" i="81"/>
  <c r="F39" i="81"/>
  <c r="H39" i="81"/>
  <c r="J39" i="81"/>
  <c r="K39" i="81"/>
  <c r="L39" i="81"/>
  <c r="M39" i="81"/>
  <c r="N39" i="81"/>
  <c r="O39" i="81"/>
  <c r="P39" i="81"/>
  <c r="Q39" i="81"/>
  <c r="B40" i="81"/>
  <c r="C40" i="81"/>
  <c r="D40" i="81"/>
  <c r="F40" i="81"/>
  <c r="H40" i="81"/>
  <c r="J40" i="81"/>
  <c r="K40" i="81"/>
  <c r="L40" i="81"/>
  <c r="M40" i="81"/>
  <c r="N40" i="81"/>
  <c r="O40" i="81"/>
  <c r="P40" i="81"/>
  <c r="Q40" i="81"/>
  <c r="B41" i="81"/>
  <c r="C41" i="81"/>
  <c r="D41" i="81"/>
  <c r="F41" i="81"/>
  <c r="H41" i="81"/>
  <c r="J41" i="81"/>
  <c r="K41" i="81"/>
  <c r="L41" i="81"/>
  <c r="M41" i="81"/>
  <c r="N41" i="81"/>
  <c r="O41" i="81"/>
  <c r="P41" i="81"/>
  <c r="Q41" i="81"/>
  <c r="B43" i="81"/>
  <c r="C43" i="81"/>
  <c r="D43" i="81"/>
  <c r="F43" i="81"/>
  <c r="H43" i="81"/>
  <c r="J43" i="81"/>
  <c r="K43" i="81"/>
  <c r="L43" i="81"/>
  <c r="M43" i="81"/>
  <c r="N43" i="81"/>
  <c r="O43" i="81"/>
  <c r="P43" i="81"/>
  <c r="Q43" i="81"/>
  <c r="B44" i="81"/>
  <c r="C44" i="81"/>
  <c r="D44" i="81"/>
  <c r="F44" i="81"/>
  <c r="H44" i="81"/>
  <c r="J44" i="81"/>
  <c r="K44" i="81"/>
  <c r="L44" i="81"/>
  <c r="M44" i="81"/>
  <c r="N44" i="81"/>
  <c r="O44" i="81"/>
  <c r="P44" i="81"/>
  <c r="Q44" i="81"/>
  <c r="B47" i="81"/>
  <c r="C47" i="81"/>
  <c r="D47" i="81"/>
  <c r="F47" i="81"/>
  <c r="H47" i="81"/>
  <c r="J47" i="81"/>
  <c r="K47" i="81"/>
  <c r="L47" i="81"/>
  <c r="M47" i="81"/>
  <c r="N47" i="81"/>
  <c r="O47" i="81"/>
  <c r="P47" i="81"/>
  <c r="Q47" i="81"/>
  <c r="B48" i="81"/>
  <c r="C48" i="81"/>
  <c r="D48" i="81"/>
  <c r="F48" i="81"/>
  <c r="H48" i="81"/>
  <c r="J48" i="81"/>
  <c r="K48" i="81"/>
  <c r="L48" i="81"/>
  <c r="M48" i="81"/>
  <c r="N48" i="81"/>
  <c r="O48" i="81"/>
  <c r="P48" i="81"/>
  <c r="Q48" i="81"/>
  <c r="B49" i="81"/>
  <c r="C49" i="81"/>
  <c r="D49" i="81"/>
  <c r="F49" i="81"/>
  <c r="H49" i="81"/>
  <c r="J49" i="81"/>
  <c r="K49" i="81"/>
  <c r="L49" i="81"/>
  <c r="M49" i="81"/>
  <c r="B50" i="81"/>
  <c r="C50" i="81"/>
  <c r="D50" i="81"/>
  <c r="F50" i="81"/>
  <c r="H50" i="81"/>
  <c r="J50" i="81"/>
  <c r="K50" i="81"/>
  <c r="L50" i="81"/>
  <c r="M50" i="81"/>
  <c r="N50" i="81"/>
  <c r="O50" i="81"/>
  <c r="P50" i="81"/>
  <c r="Q50" i="81"/>
  <c r="B51" i="81"/>
  <c r="C51" i="81"/>
  <c r="D51" i="81"/>
  <c r="F51" i="81"/>
  <c r="H51" i="81"/>
  <c r="J51" i="81"/>
  <c r="K51" i="81"/>
  <c r="L51" i="81"/>
  <c r="M51" i="81"/>
  <c r="N51" i="81"/>
  <c r="O51" i="81"/>
  <c r="P51" i="81"/>
  <c r="Q51" i="81"/>
  <c r="B52" i="81"/>
  <c r="C52" i="81"/>
  <c r="D52" i="81"/>
  <c r="F52" i="81"/>
  <c r="H52" i="81"/>
  <c r="J52" i="81"/>
  <c r="K52" i="81"/>
  <c r="L52" i="81"/>
  <c r="M52" i="81"/>
  <c r="N52" i="81"/>
  <c r="O52" i="81"/>
  <c r="P52" i="81"/>
  <c r="Q52" i="81"/>
  <c r="B56" i="81"/>
  <c r="D56" i="81"/>
  <c r="F56" i="81"/>
  <c r="H56" i="81"/>
  <c r="J56" i="81"/>
  <c r="L56" i="81"/>
  <c r="N56" i="81"/>
  <c r="P56" i="81"/>
  <c r="B57" i="81"/>
  <c r="D57" i="81"/>
  <c r="F57" i="81"/>
  <c r="H57" i="81"/>
  <c r="J57" i="81"/>
  <c r="L57" i="81"/>
  <c r="N57" i="81"/>
  <c r="P57" i="81"/>
  <c r="B58" i="81"/>
  <c r="D58" i="81"/>
  <c r="F58" i="81"/>
  <c r="H58" i="81"/>
  <c r="J58" i="81"/>
  <c r="L58" i="81"/>
  <c r="N58" i="81"/>
  <c r="P58" i="81"/>
  <c r="B60" i="81"/>
  <c r="D60" i="81"/>
  <c r="F60" i="81"/>
  <c r="H60" i="81"/>
  <c r="J60" i="81"/>
  <c r="L60" i="81"/>
  <c r="N60" i="81"/>
  <c r="P60" i="81"/>
  <c r="B61" i="81"/>
  <c r="D61" i="81"/>
  <c r="F61" i="81"/>
  <c r="H61" i="81"/>
  <c r="J61" i="81"/>
  <c r="L61" i="81"/>
  <c r="N61" i="81"/>
  <c r="P61" i="81"/>
  <c r="B62" i="81"/>
  <c r="D62" i="81"/>
  <c r="F62" i="81"/>
  <c r="H62" i="81"/>
  <c r="J62" i="81"/>
  <c r="L62" i="81"/>
  <c r="N62" i="81"/>
  <c r="P62" i="81"/>
  <c r="D10" i="82"/>
  <c r="E10" i="82"/>
  <c r="J10" i="82"/>
  <c r="K10" i="82"/>
  <c r="D11" i="82"/>
  <c r="E11" i="82"/>
  <c r="J11" i="82"/>
  <c r="K11" i="82"/>
  <c r="D12" i="82"/>
  <c r="E12" i="82"/>
  <c r="J12" i="82"/>
  <c r="K12" i="82"/>
  <c r="D13" i="82"/>
  <c r="J13" i="82"/>
  <c r="D14" i="82"/>
  <c r="E14" i="82"/>
  <c r="H14" i="82"/>
  <c r="J14" i="82"/>
  <c r="K14" i="82"/>
  <c r="B15" i="82"/>
  <c r="C15" i="82"/>
  <c r="D15" i="82"/>
  <c r="E15" i="82"/>
  <c r="H15" i="82"/>
  <c r="I15" i="82"/>
  <c r="J15" i="82"/>
  <c r="K15" i="82"/>
  <c r="D17" i="82"/>
  <c r="J17" i="82"/>
  <c r="D18" i="82"/>
  <c r="E18" i="82"/>
  <c r="H18" i="82"/>
  <c r="I18" i="82"/>
  <c r="J18" i="82"/>
  <c r="K18" i="82"/>
  <c r="D19" i="82"/>
  <c r="E19" i="82"/>
  <c r="J19" i="82"/>
  <c r="K19" i="82"/>
  <c r="D20" i="82"/>
  <c r="J20" i="82"/>
  <c r="D21" i="82"/>
  <c r="E21" i="82"/>
  <c r="J21" i="82"/>
  <c r="K21" i="82"/>
  <c r="B22" i="82"/>
  <c r="C22" i="82"/>
  <c r="D22" i="82"/>
  <c r="E22" i="82"/>
  <c r="H22" i="82"/>
  <c r="I22" i="82"/>
  <c r="J22" i="82"/>
  <c r="K22" i="82"/>
  <c r="D26" i="82"/>
  <c r="E26" i="82"/>
  <c r="J26" i="82"/>
  <c r="K26" i="82"/>
  <c r="D27" i="82"/>
  <c r="E27" i="82"/>
  <c r="J27" i="82"/>
  <c r="K27" i="82"/>
  <c r="D28" i="82"/>
  <c r="E28" i="82"/>
  <c r="J28" i="82"/>
  <c r="K28" i="82"/>
  <c r="B29" i="82"/>
  <c r="C29" i="82"/>
  <c r="D29" i="82"/>
  <c r="E29" i="82"/>
  <c r="H29" i="82"/>
  <c r="I29" i="82"/>
  <c r="J29" i="82"/>
  <c r="K29" i="82"/>
  <c r="B32" i="82"/>
  <c r="D32" i="82"/>
  <c r="H32" i="82"/>
  <c r="J32" i="82"/>
  <c r="B33" i="82"/>
  <c r="D33" i="82"/>
  <c r="H33" i="82"/>
  <c r="J33" i="82"/>
  <c r="D34" i="82"/>
  <c r="E34" i="82"/>
  <c r="J34" i="82"/>
  <c r="K34" i="82"/>
  <c r="B35" i="82"/>
  <c r="C35" i="82"/>
  <c r="D35" i="82"/>
  <c r="E35" i="82"/>
  <c r="H35" i="82"/>
  <c r="I35" i="82"/>
  <c r="J35" i="82"/>
  <c r="K35" i="82"/>
  <c r="D38" i="82"/>
  <c r="H38" i="82"/>
  <c r="J38" i="82"/>
  <c r="D39" i="82"/>
  <c r="J39" i="82"/>
  <c r="D40" i="82"/>
  <c r="E40" i="82"/>
  <c r="H40" i="82"/>
  <c r="I40" i="82"/>
  <c r="J40" i="82"/>
  <c r="K40" i="82"/>
  <c r="B41" i="82"/>
  <c r="C41" i="82"/>
  <c r="D41" i="82"/>
  <c r="E41" i="82"/>
  <c r="H41" i="82"/>
  <c r="I41" i="82"/>
  <c r="J41" i="82"/>
  <c r="K41" i="82"/>
  <c r="D43" i="82"/>
  <c r="J43" i="82"/>
  <c r="B44" i="82"/>
  <c r="C44" i="82"/>
  <c r="D44" i="82"/>
  <c r="E44" i="82"/>
  <c r="H44" i="82"/>
  <c r="I44" i="82"/>
  <c r="J44" i="82"/>
  <c r="K44" i="82"/>
  <c r="D47" i="82"/>
  <c r="E47" i="82"/>
  <c r="J47" i="82"/>
  <c r="D48" i="82"/>
  <c r="J48" i="82"/>
  <c r="D49" i="82"/>
  <c r="J49" i="82"/>
  <c r="D50" i="82"/>
  <c r="J50" i="82"/>
  <c r="B51" i="82"/>
  <c r="C51" i="82"/>
  <c r="D51" i="82"/>
  <c r="H51" i="82"/>
  <c r="I51" i="82"/>
  <c r="J51" i="82"/>
  <c r="B53" i="82"/>
  <c r="C53" i="82"/>
  <c r="D53" i="82"/>
  <c r="E53" i="82"/>
  <c r="H53" i="82"/>
  <c r="I53" i="82"/>
  <c r="J53" i="82"/>
  <c r="K53" i="82"/>
  <c r="B61" i="82"/>
  <c r="D61" i="82"/>
  <c r="H61" i="82"/>
  <c r="J61" i="82"/>
  <c r="B62" i="82"/>
  <c r="D62" i="82"/>
  <c r="H62" i="82"/>
  <c r="J62" i="82"/>
  <c r="B63" i="82"/>
  <c r="D63" i="82"/>
  <c r="H63" i="82"/>
  <c r="J63" i="82"/>
  <c r="B65" i="82"/>
  <c r="J65" i="82"/>
  <c r="B66" i="82"/>
  <c r="J66" i="82"/>
  <c r="B67" i="82"/>
  <c r="J67" i="82"/>
  <c r="B11" i="79"/>
  <c r="D11" i="79"/>
  <c r="F11" i="79"/>
  <c r="H11" i="79"/>
  <c r="I11" i="79"/>
  <c r="J11" i="79"/>
  <c r="K11" i="79"/>
  <c r="L11" i="79"/>
  <c r="M11" i="79"/>
  <c r="N11" i="79"/>
  <c r="O11" i="79"/>
  <c r="P11" i="79"/>
  <c r="B12" i="79"/>
  <c r="D12" i="79"/>
  <c r="F12" i="79"/>
  <c r="H12" i="79"/>
  <c r="I12" i="79"/>
  <c r="J12" i="79"/>
  <c r="K12" i="79"/>
  <c r="L12" i="79"/>
  <c r="N12" i="79"/>
  <c r="P12" i="79"/>
  <c r="B13" i="79"/>
  <c r="D13" i="79"/>
  <c r="F13" i="79"/>
  <c r="H13" i="79"/>
  <c r="I13" i="79"/>
  <c r="J13" i="79"/>
  <c r="K13" i="79"/>
  <c r="L13" i="79"/>
  <c r="M13" i="79"/>
  <c r="N13" i="79"/>
  <c r="O13" i="79"/>
  <c r="P13" i="79"/>
  <c r="B14" i="79"/>
  <c r="D14" i="79"/>
  <c r="F14" i="79"/>
  <c r="H14" i="79"/>
  <c r="I14" i="79"/>
  <c r="J14" i="79"/>
  <c r="K14" i="79"/>
  <c r="L14" i="79"/>
  <c r="M14" i="79"/>
  <c r="N14" i="79"/>
  <c r="O14" i="79"/>
  <c r="P14" i="79"/>
  <c r="B15" i="79"/>
  <c r="D15" i="79"/>
  <c r="F15" i="79"/>
  <c r="H15" i="79"/>
  <c r="I15" i="79"/>
  <c r="J15" i="79"/>
  <c r="K15" i="79"/>
  <c r="L15" i="79"/>
  <c r="M15" i="79"/>
  <c r="N15" i="79"/>
  <c r="O15" i="79"/>
  <c r="P15" i="79"/>
  <c r="B23" i="79"/>
  <c r="C23" i="79"/>
  <c r="D23" i="79"/>
  <c r="F23" i="79"/>
  <c r="H23" i="79"/>
  <c r="J23" i="79"/>
  <c r="L23" i="79"/>
  <c r="N23" i="79"/>
  <c r="P23" i="79"/>
  <c r="R23" i="79"/>
  <c r="S23" i="79"/>
  <c r="T23" i="79"/>
  <c r="B24" i="79"/>
  <c r="C24" i="79"/>
  <c r="D24" i="79"/>
  <c r="F24" i="79"/>
  <c r="H24" i="79"/>
  <c r="J24" i="79"/>
  <c r="L24" i="79"/>
  <c r="N24" i="79"/>
  <c r="P24" i="79"/>
  <c r="R24" i="79"/>
  <c r="S24" i="79"/>
  <c r="T24" i="79"/>
  <c r="B25" i="79"/>
  <c r="C25" i="79"/>
  <c r="D25" i="79"/>
  <c r="F25" i="79"/>
  <c r="H25" i="79"/>
  <c r="J25" i="79"/>
  <c r="L25" i="79"/>
  <c r="N25" i="79"/>
  <c r="P25" i="79"/>
  <c r="R25" i="79"/>
  <c r="S25" i="79"/>
  <c r="T25" i="79"/>
  <c r="B26" i="79"/>
  <c r="C26" i="79"/>
  <c r="D26" i="79"/>
  <c r="F26" i="79"/>
  <c r="H26" i="79"/>
  <c r="J26" i="79"/>
  <c r="L26" i="79"/>
  <c r="N26" i="79"/>
  <c r="P26" i="79"/>
  <c r="R26" i="79"/>
  <c r="S26" i="79"/>
  <c r="T26" i="79"/>
  <c r="B27" i="79"/>
  <c r="C27" i="79"/>
  <c r="D27" i="79"/>
  <c r="F27" i="79"/>
  <c r="H27" i="79"/>
  <c r="J27" i="79"/>
  <c r="L27" i="79"/>
  <c r="N27" i="79"/>
  <c r="P27" i="79"/>
  <c r="R27" i="79"/>
  <c r="S27" i="79"/>
  <c r="T27" i="79"/>
  <c r="B41" i="79"/>
  <c r="N41" i="79"/>
  <c r="O41" i="79"/>
  <c r="Q41" i="79"/>
  <c r="B43" i="79"/>
  <c r="N43" i="79"/>
  <c r="O43" i="79"/>
  <c r="Q43" i="79"/>
  <c r="B48" i="79"/>
  <c r="N48" i="79"/>
  <c r="O48" i="79"/>
  <c r="Q48" i="79"/>
  <c r="B51" i="79"/>
  <c r="N51" i="79"/>
  <c r="O51" i="79"/>
  <c r="Q51" i="79"/>
  <c r="B54" i="79"/>
  <c r="N54" i="79"/>
  <c r="O54" i="79"/>
  <c r="Q54" i="79"/>
  <c r="B58" i="79"/>
  <c r="N58" i="79"/>
  <c r="O58" i="79"/>
  <c r="Q58" i="79"/>
  <c r="B60" i="79"/>
  <c r="N60" i="79"/>
  <c r="O60" i="79"/>
  <c r="Q60" i="79"/>
  <c r="B63" i="79"/>
  <c r="N63" i="79"/>
  <c r="O63" i="79"/>
  <c r="Q63" i="79"/>
  <c r="B65" i="79"/>
  <c r="N65" i="79"/>
  <c r="O65" i="79"/>
  <c r="Q65" i="79"/>
  <c r="B67" i="79"/>
  <c r="N67" i="79"/>
  <c r="O67" i="79"/>
  <c r="Q67" i="79"/>
  <c r="B70" i="79"/>
  <c r="N70" i="79"/>
  <c r="O70" i="79"/>
  <c r="Q70" i="79"/>
  <c r="B73" i="79"/>
  <c r="N73" i="79"/>
  <c r="O73" i="79"/>
  <c r="B10" i="83"/>
  <c r="D10" i="83"/>
  <c r="F10" i="83"/>
  <c r="H10" i="83"/>
  <c r="J10" i="83"/>
  <c r="K10" i="83"/>
  <c r="L10" i="83"/>
  <c r="M10" i="83"/>
  <c r="N10" i="83"/>
  <c r="O10" i="83"/>
  <c r="P10" i="83"/>
  <c r="B11" i="83"/>
  <c r="D11" i="83"/>
  <c r="F11" i="83"/>
  <c r="H11" i="83"/>
  <c r="J11" i="83"/>
  <c r="L11" i="83"/>
  <c r="M11" i="83"/>
  <c r="N11" i="83"/>
  <c r="O11" i="83"/>
  <c r="P11" i="83"/>
  <c r="B12" i="83"/>
  <c r="D12" i="83"/>
  <c r="F12" i="83"/>
  <c r="H12" i="83"/>
  <c r="J12" i="83"/>
  <c r="K12" i="83"/>
  <c r="L12" i="83"/>
  <c r="M12" i="83"/>
  <c r="N12" i="83"/>
  <c r="O12" i="83"/>
  <c r="P12" i="83"/>
  <c r="B13" i="83"/>
  <c r="D13" i="83"/>
  <c r="F13" i="83"/>
  <c r="H13" i="83"/>
  <c r="J13" i="83"/>
  <c r="K13" i="83"/>
  <c r="L13" i="83"/>
  <c r="M13" i="83"/>
  <c r="N13" i="83"/>
  <c r="O13" i="83"/>
  <c r="P13" i="83"/>
  <c r="B14" i="83"/>
  <c r="D14" i="83"/>
  <c r="F14" i="83"/>
  <c r="H14" i="83"/>
  <c r="J14" i="83"/>
  <c r="K14" i="83"/>
  <c r="L14" i="83"/>
  <c r="M14" i="83"/>
  <c r="N14" i="83"/>
  <c r="O14" i="83"/>
  <c r="P14" i="83"/>
  <c r="B15" i="83"/>
  <c r="D15" i="83"/>
  <c r="F15" i="83"/>
  <c r="H15" i="83"/>
  <c r="J15" i="83"/>
  <c r="K15" i="83"/>
  <c r="L15" i="83"/>
  <c r="M15" i="83"/>
  <c r="N15" i="83"/>
  <c r="O15" i="83"/>
  <c r="P15" i="83"/>
  <c r="B18" i="83"/>
  <c r="D18" i="83"/>
  <c r="F18" i="83"/>
  <c r="H18" i="83"/>
  <c r="J18" i="83"/>
  <c r="K18" i="83"/>
  <c r="L18" i="83"/>
  <c r="M18" i="83"/>
  <c r="N18" i="83"/>
  <c r="O18" i="83"/>
  <c r="P18" i="83"/>
  <c r="B19" i="83"/>
  <c r="D19" i="83"/>
  <c r="F19" i="83"/>
  <c r="H19" i="83"/>
  <c r="J19" i="83"/>
  <c r="L19" i="83"/>
  <c r="M19" i="83"/>
  <c r="N19" i="83"/>
  <c r="O19" i="83"/>
  <c r="P19" i="83"/>
  <c r="B20" i="83"/>
  <c r="D20" i="83"/>
  <c r="F20" i="83"/>
  <c r="H20" i="83"/>
  <c r="J20" i="83"/>
  <c r="K20" i="83"/>
  <c r="L20" i="83"/>
  <c r="M20" i="83"/>
  <c r="N20" i="83"/>
  <c r="O20" i="83"/>
  <c r="P20" i="83"/>
  <c r="B21" i="83"/>
  <c r="D21" i="83"/>
  <c r="F21" i="83"/>
  <c r="H21" i="83"/>
  <c r="J21" i="83"/>
  <c r="K21" i="83"/>
  <c r="L21" i="83"/>
  <c r="M21" i="83"/>
  <c r="N21" i="83"/>
  <c r="O21" i="83"/>
  <c r="P21" i="83"/>
  <c r="B23" i="83"/>
  <c r="D23" i="83"/>
  <c r="F23" i="83"/>
  <c r="H23" i="83"/>
  <c r="J23" i="83"/>
  <c r="K23" i="83"/>
  <c r="L23" i="83"/>
  <c r="M23" i="83"/>
  <c r="N23" i="83"/>
  <c r="O23" i="83"/>
  <c r="P23" i="83"/>
  <c r="B25" i="83"/>
  <c r="D25" i="83"/>
  <c r="F25" i="83"/>
  <c r="H25" i="83"/>
  <c r="J25" i="83"/>
  <c r="K25" i="83"/>
  <c r="L25" i="83"/>
  <c r="M25" i="83"/>
  <c r="N25" i="83"/>
  <c r="O25" i="83"/>
  <c r="P25" i="83"/>
  <c r="B28" i="83"/>
  <c r="D28" i="83"/>
  <c r="F28" i="83"/>
  <c r="H28" i="83"/>
  <c r="J28" i="83"/>
  <c r="K28" i="83"/>
  <c r="L28" i="83"/>
  <c r="M28" i="83"/>
  <c r="N28" i="83"/>
  <c r="O28" i="83"/>
  <c r="P28" i="83"/>
  <c r="B31" i="83"/>
  <c r="D31" i="83"/>
  <c r="F31" i="83"/>
  <c r="H31" i="83"/>
  <c r="J31" i="83"/>
  <c r="K31" i="83"/>
  <c r="L31" i="83"/>
  <c r="M31" i="83"/>
  <c r="N31" i="83"/>
  <c r="O31" i="83"/>
  <c r="P31" i="83"/>
  <c r="B32" i="83"/>
  <c r="D32" i="83"/>
  <c r="F32" i="83"/>
  <c r="H32" i="83"/>
  <c r="J32" i="83"/>
  <c r="K32" i="83"/>
  <c r="L32" i="83"/>
  <c r="M32" i="83"/>
  <c r="N32" i="83"/>
  <c r="O32" i="83"/>
  <c r="P32" i="83"/>
  <c r="B33" i="83"/>
  <c r="D33" i="83"/>
  <c r="F33" i="83"/>
  <c r="H33" i="83"/>
  <c r="J33" i="83"/>
  <c r="K33" i="83"/>
  <c r="L33" i="83"/>
  <c r="M33" i="83"/>
  <c r="N33" i="83"/>
  <c r="O33" i="83"/>
  <c r="P33" i="83"/>
  <c r="B34" i="83"/>
  <c r="D34" i="83"/>
  <c r="F34" i="83"/>
  <c r="H34" i="83"/>
  <c r="J34" i="83"/>
  <c r="K34" i="83"/>
  <c r="L34" i="83"/>
  <c r="M34" i="83"/>
  <c r="N34" i="83"/>
  <c r="O34" i="83"/>
  <c r="P34" i="83"/>
  <c r="B35" i="83"/>
  <c r="D35" i="83"/>
  <c r="F35" i="83"/>
  <c r="H35" i="83"/>
  <c r="J35" i="83"/>
  <c r="K35" i="83"/>
  <c r="L35" i="83"/>
  <c r="M35" i="83"/>
  <c r="N35" i="83"/>
  <c r="O35" i="83"/>
  <c r="P35" i="83"/>
  <c r="B37" i="83"/>
  <c r="D37" i="83"/>
  <c r="F37" i="83"/>
  <c r="H37" i="83"/>
  <c r="J37" i="83"/>
  <c r="K37" i="83"/>
  <c r="L37" i="83"/>
  <c r="M37" i="83"/>
  <c r="N37" i="83"/>
  <c r="O37" i="83"/>
  <c r="P37" i="83"/>
  <c r="B39" i="83"/>
  <c r="D39" i="83"/>
  <c r="F39" i="83"/>
  <c r="H39" i="83"/>
  <c r="J39" i="83"/>
  <c r="K39" i="83"/>
  <c r="L39" i="83"/>
  <c r="M39" i="83"/>
  <c r="N39" i="83"/>
  <c r="O39" i="83"/>
  <c r="P39" i="83"/>
  <c r="B41" i="83"/>
  <c r="D41" i="83"/>
  <c r="F41" i="83"/>
  <c r="H41" i="83"/>
  <c r="J41" i="83"/>
  <c r="K41" i="83"/>
  <c r="L41" i="83"/>
  <c r="M41" i="83"/>
  <c r="N41" i="83"/>
  <c r="O41" i="83"/>
  <c r="P41" i="83"/>
  <c r="C50" i="83"/>
  <c r="D50" i="83"/>
  <c r="H50" i="83"/>
  <c r="L50" i="83"/>
  <c r="P50" i="83"/>
  <c r="R50" i="83"/>
  <c r="S50" i="83"/>
  <c r="T50" i="83"/>
  <c r="U50" i="83"/>
  <c r="C51" i="83"/>
  <c r="D51" i="83"/>
  <c r="H51" i="83"/>
  <c r="L51" i="83"/>
  <c r="P51" i="83"/>
  <c r="R51" i="83"/>
  <c r="S51" i="83"/>
  <c r="T51" i="83"/>
  <c r="U51" i="83"/>
  <c r="C52" i="83"/>
  <c r="D52" i="83"/>
  <c r="H52" i="83"/>
  <c r="L52" i="83"/>
  <c r="P52" i="83"/>
  <c r="R52" i="83"/>
  <c r="S52" i="83"/>
  <c r="T52" i="83"/>
  <c r="U52" i="83"/>
  <c r="B53" i="83"/>
  <c r="C53" i="83"/>
  <c r="D53" i="83"/>
  <c r="F53" i="83"/>
  <c r="H53" i="83"/>
  <c r="J53" i="83"/>
  <c r="L53" i="83"/>
  <c r="N53" i="83"/>
  <c r="P53" i="83"/>
  <c r="R53" i="83"/>
  <c r="S53" i="83"/>
  <c r="T53" i="83"/>
  <c r="U53" i="83"/>
  <c r="C54" i="83"/>
  <c r="D54" i="83"/>
  <c r="H54" i="83"/>
  <c r="L54" i="83"/>
  <c r="P54" i="83"/>
  <c r="R54" i="83"/>
  <c r="S54" i="83"/>
  <c r="T54" i="83"/>
  <c r="U54" i="83"/>
  <c r="B55" i="83"/>
  <c r="C55" i="83"/>
  <c r="D55" i="83"/>
  <c r="F55" i="83"/>
  <c r="H55" i="83"/>
  <c r="J55" i="83"/>
  <c r="L55" i="83"/>
  <c r="N55" i="83"/>
  <c r="P55" i="83"/>
  <c r="R55" i="83"/>
  <c r="S55" i="83"/>
  <c r="T55" i="83"/>
  <c r="U55" i="83"/>
  <c r="C58" i="83"/>
  <c r="D58" i="83"/>
  <c r="H58" i="83"/>
  <c r="L58" i="83"/>
  <c r="P58" i="83"/>
  <c r="R58" i="83"/>
  <c r="S58" i="83"/>
  <c r="T58" i="83"/>
  <c r="U58" i="83"/>
  <c r="C59" i="83"/>
  <c r="D59" i="83"/>
  <c r="H59" i="83"/>
  <c r="L59" i="83"/>
  <c r="P59" i="83"/>
  <c r="R59" i="83"/>
  <c r="S59" i="83"/>
  <c r="T59" i="83"/>
  <c r="U59" i="83"/>
  <c r="C60" i="83"/>
  <c r="D60" i="83"/>
  <c r="H60" i="83"/>
  <c r="L60" i="83"/>
  <c r="P60" i="83"/>
  <c r="R60" i="83"/>
  <c r="S60" i="83"/>
  <c r="T60" i="83"/>
  <c r="U60" i="83"/>
  <c r="B61" i="83"/>
  <c r="C61" i="83"/>
  <c r="D61" i="83"/>
  <c r="F61" i="83"/>
  <c r="H61" i="83"/>
  <c r="J61" i="83"/>
  <c r="L61" i="83"/>
  <c r="N61" i="83"/>
  <c r="P61" i="83"/>
  <c r="R61" i="83"/>
  <c r="S61" i="83"/>
  <c r="T61" i="83"/>
  <c r="U61" i="83"/>
  <c r="B63" i="83"/>
  <c r="C63" i="83"/>
  <c r="D63" i="83"/>
  <c r="F63" i="83"/>
  <c r="H63" i="83"/>
  <c r="J63" i="83"/>
  <c r="L63" i="83"/>
  <c r="N63" i="83"/>
  <c r="P63" i="83"/>
  <c r="R63" i="83"/>
  <c r="S63" i="83"/>
  <c r="T63" i="83"/>
  <c r="U63" i="83"/>
  <c r="C65" i="83"/>
  <c r="D65" i="83"/>
  <c r="H65" i="83"/>
  <c r="L65" i="83"/>
  <c r="P65" i="83"/>
  <c r="R65" i="83"/>
  <c r="S65" i="83"/>
  <c r="T65" i="83"/>
  <c r="U65" i="83"/>
  <c r="B68" i="83"/>
  <c r="C68" i="83"/>
  <c r="D68" i="83"/>
  <c r="F68" i="83"/>
  <c r="H68" i="83"/>
  <c r="J68" i="83"/>
  <c r="L68" i="83"/>
  <c r="N68" i="83"/>
  <c r="P68" i="83"/>
  <c r="R68" i="83"/>
  <c r="S68" i="83"/>
  <c r="T68" i="83"/>
  <c r="U68" i="83"/>
  <c r="C71" i="83"/>
  <c r="D71" i="83"/>
  <c r="H71" i="83"/>
  <c r="L71" i="83"/>
  <c r="P71" i="83"/>
  <c r="R71" i="83"/>
  <c r="S71" i="83"/>
  <c r="T71" i="83"/>
  <c r="U71" i="83"/>
  <c r="C72" i="83"/>
  <c r="D72" i="83"/>
  <c r="H72" i="83"/>
  <c r="L72" i="83"/>
  <c r="P72" i="83"/>
  <c r="R72" i="83"/>
  <c r="S72" i="83"/>
  <c r="T72" i="83"/>
  <c r="U72" i="83"/>
  <c r="C73" i="83"/>
  <c r="D73" i="83"/>
  <c r="H73" i="83"/>
  <c r="L73" i="83"/>
  <c r="P73" i="83"/>
  <c r="R73" i="83"/>
  <c r="S73" i="83"/>
  <c r="T73" i="83"/>
  <c r="U73" i="83"/>
  <c r="C74" i="83"/>
  <c r="D74" i="83"/>
  <c r="H74" i="83"/>
  <c r="L74" i="83"/>
  <c r="P74" i="83"/>
  <c r="R74" i="83"/>
  <c r="S74" i="83"/>
  <c r="T74" i="83"/>
  <c r="U74" i="83"/>
  <c r="B75" i="83"/>
  <c r="C75" i="83"/>
  <c r="D75" i="83"/>
  <c r="F75" i="83"/>
  <c r="H75" i="83"/>
  <c r="J75" i="83"/>
  <c r="L75" i="83"/>
  <c r="N75" i="83"/>
  <c r="P75" i="83"/>
  <c r="R75" i="83"/>
  <c r="S75" i="83"/>
  <c r="T75" i="83"/>
  <c r="U75" i="83"/>
  <c r="B77" i="83"/>
  <c r="C77" i="83"/>
  <c r="D77" i="83"/>
  <c r="F77" i="83"/>
  <c r="H77" i="83"/>
  <c r="J77" i="83"/>
  <c r="L77" i="83"/>
  <c r="N77" i="83"/>
  <c r="P77" i="83"/>
  <c r="R77" i="83"/>
  <c r="S77" i="83"/>
  <c r="T77" i="83"/>
  <c r="U77" i="83"/>
  <c r="C79" i="83"/>
  <c r="D79" i="83"/>
  <c r="H79" i="83"/>
  <c r="L79" i="83"/>
  <c r="P79" i="83"/>
  <c r="R79" i="83"/>
  <c r="S79" i="83"/>
  <c r="T79" i="83"/>
  <c r="U79" i="83"/>
  <c r="B81" i="83"/>
  <c r="C81" i="83"/>
  <c r="D81" i="83"/>
  <c r="F81" i="83"/>
  <c r="H81" i="83"/>
  <c r="J81" i="83"/>
  <c r="L81" i="83"/>
  <c r="N81" i="83"/>
  <c r="P81" i="83"/>
  <c r="R81" i="83"/>
  <c r="S81" i="83"/>
  <c r="T81" i="83"/>
  <c r="U81" i="83"/>
  <c r="B88" i="83"/>
  <c r="B89" i="83"/>
  <c r="B90" i="83"/>
  <c r="D90" i="83"/>
  <c r="F90" i="83"/>
  <c r="H90" i="83"/>
  <c r="B91" i="83"/>
  <c r="B92" i="83"/>
  <c r="D92" i="83"/>
  <c r="F92" i="83"/>
  <c r="H92" i="83"/>
  <c r="B95" i="83"/>
  <c r="B97" i="83"/>
  <c r="B98" i="83"/>
  <c r="D98" i="83"/>
  <c r="F98" i="83"/>
  <c r="H98" i="83"/>
  <c r="B100" i="83"/>
  <c r="D100" i="83"/>
  <c r="F100" i="83"/>
  <c r="H100" i="83"/>
  <c r="B102" i="83"/>
  <c r="B105" i="83"/>
  <c r="D105" i="83"/>
  <c r="F105" i="83"/>
  <c r="H105" i="83"/>
  <c r="B108" i="83"/>
  <c r="B109" i="83"/>
  <c r="B110" i="83"/>
  <c r="B111" i="83"/>
  <c r="B112" i="83"/>
  <c r="D112" i="83"/>
  <c r="F112" i="83"/>
  <c r="H112" i="83"/>
  <c r="B114" i="83"/>
  <c r="D114" i="83"/>
  <c r="F114" i="83"/>
  <c r="H114" i="83"/>
  <c r="B116" i="83"/>
  <c r="B118" i="83"/>
  <c r="D118" i="83"/>
  <c r="F118" i="83"/>
  <c r="H118" i="83"/>
  <c r="I10" i="80"/>
  <c r="K10" i="80"/>
  <c r="M10" i="80"/>
  <c r="O10" i="80"/>
  <c r="P10" i="80"/>
  <c r="I11" i="80"/>
  <c r="K11" i="80"/>
  <c r="M11" i="80"/>
  <c r="O11" i="80"/>
  <c r="P11" i="80"/>
  <c r="I12" i="80"/>
  <c r="K12" i="80"/>
  <c r="M12" i="80"/>
  <c r="O12" i="80"/>
  <c r="P12" i="80"/>
  <c r="I13" i="80"/>
  <c r="K13" i="80"/>
  <c r="M13" i="80"/>
  <c r="O13" i="80"/>
  <c r="P13" i="80"/>
  <c r="I14" i="80"/>
  <c r="K14" i="80"/>
  <c r="L14" i="80"/>
  <c r="M14" i="80"/>
  <c r="O14" i="80"/>
  <c r="P14" i="80"/>
  <c r="B15" i="80"/>
  <c r="D15" i="80"/>
  <c r="F15" i="80"/>
  <c r="H15" i="80"/>
  <c r="I15" i="80"/>
  <c r="J15" i="80"/>
  <c r="K15" i="80"/>
  <c r="L15" i="80"/>
  <c r="M15" i="80"/>
  <c r="N15" i="80"/>
  <c r="O15" i="80"/>
  <c r="P15" i="80"/>
  <c r="I17" i="80"/>
  <c r="K17" i="80"/>
  <c r="I18" i="80"/>
  <c r="K18" i="80"/>
  <c r="L18" i="80"/>
  <c r="M18" i="80"/>
  <c r="O18" i="80"/>
  <c r="P18" i="80"/>
  <c r="I19" i="80"/>
  <c r="K19" i="80"/>
  <c r="M19" i="80"/>
  <c r="O19" i="80"/>
  <c r="P19" i="80"/>
  <c r="I20" i="80"/>
  <c r="K20" i="80"/>
  <c r="M20" i="80"/>
  <c r="O20" i="80"/>
  <c r="P20" i="80"/>
  <c r="I21" i="80"/>
  <c r="K21" i="80"/>
  <c r="M21" i="80"/>
  <c r="O21" i="80"/>
  <c r="P21" i="80"/>
  <c r="B22" i="80"/>
  <c r="D22" i="80"/>
  <c r="F22" i="80"/>
  <c r="H22" i="80"/>
  <c r="I22" i="80"/>
  <c r="J22" i="80"/>
  <c r="K22" i="80"/>
  <c r="L22" i="80"/>
  <c r="M22" i="80"/>
  <c r="N22" i="80"/>
  <c r="O22" i="80"/>
  <c r="P22" i="80"/>
  <c r="I26" i="80"/>
  <c r="K26" i="80"/>
  <c r="M26" i="80"/>
  <c r="O26" i="80"/>
  <c r="P26" i="80"/>
  <c r="I27" i="80"/>
  <c r="K27" i="80"/>
  <c r="M27" i="80"/>
  <c r="O27" i="80"/>
  <c r="P27" i="80"/>
  <c r="I28" i="80"/>
  <c r="K28" i="80"/>
  <c r="M28" i="80"/>
  <c r="O28" i="80"/>
  <c r="P28" i="80"/>
  <c r="B29" i="80"/>
  <c r="D29" i="80"/>
  <c r="F29" i="80"/>
  <c r="H29" i="80"/>
  <c r="I29" i="80"/>
  <c r="J29" i="80"/>
  <c r="K29" i="80"/>
  <c r="L29" i="80"/>
  <c r="M29" i="80"/>
  <c r="N29" i="80"/>
  <c r="O29" i="80"/>
  <c r="P29" i="80"/>
  <c r="B32" i="80"/>
  <c r="D32" i="80"/>
  <c r="F32" i="80"/>
  <c r="H32" i="80"/>
  <c r="J32" i="80"/>
  <c r="L32" i="80"/>
  <c r="B33" i="80"/>
  <c r="D33" i="80"/>
  <c r="F33" i="80"/>
  <c r="H33" i="80"/>
  <c r="J33" i="80"/>
  <c r="L33" i="80"/>
  <c r="I34" i="80"/>
  <c r="K34" i="80"/>
  <c r="M34" i="80"/>
  <c r="O34" i="80"/>
  <c r="P34" i="80"/>
  <c r="B35" i="80"/>
  <c r="D35" i="80"/>
  <c r="F35" i="80"/>
  <c r="H35" i="80"/>
  <c r="I35" i="80"/>
  <c r="J35" i="80"/>
  <c r="K35" i="80"/>
  <c r="L35" i="80"/>
  <c r="M35" i="80"/>
  <c r="N35" i="80"/>
  <c r="O35" i="80"/>
  <c r="P35" i="80"/>
  <c r="I38" i="80"/>
  <c r="L38" i="80"/>
  <c r="B39" i="80"/>
  <c r="D39" i="80"/>
  <c r="F39" i="80"/>
  <c r="H39" i="80"/>
  <c r="J39" i="80"/>
  <c r="L39" i="80"/>
  <c r="I40" i="80"/>
  <c r="K40" i="80"/>
  <c r="M40" i="80"/>
  <c r="O40" i="80"/>
  <c r="P40" i="80"/>
  <c r="B41" i="80"/>
  <c r="D41" i="80"/>
  <c r="F41" i="80"/>
  <c r="H41" i="80"/>
  <c r="I41" i="80"/>
  <c r="J41" i="80"/>
  <c r="K41" i="80"/>
  <c r="L41" i="80"/>
  <c r="M41" i="80"/>
  <c r="N41" i="80"/>
  <c r="O41" i="80"/>
  <c r="P41" i="80"/>
  <c r="I43" i="80"/>
  <c r="K43" i="80"/>
  <c r="M43" i="80"/>
  <c r="O43" i="80"/>
  <c r="P43" i="80"/>
  <c r="B44" i="80"/>
  <c r="D44" i="80"/>
  <c r="F44" i="80"/>
  <c r="H44" i="80"/>
  <c r="I44" i="80"/>
  <c r="J44" i="80"/>
  <c r="K44" i="80"/>
  <c r="L44" i="80"/>
  <c r="M44" i="80"/>
  <c r="N44" i="80"/>
  <c r="O44" i="80"/>
  <c r="P44" i="80"/>
  <c r="I47" i="80"/>
  <c r="K47" i="80"/>
  <c r="M47" i="80"/>
  <c r="O47" i="80"/>
  <c r="P47" i="80"/>
  <c r="I48" i="80"/>
  <c r="L48" i="80"/>
  <c r="M48" i="80"/>
  <c r="O48" i="80"/>
  <c r="P48" i="80"/>
  <c r="I49" i="80"/>
  <c r="I50" i="80"/>
  <c r="K50" i="80"/>
  <c r="L50" i="80"/>
  <c r="M50" i="80"/>
  <c r="O50" i="80"/>
  <c r="P50" i="80"/>
  <c r="B51" i="80"/>
  <c r="D51" i="80"/>
  <c r="F51" i="80"/>
  <c r="H51" i="80"/>
  <c r="I51" i="80"/>
  <c r="J51" i="80"/>
  <c r="K51" i="80"/>
  <c r="L51" i="80"/>
  <c r="M51" i="80"/>
  <c r="N51" i="80"/>
  <c r="O51" i="80"/>
  <c r="P51" i="80"/>
  <c r="B52" i="80"/>
  <c r="D52" i="80"/>
  <c r="F52" i="80"/>
  <c r="H52" i="80"/>
  <c r="I52" i="80"/>
  <c r="J52" i="80"/>
  <c r="K52" i="80"/>
  <c r="L52" i="80"/>
  <c r="M52" i="80"/>
  <c r="N52" i="80"/>
  <c r="O52" i="80"/>
  <c r="P52" i="80"/>
  <c r="J58" i="80"/>
  <c r="L58" i="80"/>
  <c r="L60" i="80"/>
  <c r="L62" i="80"/>
  <c r="B69" i="80"/>
  <c r="D69" i="80"/>
  <c r="F69" i="80"/>
  <c r="H69" i="80"/>
  <c r="J69" i="80"/>
  <c r="L69" i="80"/>
  <c r="B70" i="80"/>
  <c r="B71" i="80"/>
  <c r="B72" i="80"/>
  <c r="B74" i="80"/>
  <c r="B75" i="80"/>
  <c r="B76" i="80"/>
  <c r="B77" i="80"/>
  <c r="B78" i="80"/>
  <c r="B80" i="80"/>
  <c r="D80" i="80"/>
  <c r="F80" i="80"/>
  <c r="G80" i="80"/>
  <c r="H80" i="80"/>
  <c r="I80" i="80"/>
  <c r="J80" i="80"/>
  <c r="K80" i="80"/>
  <c r="L80" i="80"/>
  <c r="M80" i="80"/>
  <c r="O80" i="80"/>
  <c r="B81" i="80"/>
  <c r="B82" i="80"/>
  <c r="B84" i="80"/>
  <c r="D84" i="80"/>
  <c r="F84" i="80"/>
  <c r="G84" i="80"/>
  <c r="H84" i="80"/>
  <c r="I84" i="80"/>
  <c r="J84" i="80"/>
  <c r="K84" i="80"/>
  <c r="L84" i="80"/>
  <c r="M84" i="80"/>
  <c r="O84" i="80"/>
  <c r="B86" i="80"/>
  <c r="B87" i="80"/>
  <c r="B88" i="80"/>
  <c r="B94" i="80"/>
  <c r="B95" i="80"/>
  <c r="B97" i="80"/>
  <c r="D97" i="80"/>
  <c r="F97" i="80"/>
  <c r="G97" i="80"/>
  <c r="H97" i="80"/>
  <c r="I97" i="80"/>
  <c r="J97" i="80"/>
  <c r="K97" i="80"/>
  <c r="L97" i="80"/>
  <c r="M97" i="80"/>
  <c r="O97" i="80"/>
  <c r="B98" i="80"/>
  <c r="B99" i="80"/>
  <c r="B101" i="80"/>
  <c r="B103" i="80"/>
  <c r="B105" i="80"/>
  <c r="B107" i="80"/>
  <c r="D107" i="80"/>
  <c r="F107" i="80"/>
  <c r="G107" i="80"/>
  <c r="H107" i="80"/>
  <c r="I107" i="80"/>
  <c r="J107" i="80"/>
  <c r="K107" i="80"/>
  <c r="L107" i="80"/>
  <c r="M107" i="80"/>
  <c r="O107" i="80"/>
  <c r="B108" i="80"/>
  <c r="B109" i="80"/>
  <c r="B110" i="80"/>
  <c r="B113" i="80"/>
  <c r="B115" i="80"/>
  <c r="D115" i="80"/>
  <c r="F115" i="80"/>
  <c r="H115" i="80"/>
  <c r="J115" i="80"/>
  <c r="K115" i="80"/>
  <c r="L115" i="80"/>
  <c r="M115" i="80"/>
  <c r="O115" i="80"/>
  <c r="B120" i="80"/>
  <c r="D120" i="80"/>
  <c r="F120" i="80"/>
  <c r="H120" i="80"/>
  <c r="B121" i="80"/>
  <c r="B122" i="80"/>
  <c r="B124" i="80"/>
  <c r="B126" i="80"/>
  <c r="B128" i="80"/>
  <c r="D128" i="80"/>
  <c r="F128" i="80"/>
  <c r="H128" i="80"/>
  <c r="B129" i="80"/>
  <c r="B131" i="80"/>
  <c r="B132" i="80"/>
  <c r="B134" i="80"/>
  <c r="B135" i="80"/>
  <c r="B136" i="80"/>
  <c r="B137" i="80"/>
  <c r="B141" i="80"/>
  <c r="B143" i="80"/>
  <c r="D143" i="80"/>
  <c r="F143" i="80"/>
  <c r="H143" i="80"/>
  <c r="B144" i="80"/>
  <c r="B149" i="80"/>
  <c r="B150" i="80"/>
  <c r="B154" i="80"/>
  <c r="B158" i="80"/>
  <c r="D158" i="80"/>
  <c r="F158" i="80"/>
  <c r="H158" i="80"/>
  <c r="B159" i="80"/>
  <c r="B160" i="80"/>
  <c r="B161" i="80"/>
  <c r="B162" i="80"/>
  <c r="D162" i="80"/>
  <c r="F162" i="80"/>
  <c r="H162" i="80"/>
  <c r="B163" i="80"/>
  <c r="B164" i="80"/>
  <c r="B166" i="80"/>
  <c r="D166" i="80"/>
  <c r="F166" i="80"/>
  <c r="H166" i="80"/>
  <c r="B170" i="80"/>
  <c r="D170" i="80"/>
  <c r="E170" i="80"/>
  <c r="F170" i="80"/>
  <c r="G170" i="80"/>
  <c r="H170" i="80"/>
  <c r="I170" i="80"/>
  <c r="J170" i="80"/>
  <c r="K170" i="80"/>
  <c r="L170" i="80"/>
  <c r="M170" i="80"/>
  <c r="O170" i="80"/>
  <c r="B10" i="84"/>
  <c r="D10" i="84"/>
  <c r="F10" i="84"/>
  <c r="B11" i="84"/>
  <c r="C11" i="84"/>
  <c r="D11" i="84"/>
  <c r="F11" i="84"/>
  <c r="G11" i="84"/>
  <c r="I11" i="84"/>
  <c r="K11" i="84"/>
  <c r="B12" i="84"/>
  <c r="C12" i="84"/>
  <c r="D12" i="84"/>
  <c r="F12" i="84"/>
  <c r="B13" i="84"/>
  <c r="C13" i="84"/>
  <c r="D13" i="84"/>
  <c r="F13" i="84"/>
  <c r="G13" i="84"/>
  <c r="I13" i="84"/>
  <c r="B14" i="84"/>
  <c r="C14" i="84"/>
  <c r="D14" i="84"/>
  <c r="F14" i="84"/>
  <c r="G14" i="84"/>
  <c r="H14" i="84"/>
  <c r="I14" i="84"/>
  <c r="J14" i="84"/>
  <c r="K14" i="84"/>
  <c r="L14" i="84"/>
  <c r="B15" i="84"/>
  <c r="C15" i="84"/>
  <c r="D15" i="84"/>
  <c r="F15" i="84"/>
  <c r="G15" i="84"/>
  <c r="I15" i="84"/>
  <c r="K15" i="84"/>
  <c r="B16" i="84"/>
  <c r="C16" i="84"/>
  <c r="D16" i="84"/>
  <c r="F16" i="84"/>
  <c r="G16" i="84"/>
  <c r="H16" i="84"/>
  <c r="I16" i="84"/>
  <c r="J16" i="84"/>
  <c r="K16" i="84"/>
  <c r="L16" i="84"/>
  <c r="B19" i="84"/>
  <c r="C19" i="84"/>
  <c r="D19" i="84"/>
  <c r="F19" i="84"/>
  <c r="G19" i="84"/>
  <c r="I19" i="84"/>
  <c r="K19" i="84"/>
  <c r="B20" i="84"/>
  <c r="C20" i="84"/>
  <c r="D20" i="84"/>
  <c r="F20" i="84"/>
  <c r="G20" i="84"/>
  <c r="B21" i="84"/>
  <c r="C21" i="84"/>
  <c r="D21" i="84"/>
  <c r="F21" i="84"/>
  <c r="G21" i="84"/>
  <c r="I21" i="84"/>
  <c r="K21" i="84"/>
  <c r="B22" i="84"/>
  <c r="C22" i="84"/>
  <c r="D22" i="84"/>
  <c r="F22" i="84"/>
  <c r="G22" i="84"/>
  <c r="H22" i="84"/>
  <c r="I22" i="84"/>
  <c r="J22" i="84"/>
  <c r="K22" i="84"/>
  <c r="L22" i="84"/>
  <c r="B24" i="84"/>
  <c r="C24" i="84"/>
  <c r="D24" i="84"/>
  <c r="F24" i="84"/>
  <c r="G24" i="84"/>
  <c r="H24" i="84"/>
  <c r="I24" i="84"/>
  <c r="J24" i="84"/>
  <c r="K24" i="84"/>
  <c r="L24" i="84"/>
  <c r="B26" i="84"/>
  <c r="C26" i="84"/>
  <c r="D26" i="84"/>
  <c r="F26" i="84"/>
  <c r="G26" i="84"/>
  <c r="I26" i="84"/>
  <c r="K26" i="84"/>
  <c r="B29" i="84"/>
  <c r="C29" i="84"/>
  <c r="D29" i="84"/>
  <c r="F29" i="84"/>
  <c r="G29" i="84"/>
  <c r="H29" i="84"/>
  <c r="I29" i="84"/>
  <c r="J29" i="84"/>
  <c r="K29" i="84"/>
  <c r="L29" i="84"/>
  <c r="B32" i="84"/>
  <c r="C32" i="84"/>
  <c r="D32" i="84"/>
  <c r="F32" i="84"/>
  <c r="G32" i="84"/>
  <c r="I32" i="84"/>
  <c r="K32" i="84"/>
  <c r="B33" i="84"/>
  <c r="C33" i="84"/>
  <c r="D33" i="84"/>
  <c r="F33" i="84"/>
  <c r="G33" i="84"/>
  <c r="I33" i="84"/>
  <c r="K33" i="84"/>
  <c r="B34" i="84"/>
  <c r="C34" i="84"/>
  <c r="D34" i="84"/>
  <c r="F34" i="84"/>
  <c r="G34" i="84"/>
  <c r="I34" i="84"/>
  <c r="K34" i="84"/>
  <c r="B35" i="84"/>
  <c r="C35" i="84"/>
  <c r="D35" i="84"/>
  <c r="F35" i="84"/>
  <c r="G35" i="84"/>
  <c r="I35" i="84"/>
  <c r="K35" i="84"/>
  <c r="B36" i="84"/>
  <c r="C36" i="84"/>
  <c r="D36" i="84"/>
  <c r="F36" i="84"/>
  <c r="G36" i="84"/>
  <c r="H36" i="84"/>
  <c r="I36" i="84"/>
  <c r="J36" i="84"/>
  <c r="K36" i="84"/>
  <c r="L36" i="84"/>
  <c r="B38" i="84"/>
  <c r="C38" i="84"/>
  <c r="D38" i="84"/>
  <c r="F38" i="84"/>
  <c r="G38" i="84"/>
  <c r="H38" i="84"/>
  <c r="I38" i="84"/>
  <c r="J38" i="84"/>
  <c r="K38" i="84"/>
  <c r="L38" i="84"/>
  <c r="B40" i="84"/>
  <c r="C40" i="84"/>
  <c r="D40" i="84"/>
  <c r="F40" i="84"/>
  <c r="G40" i="84"/>
  <c r="I40" i="84"/>
  <c r="K40" i="84"/>
  <c r="B42" i="84"/>
  <c r="C42" i="84"/>
  <c r="D42" i="84"/>
  <c r="F42" i="84"/>
  <c r="G42" i="84"/>
  <c r="H42" i="84"/>
  <c r="I42" i="84"/>
  <c r="J42" i="84"/>
  <c r="K42" i="84"/>
  <c r="L42" i="84"/>
  <c r="B10" i="87"/>
  <c r="C10" i="87"/>
  <c r="D10" i="87"/>
  <c r="F10" i="87"/>
  <c r="H10" i="87"/>
  <c r="J10" i="87"/>
  <c r="K10" i="87"/>
  <c r="L10" i="87"/>
  <c r="M10" i="87"/>
  <c r="N10" i="87"/>
  <c r="O10" i="87"/>
  <c r="P10" i="87"/>
  <c r="Q10" i="87"/>
  <c r="B11" i="87"/>
  <c r="C11" i="87"/>
  <c r="D11" i="87"/>
  <c r="F11" i="87"/>
  <c r="H11" i="87"/>
  <c r="J11" i="87"/>
  <c r="K11" i="87"/>
  <c r="L11" i="87"/>
  <c r="M11" i="87"/>
  <c r="N11" i="87"/>
  <c r="O11" i="87"/>
  <c r="P11" i="87"/>
  <c r="Q11" i="87"/>
  <c r="B12" i="87"/>
  <c r="C12" i="87"/>
  <c r="D12" i="87"/>
  <c r="F12" i="87"/>
  <c r="H12" i="87"/>
  <c r="J12" i="87"/>
  <c r="K12" i="87"/>
  <c r="L12" i="87"/>
  <c r="M12" i="87"/>
  <c r="N12" i="87"/>
  <c r="O12" i="87"/>
  <c r="P12" i="87"/>
  <c r="Q12" i="87"/>
  <c r="B13" i="87"/>
  <c r="C13" i="87"/>
  <c r="D13" i="87"/>
  <c r="F13" i="87"/>
  <c r="H13" i="87"/>
  <c r="J13" i="87"/>
  <c r="K13" i="87"/>
  <c r="L13" i="87"/>
  <c r="M13" i="87"/>
  <c r="N13" i="87"/>
  <c r="O13" i="87"/>
  <c r="P13" i="87"/>
  <c r="Q13" i="87"/>
  <c r="B14" i="87"/>
  <c r="C14" i="87"/>
  <c r="D14" i="87"/>
  <c r="F14" i="87"/>
  <c r="H14" i="87"/>
  <c r="J14" i="87"/>
  <c r="K14" i="87"/>
  <c r="L14" i="87"/>
  <c r="M14" i="87"/>
  <c r="N14" i="87"/>
  <c r="O14" i="87"/>
  <c r="P14" i="87"/>
  <c r="Q14" i="87"/>
  <c r="B15" i="87"/>
  <c r="C15" i="87"/>
  <c r="D15" i="87"/>
  <c r="F15" i="87"/>
  <c r="H15" i="87"/>
  <c r="J15" i="87"/>
  <c r="K15" i="87"/>
  <c r="L15" i="87"/>
  <c r="M15" i="87"/>
  <c r="N15" i="87"/>
  <c r="O15" i="87"/>
  <c r="P15" i="87"/>
  <c r="Q15" i="87"/>
  <c r="B17" i="87"/>
  <c r="C17" i="87"/>
  <c r="D17" i="87"/>
  <c r="F17" i="87"/>
  <c r="H17" i="87"/>
  <c r="J17" i="87"/>
  <c r="K17" i="87"/>
  <c r="L17" i="87"/>
  <c r="M17" i="87"/>
  <c r="N17" i="87"/>
  <c r="O17" i="87"/>
  <c r="P17" i="87"/>
  <c r="Q17" i="87"/>
  <c r="B18" i="87"/>
  <c r="C18" i="87"/>
  <c r="D18" i="87"/>
  <c r="F18" i="87"/>
  <c r="H18" i="87"/>
  <c r="J18" i="87"/>
  <c r="K18" i="87"/>
  <c r="L18" i="87"/>
  <c r="M18" i="87"/>
  <c r="N18" i="87"/>
  <c r="O18" i="87"/>
  <c r="P18" i="87"/>
  <c r="Q18" i="87"/>
  <c r="B19" i="87"/>
  <c r="C19" i="87"/>
  <c r="D19" i="87"/>
  <c r="F19" i="87"/>
  <c r="H19" i="87"/>
  <c r="J19" i="87"/>
  <c r="K19" i="87"/>
  <c r="L19" i="87"/>
  <c r="M19" i="87"/>
  <c r="N19" i="87"/>
  <c r="O19" i="87"/>
  <c r="P19" i="87"/>
  <c r="Q19" i="87"/>
  <c r="B20" i="87"/>
  <c r="C20" i="87"/>
  <c r="D20" i="87"/>
  <c r="F20" i="87"/>
  <c r="H20" i="87"/>
  <c r="J20" i="87"/>
  <c r="K20" i="87"/>
  <c r="L20" i="87"/>
  <c r="M20" i="87"/>
  <c r="N20" i="87"/>
  <c r="O20" i="87"/>
  <c r="P20" i="87"/>
  <c r="Q20" i="87"/>
  <c r="B21" i="87"/>
  <c r="C21" i="87"/>
  <c r="D21" i="87"/>
  <c r="F21" i="87"/>
  <c r="H21" i="87"/>
  <c r="J21" i="87"/>
  <c r="K21" i="87"/>
  <c r="L21" i="87"/>
  <c r="M21" i="87"/>
  <c r="N21" i="87"/>
  <c r="O21" i="87"/>
  <c r="P21" i="87"/>
  <c r="Q21" i="87"/>
  <c r="B22" i="87"/>
  <c r="C22" i="87"/>
  <c r="D22" i="87"/>
  <c r="F22" i="87"/>
  <c r="H22" i="87"/>
  <c r="J22" i="87"/>
  <c r="K22" i="87"/>
  <c r="L22" i="87"/>
  <c r="M22" i="87"/>
  <c r="N22" i="87"/>
  <c r="O22" i="87"/>
  <c r="P22" i="87"/>
  <c r="Q22" i="87"/>
  <c r="B26" i="87"/>
  <c r="C26" i="87"/>
  <c r="D26" i="87"/>
  <c r="F26" i="87"/>
  <c r="H26" i="87"/>
  <c r="J26" i="87"/>
  <c r="K26" i="87"/>
  <c r="L26" i="87"/>
  <c r="M26" i="87"/>
  <c r="N26" i="87"/>
  <c r="O26" i="87"/>
  <c r="P26" i="87"/>
  <c r="Q26" i="87"/>
  <c r="B27" i="87"/>
  <c r="C27" i="87"/>
  <c r="D27" i="87"/>
  <c r="F27" i="87"/>
  <c r="H27" i="87"/>
  <c r="J27" i="87"/>
  <c r="K27" i="87"/>
  <c r="L27" i="87"/>
  <c r="M27" i="87"/>
  <c r="N27" i="87"/>
  <c r="O27" i="87"/>
  <c r="P27" i="87"/>
  <c r="Q27" i="87"/>
  <c r="B28" i="87"/>
  <c r="C28" i="87"/>
  <c r="D28" i="87"/>
  <c r="F28" i="87"/>
  <c r="H28" i="87"/>
  <c r="J28" i="87"/>
  <c r="K28" i="87"/>
  <c r="L28" i="87"/>
  <c r="M28" i="87"/>
  <c r="N28" i="87"/>
  <c r="O28" i="87"/>
  <c r="P28" i="87"/>
  <c r="Q28" i="87"/>
  <c r="B29" i="87"/>
  <c r="C29" i="87"/>
  <c r="D29" i="87"/>
  <c r="F29" i="87"/>
  <c r="H29" i="87"/>
  <c r="J29" i="87"/>
  <c r="K29" i="87"/>
  <c r="L29" i="87"/>
  <c r="M29" i="87"/>
  <c r="N29" i="87"/>
  <c r="O29" i="87"/>
  <c r="P29" i="87"/>
  <c r="Q29" i="87"/>
  <c r="B32" i="87"/>
  <c r="C32" i="87"/>
  <c r="D32" i="87"/>
  <c r="F32" i="87"/>
  <c r="H32" i="87"/>
  <c r="J32" i="87"/>
  <c r="K32" i="87"/>
  <c r="L32" i="87"/>
  <c r="M32" i="87"/>
  <c r="N32" i="87"/>
  <c r="O32" i="87"/>
  <c r="P32" i="87"/>
  <c r="Q32" i="87"/>
  <c r="B33" i="87"/>
  <c r="C33" i="87"/>
  <c r="D33" i="87"/>
  <c r="F33" i="87"/>
  <c r="H33" i="87"/>
  <c r="J33" i="87"/>
  <c r="K33" i="87"/>
  <c r="L33" i="87"/>
  <c r="M33" i="87"/>
  <c r="N33" i="87"/>
  <c r="O33" i="87"/>
  <c r="P33" i="87"/>
  <c r="Q33" i="87"/>
  <c r="B34" i="87"/>
  <c r="C34" i="87"/>
  <c r="D34" i="87"/>
  <c r="F34" i="87"/>
  <c r="H34" i="87"/>
  <c r="J34" i="87"/>
  <c r="K34" i="87"/>
  <c r="L34" i="87"/>
  <c r="M34" i="87"/>
  <c r="N34" i="87"/>
  <c r="O34" i="87"/>
  <c r="P34" i="87"/>
  <c r="Q34" i="87"/>
  <c r="B35" i="87"/>
  <c r="C35" i="87"/>
  <c r="D35" i="87"/>
  <c r="F35" i="87"/>
  <c r="H35" i="87"/>
  <c r="J35" i="87"/>
  <c r="K35" i="87"/>
  <c r="L35" i="87"/>
  <c r="M35" i="87"/>
  <c r="N35" i="87"/>
  <c r="O35" i="87"/>
  <c r="P35" i="87"/>
  <c r="Q35" i="87"/>
  <c r="B38" i="87"/>
  <c r="C38" i="87"/>
  <c r="D38" i="87"/>
  <c r="F38" i="87"/>
  <c r="H38" i="87"/>
  <c r="J38" i="87"/>
  <c r="K38" i="87"/>
  <c r="L38" i="87"/>
  <c r="M38" i="87"/>
  <c r="N38" i="87"/>
  <c r="O38" i="87"/>
  <c r="P38" i="87"/>
  <c r="Q38" i="87"/>
  <c r="B39" i="87"/>
  <c r="C39" i="87"/>
  <c r="D39" i="87"/>
  <c r="F39" i="87"/>
  <c r="H39" i="87"/>
  <c r="J39" i="87"/>
  <c r="K39" i="87"/>
  <c r="L39" i="87"/>
  <c r="M39" i="87"/>
  <c r="N39" i="87"/>
  <c r="O39" i="87"/>
  <c r="P39" i="87"/>
  <c r="Q39" i="87"/>
  <c r="B40" i="87"/>
  <c r="C40" i="87"/>
  <c r="D40" i="87"/>
  <c r="F40" i="87"/>
  <c r="H40" i="87"/>
  <c r="J40" i="87"/>
  <c r="K40" i="87"/>
  <c r="L40" i="87"/>
  <c r="M40" i="87"/>
  <c r="N40" i="87"/>
  <c r="O40" i="87"/>
  <c r="P40" i="87"/>
  <c r="Q40" i="87"/>
  <c r="B41" i="87"/>
  <c r="C41" i="87"/>
  <c r="D41" i="87"/>
  <c r="F41" i="87"/>
  <c r="H41" i="87"/>
  <c r="J41" i="87"/>
  <c r="K41" i="87"/>
  <c r="L41" i="87"/>
  <c r="M41" i="87"/>
  <c r="N41" i="87"/>
  <c r="O41" i="87"/>
  <c r="P41" i="87"/>
  <c r="Q41" i="87"/>
  <c r="B43" i="87"/>
  <c r="C43" i="87"/>
  <c r="D43" i="87"/>
  <c r="F43" i="87"/>
  <c r="H43" i="87"/>
  <c r="J43" i="87"/>
  <c r="K43" i="87"/>
  <c r="L43" i="87"/>
  <c r="M43" i="87"/>
  <c r="N43" i="87"/>
  <c r="O43" i="87"/>
  <c r="P43" i="87"/>
  <c r="Q43" i="87"/>
  <c r="B44" i="87"/>
  <c r="C44" i="87"/>
  <c r="D44" i="87"/>
  <c r="F44" i="87"/>
  <c r="H44" i="87"/>
  <c r="J44" i="87"/>
  <c r="K44" i="87"/>
  <c r="L44" i="87"/>
  <c r="M44" i="87"/>
  <c r="N44" i="87"/>
  <c r="O44" i="87"/>
  <c r="P44" i="87"/>
  <c r="Q44" i="87"/>
  <c r="B47" i="87"/>
  <c r="C47" i="87"/>
  <c r="D47" i="87"/>
  <c r="F47" i="87"/>
  <c r="H47" i="87"/>
  <c r="J47" i="87"/>
  <c r="K47" i="87"/>
  <c r="L47" i="87"/>
  <c r="M47" i="87"/>
  <c r="N47" i="87"/>
  <c r="O47" i="87"/>
  <c r="P47" i="87"/>
  <c r="Q47" i="87"/>
  <c r="B48" i="87"/>
  <c r="C48" i="87"/>
  <c r="D48" i="87"/>
  <c r="F48" i="87"/>
  <c r="H48" i="87"/>
  <c r="J48" i="87"/>
  <c r="K48" i="87"/>
  <c r="L48" i="87"/>
  <c r="M48" i="87"/>
  <c r="N48" i="87"/>
  <c r="O48" i="87"/>
  <c r="P48" i="87"/>
  <c r="Q48" i="87"/>
  <c r="B49" i="87"/>
  <c r="C49" i="87"/>
  <c r="D49" i="87"/>
  <c r="F49" i="87"/>
  <c r="H49" i="87"/>
  <c r="J49" i="87"/>
  <c r="K49" i="87"/>
  <c r="L49" i="87"/>
  <c r="M49" i="87"/>
  <c r="N49" i="87"/>
  <c r="O49" i="87"/>
  <c r="P49" i="87"/>
  <c r="Q49" i="87"/>
  <c r="B50" i="87"/>
  <c r="C50" i="87"/>
  <c r="D50" i="87"/>
  <c r="F50" i="87"/>
  <c r="H50" i="87"/>
  <c r="J50" i="87"/>
  <c r="K50" i="87"/>
  <c r="L50" i="87"/>
  <c r="M50" i="87"/>
  <c r="N50" i="87"/>
  <c r="O50" i="87"/>
  <c r="P50" i="87"/>
  <c r="Q50" i="87"/>
  <c r="B51" i="87"/>
  <c r="C51" i="87"/>
  <c r="D51" i="87"/>
  <c r="F51" i="87"/>
  <c r="H51" i="87"/>
  <c r="J51" i="87"/>
  <c r="K51" i="87"/>
  <c r="L51" i="87"/>
  <c r="M51" i="87"/>
  <c r="N51" i="87"/>
  <c r="O51" i="87"/>
  <c r="P51" i="87"/>
  <c r="Q51" i="87"/>
  <c r="B52" i="87"/>
  <c r="C52" i="87"/>
  <c r="D52" i="87"/>
  <c r="F52" i="87"/>
  <c r="H52" i="87"/>
  <c r="J52" i="87"/>
  <c r="K52" i="87"/>
  <c r="L52" i="87"/>
  <c r="M52" i="87"/>
  <c r="N52" i="87"/>
  <c r="O52" i="87"/>
  <c r="P52" i="87"/>
  <c r="Q52" i="87"/>
  <c r="B56" i="87"/>
  <c r="D56" i="87"/>
  <c r="F56" i="87"/>
  <c r="H56" i="87"/>
  <c r="J56" i="87"/>
  <c r="L56" i="87"/>
  <c r="N56" i="87"/>
  <c r="P56" i="87"/>
  <c r="B57" i="87"/>
  <c r="D57" i="87"/>
  <c r="F57" i="87"/>
  <c r="H57" i="87"/>
  <c r="J57" i="87"/>
  <c r="L57" i="87"/>
  <c r="N57" i="87"/>
  <c r="P57" i="87"/>
  <c r="B58" i="87"/>
  <c r="D58" i="87"/>
  <c r="F58" i="87"/>
  <c r="H58" i="87"/>
  <c r="J58" i="87"/>
  <c r="L58" i="87"/>
  <c r="N58" i="87"/>
  <c r="P58" i="87"/>
  <c r="B60" i="87"/>
  <c r="D60" i="87"/>
  <c r="F60" i="87"/>
  <c r="H60" i="87"/>
  <c r="J60" i="87"/>
  <c r="L60" i="87"/>
  <c r="N60" i="87"/>
  <c r="P60" i="87"/>
  <c r="B61" i="87"/>
  <c r="D61" i="87"/>
  <c r="F61" i="87"/>
  <c r="H61" i="87"/>
  <c r="J61" i="87"/>
  <c r="L61" i="87"/>
  <c r="N61" i="87"/>
  <c r="P61" i="87"/>
  <c r="B62" i="87"/>
  <c r="D62" i="87"/>
  <c r="F62" i="87"/>
  <c r="H62" i="87"/>
  <c r="J62" i="87"/>
  <c r="L62" i="87"/>
  <c r="N62" i="87"/>
  <c r="P62" i="87"/>
  <c r="D10" i="88"/>
  <c r="E10" i="88"/>
  <c r="J10" i="88"/>
  <c r="K10" i="88"/>
  <c r="D11" i="88"/>
  <c r="E11" i="88"/>
  <c r="J11" i="88"/>
  <c r="K11" i="88"/>
  <c r="D12" i="88"/>
  <c r="E12" i="88"/>
  <c r="J12" i="88"/>
  <c r="K12" i="88"/>
  <c r="D13" i="88"/>
  <c r="J13" i="88"/>
  <c r="D14" i="88"/>
  <c r="E14" i="88"/>
  <c r="H14" i="88"/>
  <c r="J14" i="88"/>
  <c r="K14" i="88"/>
  <c r="B15" i="88"/>
  <c r="C15" i="88"/>
  <c r="D15" i="88"/>
  <c r="E15" i="88"/>
  <c r="H15" i="88"/>
  <c r="I15" i="88"/>
  <c r="J15" i="88"/>
  <c r="K15" i="88"/>
  <c r="D17" i="88"/>
  <c r="J17" i="88"/>
  <c r="D18" i="88"/>
  <c r="J18" i="88"/>
  <c r="K18" i="88"/>
  <c r="D19" i="88"/>
  <c r="E19" i="88"/>
  <c r="J19" i="88"/>
  <c r="K19" i="88"/>
  <c r="D20" i="88"/>
  <c r="J20" i="88"/>
  <c r="D21" i="88"/>
  <c r="E21" i="88"/>
  <c r="J21" i="88"/>
  <c r="K21" i="88"/>
  <c r="B22" i="88"/>
  <c r="C22" i="88"/>
  <c r="D22" i="88"/>
  <c r="E22" i="88"/>
  <c r="H22" i="88"/>
  <c r="I22" i="88"/>
  <c r="J22" i="88"/>
  <c r="K22" i="88"/>
  <c r="D26" i="88"/>
  <c r="E26" i="88"/>
  <c r="J26" i="88"/>
  <c r="K26" i="88"/>
  <c r="D27" i="88"/>
  <c r="E27" i="88"/>
  <c r="J27" i="88"/>
  <c r="K27" i="88"/>
  <c r="D28" i="88"/>
  <c r="E28" i="88"/>
  <c r="J28" i="88"/>
  <c r="K28" i="88"/>
  <c r="B29" i="88"/>
  <c r="C29" i="88"/>
  <c r="D29" i="88"/>
  <c r="E29" i="88"/>
  <c r="H29" i="88"/>
  <c r="I29" i="88"/>
  <c r="J29" i="88"/>
  <c r="K29" i="88"/>
  <c r="D32" i="88"/>
  <c r="J32" i="88"/>
  <c r="D33" i="88"/>
  <c r="J33" i="88"/>
  <c r="K33" i="88"/>
  <c r="D34" i="88"/>
  <c r="E34" i="88"/>
  <c r="I34" i="88"/>
  <c r="J34" i="88"/>
  <c r="K34" i="88"/>
  <c r="B35" i="88"/>
  <c r="C35" i="88"/>
  <c r="D35" i="88"/>
  <c r="E35" i="88"/>
  <c r="H35" i="88"/>
  <c r="I35" i="88"/>
  <c r="J35" i="88"/>
  <c r="K35" i="88"/>
  <c r="B38" i="88"/>
  <c r="D38" i="88"/>
  <c r="H38" i="88"/>
  <c r="J38" i="88"/>
  <c r="D39" i="88"/>
  <c r="J39" i="88"/>
  <c r="D40" i="88"/>
  <c r="E40" i="88"/>
  <c r="J40" i="88"/>
  <c r="K40" i="88"/>
  <c r="B41" i="88"/>
  <c r="C41" i="88"/>
  <c r="D41" i="88"/>
  <c r="E41" i="88"/>
  <c r="H41" i="88"/>
  <c r="I41" i="88"/>
  <c r="J41" i="88"/>
  <c r="K41" i="88"/>
  <c r="D43" i="88"/>
  <c r="E43" i="88"/>
  <c r="J43" i="88"/>
  <c r="K43" i="88"/>
  <c r="B44" i="88"/>
  <c r="C44" i="88"/>
  <c r="D44" i="88"/>
  <c r="E44" i="88"/>
  <c r="H44" i="88"/>
  <c r="I44" i="88"/>
  <c r="J44" i="88"/>
  <c r="D47" i="88"/>
  <c r="E47" i="88"/>
  <c r="J47" i="88"/>
  <c r="K47" i="88"/>
  <c r="D48" i="88"/>
  <c r="E48" i="88"/>
  <c r="J48" i="88"/>
  <c r="K48" i="88"/>
  <c r="D49" i="88"/>
  <c r="E49" i="88"/>
  <c r="J49" i="88"/>
  <c r="D50" i="88"/>
  <c r="J50" i="88"/>
  <c r="K50" i="88"/>
  <c r="B51" i="88"/>
  <c r="C51" i="88"/>
  <c r="D51" i="88"/>
  <c r="E51" i="88"/>
  <c r="H51" i="88"/>
  <c r="I51" i="88"/>
  <c r="J51" i="88"/>
  <c r="K51" i="88"/>
  <c r="B53" i="88"/>
  <c r="C53" i="88"/>
  <c r="D53" i="88"/>
  <c r="E53" i="88"/>
  <c r="H53" i="88"/>
  <c r="I53" i="88"/>
  <c r="J53" i="88"/>
  <c r="K53" i="88"/>
  <c r="B58" i="88"/>
  <c r="B59" i="88"/>
  <c r="B60" i="88"/>
  <c r="B62" i="88"/>
  <c r="J62" i="88"/>
  <c r="B63" i="88"/>
  <c r="J63" i="88"/>
  <c r="B64" i="88"/>
  <c r="J64" i="88"/>
  <c r="B11" i="85"/>
  <c r="D11" i="85"/>
  <c r="F11" i="85"/>
  <c r="H11" i="85"/>
  <c r="I11" i="85"/>
  <c r="J11" i="85"/>
  <c r="K11" i="85"/>
  <c r="L11" i="85"/>
  <c r="M11" i="85"/>
  <c r="N11" i="85"/>
  <c r="O11" i="85"/>
  <c r="P11" i="85"/>
  <c r="B12" i="85"/>
  <c r="D12" i="85"/>
  <c r="F12" i="85"/>
  <c r="H12" i="85"/>
  <c r="I12" i="85"/>
  <c r="J12" i="85"/>
  <c r="K12" i="85"/>
  <c r="L12" i="85"/>
  <c r="B13" i="85"/>
  <c r="D13" i="85"/>
  <c r="F13" i="85"/>
  <c r="H13" i="85"/>
  <c r="I13" i="85"/>
  <c r="J13" i="85"/>
  <c r="K13" i="85"/>
  <c r="L13" i="85"/>
  <c r="M13" i="85"/>
  <c r="N13" i="85"/>
  <c r="O13" i="85"/>
  <c r="P13" i="85"/>
  <c r="B14" i="85"/>
  <c r="D14" i="85"/>
  <c r="F14" i="85"/>
  <c r="H14" i="85"/>
  <c r="I14" i="85"/>
  <c r="J14" i="85"/>
  <c r="K14" i="85"/>
  <c r="L14" i="85"/>
  <c r="M14" i="85"/>
  <c r="N14" i="85"/>
  <c r="O14" i="85"/>
  <c r="P14" i="85"/>
  <c r="B15" i="85"/>
  <c r="D15" i="85"/>
  <c r="F15" i="85"/>
  <c r="H15" i="85"/>
  <c r="I15" i="85"/>
  <c r="J15" i="85"/>
  <c r="K15" i="85"/>
  <c r="L15" i="85"/>
  <c r="M15" i="85"/>
  <c r="N15" i="85"/>
  <c r="O15" i="85"/>
  <c r="P15" i="85"/>
  <c r="B23" i="85"/>
  <c r="C23" i="85"/>
  <c r="D23" i="85"/>
  <c r="F23" i="85"/>
  <c r="H23" i="85"/>
  <c r="J23" i="85"/>
  <c r="L23" i="85"/>
  <c r="N23" i="85"/>
  <c r="P23" i="85"/>
  <c r="R23" i="85"/>
  <c r="S23" i="85"/>
  <c r="T23" i="85"/>
  <c r="B24" i="85"/>
  <c r="C24" i="85"/>
  <c r="D24" i="85"/>
  <c r="F24" i="85"/>
  <c r="H24" i="85"/>
  <c r="J24" i="85"/>
  <c r="L24" i="85"/>
  <c r="N24" i="85"/>
  <c r="P24" i="85"/>
  <c r="R24" i="85"/>
  <c r="S24" i="85"/>
  <c r="T24" i="85"/>
  <c r="B25" i="85"/>
  <c r="C25" i="85"/>
  <c r="D25" i="85"/>
  <c r="F25" i="85"/>
  <c r="H25" i="85"/>
  <c r="J25" i="85"/>
  <c r="L25" i="85"/>
  <c r="N25" i="85"/>
  <c r="P25" i="85"/>
  <c r="R25" i="85"/>
  <c r="S25" i="85"/>
  <c r="T25" i="85"/>
  <c r="B26" i="85"/>
  <c r="C26" i="85"/>
  <c r="D26" i="85"/>
  <c r="F26" i="85"/>
  <c r="H26" i="85"/>
  <c r="J26" i="85"/>
  <c r="L26" i="85"/>
  <c r="N26" i="85"/>
  <c r="P26" i="85"/>
  <c r="R26" i="85"/>
  <c r="S26" i="85"/>
  <c r="T26" i="85"/>
  <c r="B27" i="85"/>
  <c r="C27" i="85"/>
  <c r="D27" i="85"/>
  <c r="F27" i="85"/>
  <c r="H27" i="85"/>
  <c r="J27" i="85"/>
  <c r="L27" i="85"/>
  <c r="N27" i="85"/>
  <c r="P27" i="85"/>
  <c r="R27" i="85"/>
  <c r="S27" i="85"/>
  <c r="T27" i="85"/>
  <c r="B41" i="85"/>
  <c r="N41" i="85"/>
  <c r="O41" i="85"/>
  <c r="Q41" i="85"/>
  <c r="B43" i="85"/>
  <c r="N43" i="85"/>
  <c r="O43" i="85"/>
  <c r="Q43" i="85"/>
  <c r="B48" i="85"/>
  <c r="N48" i="85"/>
  <c r="O48" i="85"/>
  <c r="Q48" i="85"/>
  <c r="B51" i="85"/>
  <c r="N51" i="85"/>
  <c r="O51" i="85"/>
  <c r="Q51" i="85"/>
  <c r="B54" i="85"/>
  <c r="N54" i="85"/>
  <c r="O54" i="85"/>
  <c r="Q54" i="85"/>
  <c r="B58" i="85"/>
  <c r="N58" i="85"/>
  <c r="O58" i="85"/>
  <c r="Q58" i="85"/>
  <c r="B60" i="85"/>
  <c r="N60" i="85"/>
  <c r="O60" i="85"/>
  <c r="Q60" i="85"/>
  <c r="B63" i="85"/>
  <c r="N63" i="85"/>
  <c r="O63" i="85"/>
  <c r="Q63" i="85"/>
  <c r="B65" i="85"/>
  <c r="N65" i="85"/>
  <c r="O65" i="85"/>
  <c r="Q65" i="85"/>
  <c r="B67" i="85"/>
  <c r="N67" i="85"/>
  <c r="O67" i="85"/>
  <c r="Q67" i="85"/>
  <c r="B70" i="85"/>
  <c r="N70" i="85"/>
  <c r="O70" i="85"/>
  <c r="Q70" i="85"/>
  <c r="B73" i="85"/>
  <c r="N73" i="85"/>
  <c r="O73" i="85"/>
  <c r="B10" i="89"/>
  <c r="D10" i="89"/>
  <c r="F10" i="89"/>
  <c r="H10" i="89"/>
  <c r="J10" i="89"/>
  <c r="K10" i="89"/>
  <c r="L10" i="89"/>
  <c r="M10" i="89"/>
  <c r="N10" i="89"/>
  <c r="O10" i="89"/>
  <c r="P10" i="89"/>
  <c r="B11" i="89"/>
  <c r="D11" i="89"/>
  <c r="F11" i="89"/>
  <c r="H11" i="89"/>
  <c r="J11" i="89"/>
  <c r="L11" i="89"/>
  <c r="N11" i="89"/>
  <c r="O11" i="89"/>
  <c r="P11" i="89"/>
  <c r="B12" i="89"/>
  <c r="D12" i="89"/>
  <c r="F12" i="89"/>
  <c r="H12" i="89"/>
  <c r="J12" i="89"/>
  <c r="K12" i="89"/>
  <c r="L12" i="89"/>
  <c r="M12" i="89"/>
  <c r="N12" i="89"/>
  <c r="O12" i="89"/>
  <c r="P12" i="89"/>
  <c r="B13" i="89"/>
  <c r="D13" i="89"/>
  <c r="F13" i="89"/>
  <c r="H13" i="89"/>
  <c r="J13" i="89"/>
  <c r="K13" i="89"/>
  <c r="L13" i="89"/>
  <c r="M13" i="89"/>
  <c r="N13" i="89"/>
  <c r="O13" i="89"/>
  <c r="P13" i="89"/>
  <c r="B14" i="89"/>
  <c r="D14" i="89"/>
  <c r="F14" i="89"/>
  <c r="H14" i="89"/>
  <c r="J14" i="89"/>
  <c r="K14" i="89"/>
  <c r="L14" i="89"/>
  <c r="M14" i="89"/>
  <c r="N14" i="89"/>
  <c r="O14" i="89"/>
  <c r="P14" i="89"/>
  <c r="B15" i="89"/>
  <c r="D15" i="89"/>
  <c r="F15" i="89"/>
  <c r="H15" i="89"/>
  <c r="J15" i="89"/>
  <c r="K15" i="89"/>
  <c r="L15" i="89"/>
  <c r="M15" i="89"/>
  <c r="N15" i="89"/>
  <c r="O15" i="89"/>
  <c r="P15" i="89"/>
  <c r="B18" i="89"/>
  <c r="D18" i="89"/>
  <c r="F18" i="89"/>
  <c r="H18" i="89"/>
  <c r="J18" i="89"/>
  <c r="K18" i="89"/>
  <c r="L18" i="89"/>
  <c r="M18" i="89"/>
  <c r="N18" i="89"/>
  <c r="O18" i="89"/>
  <c r="P18" i="89"/>
  <c r="B19" i="89"/>
  <c r="D19" i="89"/>
  <c r="F19" i="89"/>
  <c r="H19" i="89"/>
  <c r="J19" i="89"/>
  <c r="K19" i="89"/>
  <c r="L19" i="89"/>
  <c r="M19" i="89"/>
  <c r="N19" i="89"/>
  <c r="O19" i="89"/>
  <c r="P19" i="89"/>
  <c r="B20" i="89"/>
  <c r="D20" i="89"/>
  <c r="F20" i="89"/>
  <c r="H20" i="89"/>
  <c r="J20" i="89"/>
  <c r="K20" i="89"/>
  <c r="L20" i="89"/>
  <c r="M20" i="89"/>
  <c r="N20" i="89"/>
  <c r="O20" i="89"/>
  <c r="P20" i="89"/>
  <c r="B21" i="89"/>
  <c r="D21" i="89"/>
  <c r="F21" i="89"/>
  <c r="H21" i="89"/>
  <c r="J21" i="89"/>
  <c r="K21" i="89"/>
  <c r="L21" i="89"/>
  <c r="M21" i="89"/>
  <c r="N21" i="89"/>
  <c r="O21" i="89"/>
  <c r="P21" i="89"/>
  <c r="B23" i="89"/>
  <c r="D23" i="89"/>
  <c r="F23" i="89"/>
  <c r="H23" i="89"/>
  <c r="J23" i="89"/>
  <c r="K23" i="89"/>
  <c r="L23" i="89"/>
  <c r="M23" i="89"/>
  <c r="N23" i="89"/>
  <c r="O23" i="89"/>
  <c r="P23" i="89"/>
  <c r="B25" i="89"/>
  <c r="D25" i="89"/>
  <c r="F25" i="89"/>
  <c r="H25" i="89"/>
  <c r="J25" i="89"/>
  <c r="L25" i="89"/>
  <c r="M25" i="89"/>
  <c r="N25" i="89"/>
  <c r="O25" i="89"/>
  <c r="P25" i="89"/>
  <c r="B28" i="89"/>
  <c r="D28" i="89"/>
  <c r="F28" i="89"/>
  <c r="H28" i="89"/>
  <c r="J28" i="89"/>
  <c r="K28" i="89"/>
  <c r="L28" i="89"/>
  <c r="M28" i="89"/>
  <c r="N28" i="89"/>
  <c r="O28" i="89"/>
  <c r="P28" i="89"/>
  <c r="B31" i="89"/>
  <c r="D31" i="89"/>
  <c r="F31" i="89"/>
  <c r="H31" i="89"/>
  <c r="J31" i="89"/>
  <c r="K31" i="89"/>
  <c r="L31" i="89"/>
  <c r="M31" i="89"/>
  <c r="N31" i="89"/>
  <c r="O31" i="89"/>
  <c r="P31" i="89"/>
  <c r="B32" i="89"/>
  <c r="D32" i="89"/>
  <c r="F32" i="89"/>
  <c r="H32" i="89"/>
  <c r="J32" i="89"/>
  <c r="K32" i="89"/>
  <c r="L32" i="89"/>
  <c r="M32" i="89"/>
  <c r="N32" i="89"/>
  <c r="O32" i="89"/>
  <c r="P32" i="89"/>
  <c r="B33" i="89"/>
  <c r="D33" i="89"/>
  <c r="F33" i="89"/>
  <c r="H33" i="89"/>
  <c r="J33" i="89"/>
  <c r="K33" i="89"/>
  <c r="L33" i="89"/>
  <c r="M33" i="89"/>
  <c r="N33" i="89"/>
  <c r="O33" i="89"/>
  <c r="P33" i="89"/>
  <c r="B34" i="89"/>
  <c r="D34" i="89"/>
  <c r="F34" i="89"/>
  <c r="H34" i="89"/>
  <c r="J34" i="89"/>
  <c r="K34" i="89"/>
  <c r="L34" i="89"/>
  <c r="M34" i="89"/>
  <c r="N34" i="89"/>
  <c r="O34" i="89"/>
  <c r="P34" i="89"/>
  <c r="B35" i="89"/>
  <c r="D35" i="89"/>
  <c r="F35" i="89"/>
  <c r="H35" i="89"/>
  <c r="J35" i="89"/>
  <c r="K35" i="89"/>
  <c r="L35" i="89"/>
  <c r="M35" i="89"/>
  <c r="N35" i="89"/>
  <c r="O35" i="89"/>
  <c r="P35" i="89"/>
  <c r="B37" i="89"/>
  <c r="D37" i="89"/>
  <c r="F37" i="89"/>
  <c r="H37" i="89"/>
  <c r="J37" i="89"/>
  <c r="K37" i="89"/>
  <c r="L37" i="89"/>
  <c r="M37" i="89"/>
  <c r="N37" i="89"/>
  <c r="O37" i="89"/>
  <c r="P37" i="89"/>
  <c r="B39" i="89"/>
  <c r="D39" i="89"/>
  <c r="F39" i="89"/>
  <c r="H39" i="89"/>
  <c r="J39" i="89"/>
  <c r="K39" i="89"/>
  <c r="L39" i="89"/>
  <c r="M39" i="89"/>
  <c r="N39" i="89"/>
  <c r="O39" i="89"/>
  <c r="P39" i="89"/>
  <c r="B41" i="89"/>
  <c r="D41" i="89"/>
  <c r="F41" i="89"/>
  <c r="H41" i="89"/>
  <c r="J41" i="89"/>
  <c r="K41" i="89"/>
  <c r="L41" i="89"/>
  <c r="M41" i="89"/>
  <c r="N41" i="89"/>
  <c r="O41" i="89"/>
  <c r="P41" i="89"/>
  <c r="C50" i="89"/>
  <c r="D50" i="89"/>
  <c r="H50" i="89"/>
  <c r="L50" i="89"/>
  <c r="P50" i="89"/>
  <c r="R50" i="89"/>
  <c r="S50" i="89"/>
  <c r="T50" i="89"/>
  <c r="U50" i="89"/>
  <c r="C51" i="89"/>
  <c r="D51" i="89"/>
  <c r="H51" i="89"/>
  <c r="L51" i="89"/>
  <c r="P51" i="89"/>
  <c r="R51" i="89"/>
  <c r="S51" i="89"/>
  <c r="T51" i="89"/>
  <c r="U51" i="89"/>
  <c r="C52" i="89"/>
  <c r="D52" i="89"/>
  <c r="H52" i="89"/>
  <c r="L52" i="89"/>
  <c r="P52" i="89"/>
  <c r="R52" i="89"/>
  <c r="S52" i="89"/>
  <c r="T52" i="89"/>
  <c r="U52" i="89"/>
  <c r="B53" i="89"/>
  <c r="C53" i="89"/>
  <c r="D53" i="89"/>
  <c r="F53" i="89"/>
  <c r="H53" i="89"/>
  <c r="J53" i="89"/>
  <c r="L53" i="89"/>
  <c r="N53" i="89"/>
  <c r="P53" i="89"/>
  <c r="R53" i="89"/>
  <c r="S53" i="89"/>
  <c r="T53" i="89"/>
  <c r="U53" i="89"/>
  <c r="C54" i="89"/>
  <c r="D54" i="89"/>
  <c r="H54" i="89"/>
  <c r="L54" i="89"/>
  <c r="P54" i="89"/>
  <c r="R54" i="89"/>
  <c r="S54" i="89"/>
  <c r="T54" i="89"/>
  <c r="U54" i="89"/>
  <c r="B55" i="89"/>
  <c r="C55" i="89"/>
  <c r="D55" i="89"/>
  <c r="F55" i="89"/>
  <c r="H55" i="89"/>
  <c r="J55" i="89"/>
  <c r="L55" i="89"/>
  <c r="N55" i="89"/>
  <c r="P55" i="89"/>
  <c r="R55" i="89"/>
  <c r="S55" i="89"/>
  <c r="T55" i="89"/>
  <c r="U55" i="89"/>
  <c r="C58" i="89"/>
  <c r="D58" i="89"/>
  <c r="H58" i="89"/>
  <c r="L58" i="89"/>
  <c r="P58" i="89"/>
  <c r="R58" i="89"/>
  <c r="S58" i="89"/>
  <c r="T58" i="89"/>
  <c r="U58" i="89"/>
  <c r="C59" i="89"/>
  <c r="D59" i="89"/>
  <c r="H59" i="89"/>
  <c r="L59" i="89"/>
  <c r="P59" i="89"/>
  <c r="R59" i="89"/>
  <c r="S59" i="89"/>
  <c r="T59" i="89"/>
  <c r="U59" i="89"/>
  <c r="C60" i="89"/>
  <c r="D60" i="89"/>
  <c r="H60" i="89"/>
  <c r="L60" i="89"/>
  <c r="P60" i="89"/>
  <c r="R60" i="89"/>
  <c r="S60" i="89"/>
  <c r="T60" i="89"/>
  <c r="U60" i="89"/>
  <c r="B61" i="89"/>
  <c r="C61" i="89"/>
  <c r="D61" i="89"/>
  <c r="F61" i="89"/>
  <c r="H61" i="89"/>
  <c r="J61" i="89"/>
  <c r="L61" i="89"/>
  <c r="N61" i="89"/>
  <c r="P61" i="89"/>
  <c r="R61" i="89"/>
  <c r="S61" i="89"/>
  <c r="T61" i="89"/>
  <c r="U61" i="89"/>
  <c r="B63" i="89"/>
  <c r="C63" i="89"/>
  <c r="D63" i="89"/>
  <c r="F63" i="89"/>
  <c r="H63" i="89"/>
  <c r="J63" i="89"/>
  <c r="L63" i="89"/>
  <c r="N63" i="89"/>
  <c r="P63" i="89"/>
  <c r="R63" i="89"/>
  <c r="S63" i="89"/>
  <c r="T63" i="89"/>
  <c r="U63" i="89"/>
  <c r="C65" i="89"/>
  <c r="D65" i="89"/>
  <c r="H65" i="89"/>
  <c r="L65" i="89"/>
  <c r="R65" i="89"/>
  <c r="T65" i="89"/>
  <c r="U65" i="89"/>
  <c r="B68" i="89"/>
  <c r="C68" i="89"/>
  <c r="D68" i="89"/>
  <c r="F68" i="89"/>
  <c r="H68" i="89"/>
  <c r="J68" i="89"/>
  <c r="L68" i="89"/>
  <c r="N68" i="89"/>
  <c r="P68" i="89"/>
  <c r="R68" i="89"/>
  <c r="S68" i="89"/>
  <c r="T68" i="89"/>
  <c r="U68" i="89"/>
  <c r="C71" i="89"/>
  <c r="D71" i="89"/>
  <c r="H71" i="89"/>
  <c r="L71" i="89"/>
  <c r="P71" i="89"/>
  <c r="R71" i="89"/>
  <c r="S71" i="89"/>
  <c r="T71" i="89"/>
  <c r="U71" i="89"/>
  <c r="C72" i="89"/>
  <c r="D72" i="89"/>
  <c r="H72" i="89"/>
  <c r="L72" i="89"/>
  <c r="P72" i="89"/>
  <c r="R72" i="89"/>
  <c r="S72" i="89"/>
  <c r="T72" i="89"/>
  <c r="U72" i="89"/>
  <c r="C73" i="89"/>
  <c r="D73" i="89"/>
  <c r="H73" i="89"/>
  <c r="L73" i="89"/>
  <c r="P73" i="89"/>
  <c r="R73" i="89"/>
  <c r="S73" i="89"/>
  <c r="T73" i="89"/>
  <c r="U73" i="89"/>
  <c r="C74" i="89"/>
  <c r="D74" i="89"/>
  <c r="H74" i="89"/>
  <c r="L74" i="89"/>
  <c r="P74" i="89"/>
  <c r="R74" i="89"/>
  <c r="S74" i="89"/>
  <c r="T74" i="89"/>
  <c r="U74" i="89"/>
  <c r="B75" i="89"/>
  <c r="C75" i="89"/>
  <c r="D75" i="89"/>
  <c r="F75" i="89"/>
  <c r="H75" i="89"/>
  <c r="J75" i="89"/>
  <c r="L75" i="89"/>
  <c r="N75" i="89"/>
  <c r="P75" i="89"/>
  <c r="R75" i="89"/>
  <c r="S75" i="89"/>
  <c r="T75" i="89"/>
  <c r="U75" i="89"/>
  <c r="B77" i="89"/>
  <c r="C77" i="89"/>
  <c r="D77" i="89"/>
  <c r="F77" i="89"/>
  <c r="H77" i="89"/>
  <c r="J77" i="89"/>
  <c r="L77" i="89"/>
  <c r="N77" i="89"/>
  <c r="P77" i="89"/>
  <c r="R77" i="89"/>
  <c r="S77" i="89"/>
  <c r="T77" i="89"/>
  <c r="U77" i="89"/>
  <c r="D79" i="89"/>
  <c r="H79" i="89"/>
  <c r="L79" i="89"/>
  <c r="P79" i="89"/>
  <c r="R79" i="89"/>
  <c r="T79" i="89"/>
  <c r="U79" i="89"/>
  <c r="B81" i="89"/>
  <c r="C81" i="89"/>
  <c r="D81" i="89"/>
  <c r="F81" i="89"/>
  <c r="H81" i="89"/>
  <c r="J81" i="89"/>
  <c r="L81" i="89"/>
  <c r="N81" i="89"/>
  <c r="P81" i="89"/>
  <c r="R81" i="89"/>
  <c r="S81" i="89"/>
  <c r="T81" i="89"/>
  <c r="U81" i="89"/>
  <c r="B88" i="89"/>
  <c r="B89" i="89"/>
  <c r="B90" i="89"/>
  <c r="D90" i="89"/>
  <c r="F90" i="89"/>
  <c r="H90" i="89"/>
  <c r="B91" i="89"/>
  <c r="B92" i="89"/>
  <c r="D92" i="89"/>
  <c r="F92" i="89"/>
  <c r="H92" i="89"/>
  <c r="B95" i="89"/>
  <c r="B96" i="89"/>
  <c r="B97" i="89"/>
  <c r="B98" i="89"/>
  <c r="D98" i="89"/>
  <c r="F98" i="89"/>
  <c r="H98" i="89"/>
  <c r="B100" i="89"/>
  <c r="D100" i="89"/>
  <c r="F100" i="89"/>
  <c r="H100" i="89"/>
  <c r="B105" i="89"/>
  <c r="D105" i="89"/>
  <c r="F105" i="89"/>
  <c r="H105" i="89"/>
  <c r="B108" i="89"/>
  <c r="B109" i="89"/>
  <c r="B110" i="89"/>
  <c r="B111" i="89"/>
  <c r="B112" i="89"/>
  <c r="D112" i="89"/>
  <c r="F112" i="89"/>
  <c r="H112" i="89"/>
  <c r="B114" i="89"/>
  <c r="D114" i="89"/>
  <c r="F114" i="89"/>
  <c r="H114" i="89"/>
  <c r="B116" i="89"/>
  <c r="B118" i="89"/>
  <c r="D118" i="89"/>
  <c r="F118" i="89"/>
  <c r="H118" i="89"/>
  <c r="I10" i="86"/>
  <c r="K10" i="86"/>
  <c r="M10" i="86"/>
  <c r="O10" i="86"/>
  <c r="P10" i="86"/>
  <c r="I11" i="86"/>
  <c r="K11" i="86"/>
  <c r="M11" i="86"/>
  <c r="O11" i="86"/>
  <c r="P11" i="86"/>
  <c r="I12" i="86"/>
  <c r="K12" i="86"/>
  <c r="M12" i="86"/>
  <c r="O12" i="86"/>
  <c r="P12" i="86"/>
  <c r="F13" i="86"/>
  <c r="H13" i="86"/>
  <c r="J13" i="86"/>
  <c r="L13" i="86"/>
  <c r="M13" i="86"/>
  <c r="P13" i="86"/>
  <c r="I14" i="86"/>
  <c r="K14" i="86"/>
  <c r="L14" i="86"/>
  <c r="M14" i="86"/>
  <c r="O14" i="86"/>
  <c r="P14" i="86"/>
  <c r="B15" i="86"/>
  <c r="D15" i="86"/>
  <c r="F15" i="86"/>
  <c r="H15" i="86"/>
  <c r="I15" i="86"/>
  <c r="J15" i="86"/>
  <c r="K15" i="86"/>
  <c r="L15" i="86"/>
  <c r="M15" i="86"/>
  <c r="N15" i="86"/>
  <c r="O15" i="86"/>
  <c r="P15" i="86"/>
  <c r="I17" i="86"/>
  <c r="K17" i="86"/>
  <c r="I18" i="86"/>
  <c r="K18" i="86"/>
  <c r="L18" i="86"/>
  <c r="M18" i="86"/>
  <c r="O18" i="86"/>
  <c r="I19" i="86"/>
  <c r="K19" i="86"/>
  <c r="M19" i="86"/>
  <c r="O19" i="86"/>
  <c r="P19" i="86"/>
  <c r="I20" i="86"/>
  <c r="K20" i="86"/>
  <c r="M20" i="86"/>
  <c r="O20" i="86"/>
  <c r="P20" i="86"/>
  <c r="I21" i="86"/>
  <c r="K21" i="86"/>
  <c r="M21" i="86"/>
  <c r="O21" i="86"/>
  <c r="P21" i="86"/>
  <c r="B22" i="86"/>
  <c r="D22" i="86"/>
  <c r="F22" i="86"/>
  <c r="H22" i="86"/>
  <c r="I22" i="86"/>
  <c r="J22" i="86"/>
  <c r="K22" i="86"/>
  <c r="L22" i="86"/>
  <c r="M22" i="86"/>
  <c r="N22" i="86"/>
  <c r="O22" i="86"/>
  <c r="P22" i="86"/>
  <c r="I26" i="86"/>
  <c r="K26" i="86"/>
  <c r="M26" i="86"/>
  <c r="O26" i="86"/>
  <c r="P26" i="86"/>
  <c r="I27" i="86"/>
  <c r="K27" i="86"/>
  <c r="M27" i="86"/>
  <c r="O27" i="86"/>
  <c r="P27" i="86"/>
  <c r="I28" i="86"/>
  <c r="K28" i="86"/>
  <c r="M28" i="86"/>
  <c r="O28" i="86"/>
  <c r="P28" i="86"/>
  <c r="B29" i="86"/>
  <c r="D29" i="86"/>
  <c r="F29" i="86"/>
  <c r="H29" i="86"/>
  <c r="I29" i="86"/>
  <c r="J29" i="86"/>
  <c r="K29" i="86"/>
  <c r="L29" i="86"/>
  <c r="M29" i="86"/>
  <c r="N29" i="86"/>
  <c r="O29" i="86"/>
  <c r="P29" i="86"/>
  <c r="D32" i="86"/>
  <c r="F32" i="86"/>
  <c r="L32" i="86"/>
  <c r="B33" i="86"/>
  <c r="D33" i="86"/>
  <c r="F33" i="86"/>
  <c r="I34" i="86"/>
  <c r="K34" i="86"/>
  <c r="L34" i="86"/>
  <c r="M34" i="86"/>
  <c r="O34" i="86"/>
  <c r="P34" i="86"/>
  <c r="B35" i="86"/>
  <c r="D35" i="86"/>
  <c r="F35" i="86"/>
  <c r="H35" i="86"/>
  <c r="I35" i="86"/>
  <c r="J35" i="86"/>
  <c r="K35" i="86"/>
  <c r="L35" i="86"/>
  <c r="M35" i="86"/>
  <c r="N35" i="86"/>
  <c r="O35" i="86"/>
  <c r="P35" i="86"/>
  <c r="B38" i="86"/>
  <c r="D38" i="86"/>
  <c r="F38" i="86"/>
  <c r="H38" i="86"/>
  <c r="J38" i="86"/>
  <c r="L38" i="86"/>
  <c r="B39" i="86"/>
  <c r="H39" i="86"/>
  <c r="J39" i="86"/>
  <c r="L39" i="86"/>
  <c r="I40" i="86"/>
  <c r="K40" i="86"/>
  <c r="M40" i="86"/>
  <c r="O40" i="86"/>
  <c r="P40" i="86"/>
  <c r="B41" i="86"/>
  <c r="D41" i="86"/>
  <c r="F41" i="86"/>
  <c r="H41" i="86"/>
  <c r="I41" i="86"/>
  <c r="J41" i="86"/>
  <c r="K41" i="86"/>
  <c r="L41" i="86"/>
  <c r="M41" i="86"/>
  <c r="N41" i="86"/>
  <c r="O41" i="86"/>
  <c r="P41" i="86"/>
  <c r="I43" i="86"/>
  <c r="K43" i="86"/>
  <c r="M43" i="86"/>
  <c r="O43" i="86"/>
  <c r="P43" i="86"/>
  <c r="B44" i="86"/>
  <c r="D44" i="86"/>
  <c r="F44" i="86"/>
  <c r="H44" i="86"/>
  <c r="I44" i="86"/>
  <c r="J44" i="86"/>
  <c r="K44" i="86"/>
  <c r="L44" i="86"/>
  <c r="M44" i="86"/>
  <c r="N44" i="86"/>
  <c r="O44" i="86"/>
  <c r="P44" i="86"/>
  <c r="I47" i="86"/>
  <c r="K47" i="86"/>
  <c r="M47" i="86"/>
  <c r="O47" i="86"/>
  <c r="P47" i="86"/>
  <c r="I48" i="86"/>
  <c r="K48" i="86"/>
  <c r="L48" i="86"/>
  <c r="M48" i="86"/>
  <c r="O48" i="86"/>
  <c r="P48" i="86"/>
  <c r="I49" i="86"/>
  <c r="K49" i="86"/>
  <c r="I50" i="86"/>
  <c r="K50" i="86"/>
  <c r="L50" i="86"/>
  <c r="M50" i="86"/>
  <c r="O50" i="86"/>
  <c r="P50" i="86"/>
  <c r="B51" i="86"/>
  <c r="D51" i="86"/>
  <c r="F51" i="86"/>
  <c r="H51" i="86"/>
  <c r="I51" i="86"/>
  <c r="J51" i="86"/>
  <c r="K51" i="86"/>
  <c r="L51" i="86"/>
  <c r="M51" i="86"/>
  <c r="N51" i="86"/>
  <c r="O51" i="86"/>
  <c r="P51" i="86"/>
  <c r="B52" i="86"/>
  <c r="D52" i="86"/>
  <c r="F52" i="86"/>
  <c r="H52" i="86"/>
  <c r="I52" i="86"/>
  <c r="J52" i="86"/>
  <c r="K52" i="86"/>
  <c r="L52" i="86"/>
  <c r="M52" i="86"/>
  <c r="N52" i="86"/>
  <c r="O52" i="86"/>
  <c r="P52" i="86"/>
  <c r="J60" i="86"/>
  <c r="L60" i="86"/>
  <c r="P60" i="86"/>
  <c r="P61" i="86"/>
  <c r="J62" i="86"/>
  <c r="L62" i="86"/>
  <c r="B69" i="86"/>
  <c r="D69" i="86"/>
  <c r="F69" i="86"/>
  <c r="G69" i="86"/>
  <c r="H69" i="86"/>
  <c r="I69" i="86"/>
  <c r="J69" i="86"/>
  <c r="K69" i="86"/>
  <c r="L69" i="86"/>
  <c r="M69" i="86"/>
  <c r="O69" i="86"/>
  <c r="B70" i="86"/>
  <c r="B71" i="86"/>
  <c r="B72" i="86"/>
  <c r="B73" i="86"/>
  <c r="B75" i="86"/>
  <c r="B76" i="86"/>
  <c r="B77" i="86"/>
  <c r="B78" i="86"/>
  <c r="B80" i="86"/>
  <c r="D80" i="86"/>
  <c r="F80" i="86"/>
  <c r="G80" i="86"/>
  <c r="H80" i="86"/>
  <c r="I80" i="86"/>
  <c r="J80" i="86"/>
  <c r="K80" i="86"/>
  <c r="L80" i="86"/>
  <c r="M80" i="86"/>
  <c r="O80" i="86"/>
  <c r="B84" i="86"/>
  <c r="D84" i="86"/>
  <c r="F84" i="86"/>
  <c r="G84" i="86"/>
  <c r="H84" i="86"/>
  <c r="I84" i="86"/>
  <c r="J84" i="86"/>
  <c r="K84" i="86"/>
  <c r="L84" i="86"/>
  <c r="M84" i="86"/>
  <c r="O84" i="86"/>
  <c r="B86" i="86"/>
  <c r="B87" i="86"/>
  <c r="B88" i="86"/>
  <c r="B94" i="86"/>
  <c r="B95" i="86"/>
  <c r="B97" i="86"/>
  <c r="D97" i="86"/>
  <c r="F97" i="86"/>
  <c r="G97" i="86"/>
  <c r="H97" i="86"/>
  <c r="I97" i="86"/>
  <c r="J97" i="86"/>
  <c r="K97" i="86"/>
  <c r="L97" i="86"/>
  <c r="M97" i="86"/>
  <c r="O97" i="86"/>
  <c r="B98" i="86"/>
  <c r="B99" i="86"/>
  <c r="B100" i="86"/>
  <c r="B101" i="86"/>
  <c r="B103" i="86"/>
  <c r="B107" i="86"/>
  <c r="D107" i="86"/>
  <c r="F107" i="86"/>
  <c r="G107" i="86"/>
  <c r="H107" i="86"/>
  <c r="I107" i="86"/>
  <c r="J107" i="86"/>
  <c r="K107" i="86"/>
  <c r="L107" i="86"/>
  <c r="M107" i="86"/>
  <c r="O107" i="86"/>
  <c r="B108" i="86"/>
  <c r="B109" i="86"/>
  <c r="B110" i="86"/>
  <c r="B111" i="86"/>
  <c r="B113" i="86"/>
  <c r="B115" i="86"/>
  <c r="D115" i="86"/>
  <c r="F115" i="86"/>
  <c r="G115" i="86"/>
  <c r="H115" i="86"/>
  <c r="I115" i="86"/>
  <c r="J115" i="86"/>
  <c r="K115" i="86"/>
  <c r="L115" i="86"/>
  <c r="M115" i="86"/>
  <c r="O115" i="86"/>
  <c r="B120" i="86"/>
  <c r="D120" i="86"/>
  <c r="F120" i="86"/>
  <c r="H120" i="86"/>
  <c r="B121" i="86"/>
  <c r="B122" i="86"/>
  <c r="B124" i="86"/>
  <c r="B126" i="86"/>
  <c r="B128" i="86"/>
  <c r="D128" i="86"/>
  <c r="F128" i="86"/>
  <c r="H128" i="86"/>
  <c r="B129" i="86"/>
  <c r="B132" i="86"/>
  <c r="B134" i="86"/>
  <c r="B135" i="86"/>
  <c r="B136" i="86"/>
  <c r="B137" i="86"/>
  <c r="B143" i="86"/>
  <c r="D143" i="86"/>
  <c r="F143" i="86"/>
  <c r="H143" i="86"/>
  <c r="B145" i="86"/>
  <c r="B150" i="86"/>
  <c r="B154" i="86"/>
  <c r="B156" i="86"/>
  <c r="B158" i="86"/>
  <c r="D158" i="86"/>
  <c r="F158" i="86"/>
  <c r="H158" i="86"/>
  <c r="B159" i="86"/>
  <c r="B160" i="86"/>
  <c r="B161" i="86"/>
  <c r="B162" i="86"/>
  <c r="D162" i="86"/>
  <c r="F162" i="86"/>
  <c r="H162" i="86"/>
  <c r="B163" i="86"/>
  <c r="B164" i="86"/>
  <c r="B166" i="86"/>
  <c r="D166" i="86"/>
  <c r="F166" i="86"/>
  <c r="H166" i="86"/>
  <c r="B167" i="86"/>
  <c r="B168" i="86"/>
  <c r="B170" i="86"/>
  <c r="D170" i="86"/>
  <c r="F170" i="86"/>
  <c r="G170" i="86"/>
  <c r="H170" i="86"/>
  <c r="I170" i="86"/>
  <c r="J170" i="86"/>
  <c r="K170" i="86"/>
  <c r="L170" i="86"/>
  <c r="M170" i="86"/>
  <c r="O170" i="86"/>
  <c r="B12" i="90"/>
  <c r="C12" i="90"/>
  <c r="D12" i="90"/>
  <c r="F12" i="90"/>
  <c r="G12" i="90"/>
  <c r="I12" i="90"/>
  <c r="K12" i="90"/>
  <c r="B13" i="90"/>
  <c r="C13" i="90"/>
  <c r="D13" i="90"/>
  <c r="F13" i="90"/>
  <c r="B14" i="90"/>
  <c r="C14" i="90"/>
  <c r="D14" i="90"/>
  <c r="F14" i="90"/>
  <c r="G14" i="90"/>
  <c r="I14" i="90"/>
  <c r="B15" i="90"/>
  <c r="C15" i="90"/>
  <c r="D15" i="90"/>
  <c r="F15" i="90"/>
  <c r="G15" i="90"/>
  <c r="H15" i="90"/>
  <c r="I15" i="90"/>
  <c r="J15" i="90"/>
  <c r="K15" i="90"/>
  <c r="L15" i="90"/>
  <c r="B16" i="90"/>
  <c r="C16" i="90"/>
  <c r="D16" i="90"/>
  <c r="F16" i="90"/>
  <c r="G16" i="90"/>
  <c r="I16" i="90"/>
  <c r="K16" i="90"/>
  <c r="B17" i="90"/>
  <c r="C17" i="90"/>
  <c r="D17" i="90"/>
  <c r="F17" i="90"/>
  <c r="G17" i="90"/>
  <c r="H17" i="90"/>
  <c r="I17" i="90"/>
  <c r="J17" i="90"/>
  <c r="K17" i="90"/>
  <c r="L17" i="90"/>
  <c r="B20" i="90"/>
  <c r="C20" i="90"/>
  <c r="D20" i="90"/>
  <c r="F20" i="90"/>
  <c r="G20" i="90"/>
  <c r="I20" i="90"/>
  <c r="K20" i="90"/>
  <c r="B21" i="90"/>
  <c r="C21" i="90"/>
  <c r="D21" i="90"/>
  <c r="F21" i="90"/>
  <c r="G21" i="90"/>
  <c r="I21" i="90"/>
  <c r="B22" i="90"/>
  <c r="C22" i="90"/>
  <c r="D22" i="90"/>
  <c r="F22" i="90"/>
  <c r="G22" i="90"/>
  <c r="I22" i="90"/>
  <c r="K22" i="90"/>
  <c r="B23" i="90"/>
  <c r="C23" i="90"/>
  <c r="D23" i="90"/>
  <c r="F23" i="90"/>
  <c r="G23" i="90"/>
  <c r="H23" i="90"/>
  <c r="I23" i="90"/>
  <c r="J23" i="90"/>
  <c r="K23" i="90"/>
  <c r="L23" i="90"/>
  <c r="B25" i="90"/>
  <c r="C25" i="90"/>
  <c r="D25" i="90"/>
  <c r="F25" i="90"/>
  <c r="G25" i="90"/>
  <c r="H25" i="90"/>
  <c r="I25" i="90"/>
  <c r="J25" i="90"/>
  <c r="K25" i="90"/>
  <c r="L25" i="90"/>
  <c r="B27" i="90"/>
  <c r="C27" i="90"/>
  <c r="D27" i="90"/>
  <c r="F27" i="90"/>
  <c r="B30" i="90"/>
  <c r="C30" i="90"/>
  <c r="D30" i="90"/>
  <c r="F30" i="90"/>
  <c r="G30" i="90"/>
  <c r="H30" i="90"/>
  <c r="I30" i="90"/>
  <c r="J30" i="90"/>
  <c r="K30" i="90"/>
  <c r="L30" i="90"/>
  <c r="B33" i="90"/>
  <c r="C33" i="90"/>
  <c r="D33" i="90"/>
  <c r="F33" i="90"/>
  <c r="G33" i="90"/>
  <c r="I33" i="90"/>
  <c r="K33" i="90"/>
  <c r="B34" i="90"/>
  <c r="C34" i="90"/>
  <c r="D34" i="90"/>
  <c r="F34" i="90"/>
  <c r="G34" i="90"/>
  <c r="I34" i="90"/>
  <c r="K34" i="90"/>
  <c r="B35" i="90"/>
  <c r="C35" i="90"/>
  <c r="D35" i="90"/>
  <c r="F35" i="90"/>
  <c r="G35" i="90"/>
  <c r="I35" i="90"/>
  <c r="K35" i="90"/>
  <c r="B36" i="90"/>
  <c r="C36" i="90"/>
  <c r="D36" i="90"/>
  <c r="F36" i="90"/>
  <c r="G36" i="90"/>
  <c r="I36" i="90"/>
  <c r="K36" i="90"/>
  <c r="B37" i="90"/>
  <c r="C37" i="90"/>
  <c r="D37" i="90"/>
  <c r="F37" i="90"/>
  <c r="G37" i="90"/>
  <c r="H37" i="90"/>
  <c r="I37" i="90"/>
  <c r="J37" i="90"/>
  <c r="K37" i="90"/>
  <c r="L37" i="90"/>
  <c r="B39" i="90"/>
  <c r="C39" i="90"/>
  <c r="D39" i="90"/>
  <c r="F39" i="90"/>
  <c r="G39" i="90"/>
  <c r="H39" i="90"/>
  <c r="I39" i="90"/>
  <c r="J39" i="90"/>
  <c r="K39" i="90"/>
  <c r="L39" i="90"/>
  <c r="B41" i="90"/>
  <c r="D41" i="90"/>
  <c r="F41" i="90"/>
  <c r="G41" i="90"/>
  <c r="I41" i="90"/>
  <c r="K41" i="90"/>
  <c r="B43" i="90"/>
  <c r="C43" i="90"/>
  <c r="D43" i="90"/>
  <c r="F43" i="90"/>
  <c r="G43" i="90"/>
  <c r="H43" i="90"/>
  <c r="I43" i="90"/>
  <c r="J43" i="90"/>
  <c r="K43" i="90"/>
  <c r="L43" i="90"/>
  <c r="B10" i="93"/>
  <c r="C10" i="93"/>
  <c r="D10" i="93"/>
  <c r="F10" i="93"/>
  <c r="H10" i="93"/>
  <c r="J10" i="93"/>
  <c r="K10" i="93"/>
  <c r="L10" i="93"/>
  <c r="M10" i="93"/>
  <c r="N10" i="93"/>
  <c r="O10" i="93"/>
  <c r="P10" i="93"/>
  <c r="Q10" i="93"/>
  <c r="B11" i="93"/>
  <c r="C11" i="93"/>
  <c r="D11" i="93"/>
  <c r="F11" i="93"/>
  <c r="H11" i="93"/>
  <c r="J11" i="93"/>
  <c r="K11" i="93"/>
  <c r="L11" i="93"/>
  <c r="M11" i="93"/>
  <c r="N11" i="93"/>
  <c r="O11" i="93"/>
  <c r="P11" i="93"/>
  <c r="Q11" i="93"/>
  <c r="B12" i="93"/>
  <c r="C12" i="93"/>
  <c r="D12" i="93"/>
  <c r="F12" i="93"/>
  <c r="H12" i="93"/>
  <c r="J12" i="93"/>
  <c r="K12" i="93"/>
  <c r="L12" i="93"/>
  <c r="M12" i="93"/>
  <c r="N12" i="93"/>
  <c r="O12" i="93"/>
  <c r="P12" i="93"/>
  <c r="Q12" i="93"/>
  <c r="B13" i="93"/>
  <c r="C13" i="93"/>
  <c r="D13" i="93"/>
  <c r="F13" i="93"/>
  <c r="H13" i="93"/>
  <c r="J13" i="93"/>
  <c r="K13" i="93"/>
  <c r="L13" i="93"/>
  <c r="M13" i="93"/>
  <c r="N13" i="93"/>
  <c r="O13" i="93"/>
  <c r="P13" i="93"/>
  <c r="Q13" i="93"/>
  <c r="B14" i="93"/>
  <c r="C14" i="93"/>
  <c r="D14" i="93"/>
  <c r="F14" i="93"/>
  <c r="H14" i="93"/>
  <c r="J14" i="93"/>
  <c r="K14" i="93"/>
  <c r="L14" i="93"/>
  <c r="M14" i="93"/>
  <c r="N14" i="93"/>
  <c r="O14" i="93"/>
  <c r="P14" i="93"/>
  <c r="Q14" i="93"/>
  <c r="B15" i="93"/>
  <c r="C15" i="93"/>
  <c r="D15" i="93"/>
  <c r="F15" i="93"/>
  <c r="H15" i="93"/>
  <c r="J15" i="93"/>
  <c r="K15" i="93"/>
  <c r="L15" i="93"/>
  <c r="M15" i="93"/>
  <c r="N15" i="93"/>
  <c r="O15" i="93"/>
  <c r="P15" i="93"/>
  <c r="Q15" i="93"/>
  <c r="B17" i="93"/>
  <c r="C17" i="93"/>
  <c r="D17" i="93"/>
  <c r="F17" i="93"/>
  <c r="H17" i="93"/>
  <c r="J17" i="93"/>
  <c r="K17" i="93"/>
  <c r="L17" i="93"/>
  <c r="M17" i="93"/>
  <c r="N17" i="93"/>
  <c r="O17" i="93"/>
  <c r="P17" i="93"/>
  <c r="Q17" i="93"/>
  <c r="B18" i="93"/>
  <c r="C18" i="93"/>
  <c r="D18" i="93"/>
  <c r="F18" i="93"/>
  <c r="H18" i="93"/>
  <c r="J18" i="93"/>
  <c r="K18" i="93"/>
  <c r="L18" i="93"/>
  <c r="M18" i="93"/>
  <c r="N18" i="93"/>
  <c r="O18" i="93"/>
  <c r="P18" i="93"/>
  <c r="Q18" i="93"/>
  <c r="B19" i="93"/>
  <c r="C19" i="93"/>
  <c r="D19" i="93"/>
  <c r="F19" i="93"/>
  <c r="H19" i="93"/>
  <c r="J19" i="93"/>
  <c r="K19" i="93"/>
  <c r="L19" i="93"/>
  <c r="M19" i="93"/>
  <c r="N19" i="93"/>
  <c r="O19" i="93"/>
  <c r="P19" i="93"/>
  <c r="Q19" i="93"/>
  <c r="B20" i="93"/>
  <c r="C20" i="93"/>
  <c r="D20" i="93"/>
  <c r="F20" i="93"/>
  <c r="H20" i="93"/>
  <c r="J20" i="93"/>
  <c r="K20" i="93"/>
  <c r="L20" i="93"/>
  <c r="M20" i="93"/>
  <c r="N20" i="93"/>
  <c r="O20" i="93"/>
  <c r="P20" i="93"/>
  <c r="Q20" i="93"/>
  <c r="B21" i="93"/>
  <c r="C21" i="93"/>
  <c r="D21" i="93"/>
  <c r="F21" i="93"/>
  <c r="H21" i="93"/>
  <c r="J21" i="93"/>
  <c r="K21" i="93"/>
  <c r="L21" i="93"/>
  <c r="M21" i="93"/>
  <c r="N21" i="93"/>
  <c r="O21" i="93"/>
  <c r="P21" i="93"/>
  <c r="Q21" i="93"/>
  <c r="B22" i="93"/>
  <c r="C22" i="93"/>
  <c r="D22" i="93"/>
  <c r="F22" i="93"/>
  <c r="H22" i="93"/>
  <c r="J22" i="93"/>
  <c r="K22" i="93"/>
  <c r="L22" i="93"/>
  <c r="M22" i="93"/>
  <c r="N22" i="93"/>
  <c r="O22" i="93"/>
  <c r="P22" i="93"/>
  <c r="Q22" i="93"/>
  <c r="B26" i="93"/>
  <c r="C26" i="93"/>
  <c r="D26" i="93"/>
  <c r="F26" i="93"/>
  <c r="H26" i="93"/>
  <c r="J26" i="93"/>
  <c r="K26" i="93"/>
  <c r="L26" i="93"/>
  <c r="M26" i="93"/>
  <c r="N26" i="93"/>
  <c r="O26" i="93"/>
  <c r="P26" i="93"/>
  <c r="Q26" i="93"/>
  <c r="B27" i="93"/>
  <c r="C27" i="93"/>
  <c r="D27" i="93"/>
  <c r="F27" i="93"/>
  <c r="H27" i="93"/>
  <c r="J27" i="93"/>
  <c r="K27" i="93"/>
  <c r="L27" i="93"/>
  <c r="M27" i="93"/>
  <c r="N27" i="93"/>
  <c r="O27" i="93"/>
  <c r="P27" i="93"/>
  <c r="Q27" i="93"/>
  <c r="B28" i="93"/>
  <c r="C28" i="93"/>
  <c r="D28" i="93"/>
  <c r="F28" i="93"/>
  <c r="H28" i="93"/>
  <c r="J28" i="93"/>
  <c r="K28" i="93"/>
  <c r="L28" i="93"/>
  <c r="M28" i="93"/>
  <c r="N28" i="93"/>
  <c r="O28" i="93"/>
  <c r="P28" i="93"/>
  <c r="Q28" i="93"/>
  <c r="B29" i="93"/>
  <c r="C29" i="93"/>
  <c r="D29" i="93"/>
  <c r="F29" i="93"/>
  <c r="H29" i="93"/>
  <c r="J29" i="93"/>
  <c r="K29" i="93"/>
  <c r="L29" i="93"/>
  <c r="M29" i="93"/>
  <c r="N29" i="93"/>
  <c r="O29" i="93"/>
  <c r="P29" i="93"/>
  <c r="Q29" i="93"/>
  <c r="B32" i="93"/>
  <c r="C32" i="93"/>
  <c r="D32" i="93"/>
  <c r="F32" i="93"/>
  <c r="H32" i="93"/>
  <c r="J32" i="93"/>
  <c r="K32" i="93"/>
  <c r="L32" i="93"/>
  <c r="M32" i="93"/>
  <c r="N32" i="93"/>
  <c r="O32" i="93"/>
  <c r="P32" i="93"/>
  <c r="Q32" i="93"/>
  <c r="B33" i="93"/>
  <c r="C33" i="93"/>
  <c r="D33" i="93"/>
  <c r="F33" i="93"/>
  <c r="H33" i="93"/>
  <c r="J33" i="93"/>
  <c r="K33" i="93"/>
  <c r="L33" i="93"/>
  <c r="M33" i="93"/>
  <c r="N33" i="93"/>
  <c r="O33" i="93"/>
  <c r="P33" i="93"/>
  <c r="Q33" i="93"/>
  <c r="B34" i="93"/>
  <c r="C34" i="93"/>
  <c r="D34" i="93"/>
  <c r="F34" i="93"/>
  <c r="H34" i="93"/>
  <c r="J34" i="93"/>
  <c r="K34" i="93"/>
  <c r="L34" i="93"/>
  <c r="M34" i="93"/>
  <c r="N34" i="93"/>
  <c r="O34" i="93"/>
  <c r="P34" i="93"/>
  <c r="Q34" i="93"/>
  <c r="B35" i="93"/>
  <c r="C35" i="93"/>
  <c r="D35" i="93"/>
  <c r="F35" i="93"/>
  <c r="H35" i="93"/>
  <c r="J35" i="93"/>
  <c r="K35" i="93"/>
  <c r="L35" i="93"/>
  <c r="M35" i="93"/>
  <c r="N35" i="93"/>
  <c r="O35" i="93"/>
  <c r="P35" i="93"/>
  <c r="Q35" i="93"/>
  <c r="B38" i="93"/>
  <c r="C38" i="93"/>
  <c r="D38" i="93"/>
  <c r="F38" i="93"/>
  <c r="H38" i="93"/>
  <c r="J38" i="93"/>
  <c r="K38" i="93"/>
  <c r="L38" i="93"/>
  <c r="M38" i="93"/>
  <c r="N38" i="93"/>
  <c r="O38" i="93"/>
  <c r="P38" i="93"/>
  <c r="Q38" i="93"/>
  <c r="B39" i="93"/>
  <c r="C39" i="93"/>
  <c r="D39" i="93"/>
  <c r="F39" i="93"/>
  <c r="H39" i="93"/>
  <c r="J39" i="93"/>
  <c r="K39" i="93"/>
  <c r="L39" i="93"/>
  <c r="M39" i="93"/>
  <c r="N39" i="93"/>
  <c r="O39" i="93"/>
  <c r="P39" i="93"/>
  <c r="Q39" i="93"/>
  <c r="B40" i="93"/>
  <c r="C40" i="93"/>
  <c r="D40" i="93"/>
  <c r="F40" i="93"/>
  <c r="H40" i="93"/>
  <c r="J40" i="93"/>
  <c r="K40" i="93"/>
  <c r="L40" i="93"/>
  <c r="M40" i="93"/>
  <c r="N40" i="93"/>
  <c r="O40" i="93"/>
  <c r="P40" i="93"/>
  <c r="Q40" i="93"/>
  <c r="B41" i="93"/>
  <c r="C41" i="93"/>
  <c r="D41" i="93"/>
  <c r="F41" i="93"/>
  <c r="H41" i="93"/>
  <c r="J41" i="93"/>
  <c r="K41" i="93"/>
  <c r="L41" i="93"/>
  <c r="M41" i="93"/>
  <c r="N41" i="93"/>
  <c r="O41" i="93"/>
  <c r="P41" i="93"/>
  <c r="Q41" i="93"/>
  <c r="B43" i="93"/>
  <c r="C43" i="93"/>
  <c r="D43" i="93"/>
  <c r="F43" i="93"/>
  <c r="H43" i="93"/>
  <c r="J43" i="93"/>
  <c r="K43" i="93"/>
  <c r="L43" i="93"/>
  <c r="M43" i="93"/>
  <c r="N43" i="93"/>
  <c r="O43" i="93"/>
  <c r="P43" i="93"/>
  <c r="Q43" i="93"/>
  <c r="B44" i="93"/>
  <c r="C44" i="93"/>
  <c r="D44" i="93"/>
  <c r="F44" i="93"/>
  <c r="H44" i="93"/>
  <c r="J44" i="93"/>
  <c r="K44" i="93"/>
  <c r="L44" i="93"/>
  <c r="M44" i="93"/>
  <c r="N44" i="93"/>
  <c r="O44" i="93"/>
  <c r="P44" i="93"/>
  <c r="Q44" i="93"/>
  <c r="B47" i="93"/>
  <c r="C47" i="93"/>
  <c r="D47" i="93"/>
  <c r="F47" i="93"/>
  <c r="H47" i="93"/>
  <c r="J47" i="93"/>
  <c r="K47" i="93"/>
  <c r="L47" i="93"/>
  <c r="M47" i="93"/>
  <c r="N47" i="93"/>
  <c r="O47" i="93"/>
  <c r="P47" i="93"/>
  <c r="Q47" i="93"/>
  <c r="B48" i="93"/>
  <c r="C48" i="93"/>
  <c r="D48" i="93"/>
  <c r="F48" i="93"/>
  <c r="H48" i="93"/>
  <c r="J48" i="93"/>
  <c r="K48" i="93"/>
  <c r="L48" i="93"/>
  <c r="M48" i="93"/>
  <c r="N48" i="93"/>
  <c r="O48" i="93"/>
  <c r="P48" i="93"/>
  <c r="Q48" i="93"/>
  <c r="B49" i="93"/>
  <c r="C49" i="93"/>
  <c r="D49" i="93"/>
  <c r="F49" i="93"/>
  <c r="H49" i="93"/>
  <c r="K49" i="93"/>
  <c r="M49" i="93"/>
  <c r="O49" i="93"/>
  <c r="Q49" i="93"/>
  <c r="B50" i="93"/>
  <c r="C50" i="93"/>
  <c r="D50" i="93"/>
  <c r="F50" i="93"/>
  <c r="H50" i="93"/>
  <c r="J50" i="93"/>
  <c r="K50" i="93"/>
  <c r="L50" i="93"/>
  <c r="M50" i="93"/>
  <c r="N50" i="93"/>
  <c r="O50" i="93"/>
  <c r="P50" i="93"/>
  <c r="Q50" i="93"/>
  <c r="B51" i="93"/>
  <c r="C51" i="93"/>
  <c r="D51" i="93"/>
  <c r="F51" i="93"/>
  <c r="H51" i="93"/>
  <c r="J51" i="93"/>
  <c r="K51" i="93"/>
  <c r="L51" i="93"/>
  <c r="M51" i="93"/>
  <c r="N51" i="93"/>
  <c r="O51" i="93"/>
  <c r="P51" i="93"/>
  <c r="Q51" i="93"/>
  <c r="B52" i="93"/>
  <c r="C52" i="93"/>
  <c r="D52" i="93"/>
  <c r="F52" i="93"/>
  <c r="H52" i="93"/>
  <c r="J52" i="93"/>
  <c r="K52" i="93"/>
  <c r="L52" i="93"/>
  <c r="M52" i="93"/>
  <c r="N52" i="93"/>
  <c r="O52" i="93"/>
  <c r="P52" i="93"/>
  <c r="Q52" i="93"/>
  <c r="B57" i="93"/>
  <c r="D57" i="93"/>
  <c r="F57" i="93"/>
  <c r="H57" i="93"/>
  <c r="J57" i="93"/>
  <c r="L57" i="93"/>
  <c r="N57" i="93"/>
  <c r="P57" i="93"/>
  <c r="B58" i="93"/>
  <c r="D58" i="93"/>
  <c r="F58" i="93"/>
  <c r="H58" i="93"/>
  <c r="J58" i="93"/>
  <c r="L58" i="93"/>
  <c r="N58" i="93"/>
  <c r="P58" i="93"/>
  <c r="B59" i="93"/>
  <c r="D59" i="93"/>
  <c r="F59" i="93"/>
  <c r="H59" i="93"/>
  <c r="J59" i="93"/>
  <c r="L59" i="93"/>
  <c r="N59" i="93"/>
  <c r="P59" i="93"/>
  <c r="B61" i="93"/>
  <c r="D61" i="93"/>
  <c r="F61" i="93"/>
  <c r="H61" i="93"/>
  <c r="J61" i="93"/>
  <c r="L61" i="93"/>
  <c r="N61" i="93"/>
  <c r="P61" i="93"/>
  <c r="B62" i="93"/>
  <c r="D62" i="93"/>
  <c r="F62" i="93"/>
  <c r="H62" i="93"/>
  <c r="J62" i="93"/>
  <c r="L62" i="93"/>
  <c r="N62" i="93"/>
  <c r="P62" i="93"/>
  <c r="B63" i="93"/>
  <c r="D63" i="93"/>
  <c r="F63" i="93"/>
  <c r="H63" i="93"/>
  <c r="J63" i="93"/>
  <c r="L63" i="93"/>
  <c r="N63" i="93"/>
  <c r="P63" i="93"/>
  <c r="D10" i="94"/>
  <c r="E10" i="94"/>
  <c r="J10" i="94"/>
  <c r="K10" i="94"/>
  <c r="D11" i="94"/>
  <c r="E11" i="94"/>
  <c r="J11" i="94"/>
  <c r="K11" i="94"/>
  <c r="D12" i="94"/>
  <c r="E12" i="94"/>
  <c r="J12" i="94"/>
  <c r="K12" i="94"/>
  <c r="D13" i="94"/>
  <c r="J13" i="94"/>
  <c r="D14" i="94"/>
  <c r="E14" i="94"/>
  <c r="H14" i="94"/>
  <c r="J14" i="94"/>
  <c r="K14" i="94"/>
  <c r="B15" i="94"/>
  <c r="C15" i="94"/>
  <c r="D15" i="94"/>
  <c r="E15" i="94"/>
  <c r="H15" i="94"/>
  <c r="I15" i="94"/>
  <c r="J15" i="94"/>
  <c r="K15" i="94"/>
  <c r="D17" i="94"/>
  <c r="J17" i="94"/>
  <c r="D18" i="94"/>
  <c r="J18" i="94"/>
  <c r="D19" i="94"/>
  <c r="E19" i="94"/>
  <c r="J19" i="94"/>
  <c r="K19" i="94"/>
  <c r="D20" i="94"/>
  <c r="J20" i="94"/>
  <c r="D21" i="94"/>
  <c r="E21" i="94"/>
  <c r="J21" i="94"/>
  <c r="K21" i="94"/>
  <c r="B22" i="94"/>
  <c r="C22" i="94"/>
  <c r="D22" i="94"/>
  <c r="E22" i="94"/>
  <c r="H22" i="94"/>
  <c r="I22" i="94"/>
  <c r="J22" i="94"/>
  <c r="K22" i="94"/>
  <c r="D26" i="94"/>
  <c r="E26" i="94"/>
  <c r="J26" i="94"/>
  <c r="K26" i="94"/>
  <c r="D27" i="94"/>
  <c r="E27" i="94"/>
  <c r="J27" i="94"/>
  <c r="K27" i="94"/>
  <c r="D28" i="94"/>
  <c r="E28" i="94"/>
  <c r="J28" i="94"/>
  <c r="K28" i="94"/>
  <c r="B29" i="94"/>
  <c r="C29" i="94"/>
  <c r="D29" i="94"/>
  <c r="E29" i="94"/>
  <c r="H29" i="94"/>
  <c r="I29" i="94"/>
  <c r="J29" i="94"/>
  <c r="K29" i="94"/>
  <c r="D32" i="94"/>
  <c r="J32" i="94"/>
  <c r="K32" i="94"/>
  <c r="D33" i="94"/>
  <c r="J33" i="94"/>
  <c r="D34" i="94"/>
  <c r="E34" i="94"/>
  <c r="J34" i="94"/>
  <c r="K34" i="94"/>
  <c r="B35" i="94"/>
  <c r="C35" i="94"/>
  <c r="D35" i="94"/>
  <c r="E35" i="94"/>
  <c r="H35" i="94"/>
  <c r="I35" i="94"/>
  <c r="J35" i="94"/>
  <c r="K35" i="94"/>
  <c r="D38" i="94"/>
  <c r="J38" i="94"/>
  <c r="D39" i="94"/>
  <c r="J39" i="94"/>
  <c r="D40" i="94"/>
  <c r="E40" i="94"/>
  <c r="J40" i="94"/>
  <c r="K40" i="94"/>
  <c r="B41" i="94"/>
  <c r="C41" i="94"/>
  <c r="D41" i="94"/>
  <c r="E41" i="94"/>
  <c r="H41" i="94"/>
  <c r="I41" i="94"/>
  <c r="J41" i="94"/>
  <c r="K41" i="94"/>
  <c r="D43" i="94"/>
  <c r="E43" i="94"/>
  <c r="J43" i="94"/>
  <c r="K43" i="94"/>
  <c r="B44" i="94"/>
  <c r="C44" i="94"/>
  <c r="D44" i="94"/>
  <c r="E44" i="94"/>
  <c r="H44" i="94"/>
  <c r="I44" i="94"/>
  <c r="J44" i="94"/>
  <c r="K44" i="94"/>
  <c r="D47" i="94"/>
  <c r="E47" i="94"/>
  <c r="J47" i="94"/>
  <c r="K47" i="94"/>
  <c r="D48" i="94"/>
  <c r="J48" i="94"/>
  <c r="D49" i="94"/>
  <c r="D50" i="94"/>
  <c r="J50" i="94"/>
  <c r="B51" i="94"/>
  <c r="C51" i="94"/>
  <c r="D51" i="94"/>
  <c r="H51" i="94"/>
  <c r="I51" i="94"/>
  <c r="J51" i="94"/>
  <c r="B53" i="94"/>
  <c r="C53" i="94"/>
  <c r="D53" i="94"/>
  <c r="E53" i="94"/>
  <c r="H53" i="94"/>
  <c r="I53" i="94"/>
  <c r="J53" i="94"/>
  <c r="K53" i="94"/>
  <c r="B58" i="94"/>
  <c r="C58" i="94"/>
  <c r="D58" i="94"/>
  <c r="H58" i="94"/>
  <c r="I58" i="94"/>
  <c r="J58" i="94"/>
  <c r="B59" i="94"/>
  <c r="D59" i="94"/>
  <c r="H59" i="94"/>
  <c r="J59" i="94"/>
  <c r="B60" i="94"/>
  <c r="C60" i="94"/>
  <c r="D60" i="94"/>
  <c r="H60" i="94"/>
  <c r="I60" i="94"/>
  <c r="J60" i="94"/>
  <c r="B62" i="94"/>
  <c r="J62" i="94"/>
  <c r="B63" i="94"/>
  <c r="J63" i="94"/>
  <c r="B64" i="94"/>
  <c r="J64" i="94"/>
  <c r="B11" i="91"/>
  <c r="D11" i="91"/>
  <c r="F11" i="91"/>
  <c r="H11" i="91"/>
  <c r="I11" i="91"/>
  <c r="J11" i="91"/>
  <c r="K11" i="91"/>
  <c r="L11" i="91"/>
  <c r="M11" i="91"/>
  <c r="N11" i="91"/>
  <c r="O11" i="91"/>
  <c r="P11" i="91"/>
  <c r="B12" i="91"/>
  <c r="D12" i="91"/>
  <c r="F12" i="91"/>
  <c r="H12" i="91"/>
  <c r="I12" i="91"/>
  <c r="J12" i="91"/>
  <c r="B13" i="91"/>
  <c r="D13" i="91"/>
  <c r="F13" i="91"/>
  <c r="H13" i="91"/>
  <c r="I13" i="91"/>
  <c r="J13" i="91"/>
  <c r="K13" i="91"/>
  <c r="L13" i="91"/>
  <c r="M13" i="91"/>
  <c r="N13" i="91"/>
  <c r="O13" i="91"/>
  <c r="P13" i="91"/>
  <c r="B14" i="91"/>
  <c r="D14" i="91"/>
  <c r="F14" i="91"/>
  <c r="H14" i="91"/>
  <c r="I14" i="91"/>
  <c r="J14" i="91"/>
  <c r="K14" i="91"/>
  <c r="L14" i="91"/>
  <c r="M14" i="91"/>
  <c r="N14" i="91"/>
  <c r="O14" i="91"/>
  <c r="P14" i="91"/>
  <c r="B15" i="91"/>
  <c r="D15" i="91"/>
  <c r="F15" i="91"/>
  <c r="H15" i="91"/>
  <c r="I15" i="91"/>
  <c r="J15" i="91"/>
  <c r="K15" i="91"/>
  <c r="L15" i="91"/>
  <c r="M15" i="91"/>
  <c r="N15" i="91"/>
  <c r="O15" i="91"/>
  <c r="P15" i="91"/>
  <c r="B23" i="91"/>
  <c r="C23" i="91"/>
  <c r="D23" i="91"/>
  <c r="F23" i="91"/>
  <c r="H23" i="91"/>
  <c r="J23" i="91"/>
  <c r="L23" i="91"/>
  <c r="N23" i="91"/>
  <c r="P23" i="91"/>
  <c r="R23" i="91"/>
  <c r="S23" i="91"/>
  <c r="T23" i="91"/>
  <c r="B24" i="91"/>
  <c r="C24" i="91"/>
  <c r="D24" i="91"/>
  <c r="F24" i="91"/>
  <c r="H24" i="91"/>
  <c r="J24" i="91"/>
  <c r="L24" i="91"/>
  <c r="N24" i="91"/>
  <c r="P24" i="91"/>
  <c r="R24" i="91"/>
  <c r="S24" i="91"/>
  <c r="T24" i="91"/>
  <c r="B25" i="91"/>
  <c r="D25" i="91"/>
  <c r="F25" i="91"/>
  <c r="H25" i="91"/>
  <c r="J25" i="91"/>
  <c r="L25" i="91"/>
  <c r="N25" i="91"/>
  <c r="P25" i="91"/>
  <c r="R25" i="91"/>
  <c r="T25" i="91"/>
  <c r="B26" i="91"/>
  <c r="C26" i="91"/>
  <c r="D26" i="91"/>
  <c r="F26" i="91"/>
  <c r="H26" i="91"/>
  <c r="J26" i="91"/>
  <c r="L26" i="91"/>
  <c r="N26" i="91"/>
  <c r="P26" i="91"/>
  <c r="R26" i="91"/>
  <c r="S26" i="91"/>
  <c r="T26" i="91"/>
  <c r="B27" i="91"/>
  <c r="C27" i="91"/>
  <c r="D27" i="91"/>
  <c r="F27" i="91"/>
  <c r="H27" i="91"/>
  <c r="J27" i="91"/>
  <c r="L27" i="91"/>
  <c r="N27" i="91"/>
  <c r="P27" i="91"/>
  <c r="R27" i="91"/>
  <c r="S27" i="91"/>
  <c r="T27" i="91"/>
  <c r="B41" i="91"/>
  <c r="N41" i="91"/>
  <c r="O41" i="91"/>
  <c r="Q41" i="91"/>
  <c r="B43" i="91"/>
  <c r="N43" i="91"/>
  <c r="O43" i="91"/>
  <c r="Q43" i="91"/>
  <c r="B48" i="91"/>
  <c r="N48" i="91"/>
  <c r="O48" i="91"/>
  <c r="Q48" i="91"/>
  <c r="B51" i="91"/>
  <c r="N51" i="91"/>
  <c r="O51" i="91"/>
  <c r="Q51" i="91"/>
  <c r="B54" i="91"/>
  <c r="N54" i="91"/>
  <c r="O54" i="91"/>
  <c r="Q54" i="91"/>
  <c r="B58" i="91"/>
  <c r="N58" i="91"/>
  <c r="O58" i="91"/>
  <c r="Q58" i="91"/>
  <c r="B60" i="91"/>
  <c r="N60" i="91"/>
  <c r="O60" i="91"/>
  <c r="Q60" i="91"/>
  <c r="B63" i="91"/>
  <c r="N63" i="91"/>
  <c r="O63" i="91"/>
  <c r="Q63" i="91"/>
  <c r="B65" i="91"/>
  <c r="N65" i="91"/>
  <c r="O65" i="91"/>
  <c r="Q65" i="91"/>
  <c r="B67" i="91"/>
  <c r="N67" i="91"/>
  <c r="O67" i="91"/>
  <c r="Q67" i="91"/>
  <c r="B70" i="91"/>
  <c r="N70" i="91"/>
  <c r="O70" i="91"/>
  <c r="Q70" i="91"/>
  <c r="B73" i="91"/>
  <c r="N73" i="91"/>
  <c r="O73" i="91"/>
  <c r="B10" i="95"/>
  <c r="D10" i="95"/>
  <c r="F10" i="95"/>
  <c r="H10" i="95"/>
  <c r="J10" i="95"/>
  <c r="K10" i="95"/>
  <c r="L10" i="95"/>
  <c r="M10" i="95"/>
  <c r="N10" i="95"/>
  <c r="O10" i="95"/>
  <c r="P10" i="95"/>
  <c r="B11" i="95"/>
  <c r="D11" i="95"/>
  <c r="F11" i="95"/>
  <c r="H11" i="95"/>
  <c r="J11" i="95"/>
  <c r="K11" i="95"/>
  <c r="L11" i="95"/>
  <c r="M11" i="95"/>
  <c r="N11" i="95"/>
  <c r="O11" i="95"/>
  <c r="P11" i="95"/>
  <c r="B12" i="95"/>
  <c r="D12" i="95"/>
  <c r="F12" i="95"/>
  <c r="H12" i="95"/>
  <c r="J12" i="95"/>
  <c r="L12" i="95"/>
  <c r="N12" i="95"/>
  <c r="P12" i="95"/>
  <c r="B13" i="95"/>
  <c r="D13" i="95"/>
  <c r="F13" i="95"/>
  <c r="H13" i="95"/>
  <c r="J13" i="95"/>
  <c r="K13" i="95"/>
  <c r="L13" i="95"/>
  <c r="M13" i="95"/>
  <c r="N13" i="95"/>
  <c r="O13" i="95"/>
  <c r="P13" i="95"/>
  <c r="B14" i="95"/>
  <c r="D14" i="95"/>
  <c r="F14" i="95"/>
  <c r="H14" i="95"/>
  <c r="J14" i="95"/>
  <c r="K14" i="95"/>
  <c r="L14" i="95"/>
  <c r="M14" i="95"/>
  <c r="N14" i="95"/>
  <c r="O14" i="95"/>
  <c r="P14" i="95"/>
  <c r="B15" i="95"/>
  <c r="D15" i="95"/>
  <c r="F15" i="95"/>
  <c r="H15" i="95"/>
  <c r="J15" i="95"/>
  <c r="K15" i="95"/>
  <c r="L15" i="95"/>
  <c r="M15" i="95"/>
  <c r="N15" i="95"/>
  <c r="O15" i="95"/>
  <c r="P15" i="95"/>
  <c r="B18" i="95"/>
  <c r="D18" i="95"/>
  <c r="F18" i="95"/>
  <c r="H18" i="95"/>
  <c r="J18" i="95"/>
  <c r="K18" i="95"/>
  <c r="L18" i="95"/>
  <c r="M18" i="95"/>
  <c r="N18" i="95"/>
  <c r="O18" i="95"/>
  <c r="P18" i="95"/>
  <c r="B19" i="95"/>
  <c r="D19" i="95"/>
  <c r="F19" i="95"/>
  <c r="H19" i="95"/>
  <c r="J19" i="95"/>
  <c r="K19" i="95"/>
  <c r="L19" i="95"/>
  <c r="M19" i="95"/>
  <c r="N19" i="95"/>
  <c r="O19" i="95"/>
  <c r="P19" i="95"/>
  <c r="B20" i="95"/>
  <c r="D20" i="95"/>
  <c r="F20" i="95"/>
  <c r="H20" i="95"/>
  <c r="J20" i="95"/>
  <c r="K20" i="95"/>
  <c r="L20" i="95"/>
  <c r="M20" i="95"/>
  <c r="N20" i="95"/>
  <c r="O20" i="95"/>
  <c r="P20" i="95"/>
  <c r="B21" i="95"/>
  <c r="D21" i="95"/>
  <c r="F21" i="95"/>
  <c r="H21" i="95"/>
  <c r="J21" i="95"/>
  <c r="K21" i="95"/>
  <c r="L21" i="95"/>
  <c r="M21" i="95"/>
  <c r="N21" i="95"/>
  <c r="O21" i="95"/>
  <c r="P21" i="95"/>
  <c r="B23" i="95"/>
  <c r="D23" i="95"/>
  <c r="F23" i="95"/>
  <c r="H23" i="95"/>
  <c r="J23" i="95"/>
  <c r="K23" i="95"/>
  <c r="L23" i="95"/>
  <c r="M23" i="95"/>
  <c r="N23" i="95"/>
  <c r="O23" i="95"/>
  <c r="P23" i="95"/>
  <c r="B25" i="95"/>
  <c r="D25" i="95"/>
  <c r="F25" i="95"/>
  <c r="H25" i="95"/>
  <c r="J25" i="95"/>
  <c r="K25" i="95"/>
  <c r="L25" i="95"/>
  <c r="M25" i="95"/>
  <c r="N25" i="95"/>
  <c r="O25" i="95"/>
  <c r="P25" i="95"/>
  <c r="B28" i="95"/>
  <c r="D28" i="95"/>
  <c r="F28" i="95"/>
  <c r="H28" i="95"/>
  <c r="J28" i="95"/>
  <c r="K28" i="95"/>
  <c r="L28" i="95"/>
  <c r="M28" i="95"/>
  <c r="N28" i="95"/>
  <c r="O28" i="95"/>
  <c r="P28" i="95"/>
  <c r="B31" i="95"/>
  <c r="D31" i="95"/>
  <c r="F31" i="95"/>
  <c r="H31" i="95"/>
  <c r="J31" i="95"/>
  <c r="K31" i="95"/>
  <c r="L31" i="95"/>
  <c r="M31" i="95"/>
  <c r="N31" i="95"/>
  <c r="O31" i="95"/>
  <c r="P31" i="95"/>
  <c r="B32" i="95"/>
  <c r="D32" i="95"/>
  <c r="F32" i="95"/>
  <c r="H32" i="95"/>
  <c r="J32" i="95"/>
  <c r="K32" i="95"/>
  <c r="L32" i="95"/>
  <c r="M32" i="95"/>
  <c r="N32" i="95"/>
  <c r="O32" i="95"/>
  <c r="P32" i="95"/>
  <c r="B33" i="95"/>
  <c r="D33" i="95"/>
  <c r="F33" i="95"/>
  <c r="H33" i="95"/>
  <c r="J33" i="95"/>
  <c r="K33" i="95"/>
  <c r="L33" i="95"/>
  <c r="M33" i="95"/>
  <c r="N33" i="95"/>
  <c r="O33" i="95"/>
  <c r="P33" i="95"/>
  <c r="B34" i="95"/>
  <c r="D34" i="95"/>
  <c r="F34" i="95"/>
  <c r="H34" i="95"/>
  <c r="J34" i="95"/>
  <c r="K34" i="95"/>
  <c r="L34" i="95"/>
  <c r="M34" i="95"/>
  <c r="N34" i="95"/>
  <c r="O34" i="95"/>
  <c r="P34" i="95"/>
  <c r="B35" i="95"/>
  <c r="D35" i="95"/>
  <c r="F35" i="95"/>
  <c r="H35" i="95"/>
  <c r="J35" i="95"/>
  <c r="K35" i="95"/>
  <c r="L35" i="95"/>
  <c r="M35" i="95"/>
  <c r="N35" i="95"/>
  <c r="O35" i="95"/>
  <c r="P35" i="95"/>
  <c r="B37" i="95"/>
  <c r="D37" i="95"/>
  <c r="F37" i="95"/>
  <c r="H37" i="95"/>
  <c r="J37" i="95"/>
  <c r="K37" i="95"/>
  <c r="L37" i="95"/>
  <c r="M37" i="95"/>
  <c r="N37" i="95"/>
  <c r="O37" i="95"/>
  <c r="P37" i="95"/>
  <c r="B39" i="95"/>
  <c r="D39" i="95"/>
  <c r="F39" i="95"/>
  <c r="H39" i="95"/>
  <c r="J39" i="95"/>
  <c r="L39" i="95"/>
  <c r="M39" i="95"/>
  <c r="N39" i="95"/>
  <c r="O39" i="95"/>
  <c r="P39" i="95"/>
  <c r="B41" i="95"/>
  <c r="D41" i="95"/>
  <c r="F41" i="95"/>
  <c r="H41" i="95"/>
  <c r="J41" i="95"/>
  <c r="K41" i="95"/>
  <c r="L41" i="95"/>
  <c r="M41" i="95"/>
  <c r="N41" i="95"/>
  <c r="O41" i="95"/>
  <c r="P41" i="95"/>
  <c r="C50" i="95"/>
  <c r="D50" i="95"/>
  <c r="H50" i="95"/>
  <c r="L50" i="95"/>
  <c r="P50" i="95"/>
  <c r="R50" i="95"/>
  <c r="S50" i="95"/>
  <c r="T50" i="95"/>
  <c r="U50" i="95"/>
  <c r="C51" i="95"/>
  <c r="D51" i="95"/>
  <c r="H51" i="95"/>
  <c r="L51" i="95"/>
  <c r="P51" i="95"/>
  <c r="R51" i="95"/>
  <c r="S51" i="95"/>
  <c r="T51" i="95"/>
  <c r="U51" i="95"/>
  <c r="P52" i="95"/>
  <c r="R52" i="95"/>
  <c r="T52" i="95"/>
  <c r="U52" i="95"/>
  <c r="B53" i="95"/>
  <c r="C53" i="95"/>
  <c r="D53" i="95"/>
  <c r="F53" i="95"/>
  <c r="H53" i="95"/>
  <c r="J53" i="95"/>
  <c r="L53" i="95"/>
  <c r="N53" i="95"/>
  <c r="P53" i="95"/>
  <c r="R53" i="95"/>
  <c r="S53" i="95"/>
  <c r="T53" i="95"/>
  <c r="U53" i="95"/>
  <c r="C54" i="95"/>
  <c r="D54" i="95"/>
  <c r="H54" i="95"/>
  <c r="L54" i="95"/>
  <c r="P54" i="95"/>
  <c r="R54" i="95"/>
  <c r="S54" i="95"/>
  <c r="T54" i="95"/>
  <c r="U54" i="95"/>
  <c r="B55" i="95"/>
  <c r="C55" i="95"/>
  <c r="D55" i="95"/>
  <c r="F55" i="95"/>
  <c r="H55" i="95"/>
  <c r="J55" i="95"/>
  <c r="L55" i="95"/>
  <c r="N55" i="95"/>
  <c r="P55" i="95"/>
  <c r="R55" i="95"/>
  <c r="S55" i="95"/>
  <c r="T55" i="95"/>
  <c r="U55" i="95"/>
  <c r="C58" i="95"/>
  <c r="D58" i="95"/>
  <c r="H58" i="95"/>
  <c r="L58" i="95"/>
  <c r="P58" i="95"/>
  <c r="R58" i="95"/>
  <c r="S58" i="95"/>
  <c r="T58" i="95"/>
  <c r="U58" i="95"/>
  <c r="C59" i="95"/>
  <c r="D59" i="95"/>
  <c r="H59" i="95"/>
  <c r="L59" i="95"/>
  <c r="P59" i="95"/>
  <c r="R59" i="95"/>
  <c r="S59" i="95"/>
  <c r="T59" i="95"/>
  <c r="U59" i="95"/>
  <c r="C60" i="95"/>
  <c r="D60" i="95"/>
  <c r="H60" i="95"/>
  <c r="L60" i="95"/>
  <c r="P60" i="95"/>
  <c r="R60" i="95"/>
  <c r="S60" i="95"/>
  <c r="T60" i="95"/>
  <c r="U60" i="95"/>
  <c r="B61" i="95"/>
  <c r="C61" i="95"/>
  <c r="D61" i="95"/>
  <c r="F61" i="95"/>
  <c r="H61" i="95"/>
  <c r="J61" i="95"/>
  <c r="L61" i="95"/>
  <c r="N61" i="95"/>
  <c r="P61" i="95"/>
  <c r="R61" i="95"/>
  <c r="S61" i="95"/>
  <c r="T61" i="95"/>
  <c r="U61" i="95"/>
  <c r="B63" i="95"/>
  <c r="C63" i="95"/>
  <c r="D63" i="95"/>
  <c r="F63" i="95"/>
  <c r="H63" i="95"/>
  <c r="J63" i="95"/>
  <c r="L63" i="95"/>
  <c r="N63" i="95"/>
  <c r="P63" i="95"/>
  <c r="R63" i="95"/>
  <c r="S63" i="95"/>
  <c r="T63" i="95"/>
  <c r="U63" i="95"/>
  <c r="D65" i="95"/>
  <c r="R65" i="95"/>
  <c r="T65" i="95"/>
  <c r="U65" i="95"/>
  <c r="B68" i="95"/>
  <c r="C68" i="95"/>
  <c r="D68" i="95"/>
  <c r="F68" i="95"/>
  <c r="H68" i="95"/>
  <c r="J68" i="95"/>
  <c r="L68" i="95"/>
  <c r="N68" i="95"/>
  <c r="P68" i="95"/>
  <c r="R68" i="95"/>
  <c r="S68" i="95"/>
  <c r="T68" i="95"/>
  <c r="U68" i="95"/>
  <c r="C71" i="95"/>
  <c r="D71" i="95"/>
  <c r="H71" i="95"/>
  <c r="L71" i="95"/>
  <c r="P71" i="95"/>
  <c r="R71" i="95"/>
  <c r="S71" i="95"/>
  <c r="T71" i="95"/>
  <c r="U71" i="95"/>
  <c r="C72" i="95"/>
  <c r="D72" i="95"/>
  <c r="H72" i="95"/>
  <c r="L72" i="95"/>
  <c r="P72" i="95"/>
  <c r="R72" i="95"/>
  <c r="S72" i="95"/>
  <c r="T72" i="95"/>
  <c r="U72" i="95"/>
  <c r="C73" i="95"/>
  <c r="D73" i="95"/>
  <c r="H73" i="95"/>
  <c r="L73" i="95"/>
  <c r="P73" i="95"/>
  <c r="R73" i="95"/>
  <c r="S73" i="95"/>
  <c r="T73" i="95"/>
  <c r="U73" i="95"/>
  <c r="C74" i="95"/>
  <c r="D74" i="95"/>
  <c r="H74" i="95"/>
  <c r="L74" i="95"/>
  <c r="P74" i="95"/>
  <c r="R74" i="95"/>
  <c r="S74" i="95"/>
  <c r="T74" i="95"/>
  <c r="U74" i="95"/>
  <c r="B75" i="95"/>
  <c r="C75" i="95"/>
  <c r="D75" i="95"/>
  <c r="F75" i="95"/>
  <c r="H75" i="95"/>
  <c r="J75" i="95"/>
  <c r="L75" i="95"/>
  <c r="N75" i="95"/>
  <c r="P75" i="95"/>
  <c r="R75" i="95"/>
  <c r="S75" i="95"/>
  <c r="T75" i="95"/>
  <c r="U75" i="95"/>
  <c r="B77" i="95"/>
  <c r="C77" i="95"/>
  <c r="D77" i="95"/>
  <c r="F77" i="95"/>
  <c r="H77" i="95"/>
  <c r="J77" i="95"/>
  <c r="L77" i="95"/>
  <c r="N77" i="95"/>
  <c r="P77" i="95"/>
  <c r="R77" i="95"/>
  <c r="S77" i="95"/>
  <c r="T77" i="95"/>
  <c r="U77" i="95"/>
  <c r="D79" i="95"/>
  <c r="H79" i="95"/>
  <c r="L79" i="95"/>
  <c r="P79" i="95"/>
  <c r="R79" i="95"/>
  <c r="S79" i="95"/>
  <c r="T79" i="95"/>
  <c r="U79" i="95"/>
  <c r="B81" i="95"/>
  <c r="C81" i="95"/>
  <c r="D81" i="95"/>
  <c r="F81" i="95"/>
  <c r="H81" i="95"/>
  <c r="J81" i="95"/>
  <c r="L81" i="95"/>
  <c r="N81" i="95"/>
  <c r="P81" i="95"/>
  <c r="R81" i="95"/>
  <c r="S81" i="95"/>
  <c r="T81" i="95"/>
  <c r="U81" i="95"/>
  <c r="B88" i="95"/>
  <c r="B89" i="95"/>
  <c r="B90" i="95"/>
  <c r="D90" i="95"/>
  <c r="F90" i="95"/>
  <c r="H90" i="95"/>
  <c r="B91" i="95"/>
  <c r="B92" i="95"/>
  <c r="D92" i="95"/>
  <c r="F92" i="95"/>
  <c r="H92" i="95"/>
  <c r="B95" i="95"/>
  <c r="B96" i="95"/>
  <c r="B97" i="95"/>
  <c r="B98" i="95"/>
  <c r="D98" i="95"/>
  <c r="F98" i="95"/>
  <c r="H98" i="95"/>
  <c r="B100" i="95"/>
  <c r="D100" i="95"/>
  <c r="F100" i="95"/>
  <c r="H100" i="95"/>
  <c r="B102" i="95"/>
  <c r="B105" i="95"/>
  <c r="D105" i="95"/>
  <c r="F105" i="95"/>
  <c r="H105" i="95"/>
  <c r="B108" i="95"/>
  <c r="B109" i="95"/>
  <c r="B110" i="95"/>
  <c r="B111" i="95"/>
  <c r="B112" i="95"/>
  <c r="D112" i="95"/>
  <c r="F112" i="95"/>
  <c r="H112" i="95"/>
  <c r="B114" i="95"/>
  <c r="D114" i="95"/>
  <c r="F114" i="95"/>
  <c r="H114" i="95"/>
  <c r="B118" i="95"/>
  <c r="D118" i="95"/>
  <c r="F118" i="95"/>
  <c r="H118" i="95"/>
  <c r="I10" i="92"/>
  <c r="K10" i="92"/>
  <c r="M10" i="92"/>
  <c r="O10" i="92"/>
  <c r="P10" i="92"/>
  <c r="I11" i="92"/>
  <c r="K11" i="92"/>
  <c r="M11" i="92"/>
  <c r="O11" i="92"/>
  <c r="P11" i="92"/>
  <c r="I12" i="92"/>
  <c r="O12" i="92"/>
  <c r="B13" i="92"/>
  <c r="D13" i="92"/>
  <c r="F13" i="92"/>
  <c r="H13" i="92"/>
  <c r="J13" i="92"/>
  <c r="L13" i="92"/>
  <c r="I14" i="92"/>
  <c r="K14" i="92"/>
  <c r="L14" i="92"/>
  <c r="M14" i="92"/>
  <c r="O14" i="92"/>
  <c r="P14" i="92"/>
  <c r="B15" i="92"/>
  <c r="D15" i="92"/>
  <c r="F15" i="92"/>
  <c r="H15" i="92"/>
  <c r="I15" i="92"/>
  <c r="J15" i="92"/>
  <c r="K15" i="92"/>
  <c r="L15" i="92"/>
  <c r="M15" i="92"/>
  <c r="N15" i="92"/>
  <c r="O15" i="92"/>
  <c r="P15" i="92"/>
  <c r="I17" i="92"/>
  <c r="L17" i="92"/>
  <c r="D18" i="92"/>
  <c r="F18" i="92"/>
  <c r="H18" i="92"/>
  <c r="J18" i="92"/>
  <c r="L18" i="92"/>
  <c r="I19" i="92"/>
  <c r="K19" i="92"/>
  <c r="M19" i="92"/>
  <c r="O19" i="92"/>
  <c r="P19" i="92"/>
  <c r="I20" i="92"/>
  <c r="K20" i="92"/>
  <c r="M20" i="92"/>
  <c r="O20" i="92"/>
  <c r="P20" i="92"/>
  <c r="I21" i="92"/>
  <c r="K21" i="92"/>
  <c r="M21" i="92"/>
  <c r="O21" i="92"/>
  <c r="P21" i="92"/>
  <c r="B22" i="92"/>
  <c r="D22" i="92"/>
  <c r="F22" i="92"/>
  <c r="H22" i="92"/>
  <c r="I22" i="92"/>
  <c r="J22" i="92"/>
  <c r="K22" i="92"/>
  <c r="L22" i="92"/>
  <c r="M22" i="92"/>
  <c r="N22" i="92"/>
  <c r="O22" i="92"/>
  <c r="P22" i="92"/>
  <c r="I26" i="92"/>
  <c r="K26" i="92"/>
  <c r="M26" i="92"/>
  <c r="O26" i="92"/>
  <c r="P26" i="92"/>
  <c r="I27" i="92"/>
  <c r="K27" i="92"/>
  <c r="M27" i="92"/>
  <c r="O27" i="92"/>
  <c r="P27" i="92"/>
  <c r="I28" i="92"/>
  <c r="K28" i="92"/>
  <c r="M28" i="92"/>
  <c r="O28" i="92"/>
  <c r="P28" i="92"/>
  <c r="B29" i="92"/>
  <c r="D29" i="92"/>
  <c r="F29" i="92"/>
  <c r="H29" i="92"/>
  <c r="I29" i="92"/>
  <c r="J29" i="92"/>
  <c r="K29" i="92"/>
  <c r="L29" i="92"/>
  <c r="M29" i="92"/>
  <c r="N29" i="92"/>
  <c r="O29" i="92"/>
  <c r="P29" i="92"/>
  <c r="K32" i="92"/>
  <c r="M32" i="92"/>
  <c r="O32" i="92"/>
  <c r="P32" i="92"/>
  <c r="B33" i="92"/>
  <c r="D33" i="92"/>
  <c r="F33" i="92"/>
  <c r="H33" i="92"/>
  <c r="J33" i="92"/>
  <c r="L33" i="92"/>
  <c r="I34" i="92"/>
  <c r="K34" i="92"/>
  <c r="L34" i="92"/>
  <c r="M34" i="92"/>
  <c r="O34" i="92"/>
  <c r="P34" i="92"/>
  <c r="B35" i="92"/>
  <c r="D35" i="92"/>
  <c r="F35" i="92"/>
  <c r="H35" i="92"/>
  <c r="I35" i="92"/>
  <c r="J35" i="92"/>
  <c r="K35" i="92"/>
  <c r="L35" i="92"/>
  <c r="M35" i="92"/>
  <c r="N35" i="92"/>
  <c r="O35" i="92"/>
  <c r="P35" i="92"/>
  <c r="B38" i="92"/>
  <c r="D38" i="92"/>
  <c r="F38" i="92"/>
  <c r="H38" i="92"/>
  <c r="J38" i="92"/>
  <c r="L38" i="92"/>
  <c r="B39" i="92"/>
  <c r="D39" i="92"/>
  <c r="F39" i="92"/>
  <c r="H39" i="92"/>
  <c r="J39" i="92"/>
  <c r="L39" i="92"/>
  <c r="I40" i="92"/>
  <c r="K40" i="92"/>
  <c r="M40" i="92"/>
  <c r="O40" i="92"/>
  <c r="P40" i="92"/>
  <c r="B41" i="92"/>
  <c r="D41" i="92"/>
  <c r="F41" i="92"/>
  <c r="H41" i="92"/>
  <c r="I41" i="92"/>
  <c r="J41" i="92"/>
  <c r="K41" i="92"/>
  <c r="L41" i="92"/>
  <c r="M41" i="92"/>
  <c r="N41" i="92"/>
  <c r="O41" i="92"/>
  <c r="P41" i="92"/>
  <c r="I43" i="92"/>
  <c r="B44" i="92"/>
  <c r="D44" i="92"/>
  <c r="F44" i="92"/>
  <c r="H44" i="92"/>
  <c r="I44" i="92"/>
  <c r="J44" i="92"/>
  <c r="K44" i="92"/>
  <c r="L44" i="92"/>
  <c r="M44" i="92"/>
  <c r="N44" i="92"/>
  <c r="O44" i="92"/>
  <c r="P44" i="92"/>
  <c r="I47" i="92"/>
  <c r="K47" i="92"/>
  <c r="M47" i="92"/>
  <c r="N47" i="92"/>
  <c r="O47" i="92"/>
  <c r="P47" i="92"/>
  <c r="I48" i="92"/>
  <c r="K48" i="92"/>
  <c r="M48" i="92"/>
  <c r="N48" i="92"/>
  <c r="O48" i="92"/>
  <c r="P48" i="92"/>
  <c r="D49" i="92"/>
  <c r="F49" i="92"/>
  <c r="H49" i="92"/>
  <c r="J49" i="92"/>
  <c r="L49" i="92"/>
  <c r="I50" i="92"/>
  <c r="K50" i="92"/>
  <c r="L50" i="92"/>
  <c r="M50" i="92"/>
  <c r="O50" i="92"/>
  <c r="P50" i="92"/>
  <c r="B51" i="92"/>
  <c r="D51" i="92"/>
  <c r="F51" i="92"/>
  <c r="H51" i="92"/>
  <c r="I51" i="92"/>
  <c r="J51" i="92"/>
  <c r="K51" i="92"/>
  <c r="L51" i="92"/>
  <c r="M51" i="92"/>
  <c r="N51" i="92"/>
  <c r="O51" i="92"/>
  <c r="P51" i="92"/>
  <c r="B52" i="92"/>
  <c r="D52" i="92"/>
  <c r="F52" i="92"/>
  <c r="H52" i="92"/>
  <c r="I52" i="92"/>
  <c r="J52" i="92"/>
  <c r="K52" i="92"/>
  <c r="L52" i="92"/>
  <c r="M52" i="92"/>
  <c r="N52" i="92"/>
  <c r="O52" i="92"/>
  <c r="P52" i="92"/>
  <c r="P57" i="92"/>
  <c r="L58" i="92"/>
  <c r="P58" i="92"/>
  <c r="P60" i="92"/>
  <c r="P61" i="92"/>
  <c r="P62" i="92"/>
  <c r="B69" i="92"/>
  <c r="D69" i="92"/>
  <c r="E69" i="92"/>
  <c r="F69" i="92"/>
  <c r="G69" i="92"/>
  <c r="H69" i="92"/>
  <c r="I69" i="92"/>
  <c r="J69" i="92"/>
  <c r="K69" i="92"/>
  <c r="L69" i="92"/>
  <c r="M69" i="92"/>
  <c r="O69" i="92"/>
  <c r="B70" i="92"/>
  <c r="B71" i="92"/>
  <c r="B72" i="92"/>
  <c r="B73" i="92"/>
  <c r="B78" i="92"/>
  <c r="B80" i="92"/>
  <c r="D80" i="92"/>
  <c r="E80" i="92"/>
  <c r="F80" i="92"/>
  <c r="G80" i="92"/>
  <c r="H80" i="92"/>
  <c r="I80" i="92"/>
  <c r="J80" i="92"/>
  <c r="K80" i="92"/>
  <c r="L80" i="92"/>
  <c r="M80" i="92"/>
  <c r="O80" i="92"/>
  <c r="B84" i="92"/>
  <c r="D84" i="92"/>
  <c r="E84" i="92"/>
  <c r="F84" i="92"/>
  <c r="G84" i="92"/>
  <c r="H84" i="92"/>
  <c r="I84" i="92"/>
  <c r="J84" i="92"/>
  <c r="K84" i="92"/>
  <c r="L84" i="92"/>
  <c r="M84" i="92"/>
  <c r="O84" i="92"/>
  <c r="B86" i="92"/>
  <c r="B87" i="92"/>
  <c r="B89" i="92"/>
  <c r="B94" i="92"/>
  <c r="B95" i="92"/>
  <c r="B97" i="92"/>
  <c r="D97" i="92"/>
  <c r="E97" i="92"/>
  <c r="F97" i="92"/>
  <c r="G97" i="92"/>
  <c r="H97" i="92"/>
  <c r="I97" i="92"/>
  <c r="J97" i="92"/>
  <c r="K97" i="92"/>
  <c r="L97" i="92"/>
  <c r="M97" i="92"/>
  <c r="O97" i="92"/>
  <c r="B98" i="92"/>
  <c r="B99" i="92"/>
  <c r="B100" i="92"/>
  <c r="B103" i="92"/>
  <c r="B105" i="92"/>
  <c r="B107" i="92"/>
  <c r="D107" i="92"/>
  <c r="E107" i="92"/>
  <c r="F107" i="92"/>
  <c r="G107" i="92"/>
  <c r="H107" i="92"/>
  <c r="I107" i="92"/>
  <c r="J107" i="92"/>
  <c r="K107" i="92"/>
  <c r="L107" i="92"/>
  <c r="M107" i="92"/>
  <c r="O107" i="92"/>
  <c r="B108" i="92"/>
  <c r="B110" i="92"/>
  <c r="B111" i="92"/>
  <c r="B113" i="92"/>
  <c r="B115" i="92"/>
  <c r="D115" i="92"/>
  <c r="E115" i="92"/>
  <c r="F115" i="92"/>
  <c r="G115" i="92"/>
  <c r="H115" i="92"/>
  <c r="I115" i="92"/>
  <c r="J115" i="92"/>
  <c r="K115" i="92"/>
  <c r="L115" i="92"/>
  <c r="M115" i="92"/>
  <c r="O115" i="92"/>
  <c r="B120" i="92"/>
  <c r="D120" i="92"/>
  <c r="F120" i="92"/>
  <c r="H120" i="92"/>
  <c r="B121" i="92"/>
  <c r="B122" i="92"/>
  <c r="B124" i="92"/>
  <c r="B126" i="92"/>
  <c r="B128" i="92"/>
  <c r="D128" i="92"/>
  <c r="F128" i="92"/>
  <c r="H128" i="92"/>
  <c r="B129" i="92"/>
  <c r="B131" i="92"/>
  <c r="B132" i="92"/>
  <c r="B134" i="92"/>
  <c r="B136" i="92"/>
  <c r="B137" i="92"/>
  <c r="B139" i="92"/>
  <c r="B143" i="92"/>
  <c r="D143" i="92"/>
  <c r="F143" i="92"/>
  <c r="H143" i="92"/>
  <c r="B145" i="92"/>
  <c r="B150" i="92"/>
  <c r="B156" i="92"/>
  <c r="B158" i="92"/>
  <c r="D158" i="92"/>
  <c r="F158" i="92"/>
  <c r="H158" i="92"/>
  <c r="B159" i="92"/>
  <c r="B162" i="92"/>
  <c r="D162" i="92"/>
  <c r="F162" i="92"/>
  <c r="H162" i="92"/>
  <c r="B163" i="92"/>
  <c r="B166" i="92"/>
  <c r="D166" i="92"/>
  <c r="F166" i="92"/>
  <c r="H166" i="92"/>
  <c r="B167" i="92"/>
  <c r="B170" i="92"/>
  <c r="D170" i="92"/>
  <c r="E170" i="92"/>
  <c r="F170" i="92"/>
  <c r="G170" i="92"/>
  <c r="H170" i="92"/>
  <c r="I170" i="92"/>
  <c r="J170" i="92"/>
  <c r="K170" i="92"/>
  <c r="L170" i="92"/>
  <c r="M170" i="92"/>
  <c r="O170" i="92"/>
  <c r="B13" i="96"/>
  <c r="C13" i="96"/>
  <c r="D13" i="96"/>
  <c r="F13" i="96"/>
  <c r="G13" i="96"/>
  <c r="I13" i="96"/>
  <c r="K13" i="96"/>
  <c r="B14" i="96"/>
  <c r="C14" i="96"/>
  <c r="D14" i="96"/>
  <c r="F14" i="96"/>
  <c r="B15" i="96"/>
  <c r="D15" i="96"/>
  <c r="F15" i="96"/>
  <c r="B16" i="96"/>
  <c r="C16" i="96"/>
  <c r="D16" i="96"/>
  <c r="F16" i="96"/>
  <c r="G16" i="96"/>
  <c r="H16" i="96"/>
  <c r="I16" i="96"/>
  <c r="J16" i="96"/>
  <c r="K16" i="96"/>
  <c r="L16" i="96"/>
  <c r="B17" i="96"/>
  <c r="C17" i="96"/>
  <c r="D17" i="96"/>
  <c r="F17" i="96"/>
  <c r="G17" i="96"/>
  <c r="I17" i="96"/>
  <c r="K17" i="96"/>
  <c r="B18" i="96"/>
  <c r="C18" i="96"/>
  <c r="D18" i="96"/>
  <c r="F18" i="96"/>
  <c r="G18" i="96"/>
  <c r="H18" i="96"/>
  <c r="I18" i="96"/>
  <c r="J18" i="96"/>
  <c r="K18" i="96"/>
  <c r="L18" i="96"/>
  <c r="B21" i="96"/>
  <c r="C21" i="96"/>
  <c r="D21" i="96"/>
  <c r="F21" i="96"/>
  <c r="G21" i="96"/>
  <c r="I21" i="96"/>
  <c r="K21" i="96"/>
  <c r="B22" i="96"/>
  <c r="C22" i="96"/>
  <c r="D22" i="96"/>
  <c r="F22" i="96"/>
  <c r="G22" i="96"/>
  <c r="I22" i="96"/>
  <c r="K22" i="96"/>
  <c r="B23" i="96"/>
  <c r="C23" i="96"/>
  <c r="D23" i="96"/>
  <c r="F23" i="96"/>
  <c r="G23" i="96"/>
  <c r="I23" i="96"/>
  <c r="K23" i="96"/>
  <c r="B24" i="96"/>
  <c r="C24" i="96"/>
  <c r="D24" i="96"/>
  <c r="F24" i="96"/>
  <c r="G24" i="96"/>
  <c r="H24" i="96"/>
  <c r="I24" i="96"/>
  <c r="J24" i="96"/>
  <c r="K24" i="96"/>
  <c r="L24" i="96"/>
  <c r="B26" i="96"/>
  <c r="C26" i="96"/>
  <c r="D26" i="96"/>
  <c r="F26" i="96"/>
  <c r="G26" i="96"/>
  <c r="H26" i="96"/>
  <c r="I26" i="96"/>
  <c r="J26" i="96"/>
  <c r="K26" i="96"/>
  <c r="L26" i="96"/>
  <c r="B28" i="96"/>
  <c r="D28" i="96"/>
  <c r="F28" i="96"/>
  <c r="G28" i="96"/>
  <c r="I28" i="96"/>
  <c r="K28" i="96"/>
  <c r="B31" i="96"/>
  <c r="C31" i="96"/>
  <c r="D31" i="96"/>
  <c r="F31" i="96"/>
  <c r="G31" i="96"/>
  <c r="H31" i="96"/>
  <c r="I31" i="96"/>
  <c r="J31" i="96"/>
  <c r="K31" i="96"/>
  <c r="L31" i="96"/>
  <c r="B34" i="96"/>
  <c r="C34" i="96"/>
  <c r="D34" i="96"/>
  <c r="F34" i="96"/>
  <c r="G34" i="96"/>
  <c r="I34" i="96"/>
  <c r="K34" i="96"/>
  <c r="B35" i="96"/>
  <c r="C35" i="96"/>
  <c r="D35" i="96"/>
  <c r="F35" i="96"/>
  <c r="G35" i="96"/>
  <c r="I35" i="96"/>
  <c r="K35" i="96"/>
  <c r="B36" i="96"/>
  <c r="C36" i="96"/>
  <c r="D36" i="96"/>
  <c r="F36" i="96"/>
  <c r="G36" i="96"/>
  <c r="I36" i="96"/>
  <c r="K36" i="96"/>
  <c r="B37" i="96"/>
  <c r="C37" i="96"/>
  <c r="D37" i="96"/>
  <c r="F37" i="96"/>
  <c r="G37" i="96"/>
  <c r="I37" i="96"/>
  <c r="K37" i="96"/>
  <c r="B38" i="96"/>
  <c r="C38" i="96"/>
  <c r="D38" i="96"/>
  <c r="F38" i="96"/>
  <c r="G38" i="96"/>
  <c r="H38" i="96"/>
  <c r="I38" i="96"/>
  <c r="J38" i="96"/>
  <c r="K38" i="96"/>
  <c r="L38" i="96"/>
  <c r="B40" i="96"/>
  <c r="C40" i="96"/>
  <c r="D40" i="96"/>
  <c r="F40" i="96"/>
  <c r="G40" i="96"/>
  <c r="H40" i="96"/>
  <c r="I40" i="96"/>
  <c r="J40" i="96"/>
  <c r="K40" i="96"/>
  <c r="L40" i="96"/>
  <c r="B42" i="96"/>
  <c r="C42" i="96"/>
  <c r="D42" i="96"/>
  <c r="F42" i="96"/>
  <c r="G42" i="96"/>
  <c r="I42" i="96"/>
  <c r="K42" i="96"/>
  <c r="B44" i="96"/>
  <c r="C44" i="96"/>
  <c r="D44" i="96"/>
  <c r="F44" i="96"/>
  <c r="G44" i="96"/>
  <c r="H44" i="96"/>
  <c r="I44" i="96"/>
  <c r="J44" i="96"/>
  <c r="K44" i="96"/>
  <c r="L44" i="96"/>
  <c r="J34" i="18"/>
  <c r="P34" i="18"/>
  <c r="T34" i="18"/>
  <c r="V34" i="18"/>
  <c r="AA34" i="18"/>
  <c r="AC34" i="18"/>
  <c r="AE34" i="18"/>
  <c r="J36" i="18"/>
  <c r="L36" i="18"/>
  <c r="P36" i="18"/>
  <c r="T36" i="18"/>
  <c r="V36" i="18"/>
  <c r="AA36" i="18"/>
  <c r="AC36" i="18"/>
  <c r="AE36" i="18"/>
  <c r="J38" i="18"/>
  <c r="L38" i="18"/>
  <c r="P38" i="18"/>
  <c r="T38" i="18"/>
  <c r="V38" i="18"/>
  <c r="AA38" i="18"/>
  <c r="AC38" i="18"/>
  <c r="AE38" i="18"/>
  <c r="AA39" i="18"/>
  <c r="AA40" i="18"/>
  <c r="AE34" i="19"/>
  <c r="AE36" i="19"/>
  <c r="AE38" i="19"/>
  <c r="AE40" i="19"/>
  <c r="AE42" i="19"/>
  <c r="AE44" i="19"/>
  <c r="AE46" i="19"/>
  <c r="AE48" i="19"/>
  <c r="AE50" i="19"/>
  <c r="AE52" i="19"/>
  <c r="O6" i="21"/>
  <c r="O7" i="21"/>
  <c r="O8" i="21"/>
  <c r="B9" i="21"/>
  <c r="C9" i="21"/>
  <c r="D9" i="21"/>
  <c r="E9" i="21"/>
  <c r="F9" i="21"/>
  <c r="G9" i="21"/>
  <c r="H9" i="21"/>
  <c r="I9" i="21"/>
  <c r="J9" i="21"/>
  <c r="K9" i="21"/>
  <c r="L9" i="21"/>
  <c r="M9" i="21"/>
  <c r="N9" i="21"/>
  <c r="O9" i="21"/>
  <c r="C18" i="21"/>
  <c r="E18" i="21"/>
  <c r="F18" i="21"/>
  <c r="G18" i="21"/>
  <c r="H18" i="21"/>
  <c r="O18" i="21"/>
  <c r="C19" i="21"/>
  <c r="E19" i="21"/>
  <c r="F19" i="21"/>
  <c r="G19" i="21"/>
  <c r="H19" i="21"/>
  <c r="I19" i="21"/>
  <c r="O19" i="21"/>
  <c r="C20" i="21"/>
  <c r="E20" i="21"/>
  <c r="F20" i="21"/>
  <c r="G20" i="21"/>
  <c r="H20" i="21"/>
  <c r="I20" i="21"/>
  <c r="O20" i="21"/>
  <c r="B21" i="21"/>
  <c r="C21" i="21"/>
  <c r="D21" i="21"/>
  <c r="E21" i="21"/>
  <c r="F21" i="21"/>
  <c r="G21" i="21"/>
  <c r="H21" i="21"/>
  <c r="I21" i="21"/>
  <c r="J21" i="21"/>
  <c r="K21" i="21"/>
  <c r="L21" i="21"/>
  <c r="M21" i="21"/>
  <c r="N21" i="21"/>
  <c r="O21" i="21"/>
  <c r="C29" i="21"/>
  <c r="E29" i="21"/>
  <c r="G29" i="21"/>
  <c r="O29" i="21"/>
  <c r="C30" i="21"/>
  <c r="E30" i="21"/>
  <c r="G30" i="21"/>
  <c r="I30" i="21"/>
  <c r="O30" i="21"/>
  <c r="C31" i="21"/>
  <c r="E31" i="21"/>
  <c r="I31" i="21"/>
  <c r="O31" i="21"/>
  <c r="B32" i="21"/>
  <c r="C32" i="21"/>
  <c r="D32" i="21"/>
  <c r="E32" i="21"/>
  <c r="F32" i="21"/>
  <c r="G32" i="21"/>
  <c r="H32" i="21"/>
  <c r="I32" i="21"/>
  <c r="J32" i="21"/>
  <c r="L32" i="21"/>
  <c r="M32" i="21"/>
  <c r="N32" i="21"/>
  <c r="O32" i="21"/>
  <c r="E9" i="22"/>
  <c r="G9" i="22"/>
  <c r="I9" i="22"/>
  <c r="E10" i="22"/>
  <c r="G10" i="22"/>
  <c r="I10" i="22"/>
  <c r="E11" i="22"/>
  <c r="G11" i="22"/>
  <c r="I11" i="22"/>
  <c r="C12" i="22"/>
  <c r="D12" i="22"/>
  <c r="E12" i="22"/>
  <c r="F12" i="22"/>
  <c r="G12" i="22"/>
  <c r="H12" i="22"/>
  <c r="I12" i="22"/>
  <c r="E23" i="22"/>
  <c r="G23" i="22"/>
  <c r="I23" i="22"/>
  <c r="E24" i="22"/>
  <c r="G24" i="22"/>
  <c r="I24" i="22"/>
  <c r="E25" i="22"/>
  <c r="G25" i="22"/>
  <c r="I25" i="22"/>
  <c r="C26" i="22"/>
  <c r="D26" i="22"/>
  <c r="E26" i="22"/>
  <c r="F26" i="22"/>
  <c r="G26" i="22"/>
  <c r="H26" i="22"/>
  <c r="I26" i="22"/>
  <c r="E37" i="22"/>
  <c r="G37" i="22"/>
  <c r="I37" i="22"/>
  <c r="E38" i="22"/>
  <c r="G38" i="22"/>
  <c r="I38" i="22"/>
  <c r="E39" i="22"/>
  <c r="G39" i="22"/>
  <c r="I39" i="22"/>
  <c r="C40" i="22"/>
  <c r="D40" i="22"/>
  <c r="E40" i="22"/>
  <c r="F40" i="22"/>
  <c r="G40" i="22"/>
  <c r="H40" i="22"/>
  <c r="I40" i="22"/>
  <c r="D18" i="20"/>
  <c r="H18" i="20"/>
  <c r="J18" i="20"/>
  <c r="N18" i="20"/>
  <c r="P18" i="20"/>
  <c r="R18" i="20"/>
  <c r="T18" i="20"/>
  <c r="V18" i="20"/>
  <c r="X18" i="20"/>
  <c r="AA18" i="20"/>
  <c r="AC18" i="20"/>
  <c r="AD18" i="20"/>
  <c r="D20" i="20"/>
  <c r="H20" i="20"/>
  <c r="J20" i="20"/>
  <c r="L20" i="20"/>
  <c r="N20" i="20"/>
  <c r="P20" i="20"/>
  <c r="R20" i="20"/>
  <c r="T20" i="20"/>
  <c r="V20" i="20"/>
  <c r="X20" i="20"/>
  <c r="AA20" i="20"/>
  <c r="AC20" i="20"/>
  <c r="AD20" i="20"/>
  <c r="H22" i="20"/>
  <c r="J22" i="20"/>
  <c r="L22" i="20"/>
  <c r="N22" i="20"/>
  <c r="P22" i="20"/>
  <c r="R22" i="20"/>
  <c r="T22" i="20"/>
  <c r="V22" i="20"/>
  <c r="X22" i="20"/>
  <c r="AA22" i="20"/>
  <c r="AC22" i="20"/>
  <c r="AD22" i="20"/>
  <c r="H24" i="20"/>
  <c r="J24" i="20"/>
  <c r="L24" i="20"/>
  <c r="N24" i="20"/>
  <c r="P24" i="20"/>
  <c r="R24" i="20"/>
  <c r="T24" i="20"/>
  <c r="V24" i="20"/>
  <c r="X24" i="20"/>
  <c r="AA24" i="20"/>
  <c r="AC24" i="20"/>
  <c r="AD24" i="20"/>
  <c r="B26" i="20"/>
  <c r="H26" i="20"/>
  <c r="J26" i="20"/>
  <c r="L26" i="20"/>
  <c r="P26" i="20"/>
  <c r="R26" i="20"/>
  <c r="T26" i="20"/>
  <c r="V26" i="20"/>
  <c r="X26" i="20"/>
  <c r="AA26" i="20"/>
  <c r="AC26" i="20"/>
  <c r="AD26" i="20"/>
  <c r="H25" i="137"/>
  <c r="I25" i="137"/>
  <c r="K25" i="137"/>
  <c r="L25" i="137"/>
  <c r="M25" i="137"/>
  <c r="N25" i="137"/>
  <c r="H26" i="137"/>
  <c r="I26" i="137"/>
  <c r="H27" i="137"/>
  <c r="I27" i="137"/>
  <c r="K27" i="137"/>
  <c r="L27" i="137"/>
  <c r="M27" i="137"/>
  <c r="N27" i="137"/>
  <c r="H28" i="137"/>
  <c r="I28" i="137"/>
  <c r="K28" i="137"/>
  <c r="L28" i="137"/>
  <c r="M28" i="137"/>
  <c r="N28" i="137"/>
  <c r="H29" i="137"/>
  <c r="I29" i="137"/>
  <c r="K29" i="137"/>
  <c r="L29" i="137"/>
  <c r="M29" i="137"/>
  <c r="N29" i="137"/>
  <c r="H30" i="137"/>
  <c r="I30" i="137"/>
  <c r="K30" i="137"/>
  <c r="L30" i="137"/>
  <c r="M30" i="137"/>
  <c r="N30" i="137"/>
  <c r="H31" i="137"/>
  <c r="I31" i="137"/>
  <c r="K31" i="137"/>
  <c r="L31" i="137"/>
  <c r="M31" i="137"/>
  <c r="N31" i="137"/>
  <c r="H32" i="137"/>
  <c r="I32" i="137"/>
  <c r="K32" i="137"/>
  <c r="L32" i="137"/>
  <c r="M32" i="137"/>
  <c r="N32" i="137"/>
  <c r="H33" i="137"/>
  <c r="I33" i="137"/>
  <c r="K33" i="137"/>
  <c r="L33" i="137"/>
  <c r="M33" i="137"/>
  <c r="N33" i="137"/>
  <c r="H34" i="137"/>
  <c r="I34" i="137"/>
  <c r="K34" i="137"/>
  <c r="L34" i="137"/>
  <c r="M34" i="137"/>
  <c r="N34" i="137"/>
  <c r="H35" i="137"/>
  <c r="I35" i="137"/>
  <c r="K35" i="137"/>
  <c r="L35" i="137"/>
  <c r="M35" i="137"/>
  <c r="N35" i="137"/>
  <c r="H36" i="137"/>
  <c r="I36" i="137"/>
  <c r="K36" i="137"/>
  <c r="L36" i="137"/>
  <c r="M36" i="137"/>
  <c r="N36" i="137"/>
  <c r="H37" i="137"/>
  <c r="I37" i="137"/>
  <c r="K37" i="137"/>
  <c r="L37" i="137"/>
  <c r="M37" i="137"/>
  <c r="N37" i="137"/>
  <c r="B57" i="137"/>
  <c r="C57" i="137"/>
  <c r="D57" i="137"/>
  <c r="E57" i="137"/>
  <c r="B11" i="25"/>
  <c r="C11" i="25"/>
  <c r="F11" i="25"/>
  <c r="G11" i="25"/>
  <c r="J11" i="25"/>
  <c r="K11" i="25"/>
  <c r="N11" i="25"/>
  <c r="O11" i="25"/>
  <c r="B12" i="25"/>
  <c r="C12" i="25"/>
  <c r="F12" i="25"/>
  <c r="G12" i="25"/>
  <c r="J12" i="25"/>
  <c r="K12" i="25"/>
  <c r="N12" i="25"/>
  <c r="O12" i="25"/>
  <c r="B13" i="25"/>
  <c r="C13" i="25"/>
  <c r="F13" i="25"/>
  <c r="G13" i="25"/>
  <c r="J13" i="25"/>
  <c r="K13" i="25"/>
  <c r="N13" i="25"/>
  <c r="O13" i="25"/>
  <c r="B14" i="25"/>
  <c r="C14" i="25"/>
  <c r="F14" i="25"/>
  <c r="G14" i="25"/>
  <c r="J14" i="25"/>
  <c r="K14" i="25"/>
  <c r="N14" i="25"/>
  <c r="O14" i="25"/>
  <c r="B15" i="25"/>
  <c r="C15" i="25"/>
  <c r="F15" i="25"/>
  <c r="G15" i="25"/>
  <c r="J15" i="25"/>
  <c r="K15" i="25"/>
  <c r="N15" i="25"/>
  <c r="O15" i="25"/>
  <c r="B16" i="25"/>
  <c r="C16" i="25"/>
  <c r="F16" i="25"/>
  <c r="G16" i="25"/>
  <c r="J16" i="25"/>
  <c r="K16" i="25"/>
  <c r="N16" i="25"/>
  <c r="O16" i="25"/>
  <c r="B17" i="25"/>
  <c r="C17" i="25"/>
  <c r="F17" i="25"/>
  <c r="G17" i="25"/>
  <c r="J17" i="25"/>
  <c r="K17" i="25"/>
  <c r="N17" i="25"/>
  <c r="O17" i="25"/>
  <c r="B18" i="25"/>
  <c r="C18" i="25"/>
  <c r="F18" i="25"/>
  <c r="G18" i="25"/>
  <c r="J18" i="25"/>
  <c r="K18" i="25"/>
  <c r="N18" i="25"/>
  <c r="O18" i="25"/>
  <c r="B19" i="25"/>
  <c r="C19" i="25"/>
  <c r="F19" i="25"/>
  <c r="G19" i="25"/>
  <c r="J19" i="25"/>
  <c r="K19" i="25"/>
  <c r="N19" i="25"/>
  <c r="O19" i="25"/>
  <c r="B20" i="25"/>
  <c r="C20" i="25"/>
  <c r="F20" i="25"/>
  <c r="G20" i="25"/>
  <c r="J20" i="25"/>
  <c r="K20" i="25"/>
  <c r="N20" i="25"/>
  <c r="O20" i="25"/>
  <c r="B21" i="25"/>
  <c r="C21" i="25"/>
  <c r="F21" i="25"/>
  <c r="G21" i="25"/>
  <c r="J21" i="25"/>
  <c r="K21" i="25"/>
  <c r="N21" i="25"/>
  <c r="O21" i="25"/>
  <c r="B22" i="25"/>
  <c r="C22" i="25"/>
  <c r="F22" i="25"/>
  <c r="G22" i="25"/>
  <c r="J22" i="25"/>
  <c r="K22" i="25"/>
  <c r="N22" i="25"/>
  <c r="O22" i="25"/>
  <c r="B23" i="25"/>
  <c r="C23" i="25"/>
  <c r="F23" i="25"/>
  <c r="G23" i="25"/>
  <c r="J23" i="25"/>
  <c r="K23" i="25"/>
  <c r="N23" i="25"/>
  <c r="O23" i="25"/>
  <c r="B33" i="25"/>
  <c r="C33" i="25"/>
  <c r="F33" i="25"/>
  <c r="G33" i="25"/>
  <c r="J33" i="25"/>
  <c r="K33" i="25"/>
  <c r="N33" i="25"/>
  <c r="O33" i="25"/>
  <c r="B34" i="25"/>
  <c r="C34" i="25"/>
  <c r="F34" i="25"/>
  <c r="G34" i="25"/>
  <c r="J34" i="25"/>
  <c r="K34" i="25"/>
  <c r="N34" i="25"/>
  <c r="O34" i="25"/>
  <c r="B35" i="25"/>
  <c r="C35" i="25"/>
  <c r="F35" i="25"/>
  <c r="G35" i="25"/>
  <c r="J35" i="25"/>
  <c r="K35" i="25"/>
  <c r="N35" i="25"/>
  <c r="O35" i="25"/>
  <c r="B36" i="25"/>
  <c r="C36" i="25"/>
  <c r="F36" i="25"/>
  <c r="G36" i="25"/>
  <c r="J36" i="25"/>
  <c r="K36" i="25"/>
  <c r="N36" i="25"/>
  <c r="O36" i="25"/>
  <c r="B37" i="25"/>
  <c r="C37" i="25"/>
  <c r="F37" i="25"/>
  <c r="G37" i="25"/>
  <c r="J37" i="25"/>
  <c r="K37" i="25"/>
  <c r="N37" i="25"/>
  <c r="O37" i="25"/>
  <c r="B38" i="25"/>
  <c r="C38" i="25"/>
  <c r="F38" i="25"/>
  <c r="G38" i="25"/>
  <c r="J38" i="25"/>
  <c r="K38" i="25"/>
  <c r="N38" i="25"/>
  <c r="O38" i="25"/>
  <c r="B39" i="25"/>
  <c r="C39" i="25"/>
  <c r="F39" i="25"/>
  <c r="G39" i="25"/>
  <c r="J39" i="25"/>
  <c r="K39" i="25"/>
  <c r="N39" i="25"/>
  <c r="O39" i="25"/>
  <c r="B40" i="25"/>
  <c r="C40" i="25"/>
  <c r="F40" i="25"/>
  <c r="G40" i="25"/>
  <c r="J40" i="25"/>
  <c r="K40" i="25"/>
  <c r="N40" i="25"/>
  <c r="O40" i="25"/>
  <c r="B41" i="25"/>
  <c r="C41" i="25"/>
  <c r="F41" i="25"/>
  <c r="G41" i="25"/>
  <c r="J41" i="25"/>
  <c r="K41" i="25"/>
  <c r="N41" i="25"/>
  <c r="O41" i="25"/>
  <c r="B42" i="25"/>
  <c r="C42" i="25"/>
  <c r="F42" i="25"/>
  <c r="G42" i="25"/>
  <c r="J42" i="25"/>
  <c r="K42" i="25"/>
  <c r="N42" i="25"/>
  <c r="O42" i="25"/>
  <c r="B43" i="25"/>
  <c r="C43" i="25"/>
  <c r="F43" i="25"/>
  <c r="G43" i="25"/>
  <c r="J43" i="25"/>
  <c r="K43" i="25"/>
  <c r="N43" i="25"/>
  <c r="O43" i="25"/>
  <c r="B44" i="25"/>
  <c r="C44" i="25"/>
  <c r="F44" i="25"/>
  <c r="G44" i="25"/>
  <c r="J44" i="25"/>
  <c r="K44" i="25"/>
  <c r="N44" i="25"/>
  <c r="O44" i="25"/>
  <c r="B52" i="25"/>
  <c r="C52" i="25"/>
  <c r="F52" i="25"/>
  <c r="G52" i="25"/>
  <c r="J52" i="25"/>
  <c r="K52" i="25"/>
  <c r="O52" i="25"/>
  <c r="B53" i="25"/>
  <c r="C53" i="25"/>
  <c r="F53" i="25"/>
  <c r="G53" i="25"/>
  <c r="J53" i="25"/>
  <c r="K53" i="25"/>
  <c r="O53" i="25"/>
  <c r="B54" i="25"/>
  <c r="C54" i="25"/>
  <c r="F54" i="25"/>
  <c r="G54" i="25"/>
  <c r="J54" i="25"/>
  <c r="K54" i="25"/>
  <c r="O54" i="25"/>
  <c r="B55" i="25"/>
  <c r="C55" i="25"/>
  <c r="F55" i="25"/>
  <c r="G55" i="25"/>
  <c r="J55" i="25"/>
  <c r="K55" i="25"/>
  <c r="O55" i="25"/>
  <c r="B56" i="25"/>
  <c r="C56" i="25"/>
  <c r="F56" i="25"/>
  <c r="G56" i="25"/>
  <c r="J56" i="25"/>
  <c r="K56" i="25"/>
  <c r="O56" i="25"/>
  <c r="B57" i="25"/>
  <c r="C57" i="25"/>
  <c r="F57" i="25"/>
  <c r="G57" i="25"/>
  <c r="J57" i="25"/>
  <c r="K57" i="25"/>
  <c r="O57" i="25"/>
  <c r="B58" i="25"/>
  <c r="C58" i="25"/>
  <c r="F58" i="25"/>
  <c r="G58" i="25"/>
  <c r="J58" i="25"/>
  <c r="K58" i="25"/>
  <c r="O58" i="25"/>
  <c r="B59" i="25"/>
  <c r="C59" i="25"/>
  <c r="F59" i="25"/>
  <c r="G59" i="25"/>
  <c r="J59" i="25"/>
  <c r="K59" i="25"/>
  <c r="O59" i="25"/>
  <c r="B60" i="25"/>
  <c r="C60" i="25"/>
  <c r="F60" i="25"/>
  <c r="G60" i="25"/>
  <c r="J60" i="25"/>
  <c r="K60" i="25"/>
  <c r="O60" i="25"/>
  <c r="B61" i="25"/>
  <c r="C61" i="25"/>
  <c r="F61" i="25"/>
  <c r="G61" i="25"/>
  <c r="J61" i="25"/>
  <c r="K61" i="25"/>
  <c r="O61" i="25"/>
  <c r="B62" i="25"/>
  <c r="C62" i="25"/>
  <c r="F62" i="25"/>
  <c r="G62" i="25"/>
  <c r="J62" i="25"/>
  <c r="K62" i="25"/>
  <c r="O62" i="25"/>
  <c r="B63" i="25"/>
  <c r="C63" i="25"/>
  <c r="F63" i="25"/>
  <c r="G63" i="25"/>
  <c r="J63" i="25"/>
  <c r="K63" i="25"/>
  <c r="O63" i="25"/>
  <c r="B64" i="25"/>
  <c r="C64" i="25"/>
  <c r="F64" i="25"/>
  <c r="G64" i="25"/>
  <c r="J64" i="25"/>
  <c r="K64" i="25"/>
  <c r="O64" i="25"/>
  <c r="C65" i="25"/>
  <c r="G65" i="25"/>
  <c r="K65" i="25"/>
  <c r="O65" i="25"/>
  <c r="N71" i="25"/>
  <c r="N73" i="25"/>
  <c r="C39" i="135"/>
  <c r="D39" i="135"/>
  <c r="E39" i="135"/>
  <c r="F39" i="135"/>
  <c r="G39" i="135"/>
  <c r="H39" i="135"/>
  <c r="I39" i="135"/>
  <c r="J39" i="135"/>
  <c r="K39" i="135"/>
  <c r="L39" i="135"/>
  <c r="B10" i="99"/>
  <c r="C10" i="99"/>
  <c r="D10" i="99"/>
  <c r="F10" i="99"/>
  <c r="H10" i="99"/>
  <c r="J10" i="99"/>
  <c r="K10" i="99"/>
  <c r="L10" i="99"/>
  <c r="M10" i="99"/>
  <c r="N10" i="99"/>
  <c r="O10" i="99"/>
  <c r="P10" i="99"/>
  <c r="Q10" i="99"/>
  <c r="B11" i="99"/>
  <c r="C11" i="99"/>
  <c r="D11" i="99"/>
  <c r="F11" i="99"/>
  <c r="H11" i="99"/>
  <c r="J11" i="99"/>
  <c r="K11" i="99"/>
  <c r="L11" i="99"/>
  <c r="M11" i="99"/>
  <c r="N11" i="99"/>
  <c r="O11" i="99"/>
  <c r="P11" i="99"/>
  <c r="Q11" i="99"/>
  <c r="B12" i="99"/>
  <c r="C12" i="99"/>
  <c r="D12" i="99"/>
  <c r="F12" i="99"/>
  <c r="H12" i="99"/>
  <c r="J12" i="99"/>
  <c r="K12" i="99"/>
  <c r="L12" i="99"/>
  <c r="M12" i="99"/>
  <c r="N12" i="99"/>
  <c r="O12" i="99"/>
  <c r="P12" i="99"/>
  <c r="Q12" i="99"/>
  <c r="B13" i="99"/>
  <c r="C13" i="99"/>
  <c r="D13" i="99"/>
  <c r="F13" i="99"/>
  <c r="H13" i="99"/>
  <c r="J13" i="99"/>
  <c r="K13" i="99"/>
  <c r="L13" i="99"/>
  <c r="M13" i="99"/>
  <c r="N13" i="99"/>
  <c r="O13" i="99"/>
  <c r="P13" i="99"/>
  <c r="Q13" i="99"/>
  <c r="B14" i="99"/>
  <c r="C14" i="99"/>
  <c r="D14" i="99"/>
  <c r="F14" i="99"/>
  <c r="H14" i="99"/>
  <c r="J14" i="99"/>
  <c r="K14" i="99"/>
  <c r="L14" i="99"/>
  <c r="M14" i="99"/>
  <c r="N14" i="99"/>
  <c r="O14" i="99"/>
  <c r="P14" i="99"/>
  <c r="Q14" i="99"/>
  <c r="B15" i="99"/>
  <c r="C15" i="99"/>
  <c r="D15" i="99"/>
  <c r="F15" i="99"/>
  <c r="H15" i="99"/>
  <c r="J15" i="99"/>
  <c r="K15" i="99"/>
  <c r="L15" i="99"/>
  <c r="M15" i="99"/>
  <c r="N15" i="99"/>
  <c r="O15" i="99"/>
  <c r="P15" i="99"/>
  <c r="Q15" i="99"/>
  <c r="B17" i="99"/>
  <c r="C17" i="99"/>
  <c r="D17" i="99"/>
  <c r="F17" i="99"/>
  <c r="H17" i="99"/>
  <c r="J17" i="99"/>
  <c r="K17" i="99"/>
  <c r="L17" i="99"/>
  <c r="N17" i="99"/>
  <c r="P17" i="99"/>
  <c r="B18" i="99"/>
  <c r="C18" i="99"/>
  <c r="D18" i="99"/>
  <c r="F18" i="99"/>
  <c r="H18" i="99"/>
  <c r="J18" i="99"/>
  <c r="K18" i="99"/>
  <c r="L18" i="99"/>
  <c r="M18" i="99"/>
  <c r="N18" i="99"/>
  <c r="O18" i="99"/>
  <c r="P18" i="99"/>
  <c r="Q18" i="99"/>
  <c r="B19" i="99"/>
  <c r="C19" i="99"/>
  <c r="D19" i="99"/>
  <c r="F19" i="99"/>
  <c r="H19" i="99"/>
  <c r="J19" i="99"/>
  <c r="K19" i="99"/>
  <c r="L19" i="99"/>
  <c r="M19" i="99"/>
  <c r="N19" i="99"/>
  <c r="O19" i="99"/>
  <c r="P19" i="99"/>
  <c r="Q19" i="99"/>
  <c r="B20" i="99"/>
  <c r="C20" i="99"/>
  <c r="D20" i="99"/>
  <c r="F20" i="99"/>
  <c r="H20" i="99"/>
  <c r="J20" i="99"/>
  <c r="K20" i="99"/>
  <c r="L20" i="99"/>
  <c r="M20" i="99"/>
  <c r="N20" i="99"/>
  <c r="O20" i="99"/>
  <c r="P20" i="99"/>
  <c r="Q20" i="99"/>
  <c r="B21" i="99"/>
  <c r="C21" i="99"/>
  <c r="D21" i="99"/>
  <c r="F21" i="99"/>
  <c r="H21" i="99"/>
  <c r="J21" i="99"/>
  <c r="K21" i="99"/>
  <c r="L21" i="99"/>
  <c r="M21" i="99"/>
  <c r="N21" i="99"/>
  <c r="O21" i="99"/>
  <c r="P21" i="99"/>
  <c r="Q21" i="99"/>
  <c r="B22" i="99"/>
  <c r="C22" i="99"/>
  <c r="D22" i="99"/>
  <c r="F22" i="99"/>
  <c r="H22" i="99"/>
  <c r="J22" i="99"/>
  <c r="K22" i="99"/>
  <c r="L22" i="99"/>
  <c r="M22" i="99"/>
  <c r="N22" i="99"/>
  <c r="O22" i="99"/>
  <c r="P22" i="99"/>
  <c r="Q22" i="99"/>
  <c r="B26" i="99"/>
  <c r="C26" i="99"/>
  <c r="D26" i="99"/>
  <c r="F26" i="99"/>
  <c r="H26" i="99"/>
  <c r="J26" i="99"/>
  <c r="K26" i="99"/>
  <c r="L26" i="99"/>
  <c r="M26" i="99"/>
  <c r="N26" i="99"/>
  <c r="O26" i="99"/>
  <c r="P26" i="99"/>
  <c r="Q26" i="99"/>
  <c r="B27" i="99"/>
  <c r="C27" i="99"/>
  <c r="D27" i="99"/>
  <c r="F27" i="99"/>
  <c r="H27" i="99"/>
  <c r="J27" i="99"/>
  <c r="K27" i="99"/>
  <c r="L27" i="99"/>
  <c r="M27" i="99"/>
  <c r="N27" i="99"/>
  <c r="O27" i="99"/>
  <c r="P27" i="99"/>
  <c r="Q27" i="99"/>
  <c r="B28" i="99"/>
  <c r="C28" i="99"/>
  <c r="D28" i="99"/>
  <c r="F28" i="99"/>
  <c r="H28" i="99"/>
  <c r="J28" i="99"/>
  <c r="K28" i="99"/>
  <c r="L28" i="99"/>
  <c r="M28" i="99"/>
  <c r="N28" i="99"/>
  <c r="O28" i="99"/>
  <c r="P28" i="99"/>
  <c r="Q28" i="99"/>
  <c r="B29" i="99"/>
  <c r="C29" i="99"/>
  <c r="D29" i="99"/>
  <c r="F29" i="99"/>
  <c r="H29" i="99"/>
  <c r="J29" i="99"/>
  <c r="K29" i="99"/>
  <c r="L29" i="99"/>
  <c r="M29" i="99"/>
  <c r="N29" i="99"/>
  <c r="O29" i="99"/>
  <c r="P29" i="99"/>
  <c r="Q29" i="99"/>
  <c r="B32" i="99"/>
  <c r="C32" i="99"/>
  <c r="D32" i="99"/>
  <c r="F32" i="99"/>
  <c r="H32" i="99"/>
  <c r="J32" i="99"/>
  <c r="K32" i="99"/>
  <c r="L32" i="99"/>
  <c r="M32" i="99"/>
  <c r="N32" i="99"/>
  <c r="O32" i="99"/>
  <c r="P32" i="99"/>
  <c r="Q32" i="99"/>
  <c r="B33" i="99"/>
  <c r="C33" i="99"/>
  <c r="D33" i="99"/>
  <c r="F33" i="99"/>
  <c r="H33" i="99"/>
  <c r="J33" i="99"/>
  <c r="K33" i="99"/>
  <c r="L33" i="99"/>
  <c r="M33" i="99"/>
  <c r="N33" i="99"/>
  <c r="O33" i="99"/>
  <c r="P33" i="99"/>
  <c r="Q33" i="99"/>
  <c r="B34" i="99"/>
  <c r="C34" i="99"/>
  <c r="D34" i="99"/>
  <c r="F34" i="99"/>
  <c r="H34" i="99"/>
  <c r="J34" i="99"/>
  <c r="K34" i="99"/>
  <c r="L34" i="99"/>
  <c r="M34" i="99"/>
  <c r="N34" i="99"/>
  <c r="O34" i="99"/>
  <c r="P34" i="99"/>
  <c r="Q34" i="99"/>
  <c r="B35" i="99"/>
  <c r="C35" i="99"/>
  <c r="D35" i="99"/>
  <c r="F35" i="99"/>
  <c r="H35" i="99"/>
  <c r="J35" i="99"/>
  <c r="K35" i="99"/>
  <c r="L35" i="99"/>
  <c r="M35" i="99"/>
  <c r="N35" i="99"/>
  <c r="O35" i="99"/>
  <c r="P35" i="99"/>
  <c r="Q35" i="99"/>
  <c r="B38" i="99"/>
  <c r="C38" i="99"/>
  <c r="D38" i="99"/>
  <c r="F38" i="99"/>
  <c r="H38" i="99"/>
  <c r="J38" i="99"/>
  <c r="K38" i="99"/>
  <c r="L38" i="99"/>
  <c r="M38" i="99"/>
  <c r="N38" i="99"/>
  <c r="O38" i="99"/>
  <c r="P38" i="99"/>
  <c r="Q38" i="99"/>
  <c r="B39" i="99"/>
  <c r="C39" i="99"/>
  <c r="D39" i="99"/>
  <c r="F39" i="99"/>
  <c r="H39" i="99"/>
  <c r="J39" i="99"/>
  <c r="K39" i="99"/>
  <c r="L39" i="99"/>
  <c r="M39" i="99"/>
  <c r="N39" i="99"/>
  <c r="O39" i="99"/>
  <c r="P39" i="99"/>
  <c r="Q39" i="99"/>
  <c r="B40" i="99"/>
  <c r="C40" i="99"/>
  <c r="D40" i="99"/>
  <c r="F40" i="99"/>
  <c r="H40" i="99"/>
  <c r="J40" i="99"/>
  <c r="K40" i="99"/>
  <c r="L40" i="99"/>
  <c r="M40" i="99"/>
  <c r="N40" i="99"/>
  <c r="O40" i="99"/>
  <c r="P40" i="99"/>
  <c r="Q40" i="99"/>
  <c r="B41" i="99"/>
  <c r="C41" i="99"/>
  <c r="D41" i="99"/>
  <c r="F41" i="99"/>
  <c r="H41" i="99"/>
  <c r="J41" i="99"/>
  <c r="K41" i="99"/>
  <c r="L41" i="99"/>
  <c r="M41" i="99"/>
  <c r="N41" i="99"/>
  <c r="O41" i="99"/>
  <c r="P41" i="99"/>
  <c r="Q41" i="99"/>
  <c r="B43" i="99"/>
  <c r="C43" i="99"/>
  <c r="D43" i="99"/>
  <c r="F43" i="99"/>
  <c r="H43" i="99"/>
  <c r="J43" i="99"/>
  <c r="K43" i="99"/>
  <c r="L43" i="99"/>
  <c r="M43" i="99"/>
  <c r="N43" i="99"/>
  <c r="O43" i="99"/>
  <c r="P43" i="99"/>
  <c r="Q43" i="99"/>
  <c r="B44" i="99"/>
  <c r="C44" i="99"/>
  <c r="D44" i="99"/>
  <c r="F44" i="99"/>
  <c r="H44" i="99"/>
  <c r="J44" i="99"/>
  <c r="K44" i="99"/>
  <c r="L44" i="99"/>
  <c r="M44" i="99"/>
  <c r="N44" i="99"/>
  <c r="O44" i="99"/>
  <c r="P44" i="99"/>
  <c r="Q44" i="99"/>
  <c r="B47" i="99"/>
  <c r="C47" i="99"/>
  <c r="D47" i="99"/>
  <c r="F47" i="99"/>
  <c r="H47" i="99"/>
  <c r="J47" i="99"/>
  <c r="K47" i="99"/>
  <c r="L47" i="99"/>
  <c r="M47" i="99"/>
  <c r="N47" i="99"/>
  <c r="O47" i="99"/>
  <c r="P47" i="99"/>
  <c r="Q47" i="99"/>
  <c r="B48" i="99"/>
  <c r="C48" i="99"/>
  <c r="D48" i="99"/>
  <c r="F48" i="99"/>
  <c r="H48" i="99"/>
  <c r="J48" i="99"/>
  <c r="K48" i="99"/>
  <c r="L48" i="99"/>
  <c r="M48" i="99"/>
  <c r="N48" i="99"/>
  <c r="O48" i="99"/>
  <c r="P48" i="99"/>
  <c r="Q48" i="99"/>
  <c r="B49" i="99"/>
  <c r="C49" i="99"/>
  <c r="D49" i="99"/>
  <c r="F49" i="99"/>
  <c r="H49" i="99"/>
  <c r="J49" i="99"/>
  <c r="K49" i="99"/>
  <c r="L49" i="99"/>
  <c r="M49" i="99"/>
  <c r="N49" i="99"/>
  <c r="O49" i="99"/>
  <c r="B50" i="99"/>
  <c r="C50" i="99"/>
  <c r="D50" i="99"/>
  <c r="F50" i="99"/>
  <c r="H50" i="99"/>
  <c r="J50" i="99"/>
  <c r="K50" i="99"/>
  <c r="L50" i="99"/>
  <c r="M50" i="99"/>
  <c r="N50" i="99"/>
  <c r="O50" i="99"/>
  <c r="P50" i="99"/>
  <c r="Q50" i="99"/>
  <c r="B51" i="99"/>
  <c r="C51" i="99"/>
  <c r="D51" i="99"/>
  <c r="F51" i="99"/>
  <c r="H51" i="99"/>
  <c r="J51" i="99"/>
  <c r="K51" i="99"/>
  <c r="L51" i="99"/>
  <c r="M51" i="99"/>
  <c r="N51" i="99"/>
  <c r="O51" i="99"/>
  <c r="P51" i="99"/>
  <c r="Q51" i="99"/>
  <c r="B52" i="99"/>
  <c r="C52" i="99"/>
  <c r="D52" i="99"/>
  <c r="F52" i="99"/>
  <c r="H52" i="99"/>
  <c r="J52" i="99"/>
  <c r="K52" i="99"/>
  <c r="L52" i="99"/>
  <c r="M52" i="99"/>
  <c r="N52" i="99"/>
  <c r="O52" i="99"/>
  <c r="P52" i="99"/>
  <c r="Q52" i="99"/>
  <c r="B56" i="99"/>
  <c r="D56" i="99"/>
  <c r="F56" i="99"/>
  <c r="H56" i="99"/>
  <c r="J56" i="99"/>
  <c r="L56" i="99"/>
  <c r="N56" i="99"/>
  <c r="P56" i="99"/>
  <c r="B57" i="99"/>
  <c r="D57" i="99"/>
  <c r="F57" i="99"/>
  <c r="H57" i="99"/>
  <c r="J57" i="99"/>
  <c r="L57" i="99"/>
  <c r="N57" i="99"/>
  <c r="P57" i="99"/>
  <c r="B58" i="99"/>
  <c r="D58" i="99"/>
  <c r="F58" i="99"/>
  <c r="H58" i="99"/>
  <c r="J58" i="99"/>
  <c r="L58" i="99"/>
  <c r="N58" i="99"/>
  <c r="P58" i="99"/>
  <c r="B60" i="99"/>
  <c r="D60" i="99"/>
  <c r="F60" i="99"/>
  <c r="H60" i="99"/>
  <c r="J60" i="99"/>
  <c r="L60" i="99"/>
  <c r="N60" i="99"/>
  <c r="P60" i="99"/>
  <c r="B61" i="99"/>
  <c r="D61" i="99"/>
  <c r="F61" i="99"/>
  <c r="H61" i="99"/>
  <c r="J61" i="99"/>
  <c r="L61" i="99"/>
  <c r="N61" i="99"/>
  <c r="P61" i="99"/>
  <c r="B62" i="99"/>
  <c r="D62" i="99"/>
  <c r="F62" i="99"/>
  <c r="H62" i="99"/>
  <c r="J62" i="99"/>
  <c r="L62" i="99"/>
  <c r="N62" i="99"/>
  <c r="P62" i="99"/>
  <c r="D10" i="100"/>
  <c r="E10" i="100"/>
  <c r="J10" i="100"/>
  <c r="K10" i="100"/>
  <c r="D11" i="100"/>
  <c r="E11" i="100"/>
  <c r="J11" i="100"/>
  <c r="K11" i="100"/>
  <c r="D12" i="100"/>
  <c r="E12" i="100"/>
  <c r="J12" i="100"/>
  <c r="K12" i="100"/>
  <c r="D13" i="100"/>
  <c r="J13" i="100"/>
  <c r="K13" i="100"/>
  <c r="D14" i="100"/>
  <c r="E14" i="100"/>
  <c r="H14" i="100"/>
  <c r="J14" i="100"/>
  <c r="K14" i="100"/>
  <c r="B15" i="100"/>
  <c r="C15" i="100"/>
  <c r="D15" i="100"/>
  <c r="E15" i="100"/>
  <c r="H15" i="100"/>
  <c r="I15" i="100"/>
  <c r="J15" i="100"/>
  <c r="K15" i="100"/>
  <c r="D17" i="100"/>
  <c r="J17" i="100"/>
  <c r="D18" i="100"/>
  <c r="J18" i="100"/>
  <c r="D19" i="100"/>
  <c r="E19" i="100"/>
  <c r="J19" i="100"/>
  <c r="K19" i="100"/>
  <c r="D20" i="100"/>
  <c r="E20" i="100"/>
  <c r="J20" i="100"/>
  <c r="D21" i="100"/>
  <c r="E21" i="100"/>
  <c r="J21" i="100"/>
  <c r="K21" i="100"/>
  <c r="B22" i="100"/>
  <c r="C22" i="100"/>
  <c r="D22" i="100"/>
  <c r="E22" i="100"/>
  <c r="H22" i="100"/>
  <c r="I22" i="100"/>
  <c r="J22" i="100"/>
  <c r="K22" i="100"/>
  <c r="D26" i="100"/>
  <c r="E26" i="100"/>
  <c r="J26" i="100"/>
  <c r="K26" i="100"/>
  <c r="D27" i="100"/>
  <c r="E27" i="100"/>
  <c r="J27" i="100"/>
  <c r="K27" i="100"/>
  <c r="D28" i="100"/>
  <c r="E28" i="100"/>
  <c r="J28" i="100"/>
  <c r="K28" i="100"/>
  <c r="B29" i="100"/>
  <c r="C29" i="100"/>
  <c r="D29" i="100"/>
  <c r="E29" i="100"/>
  <c r="H29" i="100"/>
  <c r="I29" i="100"/>
  <c r="J29" i="100"/>
  <c r="K29" i="100"/>
  <c r="D32" i="100"/>
  <c r="J32" i="100"/>
  <c r="D33" i="100"/>
  <c r="J33" i="100"/>
  <c r="D34" i="100"/>
  <c r="E34" i="100"/>
  <c r="I34" i="100"/>
  <c r="J34" i="100"/>
  <c r="K34" i="100"/>
  <c r="B35" i="100"/>
  <c r="C35" i="100"/>
  <c r="D35" i="100"/>
  <c r="E35" i="100"/>
  <c r="H35" i="100"/>
  <c r="I35" i="100"/>
  <c r="J35" i="100"/>
  <c r="K35" i="100"/>
  <c r="D38" i="100"/>
  <c r="E38" i="100"/>
  <c r="J38" i="100"/>
  <c r="K38" i="100"/>
  <c r="D39" i="100"/>
  <c r="J39" i="100"/>
  <c r="D40" i="100"/>
  <c r="E40" i="100"/>
  <c r="I40" i="100"/>
  <c r="J40" i="100"/>
  <c r="K40" i="100"/>
  <c r="B41" i="100"/>
  <c r="C41" i="100"/>
  <c r="D41" i="100"/>
  <c r="E41" i="100"/>
  <c r="H41" i="100"/>
  <c r="I41" i="100"/>
  <c r="J41" i="100"/>
  <c r="K41" i="100"/>
  <c r="D43" i="100"/>
  <c r="E43" i="100"/>
  <c r="J43" i="100"/>
  <c r="K43" i="100"/>
  <c r="B44" i="100"/>
  <c r="C44" i="100"/>
  <c r="D44" i="100"/>
  <c r="E44" i="100"/>
  <c r="H44" i="100"/>
  <c r="I44" i="100"/>
  <c r="J44" i="100"/>
  <c r="K44" i="100"/>
  <c r="D47" i="100"/>
  <c r="E47" i="100"/>
  <c r="J47" i="100"/>
  <c r="K47" i="100"/>
  <c r="D48" i="100"/>
  <c r="J48" i="100"/>
  <c r="D49" i="100"/>
  <c r="J49" i="100"/>
  <c r="D50" i="100"/>
  <c r="J50" i="100"/>
  <c r="B51" i="100"/>
  <c r="C51" i="100"/>
  <c r="D51" i="100"/>
  <c r="H51" i="100"/>
  <c r="I51" i="100"/>
  <c r="J51" i="100"/>
  <c r="B53" i="100"/>
  <c r="C53" i="100"/>
  <c r="D53" i="100"/>
  <c r="E53" i="100"/>
  <c r="H53" i="100"/>
  <c r="I53" i="100"/>
  <c r="J53" i="100"/>
  <c r="K53" i="100"/>
  <c r="B58" i="100"/>
  <c r="H58" i="100"/>
  <c r="J58" i="100"/>
  <c r="B59" i="100"/>
  <c r="H59" i="100"/>
  <c r="J59" i="100"/>
  <c r="B60" i="100"/>
  <c r="H60" i="100"/>
  <c r="I60" i="100"/>
  <c r="J60" i="100"/>
  <c r="B62" i="100"/>
  <c r="J62" i="100"/>
  <c r="B63" i="100"/>
  <c r="J63" i="100"/>
  <c r="B64" i="100"/>
  <c r="J64" i="100"/>
  <c r="B11" i="97"/>
  <c r="D11" i="97"/>
  <c r="F11" i="97"/>
  <c r="H11" i="97"/>
  <c r="I11" i="97"/>
  <c r="J11" i="97"/>
  <c r="K11" i="97"/>
  <c r="L11" i="97"/>
  <c r="M11" i="97"/>
  <c r="N11" i="97"/>
  <c r="O11" i="97"/>
  <c r="P11" i="97"/>
  <c r="B12" i="97"/>
  <c r="D12" i="97"/>
  <c r="F12" i="97"/>
  <c r="H12" i="97"/>
  <c r="I12" i="97"/>
  <c r="J12" i="97"/>
  <c r="K12" i="97"/>
  <c r="L12" i="97"/>
  <c r="B13" i="97"/>
  <c r="D13" i="97"/>
  <c r="F13" i="97"/>
  <c r="H13" i="97"/>
  <c r="I13" i="97"/>
  <c r="J13" i="97"/>
  <c r="K13" i="97"/>
  <c r="L13" i="97"/>
  <c r="M13" i="97"/>
  <c r="N13" i="97"/>
  <c r="O13" i="97"/>
  <c r="P13" i="97"/>
  <c r="B14" i="97"/>
  <c r="D14" i="97"/>
  <c r="F14" i="97"/>
  <c r="H14" i="97"/>
  <c r="I14" i="97"/>
  <c r="J14" i="97"/>
  <c r="K14" i="97"/>
  <c r="L14" i="97"/>
  <c r="M14" i="97"/>
  <c r="N14" i="97"/>
  <c r="O14" i="97"/>
  <c r="P14" i="97"/>
  <c r="B15" i="97"/>
  <c r="D15" i="97"/>
  <c r="F15" i="97"/>
  <c r="H15" i="97"/>
  <c r="I15" i="97"/>
  <c r="J15" i="97"/>
  <c r="K15" i="97"/>
  <c r="L15" i="97"/>
  <c r="M15" i="97"/>
  <c r="N15" i="97"/>
  <c r="O15" i="97"/>
  <c r="P15" i="97"/>
  <c r="B23" i="97"/>
  <c r="C23" i="97"/>
  <c r="D23" i="97"/>
  <c r="F23" i="97"/>
  <c r="H23" i="97"/>
  <c r="J23" i="97"/>
  <c r="L23" i="97"/>
  <c r="N23" i="97"/>
  <c r="P23" i="97"/>
  <c r="R23" i="97"/>
  <c r="S23" i="97"/>
  <c r="T23" i="97"/>
  <c r="B24" i="97"/>
  <c r="C24" i="97"/>
  <c r="D24" i="97"/>
  <c r="F24" i="97"/>
  <c r="H24" i="97"/>
  <c r="J24" i="97"/>
  <c r="L24" i="97"/>
  <c r="N24" i="97"/>
  <c r="P24" i="97"/>
  <c r="R24" i="97"/>
  <c r="S24" i="97"/>
  <c r="T24" i="97"/>
  <c r="B25" i="97"/>
  <c r="D25" i="97"/>
  <c r="F25" i="97"/>
  <c r="H25" i="97"/>
  <c r="J25" i="97"/>
  <c r="L25" i="97"/>
  <c r="N25" i="97"/>
  <c r="P25" i="97"/>
  <c r="R25" i="97"/>
  <c r="T25" i="97"/>
  <c r="B26" i="97"/>
  <c r="C26" i="97"/>
  <c r="D26" i="97"/>
  <c r="F26" i="97"/>
  <c r="H26" i="97"/>
  <c r="J26" i="97"/>
  <c r="L26" i="97"/>
  <c r="N26" i="97"/>
  <c r="P26" i="97"/>
  <c r="R26" i="97"/>
  <c r="S26" i="97"/>
  <c r="T26" i="97"/>
  <c r="B27" i="97"/>
  <c r="C27" i="97"/>
  <c r="D27" i="97"/>
  <c r="F27" i="97"/>
  <c r="H27" i="97"/>
  <c r="J27" i="97"/>
  <c r="L27" i="97"/>
  <c r="N27" i="97"/>
  <c r="P27" i="97"/>
  <c r="R27" i="97"/>
  <c r="S27" i="97"/>
  <c r="T27" i="97"/>
  <c r="B42" i="97"/>
  <c r="N42" i="97"/>
  <c r="O42" i="97"/>
  <c r="Q42" i="97"/>
  <c r="B44" i="97"/>
  <c r="N44" i="97"/>
  <c r="O44" i="97"/>
  <c r="Q44" i="97"/>
  <c r="B49" i="97"/>
  <c r="N49" i="97"/>
  <c r="O49" i="97"/>
  <c r="Q49" i="97"/>
  <c r="B52" i="97"/>
  <c r="N52" i="97"/>
  <c r="O52" i="97"/>
  <c r="Q52" i="97"/>
  <c r="B55" i="97"/>
  <c r="N55" i="97"/>
  <c r="O55" i="97"/>
  <c r="Q55" i="97"/>
  <c r="B59" i="97"/>
  <c r="N59" i="97"/>
  <c r="O59" i="97"/>
  <c r="Q59" i="97"/>
  <c r="B61" i="97"/>
  <c r="N61" i="97"/>
  <c r="O61" i="97"/>
  <c r="Q61" i="97"/>
  <c r="B64" i="97"/>
  <c r="N64" i="97"/>
  <c r="O64" i="97"/>
  <c r="Q64" i="97"/>
  <c r="B66" i="97"/>
  <c r="N66" i="97"/>
  <c r="O66" i="97"/>
  <c r="Q66" i="97"/>
  <c r="B68" i="97"/>
  <c r="N68" i="97"/>
  <c r="O68" i="97"/>
  <c r="Q68" i="97"/>
  <c r="B71" i="97"/>
  <c r="N71" i="97"/>
  <c r="O71" i="97"/>
  <c r="Q71" i="97"/>
  <c r="B74" i="97"/>
  <c r="N74" i="97"/>
  <c r="O74" i="97"/>
  <c r="B10" i="101"/>
  <c r="D10" i="101"/>
  <c r="F10" i="101"/>
  <c r="H10" i="101"/>
  <c r="J10" i="101"/>
  <c r="K10" i="101"/>
  <c r="L10" i="101"/>
  <c r="M10" i="101"/>
  <c r="N10" i="101"/>
  <c r="O10" i="101"/>
  <c r="P10" i="101"/>
  <c r="B11" i="101"/>
  <c r="D11" i="101"/>
  <c r="F11" i="101"/>
  <c r="H11" i="101"/>
  <c r="J11" i="101"/>
  <c r="K11" i="101"/>
  <c r="L11" i="101"/>
  <c r="M11" i="101"/>
  <c r="N11" i="101"/>
  <c r="O11" i="101"/>
  <c r="P11" i="101"/>
  <c r="B12" i="101"/>
  <c r="D12" i="101"/>
  <c r="F12" i="101"/>
  <c r="H12" i="101"/>
  <c r="J12" i="101"/>
  <c r="K12" i="101"/>
  <c r="L12" i="101"/>
  <c r="M12" i="101"/>
  <c r="N12" i="101"/>
  <c r="O12" i="101"/>
  <c r="P12" i="101"/>
  <c r="B13" i="101"/>
  <c r="D13" i="101"/>
  <c r="F13" i="101"/>
  <c r="H13" i="101"/>
  <c r="J13" i="101"/>
  <c r="K13" i="101"/>
  <c r="L13" i="101"/>
  <c r="M13" i="101"/>
  <c r="N13" i="101"/>
  <c r="O13" i="101"/>
  <c r="P13" i="101"/>
  <c r="B14" i="101"/>
  <c r="D14" i="101"/>
  <c r="F14" i="101"/>
  <c r="H14" i="101"/>
  <c r="J14" i="101"/>
  <c r="K14" i="101"/>
  <c r="L14" i="101"/>
  <c r="M14" i="101"/>
  <c r="N14" i="101"/>
  <c r="O14" i="101"/>
  <c r="P14" i="101"/>
  <c r="B15" i="101"/>
  <c r="D15" i="101"/>
  <c r="F15" i="101"/>
  <c r="H15" i="101"/>
  <c r="J15" i="101"/>
  <c r="K15" i="101"/>
  <c r="L15" i="101"/>
  <c r="M15" i="101"/>
  <c r="N15" i="101"/>
  <c r="O15" i="101"/>
  <c r="P15" i="101"/>
  <c r="B18" i="101"/>
  <c r="D18" i="101"/>
  <c r="F18" i="101"/>
  <c r="H18" i="101"/>
  <c r="J18" i="101"/>
  <c r="K18" i="101"/>
  <c r="L18" i="101"/>
  <c r="M18" i="101"/>
  <c r="N18" i="101"/>
  <c r="O18" i="101"/>
  <c r="P18" i="101"/>
  <c r="B19" i="101"/>
  <c r="D19" i="101"/>
  <c r="F19" i="101"/>
  <c r="H19" i="101"/>
  <c r="J19" i="101"/>
  <c r="K19" i="101"/>
  <c r="L19" i="101"/>
  <c r="M19" i="101"/>
  <c r="N19" i="101"/>
  <c r="O19" i="101"/>
  <c r="P19" i="101"/>
  <c r="B20" i="101"/>
  <c r="D20" i="101"/>
  <c r="F20" i="101"/>
  <c r="H20" i="101"/>
  <c r="J20" i="101"/>
  <c r="K20" i="101"/>
  <c r="L20" i="101"/>
  <c r="M20" i="101"/>
  <c r="N20" i="101"/>
  <c r="O20" i="101"/>
  <c r="P20" i="101"/>
  <c r="B21" i="101"/>
  <c r="D21" i="101"/>
  <c r="F21" i="101"/>
  <c r="H21" i="101"/>
  <c r="J21" i="101"/>
  <c r="K21" i="101"/>
  <c r="L21" i="101"/>
  <c r="M21" i="101"/>
  <c r="N21" i="101"/>
  <c r="O21" i="101"/>
  <c r="P21" i="101"/>
  <c r="B23" i="101"/>
  <c r="D23" i="101"/>
  <c r="F23" i="101"/>
  <c r="H23" i="101"/>
  <c r="J23" i="101"/>
  <c r="K23" i="101"/>
  <c r="L23" i="101"/>
  <c r="M23" i="101"/>
  <c r="N23" i="101"/>
  <c r="O23" i="101"/>
  <c r="P23" i="101"/>
  <c r="B25" i="101"/>
  <c r="D25" i="101"/>
  <c r="F25" i="101"/>
  <c r="H25" i="101"/>
  <c r="J25" i="101"/>
  <c r="K25" i="101"/>
  <c r="L25" i="101"/>
  <c r="M25" i="101"/>
  <c r="N25" i="101"/>
  <c r="O25" i="101"/>
  <c r="P25" i="101"/>
  <c r="B28" i="101"/>
  <c r="D28" i="101"/>
  <c r="F28" i="101"/>
  <c r="H28" i="101"/>
  <c r="J28" i="101"/>
  <c r="K28" i="101"/>
  <c r="L28" i="101"/>
  <c r="M28" i="101"/>
  <c r="N28" i="101"/>
  <c r="O28" i="101"/>
  <c r="P28" i="101"/>
  <c r="B31" i="101"/>
  <c r="D31" i="101"/>
  <c r="F31" i="101"/>
  <c r="H31" i="101"/>
  <c r="J31" i="101"/>
  <c r="K31" i="101"/>
  <c r="L31" i="101"/>
  <c r="M31" i="101"/>
  <c r="N31" i="101"/>
  <c r="O31" i="101"/>
  <c r="P31" i="101"/>
  <c r="B32" i="101"/>
  <c r="D32" i="101"/>
  <c r="F32" i="101"/>
  <c r="H32" i="101"/>
  <c r="J32" i="101"/>
  <c r="K32" i="101"/>
  <c r="L32" i="101"/>
  <c r="M32" i="101"/>
  <c r="N32" i="101"/>
  <c r="O32" i="101"/>
  <c r="P32" i="101"/>
  <c r="B33" i="101"/>
  <c r="D33" i="101"/>
  <c r="F33" i="101"/>
  <c r="H33" i="101"/>
  <c r="J33" i="101"/>
  <c r="K33" i="101"/>
  <c r="L33" i="101"/>
  <c r="M33" i="101"/>
  <c r="N33" i="101"/>
  <c r="O33" i="101"/>
  <c r="P33" i="101"/>
  <c r="B34" i="101"/>
  <c r="D34" i="101"/>
  <c r="F34" i="101"/>
  <c r="H34" i="101"/>
  <c r="J34" i="101"/>
  <c r="K34" i="101"/>
  <c r="L34" i="101"/>
  <c r="M34" i="101"/>
  <c r="N34" i="101"/>
  <c r="O34" i="101"/>
  <c r="P34" i="101"/>
  <c r="B35" i="101"/>
  <c r="D35" i="101"/>
  <c r="F35" i="101"/>
  <c r="H35" i="101"/>
  <c r="J35" i="101"/>
  <c r="K35" i="101"/>
  <c r="L35" i="101"/>
  <c r="M35" i="101"/>
  <c r="N35" i="101"/>
  <c r="O35" i="101"/>
  <c r="P35" i="101"/>
  <c r="B37" i="101"/>
  <c r="D37" i="101"/>
  <c r="F37" i="101"/>
  <c r="H37" i="101"/>
  <c r="J37" i="101"/>
  <c r="K37" i="101"/>
  <c r="L37" i="101"/>
  <c r="M37" i="101"/>
  <c r="N37" i="101"/>
  <c r="O37" i="101"/>
  <c r="P37" i="101"/>
  <c r="B39" i="101"/>
  <c r="D39" i="101"/>
  <c r="F39" i="101"/>
  <c r="H39" i="101"/>
  <c r="J39" i="101"/>
  <c r="K39" i="101"/>
  <c r="L39" i="101"/>
  <c r="M39" i="101"/>
  <c r="N39" i="101"/>
  <c r="O39" i="101"/>
  <c r="P39" i="101"/>
  <c r="B41" i="101"/>
  <c r="D41" i="101"/>
  <c r="F41" i="101"/>
  <c r="H41" i="101"/>
  <c r="J41" i="101"/>
  <c r="K41" i="101"/>
  <c r="L41" i="101"/>
  <c r="M41" i="101"/>
  <c r="N41" i="101"/>
  <c r="O41" i="101"/>
  <c r="P41" i="101"/>
  <c r="C50" i="101"/>
  <c r="D50" i="101"/>
  <c r="H50" i="101"/>
  <c r="L50" i="101"/>
  <c r="P50" i="101"/>
  <c r="R50" i="101"/>
  <c r="S50" i="101"/>
  <c r="T50" i="101"/>
  <c r="U50" i="101"/>
  <c r="C51" i="101"/>
  <c r="D51" i="101"/>
  <c r="H51" i="101"/>
  <c r="L51" i="101"/>
  <c r="P51" i="101"/>
  <c r="R51" i="101"/>
  <c r="S51" i="101"/>
  <c r="T51" i="101"/>
  <c r="U51" i="101"/>
  <c r="C52" i="101"/>
  <c r="D52" i="101"/>
  <c r="H52" i="101"/>
  <c r="L52" i="101"/>
  <c r="P52" i="101"/>
  <c r="R52" i="101"/>
  <c r="S52" i="101"/>
  <c r="T52" i="101"/>
  <c r="U52" i="101"/>
  <c r="B53" i="101"/>
  <c r="C53" i="101"/>
  <c r="D53" i="101"/>
  <c r="F53" i="101"/>
  <c r="H53" i="101"/>
  <c r="J53" i="101"/>
  <c r="L53" i="101"/>
  <c r="N53" i="101"/>
  <c r="P53" i="101"/>
  <c r="R53" i="101"/>
  <c r="S53" i="101"/>
  <c r="T53" i="101"/>
  <c r="U53" i="101"/>
  <c r="C54" i="101"/>
  <c r="D54" i="101"/>
  <c r="H54" i="101"/>
  <c r="L54" i="101"/>
  <c r="P54" i="101"/>
  <c r="R54" i="101"/>
  <c r="S54" i="101"/>
  <c r="T54" i="101"/>
  <c r="U54" i="101"/>
  <c r="B55" i="101"/>
  <c r="C55" i="101"/>
  <c r="D55" i="101"/>
  <c r="F55" i="101"/>
  <c r="H55" i="101"/>
  <c r="J55" i="101"/>
  <c r="L55" i="101"/>
  <c r="N55" i="101"/>
  <c r="P55" i="101"/>
  <c r="R55" i="101"/>
  <c r="S55" i="101"/>
  <c r="T55" i="101"/>
  <c r="U55" i="101"/>
  <c r="C58" i="101"/>
  <c r="D58" i="101"/>
  <c r="H58" i="101"/>
  <c r="L58" i="101"/>
  <c r="P58" i="101"/>
  <c r="R58" i="101"/>
  <c r="S58" i="101"/>
  <c r="T58" i="101"/>
  <c r="U58" i="101"/>
  <c r="C59" i="101"/>
  <c r="D59" i="101"/>
  <c r="H59" i="101"/>
  <c r="L59" i="101"/>
  <c r="P59" i="101"/>
  <c r="R59" i="101"/>
  <c r="S59" i="101"/>
  <c r="T59" i="101"/>
  <c r="U59" i="101"/>
  <c r="C60" i="101"/>
  <c r="D60" i="101"/>
  <c r="H60" i="101"/>
  <c r="L60" i="101"/>
  <c r="P60" i="101"/>
  <c r="R60" i="101"/>
  <c r="S60" i="101"/>
  <c r="T60" i="101"/>
  <c r="U60" i="101"/>
  <c r="B61" i="101"/>
  <c r="C61" i="101"/>
  <c r="D61" i="101"/>
  <c r="F61" i="101"/>
  <c r="H61" i="101"/>
  <c r="J61" i="101"/>
  <c r="L61" i="101"/>
  <c r="N61" i="101"/>
  <c r="P61" i="101"/>
  <c r="R61" i="101"/>
  <c r="S61" i="101"/>
  <c r="T61" i="101"/>
  <c r="U61" i="101"/>
  <c r="B63" i="101"/>
  <c r="C63" i="101"/>
  <c r="D63" i="101"/>
  <c r="F63" i="101"/>
  <c r="H63" i="101"/>
  <c r="J63" i="101"/>
  <c r="L63" i="101"/>
  <c r="N63" i="101"/>
  <c r="P63" i="101"/>
  <c r="R63" i="101"/>
  <c r="S63" i="101"/>
  <c r="T63" i="101"/>
  <c r="U63" i="101"/>
  <c r="D65" i="101"/>
  <c r="H65" i="101"/>
  <c r="L65" i="101"/>
  <c r="P65" i="101"/>
  <c r="R65" i="101"/>
  <c r="T65" i="101"/>
  <c r="U65" i="101"/>
  <c r="B68" i="101"/>
  <c r="C68" i="101"/>
  <c r="D68" i="101"/>
  <c r="F68" i="101"/>
  <c r="H68" i="101"/>
  <c r="J68" i="101"/>
  <c r="L68" i="101"/>
  <c r="N68" i="101"/>
  <c r="P68" i="101"/>
  <c r="R68" i="101"/>
  <c r="S68" i="101"/>
  <c r="T68" i="101"/>
  <c r="U68" i="101"/>
  <c r="C71" i="101"/>
  <c r="D71" i="101"/>
  <c r="H71" i="101"/>
  <c r="L71" i="101"/>
  <c r="P71" i="101"/>
  <c r="R71" i="101"/>
  <c r="S71" i="101"/>
  <c r="T71" i="101"/>
  <c r="U71" i="101"/>
  <c r="C72" i="101"/>
  <c r="D72" i="101"/>
  <c r="H72" i="101"/>
  <c r="L72" i="101"/>
  <c r="P72" i="101"/>
  <c r="R72" i="101"/>
  <c r="S72" i="101"/>
  <c r="T72" i="101"/>
  <c r="U72" i="101"/>
  <c r="C73" i="101"/>
  <c r="D73" i="101"/>
  <c r="H73" i="101"/>
  <c r="L73" i="101"/>
  <c r="P73" i="101"/>
  <c r="R73" i="101"/>
  <c r="S73" i="101"/>
  <c r="T73" i="101"/>
  <c r="U73" i="101"/>
  <c r="C74" i="101"/>
  <c r="D74" i="101"/>
  <c r="H74" i="101"/>
  <c r="L74" i="101"/>
  <c r="P74" i="101"/>
  <c r="R74" i="101"/>
  <c r="S74" i="101"/>
  <c r="T74" i="101"/>
  <c r="U74" i="101"/>
  <c r="B75" i="101"/>
  <c r="C75" i="101"/>
  <c r="D75" i="101"/>
  <c r="F75" i="101"/>
  <c r="H75" i="101"/>
  <c r="J75" i="101"/>
  <c r="L75" i="101"/>
  <c r="N75" i="101"/>
  <c r="P75" i="101"/>
  <c r="R75" i="101"/>
  <c r="S75" i="101"/>
  <c r="T75" i="101"/>
  <c r="U75" i="101"/>
  <c r="B77" i="101"/>
  <c r="C77" i="101"/>
  <c r="D77" i="101"/>
  <c r="F77" i="101"/>
  <c r="H77" i="101"/>
  <c r="J77" i="101"/>
  <c r="L77" i="101"/>
  <c r="N77" i="101"/>
  <c r="P77" i="101"/>
  <c r="R77" i="101"/>
  <c r="S77" i="101"/>
  <c r="T77" i="101"/>
  <c r="U77" i="101"/>
  <c r="C79" i="101"/>
  <c r="D79" i="101"/>
  <c r="H79" i="101"/>
  <c r="L79" i="101"/>
  <c r="P79" i="101"/>
  <c r="R79" i="101"/>
  <c r="S79" i="101"/>
  <c r="T79" i="101"/>
  <c r="U79" i="101"/>
  <c r="B81" i="101"/>
  <c r="C81" i="101"/>
  <c r="D81" i="101"/>
  <c r="F81" i="101"/>
  <c r="H81" i="101"/>
  <c r="J81" i="101"/>
  <c r="L81" i="101"/>
  <c r="N81" i="101"/>
  <c r="P81" i="101"/>
  <c r="R81" i="101"/>
  <c r="S81" i="101"/>
  <c r="T81" i="101"/>
  <c r="U81" i="101"/>
  <c r="B88" i="101"/>
  <c r="B90" i="101"/>
  <c r="D90" i="101"/>
  <c r="F90" i="101"/>
  <c r="H90" i="101"/>
  <c r="B91" i="101"/>
  <c r="B92" i="101"/>
  <c r="D92" i="101"/>
  <c r="F92" i="101"/>
  <c r="H92" i="101"/>
  <c r="B95" i="101"/>
  <c r="B96" i="101"/>
  <c r="B97" i="101"/>
  <c r="B98" i="101"/>
  <c r="D98" i="101"/>
  <c r="F98" i="101"/>
  <c r="H98" i="101"/>
  <c r="B100" i="101"/>
  <c r="D100" i="101"/>
  <c r="F100" i="101"/>
  <c r="H100" i="101"/>
  <c r="B102" i="101"/>
  <c r="B105" i="101"/>
  <c r="D105" i="101"/>
  <c r="F105" i="101"/>
  <c r="H105" i="101"/>
  <c r="B108" i="101"/>
  <c r="B109" i="101"/>
  <c r="B110" i="101"/>
  <c r="B111" i="101"/>
  <c r="B112" i="101"/>
  <c r="D112" i="101"/>
  <c r="F112" i="101"/>
  <c r="H112" i="101"/>
  <c r="B114" i="101"/>
  <c r="D114" i="101"/>
  <c r="F114" i="101"/>
  <c r="H114" i="101"/>
  <c r="B118" i="101"/>
  <c r="D118" i="101"/>
  <c r="F118" i="101"/>
  <c r="H118" i="101"/>
  <c r="I10" i="98"/>
  <c r="K10" i="98"/>
  <c r="M10" i="98"/>
  <c r="O10" i="98"/>
  <c r="P10" i="98"/>
  <c r="I11" i="98"/>
  <c r="K11" i="98"/>
  <c r="M11" i="98"/>
  <c r="O11" i="98"/>
  <c r="P11" i="98"/>
  <c r="I12" i="98"/>
  <c r="K12" i="98"/>
  <c r="M12" i="98"/>
  <c r="O12" i="98"/>
  <c r="P12" i="98"/>
  <c r="B13" i="98"/>
  <c r="D13" i="98"/>
  <c r="I14" i="98"/>
  <c r="K14" i="98"/>
  <c r="L14" i="98"/>
  <c r="M14" i="98"/>
  <c r="O14" i="98"/>
  <c r="P14" i="98"/>
  <c r="B15" i="98"/>
  <c r="D15" i="98"/>
  <c r="F15" i="98"/>
  <c r="H15" i="98"/>
  <c r="I15" i="98"/>
  <c r="J15" i="98"/>
  <c r="K15" i="98"/>
  <c r="L15" i="98"/>
  <c r="M15" i="98"/>
  <c r="N15" i="98"/>
  <c r="O15" i="98"/>
  <c r="P15" i="98"/>
  <c r="I17" i="98"/>
  <c r="I18" i="98"/>
  <c r="I19" i="98"/>
  <c r="K19" i="98"/>
  <c r="M19" i="98"/>
  <c r="O19" i="98"/>
  <c r="P19" i="98"/>
  <c r="I20" i="98"/>
  <c r="K20" i="98"/>
  <c r="M20" i="98"/>
  <c r="O20" i="98"/>
  <c r="P20" i="98"/>
  <c r="I21" i="98"/>
  <c r="K21" i="98"/>
  <c r="M21" i="98"/>
  <c r="O21" i="98"/>
  <c r="P21" i="98"/>
  <c r="B22" i="98"/>
  <c r="D22" i="98"/>
  <c r="F22" i="98"/>
  <c r="H22" i="98"/>
  <c r="I22" i="98"/>
  <c r="J22" i="98"/>
  <c r="K22" i="98"/>
  <c r="L22" i="98"/>
  <c r="M22" i="98"/>
  <c r="N22" i="98"/>
  <c r="O22" i="98"/>
  <c r="P22" i="98"/>
  <c r="I26" i="98"/>
  <c r="K26" i="98"/>
  <c r="M26" i="98"/>
  <c r="O26" i="98"/>
  <c r="P26" i="98"/>
  <c r="I27" i="98"/>
  <c r="K27" i="98"/>
  <c r="M27" i="98"/>
  <c r="O27" i="98"/>
  <c r="P27" i="98"/>
  <c r="I28" i="98"/>
  <c r="K28" i="98"/>
  <c r="M28" i="98"/>
  <c r="O28" i="98"/>
  <c r="P28" i="98"/>
  <c r="B29" i="98"/>
  <c r="D29" i="98"/>
  <c r="F29" i="98"/>
  <c r="H29" i="98"/>
  <c r="I29" i="98"/>
  <c r="J29" i="98"/>
  <c r="K29" i="98"/>
  <c r="L29" i="98"/>
  <c r="M29" i="98"/>
  <c r="N29" i="98"/>
  <c r="O29" i="98"/>
  <c r="P29" i="98"/>
  <c r="K32" i="98"/>
  <c r="M32" i="98"/>
  <c r="O32" i="98"/>
  <c r="P32" i="98"/>
  <c r="B33" i="98"/>
  <c r="D33" i="98"/>
  <c r="F33" i="98"/>
  <c r="H33" i="98"/>
  <c r="J33" i="98"/>
  <c r="L33" i="98"/>
  <c r="I34" i="98"/>
  <c r="K34" i="98"/>
  <c r="L34" i="98"/>
  <c r="M34" i="98"/>
  <c r="O34" i="98"/>
  <c r="P34" i="98"/>
  <c r="B35" i="98"/>
  <c r="D35" i="98"/>
  <c r="F35" i="98"/>
  <c r="H35" i="98"/>
  <c r="I35" i="98"/>
  <c r="J35" i="98"/>
  <c r="K35" i="98"/>
  <c r="L35" i="98"/>
  <c r="M35" i="98"/>
  <c r="N35" i="98"/>
  <c r="O35" i="98"/>
  <c r="P35" i="98"/>
  <c r="I38" i="98"/>
  <c r="B39" i="98"/>
  <c r="D39" i="98"/>
  <c r="F39" i="98"/>
  <c r="H39" i="98"/>
  <c r="J39" i="98"/>
  <c r="L39" i="98"/>
  <c r="I40" i="98"/>
  <c r="K40" i="98"/>
  <c r="L40" i="98"/>
  <c r="M40" i="98"/>
  <c r="O40" i="98"/>
  <c r="P40" i="98"/>
  <c r="B41" i="98"/>
  <c r="D41" i="98"/>
  <c r="F41" i="98"/>
  <c r="H41" i="98"/>
  <c r="I41" i="98"/>
  <c r="J41" i="98"/>
  <c r="K41" i="98"/>
  <c r="L41" i="98"/>
  <c r="M41" i="98"/>
  <c r="N41" i="98"/>
  <c r="O41" i="98"/>
  <c r="P41" i="98"/>
  <c r="I43" i="98"/>
  <c r="K43" i="98"/>
  <c r="M43" i="98"/>
  <c r="P43" i="98"/>
  <c r="B44" i="98"/>
  <c r="D44" i="98"/>
  <c r="F44" i="98"/>
  <c r="H44" i="98"/>
  <c r="I44" i="98"/>
  <c r="J44" i="98"/>
  <c r="K44" i="98"/>
  <c r="L44" i="98"/>
  <c r="M44" i="98"/>
  <c r="N44" i="98"/>
  <c r="O44" i="98"/>
  <c r="P44" i="98"/>
  <c r="I47" i="98"/>
  <c r="K47" i="98"/>
  <c r="M47" i="98"/>
  <c r="O47" i="98"/>
  <c r="P47" i="98"/>
  <c r="I48" i="98"/>
  <c r="K48" i="98"/>
  <c r="M48" i="98"/>
  <c r="O48" i="98"/>
  <c r="P48" i="98"/>
  <c r="I49" i="98"/>
  <c r="K49" i="98"/>
  <c r="I50" i="98"/>
  <c r="K50" i="98"/>
  <c r="L50" i="98"/>
  <c r="M50" i="98"/>
  <c r="O50" i="98"/>
  <c r="P50" i="98"/>
  <c r="B51" i="98"/>
  <c r="D51" i="98"/>
  <c r="F51" i="98"/>
  <c r="H51" i="98"/>
  <c r="I51" i="98"/>
  <c r="J51" i="98"/>
  <c r="K51" i="98"/>
  <c r="L51" i="98"/>
  <c r="M51" i="98"/>
  <c r="N51" i="98"/>
  <c r="O51" i="98"/>
  <c r="P51" i="98"/>
  <c r="B52" i="98"/>
  <c r="D52" i="98"/>
  <c r="F52" i="98"/>
  <c r="H52" i="98"/>
  <c r="I52" i="98"/>
  <c r="J52" i="98"/>
  <c r="K52" i="98"/>
  <c r="L52" i="98"/>
  <c r="M52" i="98"/>
  <c r="N52" i="98"/>
  <c r="O52" i="98"/>
  <c r="P52" i="98"/>
  <c r="P56" i="98"/>
  <c r="P57" i="98"/>
  <c r="L58" i="98"/>
  <c r="P58" i="98"/>
  <c r="P60" i="98"/>
  <c r="P61" i="98"/>
  <c r="P62" i="98"/>
  <c r="B69" i="98"/>
  <c r="D69" i="98"/>
  <c r="E69" i="98"/>
  <c r="F69" i="98"/>
  <c r="G69" i="98"/>
  <c r="H69" i="98"/>
  <c r="I69" i="98"/>
  <c r="J69" i="98"/>
  <c r="K69" i="98"/>
  <c r="L69" i="98"/>
  <c r="M69" i="98"/>
  <c r="O69" i="98"/>
  <c r="B70" i="98"/>
  <c r="B71" i="98"/>
  <c r="B72" i="98"/>
  <c r="B73" i="98"/>
  <c r="B76" i="98"/>
  <c r="B78" i="98"/>
  <c r="B80" i="98"/>
  <c r="D80" i="98"/>
  <c r="E80" i="98"/>
  <c r="F80" i="98"/>
  <c r="G80" i="98"/>
  <c r="H80" i="98"/>
  <c r="I80" i="98"/>
  <c r="J80" i="98"/>
  <c r="K80" i="98"/>
  <c r="L80" i="98"/>
  <c r="M80" i="98"/>
  <c r="O80" i="98"/>
  <c r="B82" i="98"/>
  <c r="B84" i="98"/>
  <c r="D84" i="98"/>
  <c r="E84" i="98"/>
  <c r="F84" i="98"/>
  <c r="G84" i="98"/>
  <c r="H84" i="98"/>
  <c r="I84" i="98"/>
  <c r="J84" i="98"/>
  <c r="K84" i="98"/>
  <c r="L84" i="98"/>
  <c r="M84" i="98"/>
  <c r="O84" i="98"/>
  <c r="B86" i="98"/>
  <c r="B87" i="98"/>
  <c r="B94" i="98"/>
  <c r="B95" i="98"/>
  <c r="B97" i="98"/>
  <c r="D97" i="98"/>
  <c r="E97" i="98"/>
  <c r="F97" i="98"/>
  <c r="G97" i="98"/>
  <c r="H97" i="98"/>
  <c r="I97" i="98"/>
  <c r="J97" i="98"/>
  <c r="K97" i="98"/>
  <c r="L97" i="98"/>
  <c r="M97" i="98"/>
  <c r="O97" i="98"/>
  <c r="B98" i="98"/>
  <c r="B99" i="98"/>
  <c r="B101" i="98"/>
  <c r="B103" i="98"/>
  <c r="B107" i="98"/>
  <c r="D107" i="98"/>
  <c r="E107" i="98"/>
  <c r="F107" i="98"/>
  <c r="G107" i="98"/>
  <c r="H107" i="98"/>
  <c r="I107" i="98"/>
  <c r="J107" i="98"/>
  <c r="K107" i="98"/>
  <c r="L107" i="98"/>
  <c r="M107" i="98"/>
  <c r="O107" i="98"/>
  <c r="B108" i="98"/>
  <c r="B109" i="98"/>
  <c r="B110" i="98"/>
  <c r="B111" i="98"/>
  <c r="B113" i="98"/>
  <c r="B115" i="98"/>
  <c r="D115" i="98"/>
  <c r="E115" i="98"/>
  <c r="F115" i="98"/>
  <c r="G115" i="98"/>
  <c r="H115" i="98"/>
  <c r="I115" i="98"/>
  <c r="J115" i="98"/>
  <c r="K115" i="98"/>
  <c r="L115" i="98"/>
  <c r="M115" i="98"/>
  <c r="O115" i="98"/>
  <c r="B120" i="98"/>
  <c r="D120" i="98"/>
  <c r="F120" i="98"/>
  <c r="H120" i="98"/>
  <c r="B121" i="98"/>
  <c r="B122" i="98"/>
  <c r="B124" i="98"/>
  <c r="B126" i="98"/>
  <c r="B128" i="98"/>
  <c r="D128" i="98"/>
  <c r="F128" i="98"/>
  <c r="H128" i="98"/>
  <c r="B129" i="98"/>
  <c r="B130" i="98"/>
  <c r="B131" i="98"/>
  <c r="B134" i="98"/>
  <c r="B136" i="98"/>
  <c r="B137" i="98"/>
  <c r="B139" i="98"/>
  <c r="B143" i="98"/>
  <c r="D143" i="98"/>
  <c r="F143" i="98"/>
  <c r="H143" i="98"/>
  <c r="B145" i="98"/>
  <c r="B149" i="98"/>
  <c r="B150" i="98"/>
  <c r="B156" i="98"/>
  <c r="B158" i="98"/>
  <c r="D158" i="98"/>
  <c r="F158" i="98"/>
  <c r="H158" i="98"/>
  <c r="B159" i="98"/>
  <c r="B160" i="98"/>
  <c r="B161" i="98"/>
  <c r="B162" i="98"/>
  <c r="D162" i="98"/>
  <c r="F162" i="98"/>
  <c r="H162" i="98"/>
  <c r="B163" i="98"/>
  <c r="B166" i="98"/>
  <c r="D166" i="98"/>
  <c r="F166" i="98"/>
  <c r="H166" i="98"/>
  <c r="B167" i="98"/>
  <c r="B168" i="98"/>
  <c r="B170" i="98"/>
  <c r="C170" i="98"/>
  <c r="D170" i="98"/>
  <c r="E170" i="98"/>
  <c r="F170" i="98"/>
  <c r="G170" i="98"/>
  <c r="H170" i="98"/>
  <c r="I170" i="98"/>
  <c r="J170" i="98"/>
  <c r="K170" i="98"/>
  <c r="L170" i="98"/>
  <c r="M170" i="98"/>
  <c r="O170" i="98"/>
  <c r="B12" i="102"/>
  <c r="C12" i="102"/>
  <c r="D12" i="102"/>
  <c r="F12" i="102"/>
  <c r="G12" i="102"/>
  <c r="I12" i="102"/>
  <c r="K12" i="102"/>
  <c r="B13" i="102"/>
  <c r="C13" i="102"/>
  <c r="D13" i="102"/>
  <c r="F13" i="102"/>
  <c r="G13" i="102"/>
  <c r="B14" i="102"/>
  <c r="C14" i="102"/>
  <c r="D14" i="102"/>
  <c r="F14" i="102"/>
  <c r="G14" i="102"/>
  <c r="B15" i="102"/>
  <c r="C15" i="102"/>
  <c r="D15" i="102"/>
  <c r="F15" i="102"/>
  <c r="G15" i="102"/>
  <c r="H15" i="102"/>
  <c r="I15" i="102"/>
  <c r="J15" i="102"/>
  <c r="K15" i="102"/>
  <c r="L15" i="102"/>
  <c r="B16" i="102"/>
  <c r="C16" i="102"/>
  <c r="D16" i="102"/>
  <c r="F16" i="102"/>
  <c r="G16" i="102"/>
  <c r="I16" i="102"/>
  <c r="K16" i="102"/>
  <c r="B17" i="102"/>
  <c r="C17" i="102"/>
  <c r="D17" i="102"/>
  <c r="F17" i="102"/>
  <c r="G17" i="102"/>
  <c r="H17" i="102"/>
  <c r="I17" i="102"/>
  <c r="J17" i="102"/>
  <c r="K17" i="102"/>
  <c r="L17" i="102"/>
  <c r="B20" i="102"/>
  <c r="C20" i="102"/>
  <c r="D20" i="102"/>
  <c r="F20" i="102"/>
  <c r="G20" i="102"/>
  <c r="I20" i="102"/>
  <c r="K20" i="102"/>
  <c r="B21" i="102"/>
  <c r="C21" i="102"/>
  <c r="D21" i="102"/>
  <c r="F21" i="102"/>
  <c r="G21" i="102"/>
  <c r="I21" i="102"/>
  <c r="K21" i="102"/>
  <c r="B22" i="102"/>
  <c r="C22" i="102"/>
  <c r="D22" i="102"/>
  <c r="F22" i="102"/>
  <c r="G22" i="102"/>
  <c r="I22" i="102"/>
  <c r="K22" i="102"/>
  <c r="B23" i="102"/>
  <c r="C23" i="102"/>
  <c r="D23" i="102"/>
  <c r="F23" i="102"/>
  <c r="G23" i="102"/>
  <c r="H23" i="102"/>
  <c r="I23" i="102"/>
  <c r="J23" i="102"/>
  <c r="K23" i="102"/>
  <c r="L23" i="102"/>
  <c r="B25" i="102"/>
  <c r="C25" i="102"/>
  <c r="D25" i="102"/>
  <c r="F25" i="102"/>
  <c r="G25" i="102"/>
  <c r="H25" i="102"/>
  <c r="I25" i="102"/>
  <c r="J25" i="102"/>
  <c r="K25" i="102"/>
  <c r="L25" i="102"/>
  <c r="B27" i="102"/>
  <c r="D27" i="102"/>
  <c r="F27" i="102"/>
  <c r="G27" i="102"/>
  <c r="I27" i="102"/>
  <c r="K27" i="102"/>
  <c r="B30" i="102"/>
  <c r="C30" i="102"/>
  <c r="D30" i="102"/>
  <c r="F30" i="102"/>
  <c r="G30" i="102"/>
  <c r="H30" i="102"/>
  <c r="I30" i="102"/>
  <c r="J30" i="102"/>
  <c r="K30" i="102"/>
  <c r="L30" i="102"/>
  <c r="B33" i="102"/>
  <c r="C33" i="102"/>
  <c r="D33" i="102"/>
  <c r="F33" i="102"/>
  <c r="G33" i="102"/>
  <c r="I33" i="102"/>
  <c r="K33" i="102"/>
  <c r="B34" i="102"/>
  <c r="C34" i="102"/>
  <c r="D34" i="102"/>
  <c r="F34" i="102"/>
  <c r="G34" i="102"/>
  <c r="I34" i="102"/>
  <c r="K34" i="102"/>
  <c r="B35" i="102"/>
  <c r="C35" i="102"/>
  <c r="D35" i="102"/>
  <c r="F35" i="102"/>
  <c r="G35" i="102"/>
  <c r="I35" i="102"/>
  <c r="K35" i="102"/>
  <c r="B36" i="102"/>
  <c r="C36" i="102"/>
  <c r="D36" i="102"/>
  <c r="F36" i="102"/>
  <c r="G36" i="102"/>
  <c r="I36" i="102"/>
  <c r="K36" i="102"/>
  <c r="B37" i="102"/>
  <c r="C37" i="102"/>
  <c r="D37" i="102"/>
  <c r="F37" i="102"/>
  <c r="G37" i="102"/>
  <c r="H37" i="102"/>
  <c r="I37" i="102"/>
  <c r="J37" i="102"/>
  <c r="K37" i="102"/>
  <c r="L37" i="102"/>
  <c r="B39" i="102"/>
  <c r="C39" i="102"/>
  <c r="D39" i="102"/>
  <c r="F39" i="102"/>
  <c r="G39" i="102"/>
  <c r="H39" i="102"/>
  <c r="I39" i="102"/>
  <c r="J39" i="102"/>
  <c r="K39" i="102"/>
  <c r="L39" i="102"/>
  <c r="B41" i="102"/>
  <c r="C41" i="102"/>
  <c r="D41" i="102"/>
  <c r="F41" i="102"/>
  <c r="G41" i="102"/>
  <c r="I41" i="102"/>
  <c r="K41" i="102"/>
  <c r="B43" i="102"/>
  <c r="C43" i="102"/>
  <c r="D43" i="102"/>
  <c r="F43" i="102"/>
  <c r="G43" i="102"/>
  <c r="H43" i="102"/>
  <c r="I43" i="102"/>
  <c r="J43" i="102"/>
  <c r="K43" i="102"/>
  <c r="L43" i="102"/>
  <c r="B10" i="41"/>
  <c r="C10" i="41"/>
  <c r="D10" i="41"/>
  <c r="E10" i="41"/>
  <c r="F10" i="41"/>
  <c r="G10" i="41"/>
  <c r="H10" i="41"/>
  <c r="I10" i="41"/>
  <c r="J10" i="41"/>
  <c r="M10" i="41"/>
  <c r="O10" i="41"/>
  <c r="P10" i="41"/>
  <c r="B11" i="41"/>
  <c r="C11" i="41"/>
  <c r="D11" i="41"/>
  <c r="E11" i="41"/>
  <c r="F11" i="41"/>
  <c r="G11" i="41"/>
  <c r="H11" i="41"/>
  <c r="I11" i="41"/>
  <c r="J11" i="41"/>
  <c r="K11" i="41"/>
  <c r="L11" i="41"/>
  <c r="M11" i="41"/>
  <c r="N11" i="41"/>
  <c r="O11" i="41"/>
  <c r="P11" i="41"/>
  <c r="Q11" i="41"/>
  <c r="R11" i="41"/>
  <c r="B12" i="41"/>
  <c r="C12" i="41"/>
  <c r="D12" i="41"/>
  <c r="E12" i="41"/>
  <c r="F12" i="41"/>
  <c r="G12" i="41"/>
  <c r="H12" i="41"/>
  <c r="I12" i="41"/>
  <c r="J12" i="41"/>
  <c r="K12" i="41"/>
  <c r="L12" i="41"/>
  <c r="M12" i="41"/>
  <c r="N12" i="41"/>
  <c r="O12" i="41"/>
  <c r="P12" i="41"/>
  <c r="Q12" i="41"/>
  <c r="R12" i="41"/>
  <c r="B13" i="41"/>
  <c r="C13" i="41"/>
  <c r="D13" i="41"/>
  <c r="E13" i="41"/>
  <c r="F13" i="41"/>
  <c r="G13" i="41"/>
  <c r="H13" i="41"/>
  <c r="I13" i="41"/>
  <c r="J13" i="41"/>
  <c r="K13" i="41"/>
  <c r="L13" i="41"/>
  <c r="M13" i="41"/>
  <c r="N13" i="41"/>
  <c r="O13" i="41"/>
  <c r="P13" i="41"/>
  <c r="Q13" i="41"/>
  <c r="R13" i="41"/>
  <c r="B14" i="41"/>
  <c r="C14" i="41"/>
  <c r="D14" i="41"/>
  <c r="E14" i="41"/>
  <c r="F14" i="41"/>
  <c r="G14" i="41"/>
  <c r="H14" i="41"/>
  <c r="I14" i="41"/>
  <c r="J14" i="41"/>
  <c r="K14" i="41"/>
  <c r="L14" i="41"/>
  <c r="M14" i="41"/>
  <c r="N14" i="41"/>
  <c r="O14" i="41"/>
  <c r="P14" i="41"/>
  <c r="Q14" i="41"/>
  <c r="R14" i="41"/>
  <c r="B15" i="41"/>
  <c r="C15" i="41"/>
  <c r="D15" i="41"/>
  <c r="E15" i="41"/>
  <c r="F15" i="41"/>
  <c r="G15" i="41"/>
  <c r="H15" i="41"/>
  <c r="I15" i="41"/>
  <c r="J15" i="41"/>
  <c r="K15" i="41"/>
  <c r="L15" i="41"/>
  <c r="M15" i="41"/>
  <c r="N15" i="41"/>
  <c r="O15" i="41"/>
  <c r="P15" i="41"/>
  <c r="Q15" i="41"/>
  <c r="R15" i="41"/>
  <c r="B16" i="41"/>
  <c r="C16" i="41"/>
  <c r="D16" i="41"/>
  <c r="E16" i="41"/>
  <c r="F16" i="41"/>
  <c r="G16" i="41"/>
  <c r="H16" i="41"/>
  <c r="I16" i="41"/>
  <c r="J16" i="41"/>
  <c r="K16" i="41"/>
  <c r="L16" i="41"/>
  <c r="M16" i="41"/>
  <c r="N16" i="41"/>
  <c r="O16" i="41"/>
  <c r="P16" i="41"/>
  <c r="Q16" i="41"/>
  <c r="R16" i="41"/>
  <c r="B19" i="41"/>
  <c r="C19" i="41"/>
  <c r="D19" i="41"/>
  <c r="E19" i="41"/>
  <c r="F19" i="41"/>
  <c r="G19" i="41"/>
  <c r="H19" i="41"/>
  <c r="I19" i="41"/>
  <c r="J19" i="41"/>
  <c r="K19" i="41"/>
  <c r="L19" i="41"/>
  <c r="M19" i="41"/>
  <c r="N19" i="41"/>
  <c r="O19" i="41"/>
  <c r="P19" i="41"/>
  <c r="Q19" i="41"/>
  <c r="R19" i="41"/>
  <c r="B20" i="41"/>
  <c r="C20" i="41"/>
  <c r="D20" i="41"/>
  <c r="E20" i="41"/>
  <c r="F20" i="41"/>
  <c r="G20" i="41"/>
  <c r="H20" i="41"/>
  <c r="I20" i="41"/>
  <c r="J20" i="41"/>
  <c r="K20" i="41"/>
  <c r="L20" i="41"/>
  <c r="M20" i="41"/>
  <c r="N20" i="41"/>
  <c r="O20" i="41"/>
  <c r="P20" i="41"/>
  <c r="Q20" i="41"/>
  <c r="R20" i="41"/>
  <c r="B21" i="41"/>
  <c r="C21" i="41"/>
  <c r="D21" i="41"/>
  <c r="E21" i="41"/>
  <c r="F21" i="41"/>
  <c r="G21" i="41"/>
  <c r="H21" i="41"/>
  <c r="I21" i="41"/>
  <c r="J21" i="41"/>
  <c r="K21" i="41"/>
  <c r="L21" i="41"/>
  <c r="M21" i="41"/>
  <c r="N21" i="41"/>
  <c r="O21" i="41"/>
  <c r="P21" i="41"/>
  <c r="Q21" i="41"/>
  <c r="R21" i="41"/>
  <c r="B22" i="41"/>
  <c r="C22" i="41"/>
  <c r="D22" i="41"/>
  <c r="E22" i="41"/>
  <c r="F22" i="41"/>
  <c r="G22" i="41"/>
  <c r="H22" i="41"/>
  <c r="I22" i="41"/>
  <c r="J22" i="41"/>
  <c r="K22" i="41"/>
  <c r="L22" i="41"/>
  <c r="M22" i="41"/>
  <c r="N22" i="41"/>
  <c r="O22" i="41"/>
  <c r="P22" i="41"/>
  <c r="Q22" i="41"/>
  <c r="R22" i="41"/>
  <c r="B24" i="41"/>
  <c r="C24" i="41"/>
  <c r="D24" i="41"/>
  <c r="E24" i="41"/>
  <c r="F24" i="41"/>
  <c r="G24" i="41"/>
  <c r="H24" i="41"/>
  <c r="I24" i="41"/>
  <c r="J24" i="41"/>
  <c r="K24" i="41"/>
  <c r="M24" i="41"/>
  <c r="N24" i="41"/>
  <c r="O24" i="41"/>
  <c r="P24" i="41"/>
  <c r="Q24" i="41"/>
  <c r="R24" i="41"/>
  <c r="B26" i="41"/>
  <c r="C26" i="41"/>
  <c r="D26" i="41"/>
  <c r="E26" i="41"/>
  <c r="F26" i="41"/>
  <c r="G26" i="41"/>
  <c r="H26" i="41"/>
  <c r="I26" i="41"/>
  <c r="J26" i="41"/>
  <c r="K26" i="41"/>
  <c r="L26" i="41"/>
  <c r="M26" i="41"/>
  <c r="N26" i="41"/>
  <c r="O26" i="41"/>
  <c r="P26" i="41"/>
  <c r="Q26" i="41"/>
  <c r="R26" i="41"/>
  <c r="B29" i="41"/>
  <c r="C29" i="41"/>
  <c r="D29" i="41"/>
  <c r="E29" i="41"/>
  <c r="F29" i="41"/>
  <c r="G29" i="41"/>
  <c r="H29" i="41"/>
  <c r="I29" i="41"/>
  <c r="J29" i="41"/>
  <c r="K29" i="41"/>
  <c r="L29" i="41"/>
  <c r="M29" i="41"/>
  <c r="N29" i="41"/>
  <c r="O29" i="41"/>
  <c r="P29" i="41"/>
  <c r="Q29" i="41"/>
  <c r="R29" i="41"/>
  <c r="B32" i="41"/>
  <c r="C32" i="41"/>
  <c r="D32" i="41"/>
  <c r="E32" i="41"/>
  <c r="F32" i="41"/>
  <c r="G32" i="41"/>
  <c r="H32" i="41"/>
  <c r="I32" i="41"/>
  <c r="J32" i="41"/>
  <c r="K32" i="41"/>
  <c r="L32" i="41"/>
  <c r="M32" i="41"/>
  <c r="N32" i="41"/>
  <c r="O32" i="41"/>
  <c r="P32" i="41"/>
  <c r="Q32" i="41"/>
  <c r="R32" i="41"/>
  <c r="B33" i="41"/>
  <c r="C33" i="41"/>
  <c r="D33" i="41"/>
  <c r="E33" i="41"/>
  <c r="F33" i="41"/>
  <c r="G33" i="41"/>
  <c r="H33" i="41"/>
  <c r="I33" i="41"/>
  <c r="J33" i="41"/>
  <c r="K33" i="41"/>
  <c r="L33" i="41"/>
  <c r="M33" i="41"/>
  <c r="N33" i="41"/>
  <c r="O33" i="41"/>
  <c r="P33" i="41"/>
  <c r="Q33" i="41"/>
  <c r="R33" i="41"/>
  <c r="B34" i="41"/>
  <c r="C34" i="41"/>
  <c r="D34" i="41"/>
  <c r="E34" i="41"/>
  <c r="F34" i="41"/>
  <c r="G34" i="41"/>
  <c r="H34" i="41"/>
  <c r="I34" i="41"/>
  <c r="J34" i="41"/>
  <c r="K34" i="41"/>
  <c r="L34" i="41"/>
  <c r="M34" i="41"/>
  <c r="N34" i="41"/>
  <c r="O34" i="41"/>
  <c r="P34" i="41"/>
  <c r="Q34" i="41"/>
  <c r="R34" i="41"/>
  <c r="B35" i="41"/>
  <c r="C35" i="41"/>
  <c r="D35" i="41"/>
  <c r="E35" i="41"/>
  <c r="F35" i="41"/>
  <c r="G35" i="41"/>
  <c r="H35" i="41"/>
  <c r="I35" i="41"/>
  <c r="J35" i="41"/>
  <c r="K35" i="41"/>
  <c r="L35" i="41"/>
  <c r="M35" i="41"/>
  <c r="N35" i="41"/>
  <c r="O35" i="41"/>
  <c r="P35" i="41"/>
  <c r="Q35" i="41"/>
  <c r="R35" i="41"/>
  <c r="B36" i="41"/>
  <c r="C36" i="41"/>
  <c r="D36" i="41"/>
  <c r="E36" i="41"/>
  <c r="F36" i="41"/>
  <c r="G36" i="41"/>
  <c r="H36" i="41"/>
  <c r="I36" i="41"/>
  <c r="J36" i="41"/>
  <c r="K36" i="41"/>
  <c r="L36" i="41"/>
  <c r="M36" i="41"/>
  <c r="N36" i="41"/>
  <c r="O36" i="41"/>
  <c r="P36" i="41"/>
  <c r="Q36" i="41"/>
  <c r="R36" i="41"/>
  <c r="B38" i="41"/>
  <c r="C38" i="41"/>
  <c r="D38" i="41"/>
  <c r="E38" i="41"/>
  <c r="F38" i="41"/>
  <c r="G38" i="41"/>
  <c r="H38" i="41"/>
  <c r="I38" i="41"/>
  <c r="J38" i="41"/>
  <c r="K38" i="41"/>
  <c r="L38" i="41"/>
  <c r="M38" i="41"/>
  <c r="N38" i="41"/>
  <c r="O38" i="41"/>
  <c r="P38" i="41"/>
  <c r="Q38" i="41"/>
  <c r="R38" i="41"/>
  <c r="B40" i="41"/>
  <c r="C40" i="41"/>
  <c r="D40" i="41"/>
  <c r="E40" i="41"/>
  <c r="F40" i="41"/>
  <c r="G40" i="41"/>
  <c r="H40" i="41"/>
  <c r="I40" i="41"/>
  <c r="J40" i="41"/>
  <c r="K40" i="41"/>
  <c r="L40" i="41"/>
  <c r="M40" i="41"/>
  <c r="N40" i="41"/>
  <c r="O40" i="41"/>
  <c r="P40" i="41"/>
  <c r="Q40" i="41"/>
  <c r="R40" i="41"/>
  <c r="B42" i="41"/>
  <c r="C42" i="41"/>
  <c r="D42" i="41"/>
  <c r="E42" i="41"/>
  <c r="F42" i="41"/>
  <c r="G42" i="41"/>
  <c r="H42" i="41"/>
  <c r="I42" i="41"/>
  <c r="J42" i="41"/>
  <c r="K42" i="41"/>
  <c r="L42" i="41"/>
  <c r="M42" i="41"/>
  <c r="N42" i="41"/>
  <c r="O42" i="41"/>
  <c r="P42" i="41"/>
  <c r="Q42" i="41"/>
  <c r="R42" i="41"/>
  <c r="B51" i="41"/>
  <c r="C51" i="41"/>
  <c r="E51" i="41"/>
  <c r="F51" i="41"/>
  <c r="G51" i="41"/>
  <c r="I51" i="41"/>
  <c r="J51" i="41"/>
  <c r="K51" i="41"/>
  <c r="M51" i="41"/>
  <c r="N51" i="41"/>
  <c r="P51" i="41"/>
  <c r="Q51" i="41"/>
  <c r="B52" i="41"/>
  <c r="C52" i="41"/>
  <c r="D52" i="41"/>
  <c r="E52" i="41"/>
  <c r="F52" i="41"/>
  <c r="G52" i="41"/>
  <c r="H52" i="41"/>
  <c r="I52" i="41"/>
  <c r="J52" i="41"/>
  <c r="K52" i="41"/>
  <c r="L52" i="41"/>
  <c r="M52" i="41"/>
  <c r="N52" i="41"/>
  <c r="O52" i="41"/>
  <c r="P52" i="41"/>
  <c r="Q52" i="41"/>
  <c r="R52" i="41"/>
  <c r="S52" i="41"/>
  <c r="B53" i="41"/>
  <c r="C53" i="41"/>
  <c r="D53" i="41"/>
  <c r="E53" i="41"/>
  <c r="F53" i="41"/>
  <c r="G53" i="41"/>
  <c r="H53" i="41"/>
  <c r="I53" i="41"/>
  <c r="J53" i="41"/>
  <c r="K53" i="41"/>
  <c r="L53" i="41"/>
  <c r="M53" i="41"/>
  <c r="N53" i="41"/>
  <c r="O53" i="41"/>
  <c r="P53" i="41"/>
  <c r="Q53" i="41"/>
  <c r="R53" i="41"/>
  <c r="S53" i="41"/>
  <c r="B54" i="41"/>
  <c r="C54" i="41"/>
  <c r="D54" i="41"/>
  <c r="E54" i="41"/>
  <c r="F54" i="41"/>
  <c r="G54" i="41"/>
  <c r="H54" i="41"/>
  <c r="I54" i="41"/>
  <c r="J54" i="41"/>
  <c r="K54" i="41"/>
  <c r="L54" i="41"/>
  <c r="M54" i="41"/>
  <c r="N54" i="41"/>
  <c r="O54" i="41"/>
  <c r="P54" i="41"/>
  <c r="Q54" i="41"/>
  <c r="R54" i="41"/>
  <c r="S54" i="41"/>
  <c r="B55" i="41"/>
  <c r="C55" i="41"/>
  <c r="D55" i="41"/>
  <c r="E55" i="41"/>
  <c r="F55" i="41"/>
  <c r="G55" i="41"/>
  <c r="H55" i="41"/>
  <c r="I55" i="41"/>
  <c r="J55" i="41"/>
  <c r="K55" i="41"/>
  <c r="L55" i="41"/>
  <c r="M55" i="41"/>
  <c r="N55" i="41"/>
  <c r="O55" i="41"/>
  <c r="P55" i="41"/>
  <c r="Q55" i="41"/>
  <c r="R55" i="41"/>
  <c r="S55" i="41"/>
  <c r="B56" i="41"/>
  <c r="C56" i="41"/>
  <c r="D56" i="41"/>
  <c r="E56" i="41"/>
  <c r="F56" i="41"/>
  <c r="G56" i="41"/>
  <c r="H56" i="41"/>
  <c r="I56" i="41"/>
  <c r="J56" i="41"/>
  <c r="K56" i="41"/>
  <c r="L56" i="41"/>
  <c r="M56" i="41"/>
  <c r="N56" i="41"/>
  <c r="O56" i="41"/>
  <c r="P56" i="41"/>
  <c r="Q56" i="41"/>
  <c r="R56" i="41"/>
  <c r="S56" i="41"/>
  <c r="B57" i="41"/>
  <c r="C57" i="41"/>
  <c r="D57" i="41"/>
  <c r="E57" i="41"/>
  <c r="F57" i="41"/>
  <c r="G57" i="41"/>
  <c r="H57" i="41"/>
  <c r="I57" i="41"/>
  <c r="J57" i="41"/>
  <c r="K57" i="41"/>
  <c r="L57" i="41"/>
  <c r="M57" i="41"/>
  <c r="N57" i="41"/>
  <c r="O57" i="41"/>
  <c r="P57" i="41"/>
  <c r="Q57" i="41"/>
  <c r="R57" i="41"/>
  <c r="S57" i="41"/>
  <c r="B60" i="41"/>
  <c r="C60" i="41"/>
  <c r="D60" i="41"/>
  <c r="E60" i="41"/>
  <c r="F60" i="41"/>
  <c r="G60" i="41"/>
  <c r="H60" i="41"/>
  <c r="I60" i="41"/>
  <c r="J60" i="41"/>
  <c r="K60" i="41"/>
  <c r="L60" i="41"/>
  <c r="M60" i="41"/>
  <c r="N60" i="41"/>
  <c r="O60" i="41"/>
  <c r="P60" i="41"/>
  <c r="Q60" i="41"/>
  <c r="R60" i="41"/>
  <c r="S60" i="41"/>
  <c r="B61" i="41"/>
  <c r="C61" i="41"/>
  <c r="D61" i="41"/>
  <c r="E61" i="41"/>
  <c r="F61" i="41"/>
  <c r="G61" i="41"/>
  <c r="H61" i="41"/>
  <c r="I61" i="41"/>
  <c r="J61" i="41"/>
  <c r="K61" i="41"/>
  <c r="L61" i="41"/>
  <c r="M61" i="41"/>
  <c r="N61" i="41"/>
  <c r="O61" i="41"/>
  <c r="P61" i="41"/>
  <c r="Q61" i="41"/>
  <c r="R61" i="41"/>
  <c r="S61" i="41"/>
  <c r="B62" i="41"/>
  <c r="C62" i="41"/>
  <c r="D62" i="41"/>
  <c r="E62" i="41"/>
  <c r="F62" i="41"/>
  <c r="G62" i="41"/>
  <c r="H62" i="41"/>
  <c r="I62" i="41"/>
  <c r="J62" i="41"/>
  <c r="K62" i="41"/>
  <c r="L62" i="41"/>
  <c r="M62" i="41"/>
  <c r="N62" i="41"/>
  <c r="O62" i="41"/>
  <c r="P62" i="41"/>
  <c r="Q62" i="41"/>
  <c r="R62" i="41"/>
  <c r="S62" i="41"/>
  <c r="B63" i="41"/>
  <c r="C63" i="41"/>
  <c r="D63" i="41"/>
  <c r="E63" i="41"/>
  <c r="F63" i="41"/>
  <c r="G63" i="41"/>
  <c r="H63" i="41"/>
  <c r="I63" i="41"/>
  <c r="J63" i="41"/>
  <c r="K63" i="41"/>
  <c r="L63" i="41"/>
  <c r="M63" i="41"/>
  <c r="N63" i="41"/>
  <c r="O63" i="41"/>
  <c r="P63" i="41"/>
  <c r="Q63" i="41"/>
  <c r="R63" i="41"/>
  <c r="S63" i="41"/>
  <c r="B65" i="41"/>
  <c r="C65" i="41"/>
  <c r="D65" i="41"/>
  <c r="E65" i="41"/>
  <c r="F65" i="41"/>
  <c r="G65" i="41"/>
  <c r="H65" i="41"/>
  <c r="I65" i="41"/>
  <c r="J65" i="41"/>
  <c r="K65" i="41"/>
  <c r="L65" i="41"/>
  <c r="M65" i="41"/>
  <c r="N65" i="41"/>
  <c r="O65" i="41"/>
  <c r="P65" i="41"/>
  <c r="Q65" i="41"/>
  <c r="R65" i="41"/>
  <c r="S65" i="41"/>
  <c r="B67" i="41"/>
  <c r="C67" i="41"/>
  <c r="D67" i="41"/>
  <c r="E67" i="41"/>
  <c r="F67" i="41"/>
  <c r="G67" i="41"/>
  <c r="H67" i="41"/>
  <c r="I67" i="41"/>
  <c r="J67" i="41"/>
  <c r="K67" i="41"/>
  <c r="L67" i="41"/>
  <c r="M67" i="41"/>
  <c r="N67" i="41"/>
  <c r="O67" i="41"/>
  <c r="P67" i="41"/>
  <c r="Q67" i="41"/>
  <c r="R67" i="41"/>
  <c r="S67" i="41"/>
  <c r="B70" i="41"/>
  <c r="C70" i="41"/>
  <c r="D70" i="41"/>
  <c r="E70" i="41"/>
  <c r="F70" i="41"/>
  <c r="G70" i="41"/>
  <c r="H70" i="41"/>
  <c r="I70" i="41"/>
  <c r="J70" i="41"/>
  <c r="K70" i="41"/>
  <c r="L70" i="41"/>
  <c r="M70" i="41"/>
  <c r="N70" i="41"/>
  <c r="O70" i="41"/>
  <c r="P70" i="41"/>
  <c r="Q70" i="41"/>
  <c r="R70" i="41"/>
  <c r="S70" i="41"/>
  <c r="B73" i="41"/>
  <c r="C73" i="41"/>
  <c r="D73" i="41"/>
  <c r="E73" i="41"/>
  <c r="F73" i="41"/>
  <c r="G73" i="41"/>
  <c r="H73" i="41"/>
  <c r="I73" i="41"/>
  <c r="J73" i="41"/>
  <c r="K73" i="41"/>
  <c r="L73" i="41"/>
  <c r="M73" i="41"/>
  <c r="N73" i="41"/>
  <c r="O73" i="41"/>
  <c r="P73" i="41"/>
  <c r="Q73" i="41"/>
  <c r="R73" i="41"/>
  <c r="S73" i="41"/>
  <c r="B74" i="41"/>
  <c r="C74" i="41"/>
  <c r="D74" i="41"/>
  <c r="E74" i="41"/>
  <c r="F74" i="41"/>
  <c r="G74" i="41"/>
  <c r="H74" i="41"/>
  <c r="I74" i="41"/>
  <c r="J74" i="41"/>
  <c r="K74" i="41"/>
  <c r="L74" i="41"/>
  <c r="M74" i="41"/>
  <c r="N74" i="41"/>
  <c r="O74" i="41"/>
  <c r="P74" i="41"/>
  <c r="Q74" i="41"/>
  <c r="R74" i="41"/>
  <c r="S74" i="41"/>
  <c r="B75" i="41"/>
  <c r="C75" i="41"/>
  <c r="D75" i="41"/>
  <c r="E75" i="41"/>
  <c r="F75" i="41"/>
  <c r="G75" i="41"/>
  <c r="H75" i="41"/>
  <c r="I75" i="41"/>
  <c r="J75" i="41"/>
  <c r="K75" i="41"/>
  <c r="L75" i="41"/>
  <c r="M75" i="41"/>
  <c r="N75" i="41"/>
  <c r="O75" i="41"/>
  <c r="P75" i="41"/>
  <c r="Q75" i="41"/>
  <c r="R75" i="41"/>
  <c r="S75" i="41"/>
  <c r="B76" i="41"/>
  <c r="C76" i="41"/>
  <c r="D76" i="41"/>
  <c r="E76" i="41"/>
  <c r="F76" i="41"/>
  <c r="G76" i="41"/>
  <c r="H76" i="41"/>
  <c r="I76" i="41"/>
  <c r="J76" i="41"/>
  <c r="K76" i="41"/>
  <c r="L76" i="41"/>
  <c r="M76" i="41"/>
  <c r="N76" i="41"/>
  <c r="O76" i="41"/>
  <c r="P76" i="41"/>
  <c r="Q76" i="41"/>
  <c r="R76" i="41"/>
  <c r="S76" i="41"/>
  <c r="B77" i="41"/>
  <c r="C77" i="41"/>
  <c r="D77" i="41"/>
  <c r="E77" i="41"/>
  <c r="F77" i="41"/>
  <c r="G77" i="41"/>
  <c r="H77" i="41"/>
  <c r="I77" i="41"/>
  <c r="J77" i="41"/>
  <c r="K77" i="41"/>
  <c r="L77" i="41"/>
  <c r="M77" i="41"/>
  <c r="N77" i="41"/>
  <c r="O77" i="41"/>
  <c r="P77" i="41"/>
  <c r="Q77" i="41"/>
  <c r="R77" i="41"/>
  <c r="S77" i="41"/>
  <c r="B79" i="41"/>
  <c r="C79" i="41"/>
  <c r="D79" i="41"/>
  <c r="E79" i="41"/>
  <c r="F79" i="41"/>
  <c r="G79" i="41"/>
  <c r="H79" i="41"/>
  <c r="I79" i="41"/>
  <c r="J79" i="41"/>
  <c r="K79" i="41"/>
  <c r="L79" i="41"/>
  <c r="M79" i="41"/>
  <c r="N79" i="41"/>
  <c r="O79" i="41"/>
  <c r="P79" i="41"/>
  <c r="Q79" i="41"/>
  <c r="R79" i="41"/>
  <c r="S79" i="41"/>
  <c r="B81" i="41"/>
  <c r="C81" i="41"/>
  <c r="D81" i="41"/>
  <c r="E81" i="41"/>
  <c r="F81" i="41"/>
  <c r="G81" i="41"/>
  <c r="H81" i="41"/>
  <c r="I81" i="41"/>
  <c r="J81" i="41"/>
  <c r="K81" i="41"/>
  <c r="L81" i="41"/>
  <c r="M81" i="41"/>
  <c r="N81" i="41"/>
  <c r="O81" i="41"/>
  <c r="P81" i="41"/>
  <c r="Q81" i="41"/>
  <c r="R81" i="41"/>
  <c r="S81" i="41"/>
  <c r="B83" i="41"/>
  <c r="C83" i="41"/>
  <c r="D83" i="41"/>
  <c r="E83" i="41"/>
  <c r="F83" i="41"/>
  <c r="G83" i="41"/>
  <c r="H83" i="41"/>
  <c r="I83" i="41"/>
  <c r="J83" i="41"/>
  <c r="K83" i="41"/>
  <c r="L83" i="41"/>
  <c r="M83" i="41"/>
  <c r="N83" i="41"/>
  <c r="O83" i="41"/>
  <c r="P83" i="41"/>
  <c r="Q83" i="41"/>
  <c r="R83" i="41"/>
  <c r="S83" i="41"/>
  <c r="B11" i="40"/>
  <c r="C11" i="40"/>
  <c r="D11" i="40"/>
  <c r="E11" i="40"/>
  <c r="F11" i="40"/>
  <c r="G11" i="40"/>
  <c r="H11" i="40"/>
  <c r="I11" i="40"/>
  <c r="J11" i="40"/>
  <c r="K11" i="40"/>
  <c r="L11" i="40"/>
  <c r="M11" i="40"/>
  <c r="N11" i="40"/>
  <c r="O11" i="40"/>
  <c r="P11" i="40"/>
  <c r="Q11" i="40"/>
  <c r="R11" i="40"/>
  <c r="B12" i="40"/>
  <c r="C12" i="40"/>
  <c r="D12" i="40"/>
  <c r="E12" i="40"/>
  <c r="F12" i="40"/>
  <c r="G12" i="40"/>
  <c r="H12" i="40"/>
  <c r="I12" i="40"/>
  <c r="J12" i="40"/>
  <c r="K12" i="40"/>
  <c r="L12" i="40"/>
  <c r="M12" i="40"/>
  <c r="N12" i="40"/>
  <c r="O12" i="40"/>
  <c r="P12" i="40"/>
  <c r="Q12" i="40"/>
  <c r="R12" i="40"/>
  <c r="B13" i="40"/>
  <c r="C13" i="40"/>
  <c r="D13" i="40"/>
  <c r="E13" i="40"/>
  <c r="F13" i="40"/>
  <c r="G13" i="40"/>
  <c r="H13" i="40"/>
  <c r="I13" i="40"/>
  <c r="J13" i="40"/>
  <c r="K13" i="40"/>
  <c r="L13" i="40"/>
  <c r="M13" i="40"/>
  <c r="N13" i="40"/>
  <c r="O13" i="40"/>
  <c r="P13" i="40"/>
  <c r="Q13" i="40"/>
  <c r="R13" i="40"/>
  <c r="B14" i="40"/>
  <c r="C14" i="40"/>
  <c r="D14" i="40"/>
  <c r="E14" i="40"/>
  <c r="F14" i="40"/>
  <c r="G14" i="40"/>
  <c r="H14" i="40"/>
  <c r="I14" i="40"/>
  <c r="J14" i="40"/>
  <c r="K14" i="40"/>
  <c r="L14" i="40"/>
  <c r="M14" i="40"/>
  <c r="N14" i="40"/>
  <c r="O14" i="40"/>
  <c r="P14" i="40"/>
  <c r="Q14" i="40"/>
  <c r="R14" i="40"/>
  <c r="B15" i="40"/>
  <c r="C15" i="40"/>
  <c r="D15" i="40"/>
  <c r="E15" i="40"/>
  <c r="F15" i="40"/>
  <c r="G15" i="40"/>
  <c r="H15" i="40"/>
  <c r="I15" i="40"/>
  <c r="J15" i="40"/>
  <c r="K15" i="40"/>
  <c r="L15" i="40"/>
  <c r="M15" i="40"/>
  <c r="N15" i="40"/>
  <c r="O15" i="40"/>
  <c r="P15" i="40"/>
  <c r="Q15" i="40"/>
  <c r="R15" i="40"/>
  <c r="B16" i="40"/>
  <c r="C16" i="40"/>
  <c r="D16" i="40"/>
  <c r="E16" i="40"/>
  <c r="F16" i="40"/>
  <c r="G16" i="40"/>
  <c r="H16" i="40"/>
  <c r="I16" i="40"/>
  <c r="J16" i="40"/>
  <c r="K16" i="40"/>
  <c r="L16" i="40"/>
  <c r="M16" i="40"/>
  <c r="N16" i="40"/>
  <c r="O16" i="40"/>
  <c r="P16" i="40"/>
  <c r="Q16" i="40"/>
  <c r="R16" i="40"/>
  <c r="B19" i="40"/>
  <c r="C19" i="40"/>
  <c r="D19" i="40"/>
  <c r="E19" i="40"/>
  <c r="F19" i="40"/>
  <c r="G19" i="40"/>
  <c r="H19" i="40"/>
  <c r="I19" i="40"/>
  <c r="J19" i="40"/>
  <c r="K19" i="40"/>
  <c r="L19" i="40"/>
  <c r="M19" i="40"/>
  <c r="N19" i="40"/>
  <c r="O19" i="40"/>
  <c r="P19" i="40"/>
  <c r="Q19" i="40"/>
  <c r="R19" i="40"/>
  <c r="B20" i="40"/>
  <c r="C20" i="40"/>
  <c r="D20" i="40"/>
  <c r="E20" i="40"/>
  <c r="F20" i="40"/>
  <c r="G20" i="40"/>
  <c r="H20" i="40"/>
  <c r="I20" i="40"/>
  <c r="J20" i="40"/>
  <c r="K20" i="40"/>
  <c r="L20" i="40"/>
  <c r="M20" i="40"/>
  <c r="N20" i="40"/>
  <c r="O20" i="40"/>
  <c r="P20" i="40"/>
  <c r="Q20" i="40"/>
  <c r="R20" i="40"/>
  <c r="B21" i="40"/>
  <c r="C21" i="40"/>
  <c r="D21" i="40"/>
  <c r="E21" i="40"/>
  <c r="F21" i="40"/>
  <c r="G21" i="40"/>
  <c r="H21" i="40"/>
  <c r="I21" i="40"/>
  <c r="J21" i="40"/>
  <c r="K21" i="40"/>
  <c r="L21" i="40"/>
  <c r="M21" i="40"/>
  <c r="N21" i="40"/>
  <c r="O21" i="40"/>
  <c r="P21" i="40"/>
  <c r="Q21" i="40"/>
  <c r="R21" i="40"/>
  <c r="B22" i="40"/>
  <c r="C22" i="40"/>
  <c r="D22" i="40"/>
  <c r="E22" i="40"/>
  <c r="F22" i="40"/>
  <c r="G22" i="40"/>
  <c r="H22" i="40"/>
  <c r="I22" i="40"/>
  <c r="J22" i="40"/>
  <c r="K22" i="40"/>
  <c r="L22" i="40"/>
  <c r="M22" i="40"/>
  <c r="N22" i="40"/>
  <c r="O22" i="40"/>
  <c r="P22" i="40"/>
  <c r="Q22" i="40"/>
  <c r="R22" i="40"/>
  <c r="B24" i="40"/>
  <c r="C24" i="40"/>
  <c r="D24" i="40"/>
  <c r="E24" i="40"/>
  <c r="F24" i="40"/>
  <c r="G24" i="40"/>
  <c r="H24" i="40"/>
  <c r="I24" i="40"/>
  <c r="J24" i="40"/>
  <c r="K24" i="40"/>
  <c r="L24" i="40"/>
  <c r="M24" i="40"/>
  <c r="N24" i="40"/>
  <c r="O24" i="40"/>
  <c r="P24" i="40"/>
  <c r="Q24" i="40"/>
  <c r="R24" i="40"/>
  <c r="B26" i="40"/>
  <c r="C26" i="40"/>
  <c r="D26" i="40"/>
  <c r="E26" i="40"/>
  <c r="F26" i="40"/>
  <c r="G26" i="40"/>
  <c r="H26" i="40"/>
  <c r="I26" i="40"/>
  <c r="J26" i="40"/>
  <c r="K26" i="40"/>
  <c r="L26" i="40"/>
  <c r="M26" i="40"/>
  <c r="N26" i="40"/>
  <c r="O26" i="40"/>
  <c r="P26" i="40"/>
  <c r="Q26" i="40"/>
  <c r="R26" i="40"/>
  <c r="B29" i="40"/>
  <c r="C29" i="40"/>
  <c r="D29" i="40"/>
  <c r="E29" i="40"/>
  <c r="F29" i="40"/>
  <c r="G29" i="40"/>
  <c r="H29" i="40"/>
  <c r="I29" i="40"/>
  <c r="J29" i="40"/>
  <c r="K29" i="40"/>
  <c r="L29" i="40"/>
  <c r="M29" i="40"/>
  <c r="N29" i="40"/>
  <c r="O29" i="40"/>
  <c r="P29" i="40"/>
  <c r="Q29" i="40"/>
  <c r="R29" i="40"/>
  <c r="B32" i="40"/>
  <c r="C32" i="40"/>
  <c r="D32" i="40"/>
  <c r="E32" i="40"/>
  <c r="F32" i="40"/>
  <c r="G32" i="40"/>
  <c r="H32" i="40"/>
  <c r="I32" i="40"/>
  <c r="J32" i="40"/>
  <c r="K32" i="40"/>
  <c r="L32" i="40"/>
  <c r="M32" i="40"/>
  <c r="N32" i="40"/>
  <c r="O32" i="40"/>
  <c r="P32" i="40"/>
  <c r="Q32" i="40"/>
  <c r="R32" i="40"/>
  <c r="B33" i="40"/>
  <c r="C33" i="40"/>
  <c r="D33" i="40"/>
  <c r="E33" i="40"/>
  <c r="F33" i="40"/>
  <c r="G33" i="40"/>
  <c r="H33" i="40"/>
  <c r="I33" i="40"/>
  <c r="J33" i="40"/>
  <c r="K33" i="40"/>
  <c r="L33" i="40"/>
  <c r="M33" i="40"/>
  <c r="N33" i="40"/>
  <c r="O33" i="40"/>
  <c r="P33" i="40"/>
  <c r="Q33" i="40"/>
  <c r="R33" i="40"/>
  <c r="B34" i="40"/>
  <c r="C34" i="40"/>
  <c r="D34" i="40"/>
  <c r="E34" i="40"/>
  <c r="F34" i="40"/>
  <c r="G34" i="40"/>
  <c r="H34" i="40"/>
  <c r="I34" i="40"/>
  <c r="J34" i="40"/>
  <c r="K34" i="40"/>
  <c r="L34" i="40"/>
  <c r="M34" i="40"/>
  <c r="N34" i="40"/>
  <c r="O34" i="40"/>
  <c r="P34" i="40"/>
  <c r="Q34" i="40"/>
  <c r="R34" i="40"/>
  <c r="B35" i="40"/>
  <c r="C35" i="40"/>
  <c r="D35" i="40"/>
  <c r="E35" i="40"/>
  <c r="F35" i="40"/>
  <c r="G35" i="40"/>
  <c r="H35" i="40"/>
  <c r="I35" i="40"/>
  <c r="J35" i="40"/>
  <c r="K35" i="40"/>
  <c r="L35" i="40"/>
  <c r="M35" i="40"/>
  <c r="N35" i="40"/>
  <c r="O35" i="40"/>
  <c r="P35" i="40"/>
  <c r="Q35" i="40"/>
  <c r="R35" i="40"/>
  <c r="B36" i="40"/>
  <c r="C36" i="40"/>
  <c r="D36" i="40"/>
  <c r="E36" i="40"/>
  <c r="F36" i="40"/>
  <c r="G36" i="40"/>
  <c r="H36" i="40"/>
  <c r="I36" i="40"/>
  <c r="J36" i="40"/>
  <c r="K36" i="40"/>
  <c r="L36" i="40"/>
  <c r="M36" i="40"/>
  <c r="N36" i="40"/>
  <c r="O36" i="40"/>
  <c r="P36" i="40"/>
  <c r="Q36" i="40"/>
  <c r="R36" i="40"/>
  <c r="B38" i="40"/>
  <c r="C38" i="40"/>
  <c r="D38" i="40"/>
  <c r="E38" i="40"/>
  <c r="F38" i="40"/>
  <c r="G38" i="40"/>
  <c r="H38" i="40"/>
  <c r="I38" i="40"/>
  <c r="J38" i="40"/>
  <c r="K38" i="40"/>
  <c r="L38" i="40"/>
  <c r="M38" i="40"/>
  <c r="N38" i="40"/>
  <c r="O38" i="40"/>
  <c r="P38" i="40"/>
  <c r="Q38" i="40"/>
  <c r="R38" i="40"/>
  <c r="B40" i="40"/>
  <c r="C40" i="40"/>
  <c r="D40" i="40"/>
  <c r="E40" i="40"/>
  <c r="F40" i="40"/>
  <c r="G40" i="40"/>
  <c r="H40" i="40"/>
  <c r="I40" i="40"/>
  <c r="J40" i="40"/>
  <c r="K40" i="40"/>
  <c r="L40" i="40"/>
  <c r="M40" i="40"/>
  <c r="N40" i="40"/>
  <c r="O40" i="40"/>
  <c r="P40" i="40"/>
  <c r="Q40" i="40"/>
  <c r="R40" i="40"/>
  <c r="R41" i="40"/>
  <c r="B42" i="40"/>
  <c r="C42" i="40"/>
  <c r="D42" i="40"/>
  <c r="E42" i="40"/>
  <c r="F42" i="40"/>
  <c r="G42" i="40"/>
  <c r="H42" i="40"/>
  <c r="I42" i="40"/>
  <c r="J42" i="40"/>
  <c r="K42" i="40"/>
  <c r="L42" i="40"/>
  <c r="M42" i="40"/>
  <c r="N42" i="40"/>
  <c r="O42" i="40"/>
  <c r="P42" i="40"/>
  <c r="Q42" i="40"/>
  <c r="R42" i="40"/>
  <c r="C52" i="40"/>
  <c r="B53" i="40"/>
  <c r="C53" i="40"/>
  <c r="D53" i="40"/>
  <c r="E53" i="40"/>
  <c r="F53" i="40"/>
  <c r="G53" i="40"/>
  <c r="H53" i="40"/>
  <c r="I53" i="40"/>
  <c r="J53" i="40"/>
  <c r="K53" i="40"/>
  <c r="L53" i="40"/>
  <c r="M53" i="40"/>
  <c r="N53" i="40"/>
  <c r="O53" i="40"/>
  <c r="P53" i="40"/>
  <c r="Q53" i="40"/>
  <c r="R53" i="40"/>
  <c r="S53" i="40"/>
  <c r="B54" i="40"/>
  <c r="C54" i="40"/>
  <c r="D54" i="40"/>
  <c r="E54" i="40"/>
  <c r="F54" i="40"/>
  <c r="G54" i="40"/>
  <c r="H54" i="40"/>
  <c r="I54" i="40"/>
  <c r="J54" i="40"/>
  <c r="K54" i="40"/>
  <c r="L54" i="40"/>
  <c r="M54" i="40"/>
  <c r="N54" i="40"/>
  <c r="O54" i="40"/>
  <c r="P54" i="40"/>
  <c r="Q54" i="40"/>
  <c r="R54" i="40"/>
  <c r="S54" i="40"/>
  <c r="B55" i="40"/>
  <c r="C55" i="40"/>
  <c r="D55" i="40"/>
  <c r="E55" i="40"/>
  <c r="F55" i="40"/>
  <c r="G55" i="40"/>
  <c r="H55" i="40"/>
  <c r="I55" i="40"/>
  <c r="J55" i="40"/>
  <c r="K55" i="40"/>
  <c r="L55" i="40"/>
  <c r="M55" i="40"/>
  <c r="N55" i="40"/>
  <c r="O55" i="40"/>
  <c r="P55" i="40"/>
  <c r="Q55" i="40"/>
  <c r="R55" i="40"/>
  <c r="S55" i="40"/>
  <c r="B56" i="40"/>
  <c r="C56" i="40"/>
  <c r="D56" i="40"/>
  <c r="E56" i="40"/>
  <c r="F56" i="40"/>
  <c r="G56" i="40"/>
  <c r="H56" i="40"/>
  <c r="I56" i="40"/>
  <c r="J56" i="40"/>
  <c r="K56" i="40"/>
  <c r="L56" i="40"/>
  <c r="M56" i="40"/>
  <c r="N56" i="40"/>
  <c r="O56" i="40"/>
  <c r="P56" i="40"/>
  <c r="Q56" i="40"/>
  <c r="R56" i="40"/>
  <c r="S56" i="40"/>
  <c r="B57" i="40"/>
  <c r="C57" i="40"/>
  <c r="D57" i="40"/>
  <c r="E57" i="40"/>
  <c r="F57" i="40"/>
  <c r="G57" i="40"/>
  <c r="H57" i="40"/>
  <c r="I57" i="40"/>
  <c r="J57" i="40"/>
  <c r="K57" i="40"/>
  <c r="L57" i="40"/>
  <c r="M57" i="40"/>
  <c r="N57" i="40"/>
  <c r="O57" i="40"/>
  <c r="P57" i="40"/>
  <c r="Q57" i="40"/>
  <c r="R57" i="40"/>
  <c r="S57" i="40"/>
  <c r="B58" i="40"/>
  <c r="C58" i="40"/>
  <c r="D58" i="40"/>
  <c r="E58" i="40"/>
  <c r="F58" i="40"/>
  <c r="G58" i="40"/>
  <c r="H58" i="40"/>
  <c r="I58" i="40"/>
  <c r="J58" i="40"/>
  <c r="K58" i="40"/>
  <c r="L58" i="40"/>
  <c r="M58" i="40"/>
  <c r="N58" i="40"/>
  <c r="O58" i="40"/>
  <c r="P58" i="40"/>
  <c r="Q58" i="40"/>
  <c r="R58" i="40"/>
  <c r="S58" i="40"/>
  <c r="B61" i="40"/>
  <c r="C61" i="40"/>
  <c r="D61" i="40"/>
  <c r="E61" i="40"/>
  <c r="F61" i="40"/>
  <c r="G61" i="40"/>
  <c r="H61" i="40"/>
  <c r="I61" i="40"/>
  <c r="J61" i="40"/>
  <c r="K61" i="40"/>
  <c r="L61" i="40"/>
  <c r="M61" i="40"/>
  <c r="N61" i="40"/>
  <c r="O61" i="40"/>
  <c r="P61" i="40"/>
  <c r="Q61" i="40"/>
  <c r="R61" i="40"/>
  <c r="S61" i="40"/>
  <c r="B62" i="40"/>
  <c r="C62" i="40"/>
  <c r="D62" i="40"/>
  <c r="E62" i="40"/>
  <c r="F62" i="40"/>
  <c r="G62" i="40"/>
  <c r="H62" i="40"/>
  <c r="I62" i="40"/>
  <c r="J62" i="40"/>
  <c r="K62" i="40"/>
  <c r="L62" i="40"/>
  <c r="M62" i="40"/>
  <c r="N62" i="40"/>
  <c r="O62" i="40"/>
  <c r="P62" i="40"/>
  <c r="Q62" i="40"/>
  <c r="R62" i="40"/>
  <c r="S62" i="40"/>
  <c r="B63" i="40"/>
  <c r="C63" i="40"/>
  <c r="D63" i="40"/>
  <c r="E63" i="40"/>
  <c r="F63" i="40"/>
  <c r="G63" i="40"/>
  <c r="H63" i="40"/>
  <c r="I63" i="40"/>
  <c r="J63" i="40"/>
  <c r="K63" i="40"/>
  <c r="L63" i="40"/>
  <c r="M63" i="40"/>
  <c r="N63" i="40"/>
  <c r="O63" i="40"/>
  <c r="P63" i="40"/>
  <c r="Q63" i="40"/>
  <c r="R63" i="40"/>
  <c r="S63" i="40"/>
  <c r="B64" i="40"/>
  <c r="C64" i="40"/>
  <c r="D64" i="40"/>
  <c r="E64" i="40"/>
  <c r="F64" i="40"/>
  <c r="G64" i="40"/>
  <c r="H64" i="40"/>
  <c r="I64" i="40"/>
  <c r="J64" i="40"/>
  <c r="K64" i="40"/>
  <c r="L64" i="40"/>
  <c r="M64" i="40"/>
  <c r="N64" i="40"/>
  <c r="O64" i="40"/>
  <c r="P64" i="40"/>
  <c r="Q64" i="40"/>
  <c r="R64" i="40"/>
  <c r="S64" i="40"/>
  <c r="B66" i="40"/>
  <c r="C66" i="40"/>
  <c r="D66" i="40"/>
  <c r="E66" i="40"/>
  <c r="F66" i="40"/>
  <c r="G66" i="40"/>
  <c r="H66" i="40"/>
  <c r="I66" i="40"/>
  <c r="J66" i="40"/>
  <c r="K66" i="40"/>
  <c r="L66" i="40"/>
  <c r="M66" i="40"/>
  <c r="N66" i="40"/>
  <c r="O66" i="40"/>
  <c r="P66" i="40"/>
  <c r="Q66" i="40"/>
  <c r="R66" i="40"/>
  <c r="S66" i="40"/>
  <c r="B68" i="40"/>
  <c r="C68" i="40"/>
  <c r="D68" i="40"/>
  <c r="E68" i="40"/>
  <c r="F68" i="40"/>
  <c r="G68" i="40"/>
  <c r="H68" i="40"/>
  <c r="I68" i="40"/>
  <c r="J68" i="40"/>
  <c r="K68" i="40"/>
  <c r="L68" i="40"/>
  <c r="M68" i="40"/>
  <c r="N68" i="40"/>
  <c r="O68" i="40"/>
  <c r="P68" i="40"/>
  <c r="Q68" i="40"/>
  <c r="R68" i="40"/>
  <c r="S68" i="40"/>
  <c r="B71" i="40"/>
  <c r="C71" i="40"/>
  <c r="D71" i="40"/>
  <c r="E71" i="40"/>
  <c r="F71" i="40"/>
  <c r="G71" i="40"/>
  <c r="H71" i="40"/>
  <c r="I71" i="40"/>
  <c r="J71" i="40"/>
  <c r="K71" i="40"/>
  <c r="L71" i="40"/>
  <c r="M71" i="40"/>
  <c r="N71" i="40"/>
  <c r="O71" i="40"/>
  <c r="P71" i="40"/>
  <c r="Q71" i="40"/>
  <c r="R71" i="40"/>
  <c r="S71" i="40"/>
  <c r="B74" i="40"/>
  <c r="C74" i="40"/>
  <c r="D74" i="40"/>
  <c r="E74" i="40"/>
  <c r="F74" i="40"/>
  <c r="G74" i="40"/>
  <c r="H74" i="40"/>
  <c r="I74" i="40"/>
  <c r="J74" i="40"/>
  <c r="K74" i="40"/>
  <c r="L74" i="40"/>
  <c r="M74" i="40"/>
  <c r="N74" i="40"/>
  <c r="O74" i="40"/>
  <c r="P74" i="40"/>
  <c r="Q74" i="40"/>
  <c r="R74" i="40"/>
  <c r="S74" i="40"/>
  <c r="B75" i="40"/>
  <c r="C75" i="40"/>
  <c r="D75" i="40"/>
  <c r="E75" i="40"/>
  <c r="F75" i="40"/>
  <c r="G75" i="40"/>
  <c r="H75" i="40"/>
  <c r="I75" i="40"/>
  <c r="J75" i="40"/>
  <c r="K75" i="40"/>
  <c r="L75" i="40"/>
  <c r="M75" i="40"/>
  <c r="N75" i="40"/>
  <c r="O75" i="40"/>
  <c r="P75" i="40"/>
  <c r="Q75" i="40"/>
  <c r="R75" i="40"/>
  <c r="S75" i="40"/>
  <c r="B76" i="40"/>
  <c r="C76" i="40"/>
  <c r="D76" i="40"/>
  <c r="E76" i="40"/>
  <c r="F76" i="40"/>
  <c r="G76" i="40"/>
  <c r="H76" i="40"/>
  <c r="I76" i="40"/>
  <c r="J76" i="40"/>
  <c r="K76" i="40"/>
  <c r="L76" i="40"/>
  <c r="M76" i="40"/>
  <c r="N76" i="40"/>
  <c r="O76" i="40"/>
  <c r="P76" i="40"/>
  <c r="Q76" i="40"/>
  <c r="R76" i="40"/>
  <c r="S76" i="40"/>
  <c r="B77" i="40"/>
  <c r="C77" i="40"/>
  <c r="D77" i="40"/>
  <c r="E77" i="40"/>
  <c r="F77" i="40"/>
  <c r="G77" i="40"/>
  <c r="H77" i="40"/>
  <c r="I77" i="40"/>
  <c r="J77" i="40"/>
  <c r="K77" i="40"/>
  <c r="L77" i="40"/>
  <c r="M77" i="40"/>
  <c r="N77" i="40"/>
  <c r="O77" i="40"/>
  <c r="P77" i="40"/>
  <c r="Q77" i="40"/>
  <c r="R77" i="40"/>
  <c r="S77" i="40"/>
  <c r="B78" i="40"/>
  <c r="C78" i="40"/>
  <c r="D78" i="40"/>
  <c r="E78" i="40"/>
  <c r="F78" i="40"/>
  <c r="G78" i="40"/>
  <c r="H78" i="40"/>
  <c r="I78" i="40"/>
  <c r="J78" i="40"/>
  <c r="K78" i="40"/>
  <c r="L78" i="40"/>
  <c r="M78" i="40"/>
  <c r="N78" i="40"/>
  <c r="O78" i="40"/>
  <c r="P78" i="40"/>
  <c r="Q78" i="40"/>
  <c r="R78" i="40"/>
  <c r="S78" i="40"/>
  <c r="B80" i="40"/>
  <c r="C80" i="40"/>
  <c r="D80" i="40"/>
  <c r="E80" i="40"/>
  <c r="F80" i="40"/>
  <c r="G80" i="40"/>
  <c r="H80" i="40"/>
  <c r="I80" i="40"/>
  <c r="J80" i="40"/>
  <c r="K80" i="40"/>
  <c r="L80" i="40"/>
  <c r="M80" i="40"/>
  <c r="N80" i="40"/>
  <c r="O80" i="40"/>
  <c r="P80" i="40"/>
  <c r="Q80" i="40"/>
  <c r="R80" i="40"/>
  <c r="S80" i="40"/>
  <c r="B82" i="40"/>
  <c r="C82" i="40"/>
  <c r="D82" i="40"/>
  <c r="E82" i="40"/>
  <c r="F82" i="40"/>
  <c r="G82" i="40"/>
  <c r="H82" i="40"/>
  <c r="I82" i="40"/>
  <c r="J82" i="40"/>
  <c r="K82" i="40"/>
  <c r="L82" i="40"/>
  <c r="M82" i="40"/>
  <c r="N82" i="40"/>
  <c r="O82" i="40"/>
  <c r="P82" i="40"/>
  <c r="Q82" i="40"/>
  <c r="R82" i="40"/>
  <c r="S82" i="40"/>
  <c r="B84" i="40"/>
  <c r="C84" i="40"/>
  <c r="D84" i="40"/>
  <c r="E84" i="40"/>
  <c r="F84" i="40"/>
  <c r="G84" i="40"/>
  <c r="H84" i="40"/>
  <c r="I84" i="40"/>
  <c r="J84" i="40"/>
  <c r="K84" i="40"/>
  <c r="L84" i="40"/>
  <c r="M84" i="40"/>
  <c r="N84" i="40"/>
  <c r="O84" i="40"/>
  <c r="P84" i="40"/>
  <c r="Q84" i="40"/>
  <c r="R84" i="40"/>
  <c r="S84" i="40"/>
  <c r="B88" i="40"/>
  <c r="C88" i="40"/>
  <c r="F88" i="40"/>
  <c r="G88" i="40"/>
  <c r="H88" i="40"/>
  <c r="I88" i="40"/>
  <c r="J88" i="40"/>
  <c r="K88" i="40"/>
  <c r="N88" i="40"/>
  <c r="O88" i="40"/>
  <c r="Q88" i="40"/>
  <c r="R88" i="40"/>
  <c r="B90" i="40"/>
  <c r="C90" i="40"/>
  <c r="F90" i="40"/>
  <c r="G90" i="40"/>
  <c r="H90" i="40"/>
  <c r="I90" i="40"/>
  <c r="J90" i="40"/>
  <c r="K90" i="40"/>
  <c r="N90" i="40"/>
  <c r="O90" i="40"/>
  <c r="Q90" i="40"/>
  <c r="R90" i="40"/>
  <c r="C95" i="40"/>
  <c r="F95" i="40"/>
  <c r="I95" i="40"/>
  <c r="L95" i="40"/>
  <c r="P95" i="40"/>
  <c r="S95" i="40"/>
  <c r="C96" i="40"/>
  <c r="F96" i="40"/>
  <c r="I96" i="40"/>
  <c r="L96" i="40"/>
  <c r="P96" i="40"/>
  <c r="S96" i="40"/>
  <c r="C97" i="40"/>
  <c r="F97" i="40"/>
  <c r="I97" i="40"/>
  <c r="L97" i="40"/>
  <c r="P97" i="40"/>
  <c r="S97" i="40"/>
  <c r="C98" i="40"/>
  <c r="F98" i="40"/>
  <c r="I98" i="40"/>
  <c r="L98" i="40"/>
  <c r="P98" i="40"/>
  <c r="S98" i="40"/>
  <c r="C99" i="40"/>
  <c r="F99" i="40"/>
  <c r="I99" i="40"/>
  <c r="L99" i="40"/>
  <c r="P99" i="40"/>
  <c r="S99" i="40"/>
  <c r="C100" i="40"/>
  <c r="F100" i="40"/>
  <c r="I100" i="40"/>
  <c r="L100" i="40"/>
  <c r="P100" i="40"/>
  <c r="S100" i="40"/>
  <c r="C101" i="40"/>
  <c r="F101" i="40"/>
  <c r="I101" i="40"/>
  <c r="L101" i="40"/>
  <c r="P101" i="40"/>
  <c r="S101" i="40"/>
  <c r="C102" i="40"/>
  <c r="F102" i="40"/>
  <c r="I102" i="40"/>
  <c r="L102" i="40"/>
  <c r="P102" i="40"/>
  <c r="S102" i="40"/>
  <c r="C103" i="40"/>
  <c r="F103" i="40"/>
  <c r="I103" i="40"/>
  <c r="L103" i="40"/>
  <c r="P103" i="40"/>
  <c r="S103" i="40"/>
  <c r="C104" i="40"/>
  <c r="F104" i="40"/>
  <c r="I104" i="40"/>
  <c r="L104" i="40"/>
  <c r="P104" i="40"/>
  <c r="S104" i="40"/>
  <c r="C105" i="40"/>
  <c r="F105" i="40"/>
  <c r="I105" i="40"/>
  <c r="L105" i="40"/>
  <c r="P105" i="40"/>
  <c r="S105" i="40"/>
  <c r="C106" i="40"/>
  <c r="F106" i="40"/>
  <c r="I106" i="40"/>
  <c r="L106" i="40"/>
  <c r="P106" i="40"/>
  <c r="S106" i="40"/>
  <c r="C107" i="40"/>
  <c r="F107" i="40"/>
  <c r="I107" i="40"/>
  <c r="L107" i="40"/>
  <c r="P107" i="40"/>
  <c r="S107" i="40"/>
  <c r="B10" i="105"/>
  <c r="C10" i="105"/>
  <c r="D10" i="105"/>
  <c r="F10" i="105"/>
  <c r="H10" i="105"/>
  <c r="J10" i="105"/>
  <c r="K10" i="105"/>
  <c r="L10" i="105"/>
  <c r="M10" i="105"/>
  <c r="N10" i="105"/>
  <c r="O10" i="105"/>
  <c r="P10" i="105"/>
  <c r="Q10" i="105"/>
  <c r="B11" i="105"/>
  <c r="C11" i="105"/>
  <c r="D11" i="105"/>
  <c r="F11" i="105"/>
  <c r="H11" i="105"/>
  <c r="J11" i="105"/>
  <c r="K11" i="105"/>
  <c r="L11" i="105"/>
  <c r="M11" i="105"/>
  <c r="N11" i="105"/>
  <c r="O11" i="105"/>
  <c r="P11" i="105"/>
  <c r="Q11" i="105"/>
  <c r="B12" i="105"/>
  <c r="C12" i="105"/>
  <c r="D12" i="105"/>
  <c r="F12" i="105"/>
  <c r="H12" i="105"/>
  <c r="J12" i="105"/>
  <c r="K12" i="105"/>
  <c r="L12" i="105"/>
  <c r="M12" i="105"/>
  <c r="N12" i="105"/>
  <c r="O12" i="105"/>
  <c r="P12" i="105"/>
  <c r="Q12" i="105"/>
  <c r="B13" i="105"/>
  <c r="C13" i="105"/>
  <c r="D13" i="105"/>
  <c r="F13" i="105"/>
  <c r="H13" i="105"/>
  <c r="J13" i="105"/>
  <c r="K13" i="105"/>
  <c r="L13" i="105"/>
  <c r="M13" i="105"/>
  <c r="N13" i="105"/>
  <c r="O13" i="105"/>
  <c r="P13" i="105"/>
  <c r="Q13" i="105"/>
  <c r="B14" i="105"/>
  <c r="C14" i="105"/>
  <c r="D14" i="105"/>
  <c r="F14" i="105"/>
  <c r="H14" i="105"/>
  <c r="J14" i="105"/>
  <c r="K14" i="105"/>
  <c r="L14" i="105"/>
  <c r="M14" i="105"/>
  <c r="N14" i="105"/>
  <c r="O14" i="105"/>
  <c r="P14" i="105"/>
  <c r="Q14" i="105"/>
  <c r="B15" i="105"/>
  <c r="C15" i="105"/>
  <c r="D15" i="105"/>
  <c r="F15" i="105"/>
  <c r="H15" i="105"/>
  <c r="J15" i="105"/>
  <c r="K15" i="105"/>
  <c r="L15" i="105"/>
  <c r="M15" i="105"/>
  <c r="N15" i="105"/>
  <c r="O15" i="105"/>
  <c r="P15" i="105"/>
  <c r="Q15" i="105"/>
  <c r="B17" i="105"/>
  <c r="C17" i="105"/>
  <c r="D17" i="105"/>
  <c r="F17" i="105"/>
  <c r="H17" i="105"/>
  <c r="J17" i="105"/>
  <c r="L17" i="105"/>
  <c r="N17" i="105"/>
  <c r="P17" i="105"/>
  <c r="B18" i="105"/>
  <c r="C18" i="105"/>
  <c r="D18" i="105"/>
  <c r="F18" i="105"/>
  <c r="H18" i="105"/>
  <c r="J18" i="105"/>
  <c r="K18" i="105"/>
  <c r="L18" i="105"/>
  <c r="M18" i="105"/>
  <c r="N18" i="105"/>
  <c r="O18" i="105"/>
  <c r="P18" i="105"/>
  <c r="Q18" i="105"/>
  <c r="B19" i="105"/>
  <c r="C19" i="105"/>
  <c r="D19" i="105"/>
  <c r="F19" i="105"/>
  <c r="H19" i="105"/>
  <c r="J19" i="105"/>
  <c r="K19" i="105"/>
  <c r="L19" i="105"/>
  <c r="M19" i="105"/>
  <c r="N19" i="105"/>
  <c r="O19" i="105"/>
  <c r="P19" i="105"/>
  <c r="Q19" i="105"/>
  <c r="B20" i="105"/>
  <c r="C20" i="105"/>
  <c r="D20" i="105"/>
  <c r="F20" i="105"/>
  <c r="H20" i="105"/>
  <c r="J20" i="105"/>
  <c r="K20" i="105"/>
  <c r="L20" i="105"/>
  <c r="M20" i="105"/>
  <c r="N20" i="105"/>
  <c r="O20" i="105"/>
  <c r="P20" i="105"/>
  <c r="Q20" i="105"/>
  <c r="B21" i="105"/>
  <c r="C21" i="105"/>
  <c r="D21" i="105"/>
  <c r="F21" i="105"/>
  <c r="H21" i="105"/>
  <c r="J21" i="105"/>
  <c r="K21" i="105"/>
  <c r="L21" i="105"/>
  <c r="M21" i="105"/>
  <c r="N21" i="105"/>
  <c r="O21" i="105"/>
  <c r="P21" i="105"/>
  <c r="Q21" i="105"/>
  <c r="B22" i="105"/>
  <c r="C22" i="105"/>
  <c r="D22" i="105"/>
  <c r="F22" i="105"/>
  <c r="H22" i="105"/>
  <c r="J22" i="105"/>
  <c r="K22" i="105"/>
  <c r="L22" i="105"/>
  <c r="M22" i="105"/>
  <c r="N22" i="105"/>
  <c r="O22" i="105"/>
  <c r="P22" i="105"/>
  <c r="Q22" i="105"/>
  <c r="B26" i="105"/>
  <c r="C26" i="105"/>
  <c r="D26" i="105"/>
  <c r="F26" i="105"/>
  <c r="H26" i="105"/>
  <c r="J26" i="105"/>
  <c r="K26" i="105"/>
  <c r="L26" i="105"/>
  <c r="M26" i="105"/>
  <c r="N26" i="105"/>
  <c r="O26" i="105"/>
  <c r="P26" i="105"/>
  <c r="Q26" i="105"/>
  <c r="B27" i="105"/>
  <c r="C27" i="105"/>
  <c r="D27" i="105"/>
  <c r="F27" i="105"/>
  <c r="H27" i="105"/>
  <c r="J27" i="105"/>
  <c r="K27" i="105"/>
  <c r="L27" i="105"/>
  <c r="M27" i="105"/>
  <c r="N27" i="105"/>
  <c r="O27" i="105"/>
  <c r="P27" i="105"/>
  <c r="Q27" i="105"/>
  <c r="B28" i="105"/>
  <c r="C28" i="105"/>
  <c r="D28" i="105"/>
  <c r="F28" i="105"/>
  <c r="H28" i="105"/>
  <c r="J28" i="105"/>
  <c r="K28" i="105"/>
  <c r="L28" i="105"/>
  <c r="M28" i="105"/>
  <c r="N28" i="105"/>
  <c r="O28" i="105"/>
  <c r="P28" i="105"/>
  <c r="Q28" i="105"/>
  <c r="B29" i="105"/>
  <c r="C29" i="105"/>
  <c r="D29" i="105"/>
  <c r="F29" i="105"/>
  <c r="H29" i="105"/>
  <c r="J29" i="105"/>
  <c r="K29" i="105"/>
  <c r="L29" i="105"/>
  <c r="M29" i="105"/>
  <c r="N29" i="105"/>
  <c r="O29" i="105"/>
  <c r="P29" i="105"/>
  <c r="Q29" i="105"/>
  <c r="B32" i="105"/>
  <c r="C32" i="105"/>
  <c r="D32" i="105"/>
  <c r="F32" i="105"/>
  <c r="H32" i="105"/>
  <c r="J32" i="105"/>
  <c r="K32" i="105"/>
  <c r="L32" i="105"/>
  <c r="M32" i="105"/>
  <c r="N32" i="105"/>
  <c r="O32" i="105"/>
  <c r="P32" i="105"/>
  <c r="Q32" i="105"/>
  <c r="B33" i="105"/>
  <c r="C33" i="105"/>
  <c r="D33" i="105"/>
  <c r="F33" i="105"/>
  <c r="H33" i="105"/>
  <c r="J33" i="105"/>
  <c r="K33" i="105"/>
  <c r="L33" i="105"/>
  <c r="M33" i="105"/>
  <c r="N33" i="105"/>
  <c r="O33" i="105"/>
  <c r="P33" i="105"/>
  <c r="Q33" i="105"/>
  <c r="B34" i="105"/>
  <c r="C34" i="105"/>
  <c r="D34" i="105"/>
  <c r="F34" i="105"/>
  <c r="H34" i="105"/>
  <c r="J34" i="105"/>
  <c r="K34" i="105"/>
  <c r="L34" i="105"/>
  <c r="M34" i="105"/>
  <c r="N34" i="105"/>
  <c r="O34" i="105"/>
  <c r="P34" i="105"/>
  <c r="Q34" i="105"/>
  <c r="B35" i="105"/>
  <c r="C35" i="105"/>
  <c r="D35" i="105"/>
  <c r="F35" i="105"/>
  <c r="H35" i="105"/>
  <c r="J35" i="105"/>
  <c r="K35" i="105"/>
  <c r="L35" i="105"/>
  <c r="M35" i="105"/>
  <c r="N35" i="105"/>
  <c r="O35" i="105"/>
  <c r="P35" i="105"/>
  <c r="Q35" i="105"/>
  <c r="B38" i="105"/>
  <c r="C38" i="105"/>
  <c r="D38" i="105"/>
  <c r="F38" i="105"/>
  <c r="H38" i="105"/>
  <c r="J38" i="105"/>
  <c r="K38" i="105"/>
  <c r="L38" i="105"/>
  <c r="M38" i="105"/>
  <c r="N38" i="105"/>
  <c r="O38" i="105"/>
  <c r="P38" i="105"/>
  <c r="Q38" i="105"/>
  <c r="B39" i="105"/>
  <c r="C39" i="105"/>
  <c r="D39" i="105"/>
  <c r="F39" i="105"/>
  <c r="H39" i="105"/>
  <c r="J39" i="105"/>
  <c r="K39" i="105"/>
  <c r="L39" i="105"/>
  <c r="M39" i="105"/>
  <c r="N39" i="105"/>
  <c r="O39" i="105"/>
  <c r="P39" i="105"/>
  <c r="Q39" i="105"/>
  <c r="B40" i="105"/>
  <c r="C40" i="105"/>
  <c r="D40" i="105"/>
  <c r="F40" i="105"/>
  <c r="H40" i="105"/>
  <c r="J40" i="105"/>
  <c r="K40" i="105"/>
  <c r="L40" i="105"/>
  <c r="M40" i="105"/>
  <c r="N40" i="105"/>
  <c r="O40" i="105"/>
  <c r="P40" i="105"/>
  <c r="Q40" i="105"/>
  <c r="B41" i="105"/>
  <c r="C41" i="105"/>
  <c r="D41" i="105"/>
  <c r="F41" i="105"/>
  <c r="H41" i="105"/>
  <c r="J41" i="105"/>
  <c r="K41" i="105"/>
  <c r="L41" i="105"/>
  <c r="M41" i="105"/>
  <c r="N41" i="105"/>
  <c r="O41" i="105"/>
  <c r="P41" i="105"/>
  <c r="Q41" i="105"/>
  <c r="B43" i="105"/>
  <c r="C43" i="105"/>
  <c r="D43" i="105"/>
  <c r="F43" i="105"/>
  <c r="H43" i="105"/>
  <c r="J43" i="105"/>
  <c r="K43" i="105"/>
  <c r="L43" i="105"/>
  <c r="M43" i="105"/>
  <c r="N43" i="105"/>
  <c r="O43" i="105"/>
  <c r="P43" i="105"/>
  <c r="Q43" i="105"/>
  <c r="B44" i="105"/>
  <c r="C44" i="105"/>
  <c r="D44" i="105"/>
  <c r="F44" i="105"/>
  <c r="H44" i="105"/>
  <c r="J44" i="105"/>
  <c r="K44" i="105"/>
  <c r="L44" i="105"/>
  <c r="M44" i="105"/>
  <c r="N44" i="105"/>
  <c r="O44" i="105"/>
  <c r="P44" i="105"/>
  <c r="Q44" i="105"/>
  <c r="B47" i="105"/>
  <c r="C47" i="105"/>
  <c r="D47" i="105"/>
  <c r="F47" i="105"/>
  <c r="H47" i="105"/>
  <c r="J47" i="105"/>
  <c r="K47" i="105"/>
  <c r="L47" i="105"/>
  <c r="M47" i="105"/>
  <c r="N47" i="105"/>
  <c r="O47" i="105"/>
  <c r="P47" i="105"/>
  <c r="Q47" i="105"/>
  <c r="B48" i="105"/>
  <c r="C48" i="105"/>
  <c r="D48" i="105"/>
  <c r="F48" i="105"/>
  <c r="H48" i="105"/>
  <c r="J48" i="105"/>
  <c r="K48" i="105"/>
  <c r="L48" i="105"/>
  <c r="M48" i="105"/>
  <c r="N48" i="105"/>
  <c r="O48" i="105"/>
  <c r="P48" i="105"/>
  <c r="Q48" i="105"/>
  <c r="B49" i="105"/>
  <c r="C49" i="105"/>
  <c r="D49" i="105"/>
  <c r="F49" i="105"/>
  <c r="H49" i="105"/>
  <c r="K49" i="105"/>
  <c r="M49" i="105"/>
  <c r="O49" i="105"/>
  <c r="Q49" i="105"/>
  <c r="B50" i="105"/>
  <c r="C50" i="105"/>
  <c r="D50" i="105"/>
  <c r="F50" i="105"/>
  <c r="H50" i="105"/>
  <c r="J50" i="105"/>
  <c r="K50" i="105"/>
  <c r="L50" i="105"/>
  <c r="M50" i="105"/>
  <c r="N50" i="105"/>
  <c r="O50" i="105"/>
  <c r="P50" i="105"/>
  <c r="Q50" i="105"/>
  <c r="B51" i="105"/>
  <c r="C51" i="105"/>
  <c r="D51" i="105"/>
  <c r="F51" i="105"/>
  <c r="H51" i="105"/>
  <c r="J51" i="105"/>
  <c r="K51" i="105"/>
  <c r="L51" i="105"/>
  <c r="M51" i="105"/>
  <c r="N51" i="105"/>
  <c r="O51" i="105"/>
  <c r="P51" i="105"/>
  <c r="Q51" i="105"/>
  <c r="B52" i="105"/>
  <c r="C52" i="105"/>
  <c r="D52" i="105"/>
  <c r="F52" i="105"/>
  <c r="H52" i="105"/>
  <c r="J52" i="105"/>
  <c r="K52" i="105"/>
  <c r="L52" i="105"/>
  <c r="M52" i="105"/>
  <c r="N52" i="105"/>
  <c r="O52" i="105"/>
  <c r="P52" i="105"/>
  <c r="Q52" i="105"/>
  <c r="B57" i="105"/>
  <c r="D57" i="105"/>
  <c r="F57" i="105"/>
  <c r="H57" i="105"/>
  <c r="J57" i="105"/>
  <c r="L57" i="105"/>
  <c r="N57" i="105"/>
  <c r="P57" i="105"/>
  <c r="B58" i="105"/>
  <c r="D58" i="105"/>
  <c r="F58" i="105"/>
  <c r="H58" i="105"/>
  <c r="J58" i="105"/>
  <c r="L58" i="105"/>
  <c r="N58" i="105"/>
  <c r="P58" i="105"/>
  <c r="B59" i="105"/>
  <c r="D59" i="105"/>
  <c r="F59" i="105"/>
  <c r="H59" i="105"/>
  <c r="J59" i="105"/>
  <c r="L59" i="105"/>
  <c r="N59" i="105"/>
  <c r="P59" i="105"/>
  <c r="B61" i="105"/>
  <c r="D61" i="105"/>
  <c r="F61" i="105"/>
  <c r="H61" i="105"/>
  <c r="J61" i="105"/>
  <c r="L61" i="105"/>
  <c r="N61" i="105"/>
  <c r="P61" i="105"/>
  <c r="B62" i="105"/>
  <c r="D62" i="105"/>
  <c r="F62" i="105"/>
  <c r="H62" i="105"/>
  <c r="J62" i="105"/>
  <c r="L62" i="105"/>
  <c r="N62" i="105"/>
  <c r="P62" i="105"/>
  <c r="B63" i="105"/>
  <c r="D63" i="105"/>
  <c r="F63" i="105"/>
  <c r="H63" i="105"/>
  <c r="J63" i="105"/>
  <c r="L63" i="105"/>
  <c r="N63" i="105"/>
  <c r="P63" i="105"/>
  <c r="D10" i="106"/>
  <c r="E10" i="106"/>
  <c r="J10" i="106"/>
  <c r="K10" i="106"/>
  <c r="D11" i="106"/>
  <c r="E11" i="106"/>
  <c r="J11" i="106"/>
  <c r="K11" i="106"/>
  <c r="D12" i="106"/>
  <c r="E12" i="106"/>
  <c r="J12" i="106"/>
  <c r="K12" i="106"/>
  <c r="D13" i="106"/>
  <c r="J13" i="106"/>
  <c r="D14" i="106"/>
  <c r="E14" i="106"/>
  <c r="J14" i="106"/>
  <c r="K14" i="106"/>
  <c r="B15" i="106"/>
  <c r="C15" i="106"/>
  <c r="D15" i="106"/>
  <c r="E15" i="106"/>
  <c r="H15" i="106"/>
  <c r="I15" i="106"/>
  <c r="J15" i="106"/>
  <c r="K15" i="106"/>
  <c r="D17" i="106"/>
  <c r="J17" i="106"/>
  <c r="D18" i="106"/>
  <c r="J18" i="106"/>
  <c r="D19" i="106"/>
  <c r="E19" i="106"/>
  <c r="J19" i="106"/>
  <c r="K19" i="106"/>
  <c r="D20" i="106"/>
  <c r="J20" i="106"/>
  <c r="D21" i="106"/>
  <c r="E21" i="106"/>
  <c r="J21" i="106"/>
  <c r="K21" i="106"/>
  <c r="B22" i="106"/>
  <c r="C22" i="106"/>
  <c r="D22" i="106"/>
  <c r="E22" i="106"/>
  <c r="H22" i="106"/>
  <c r="I22" i="106"/>
  <c r="J22" i="106"/>
  <c r="K22" i="106"/>
  <c r="D26" i="106"/>
  <c r="E26" i="106"/>
  <c r="J26" i="106"/>
  <c r="K26" i="106"/>
  <c r="D27" i="106"/>
  <c r="E27" i="106"/>
  <c r="J27" i="106"/>
  <c r="K27" i="106"/>
  <c r="D28" i="106"/>
  <c r="E28" i="106"/>
  <c r="J28" i="106"/>
  <c r="K28" i="106"/>
  <c r="B29" i="106"/>
  <c r="C29" i="106"/>
  <c r="D29" i="106"/>
  <c r="E29" i="106"/>
  <c r="H29" i="106"/>
  <c r="I29" i="106"/>
  <c r="J29" i="106"/>
  <c r="K29" i="106"/>
  <c r="D32" i="106"/>
  <c r="J32" i="106"/>
  <c r="D33" i="106"/>
  <c r="J33" i="106"/>
  <c r="D34" i="106"/>
  <c r="E34" i="106"/>
  <c r="J34" i="106"/>
  <c r="K34" i="106"/>
  <c r="B35" i="106"/>
  <c r="C35" i="106"/>
  <c r="D35" i="106"/>
  <c r="E35" i="106"/>
  <c r="H35" i="106"/>
  <c r="I35" i="106"/>
  <c r="J35" i="106"/>
  <c r="K35" i="106"/>
  <c r="D38" i="106"/>
  <c r="J38" i="106"/>
  <c r="D39" i="106"/>
  <c r="J39" i="106"/>
  <c r="D40" i="106"/>
  <c r="E40" i="106"/>
  <c r="J40" i="106"/>
  <c r="K40" i="106"/>
  <c r="B41" i="106"/>
  <c r="C41" i="106"/>
  <c r="D41" i="106"/>
  <c r="E41" i="106"/>
  <c r="H41" i="106"/>
  <c r="I41" i="106"/>
  <c r="J41" i="106"/>
  <c r="K41" i="106"/>
  <c r="D43" i="106"/>
  <c r="J43" i="106"/>
  <c r="B44" i="106"/>
  <c r="C44" i="106"/>
  <c r="D44" i="106"/>
  <c r="E44" i="106"/>
  <c r="H44" i="106"/>
  <c r="I44" i="106"/>
  <c r="J44" i="106"/>
  <c r="K44" i="106"/>
  <c r="D47" i="106"/>
  <c r="E47" i="106"/>
  <c r="J47" i="106"/>
  <c r="K47" i="106"/>
  <c r="D48" i="106"/>
  <c r="J48" i="106"/>
  <c r="D49" i="106"/>
  <c r="J49" i="106"/>
  <c r="D50" i="106"/>
  <c r="E50" i="106"/>
  <c r="J50" i="106"/>
  <c r="K50" i="106"/>
  <c r="B51" i="106"/>
  <c r="C51" i="106"/>
  <c r="D51" i="106"/>
  <c r="E51" i="106"/>
  <c r="H51" i="106"/>
  <c r="I51" i="106"/>
  <c r="J51" i="106"/>
  <c r="K51" i="106"/>
  <c r="B53" i="106"/>
  <c r="C53" i="106"/>
  <c r="D53" i="106"/>
  <c r="E53" i="106"/>
  <c r="H53" i="106"/>
  <c r="I53" i="106"/>
  <c r="J53" i="106"/>
  <c r="K53" i="106"/>
  <c r="B58" i="106"/>
  <c r="B59" i="106"/>
  <c r="B60" i="106"/>
  <c r="B62" i="106"/>
  <c r="J62" i="106"/>
  <c r="B63" i="106"/>
  <c r="B64" i="106"/>
  <c r="J64" i="106"/>
  <c r="B11" i="103"/>
  <c r="D11" i="103"/>
  <c r="F11" i="103"/>
  <c r="H11" i="103"/>
  <c r="I11" i="103"/>
  <c r="J11" i="103"/>
  <c r="K11" i="103"/>
  <c r="L11" i="103"/>
  <c r="M11" i="103"/>
  <c r="N11" i="103"/>
  <c r="O11" i="103"/>
  <c r="P11" i="103"/>
  <c r="B12" i="103"/>
  <c r="D12" i="103"/>
  <c r="F12" i="103"/>
  <c r="H12" i="103"/>
  <c r="I12" i="103"/>
  <c r="J12" i="103"/>
  <c r="B13" i="103"/>
  <c r="D13" i="103"/>
  <c r="F13" i="103"/>
  <c r="H13" i="103"/>
  <c r="I13" i="103"/>
  <c r="J13" i="103"/>
  <c r="K13" i="103"/>
  <c r="L13" i="103"/>
  <c r="M13" i="103"/>
  <c r="N13" i="103"/>
  <c r="O13" i="103"/>
  <c r="P13" i="103"/>
  <c r="B14" i="103"/>
  <c r="D14" i="103"/>
  <c r="F14" i="103"/>
  <c r="H14" i="103"/>
  <c r="I14" i="103"/>
  <c r="J14" i="103"/>
  <c r="K14" i="103"/>
  <c r="L14" i="103"/>
  <c r="M14" i="103"/>
  <c r="N14" i="103"/>
  <c r="O14" i="103"/>
  <c r="P14" i="103"/>
  <c r="B15" i="103"/>
  <c r="D15" i="103"/>
  <c r="F15" i="103"/>
  <c r="H15" i="103"/>
  <c r="I15" i="103"/>
  <c r="J15" i="103"/>
  <c r="K15" i="103"/>
  <c r="L15" i="103"/>
  <c r="M15" i="103"/>
  <c r="N15" i="103"/>
  <c r="O15" i="103"/>
  <c r="P15" i="103"/>
  <c r="B23" i="103"/>
  <c r="C23" i="103"/>
  <c r="D23" i="103"/>
  <c r="F23" i="103"/>
  <c r="H23" i="103"/>
  <c r="J23" i="103"/>
  <c r="L23" i="103"/>
  <c r="N23" i="103"/>
  <c r="P23" i="103"/>
  <c r="R23" i="103"/>
  <c r="S23" i="103"/>
  <c r="T23" i="103"/>
  <c r="B24" i="103"/>
  <c r="C24" i="103"/>
  <c r="D24" i="103"/>
  <c r="F24" i="103"/>
  <c r="H24" i="103"/>
  <c r="J24" i="103"/>
  <c r="L24" i="103"/>
  <c r="N24" i="103"/>
  <c r="P24" i="103"/>
  <c r="R24" i="103"/>
  <c r="S24" i="103"/>
  <c r="T24" i="103"/>
  <c r="B25" i="103"/>
  <c r="C25" i="103"/>
  <c r="D25" i="103"/>
  <c r="F25" i="103"/>
  <c r="H25" i="103"/>
  <c r="J25" i="103"/>
  <c r="L25" i="103"/>
  <c r="N25" i="103"/>
  <c r="P25" i="103"/>
  <c r="R25" i="103"/>
  <c r="S25" i="103"/>
  <c r="T25" i="103"/>
  <c r="B26" i="103"/>
  <c r="C26" i="103"/>
  <c r="D26" i="103"/>
  <c r="F26" i="103"/>
  <c r="H26" i="103"/>
  <c r="J26" i="103"/>
  <c r="L26" i="103"/>
  <c r="N26" i="103"/>
  <c r="P26" i="103"/>
  <c r="R26" i="103"/>
  <c r="S26" i="103"/>
  <c r="T26" i="103"/>
  <c r="B27" i="103"/>
  <c r="C27" i="103"/>
  <c r="D27" i="103"/>
  <c r="F27" i="103"/>
  <c r="H27" i="103"/>
  <c r="J27" i="103"/>
  <c r="L27" i="103"/>
  <c r="N27" i="103"/>
  <c r="P27" i="103"/>
  <c r="R27" i="103"/>
  <c r="S27" i="103"/>
  <c r="T27" i="103"/>
  <c r="B41" i="103"/>
  <c r="N41" i="103"/>
  <c r="O41" i="103"/>
  <c r="Q41" i="103"/>
  <c r="B43" i="103"/>
  <c r="N43" i="103"/>
  <c r="O43" i="103"/>
  <c r="Q43" i="103"/>
  <c r="B48" i="103"/>
  <c r="N48" i="103"/>
  <c r="O48" i="103"/>
  <c r="Q48" i="103"/>
  <c r="B51" i="103"/>
  <c r="N51" i="103"/>
  <c r="O51" i="103"/>
  <c r="Q51" i="103"/>
  <c r="B54" i="103"/>
  <c r="N54" i="103"/>
  <c r="O54" i="103"/>
  <c r="Q54" i="103"/>
  <c r="B58" i="103"/>
  <c r="N58" i="103"/>
  <c r="O58" i="103"/>
  <c r="Q58" i="103"/>
  <c r="B60" i="103"/>
  <c r="N60" i="103"/>
  <c r="O60" i="103"/>
  <c r="Q60" i="103"/>
  <c r="B63" i="103"/>
  <c r="N63" i="103"/>
  <c r="O63" i="103"/>
  <c r="Q63" i="103"/>
  <c r="B65" i="103"/>
  <c r="N65" i="103"/>
  <c r="O65" i="103"/>
  <c r="Q65" i="103"/>
  <c r="B67" i="103"/>
  <c r="N67" i="103"/>
  <c r="O67" i="103"/>
  <c r="Q67" i="103"/>
  <c r="B70" i="103"/>
  <c r="N70" i="103"/>
  <c r="O70" i="103"/>
  <c r="Q70" i="103"/>
  <c r="B73" i="103"/>
  <c r="N73" i="103"/>
  <c r="O73" i="103"/>
  <c r="B10" i="107"/>
  <c r="D10" i="107"/>
  <c r="F10" i="107"/>
  <c r="H10" i="107"/>
  <c r="J10" i="107"/>
  <c r="K10" i="107"/>
  <c r="L10" i="107"/>
  <c r="M10" i="107"/>
  <c r="N10" i="107"/>
  <c r="O10" i="107"/>
  <c r="P10" i="107"/>
  <c r="B11" i="107"/>
  <c r="D11" i="107"/>
  <c r="F11" i="107"/>
  <c r="H11" i="107"/>
  <c r="J11" i="107"/>
  <c r="L11" i="107"/>
  <c r="N11" i="107"/>
  <c r="P11" i="107"/>
  <c r="B12" i="107"/>
  <c r="D12" i="107"/>
  <c r="F12" i="107"/>
  <c r="H12" i="107"/>
  <c r="J12" i="107"/>
  <c r="L12" i="107"/>
  <c r="M12" i="107"/>
  <c r="N12" i="107"/>
  <c r="O12" i="107"/>
  <c r="P12" i="107"/>
  <c r="B13" i="107"/>
  <c r="D13" i="107"/>
  <c r="F13" i="107"/>
  <c r="H13" i="107"/>
  <c r="J13" i="107"/>
  <c r="K13" i="107"/>
  <c r="L13" i="107"/>
  <c r="M13" i="107"/>
  <c r="N13" i="107"/>
  <c r="O13" i="107"/>
  <c r="P13" i="107"/>
  <c r="B14" i="107"/>
  <c r="D14" i="107"/>
  <c r="F14" i="107"/>
  <c r="H14" i="107"/>
  <c r="J14" i="107"/>
  <c r="K14" i="107"/>
  <c r="L14" i="107"/>
  <c r="M14" i="107"/>
  <c r="N14" i="107"/>
  <c r="O14" i="107"/>
  <c r="P14" i="107"/>
  <c r="B15" i="107"/>
  <c r="D15" i="107"/>
  <c r="F15" i="107"/>
  <c r="H15" i="107"/>
  <c r="J15" i="107"/>
  <c r="K15" i="107"/>
  <c r="L15" i="107"/>
  <c r="M15" i="107"/>
  <c r="N15" i="107"/>
  <c r="O15" i="107"/>
  <c r="P15" i="107"/>
  <c r="B18" i="107"/>
  <c r="D18" i="107"/>
  <c r="F18" i="107"/>
  <c r="H18" i="107"/>
  <c r="J18" i="107"/>
  <c r="K18" i="107"/>
  <c r="L18" i="107"/>
  <c r="M18" i="107"/>
  <c r="N18" i="107"/>
  <c r="O18" i="107"/>
  <c r="P18" i="107"/>
  <c r="B19" i="107"/>
  <c r="D19" i="107"/>
  <c r="F19" i="107"/>
  <c r="H19" i="107"/>
  <c r="J19" i="107"/>
  <c r="K19" i="107"/>
  <c r="L19" i="107"/>
  <c r="M19" i="107"/>
  <c r="N19" i="107"/>
  <c r="O19" i="107"/>
  <c r="P19" i="107"/>
  <c r="B20" i="107"/>
  <c r="D20" i="107"/>
  <c r="F20" i="107"/>
  <c r="H20" i="107"/>
  <c r="J20" i="107"/>
  <c r="K20" i="107"/>
  <c r="L20" i="107"/>
  <c r="M20" i="107"/>
  <c r="N20" i="107"/>
  <c r="O20" i="107"/>
  <c r="P20" i="107"/>
  <c r="B21" i="107"/>
  <c r="D21" i="107"/>
  <c r="F21" i="107"/>
  <c r="H21" i="107"/>
  <c r="J21" i="107"/>
  <c r="K21" i="107"/>
  <c r="L21" i="107"/>
  <c r="M21" i="107"/>
  <c r="N21" i="107"/>
  <c r="O21" i="107"/>
  <c r="P21" i="107"/>
  <c r="B23" i="107"/>
  <c r="D23" i="107"/>
  <c r="F23" i="107"/>
  <c r="H23" i="107"/>
  <c r="J23" i="107"/>
  <c r="K23" i="107"/>
  <c r="L23" i="107"/>
  <c r="M23" i="107"/>
  <c r="N23" i="107"/>
  <c r="O23" i="107"/>
  <c r="P23" i="107"/>
  <c r="B25" i="107"/>
  <c r="D25" i="107"/>
  <c r="F25" i="107"/>
  <c r="H25" i="107"/>
  <c r="J25" i="107"/>
  <c r="L25" i="107"/>
  <c r="N25" i="107"/>
  <c r="O25" i="107"/>
  <c r="P25" i="107"/>
  <c r="B28" i="107"/>
  <c r="D28" i="107"/>
  <c r="F28" i="107"/>
  <c r="H28" i="107"/>
  <c r="J28" i="107"/>
  <c r="K28" i="107"/>
  <c r="L28" i="107"/>
  <c r="M28" i="107"/>
  <c r="N28" i="107"/>
  <c r="O28" i="107"/>
  <c r="P28" i="107"/>
  <c r="B31" i="107"/>
  <c r="D31" i="107"/>
  <c r="F31" i="107"/>
  <c r="H31" i="107"/>
  <c r="J31" i="107"/>
  <c r="K31" i="107"/>
  <c r="L31" i="107"/>
  <c r="M31" i="107"/>
  <c r="N31" i="107"/>
  <c r="O31" i="107"/>
  <c r="P31" i="107"/>
  <c r="B32" i="107"/>
  <c r="D32" i="107"/>
  <c r="F32" i="107"/>
  <c r="H32" i="107"/>
  <c r="J32" i="107"/>
  <c r="K32" i="107"/>
  <c r="L32" i="107"/>
  <c r="M32" i="107"/>
  <c r="N32" i="107"/>
  <c r="O32" i="107"/>
  <c r="P32" i="107"/>
  <c r="B33" i="107"/>
  <c r="D33" i="107"/>
  <c r="F33" i="107"/>
  <c r="H33" i="107"/>
  <c r="J33" i="107"/>
  <c r="K33" i="107"/>
  <c r="L33" i="107"/>
  <c r="M33" i="107"/>
  <c r="N33" i="107"/>
  <c r="O33" i="107"/>
  <c r="P33" i="107"/>
  <c r="B34" i="107"/>
  <c r="D34" i="107"/>
  <c r="F34" i="107"/>
  <c r="H34" i="107"/>
  <c r="J34" i="107"/>
  <c r="K34" i="107"/>
  <c r="L34" i="107"/>
  <c r="M34" i="107"/>
  <c r="N34" i="107"/>
  <c r="O34" i="107"/>
  <c r="P34" i="107"/>
  <c r="B35" i="107"/>
  <c r="D35" i="107"/>
  <c r="F35" i="107"/>
  <c r="H35" i="107"/>
  <c r="J35" i="107"/>
  <c r="K35" i="107"/>
  <c r="L35" i="107"/>
  <c r="M35" i="107"/>
  <c r="N35" i="107"/>
  <c r="O35" i="107"/>
  <c r="P35" i="107"/>
  <c r="B37" i="107"/>
  <c r="D37" i="107"/>
  <c r="F37" i="107"/>
  <c r="H37" i="107"/>
  <c r="J37" i="107"/>
  <c r="K37" i="107"/>
  <c r="L37" i="107"/>
  <c r="M37" i="107"/>
  <c r="N37" i="107"/>
  <c r="O37" i="107"/>
  <c r="P37" i="107"/>
  <c r="B39" i="107"/>
  <c r="D39" i="107"/>
  <c r="F39" i="107"/>
  <c r="H39" i="107"/>
  <c r="J39" i="107"/>
  <c r="L39" i="107"/>
  <c r="M39" i="107"/>
  <c r="N39" i="107"/>
  <c r="O39" i="107"/>
  <c r="P39" i="107"/>
  <c r="B41" i="107"/>
  <c r="D41" i="107"/>
  <c r="F41" i="107"/>
  <c r="H41" i="107"/>
  <c r="J41" i="107"/>
  <c r="K41" i="107"/>
  <c r="L41" i="107"/>
  <c r="M41" i="107"/>
  <c r="N41" i="107"/>
  <c r="O41" i="107"/>
  <c r="P41" i="107"/>
  <c r="C50" i="107"/>
  <c r="D50" i="107"/>
  <c r="H50" i="107"/>
  <c r="L50" i="107"/>
  <c r="P50" i="107"/>
  <c r="R50" i="107"/>
  <c r="S50" i="107"/>
  <c r="T50" i="107"/>
  <c r="U50" i="107"/>
  <c r="C51" i="107"/>
  <c r="D51" i="107"/>
  <c r="H51" i="107"/>
  <c r="L51" i="107"/>
  <c r="P51" i="107"/>
  <c r="R51" i="107"/>
  <c r="S51" i="107"/>
  <c r="T51" i="107"/>
  <c r="U51" i="107"/>
  <c r="C52" i="107"/>
  <c r="H52" i="107"/>
  <c r="L52" i="107"/>
  <c r="P52" i="107"/>
  <c r="R52" i="107"/>
  <c r="S52" i="107"/>
  <c r="T52" i="107"/>
  <c r="U52" i="107"/>
  <c r="B53" i="107"/>
  <c r="C53" i="107"/>
  <c r="D53" i="107"/>
  <c r="F53" i="107"/>
  <c r="H53" i="107"/>
  <c r="J53" i="107"/>
  <c r="L53" i="107"/>
  <c r="N53" i="107"/>
  <c r="P53" i="107"/>
  <c r="R53" i="107"/>
  <c r="S53" i="107"/>
  <c r="T53" i="107"/>
  <c r="U53" i="107"/>
  <c r="C54" i="107"/>
  <c r="D54" i="107"/>
  <c r="H54" i="107"/>
  <c r="L54" i="107"/>
  <c r="P54" i="107"/>
  <c r="R54" i="107"/>
  <c r="S54" i="107"/>
  <c r="T54" i="107"/>
  <c r="U54" i="107"/>
  <c r="B55" i="107"/>
  <c r="C55" i="107"/>
  <c r="D55" i="107"/>
  <c r="F55" i="107"/>
  <c r="H55" i="107"/>
  <c r="J55" i="107"/>
  <c r="L55" i="107"/>
  <c r="N55" i="107"/>
  <c r="P55" i="107"/>
  <c r="R55" i="107"/>
  <c r="S55" i="107"/>
  <c r="T55" i="107"/>
  <c r="U55" i="107"/>
  <c r="C58" i="107"/>
  <c r="D58" i="107"/>
  <c r="H58" i="107"/>
  <c r="L58" i="107"/>
  <c r="P58" i="107"/>
  <c r="R58" i="107"/>
  <c r="S58" i="107"/>
  <c r="T58" i="107"/>
  <c r="U58" i="107"/>
  <c r="C59" i="107"/>
  <c r="D59" i="107"/>
  <c r="H59" i="107"/>
  <c r="L59" i="107"/>
  <c r="P59" i="107"/>
  <c r="R59" i="107"/>
  <c r="S59" i="107"/>
  <c r="T59" i="107"/>
  <c r="U59" i="107"/>
  <c r="C60" i="107"/>
  <c r="D60" i="107"/>
  <c r="H60" i="107"/>
  <c r="L60" i="107"/>
  <c r="P60" i="107"/>
  <c r="R60" i="107"/>
  <c r="S60" i="107"/>
  <c r="T60" i="107"/>
  <c r="U60" i="107"/>
  <c r="B61" i="107"/>
  <c r="C61" i="107"/>
  <c r="D61" i="107"/>
  <c r="F61" i="107"/>
  <c r="H61" i="107"/>
  <c r="J61" i="107"/>
  <c r="L61" i="107"/>
  <c r="N61" i="107"/>
  <c r="P61" i="107"/>
  <c r="R61" i="107"/>
  <c r="S61" i="107"/>
  <c r="T61" i="107"/>
  <c r="U61" i="107"/>
  <c r="B63" i="107"/>
  <c r="C63" i="107"/>
  <c r="D63" i="107"/>
  <c r="F63" i="107"/>
  <c r="H63" i="107"/>
  <c r="J63" i="107"/>
  <c r="L63" i="107"/>
  <c r="N63" i="107"/>
  <c r="P63" i="107"/>
  <c r="R63" i="107"/>
  <c r="S63" i="107"/>
  <c r="T63" i="107"/>
  <c r="U63" i="107"/>
  <c r="C65" i="107"/>
  <c r="F65" i="107"/>
  <c r="H65" i="107"/>
  <c r="P65" i="107"/>
  <c r="R65" i="107"/>
  <c r="S65" i="107"/>
  <c r="T65" i="107"/>
  <c r="U65" i="107"/>
  <c r="B68" i="107"/>
  <c r="C68" i="107"/>
  <c r="D68" i="107"/>
  <c r="F68" i="107"/>
  <c r="H68" i="107"/>
  <c r="J68" i="107"/>
  <c r="L68" i="107"/>
  <c r="N68" i="107"/>
  <c r="P68" i="107"/>
  <c r="R68" i="107"/>
  <c r="S68" i="107"/>
  <c r="T68" i="107"/>
  <c r="U68" i="107"/>
  <c r="C71" i="107"/>
  <c r="D71" i="107"/>
  <c r="H71" i="107"/>
  <c r="L71" i="107"/>
  <c r="P71" i="107"/>
  <c r="R71" i="107"/>
  <c r="S71" i="107"/>
  <c r="T71" i="107"/>
  <c r="U71" i="107"/>
  <c r="C72" i="107"/>
  <c r="D72" i="107"/>
  <c r="H72" i="107"/>
  <c r="L72" i="107"/>
  <c r="P72" i="107"/>
  <c r="R72" i="107"/>
  <c r="S72" i="107"/>
  <c r="T72" i="107"/>
  <c r="U72" i="107"/>
  <c r="C73" i="107"/>
  <c r="L73" i="107"/>
  <c r="P73" i="107"/>
  <c r="R73" i="107"/>
  <c r="S73" i="107"/>
  <c r="T73" i="107"/>
  <c r="U73" i="107"/>
  <c r="C74" i="107"/>
  <c r="D74" i="107"/>
  <c r="H74" i="107"/>
  <c r="L74" i="107"/>
  <c r="P74" i="107"/>
  <c r="R74" i="107"/>
  <c r="S74" i="107"/>
  <c r="T74" i="107"/>
  <c r="U74" i="107"/>
  <c r="B75" i="107"/>
  <c r="C75" i="107"/>
  <c r="D75" i="107"/>
  <c r="F75" i="107"/>
  <c r="H75" i="107"/>
  <c r="J75" i="107"/>
  <c r="L75" i="107"/>
  <c r="N75" i="107"/>
  <c r="P75" i="107"/>
  <c r="R75" i="107"/>
  <c r="S75" i="107"/>
  <c r="T75" i="107"/>
  <c r="U75" i="107"/>
  <c r="B77" i="107"/>
  <c r="C77" i="107"/>
  <c r="D77" i="107"/>
  <c r="F77" i="107"/>
  <c r="H77" i="107"/>
  <c r="J77" i="107"/>
  <c r="L77" i="107"/>
  <c r="N77" i="107"/>
  <c r="P77" i="107"/>
  <c r="R77" i="107"/>
  <c r="S77" i="107"/>
  <c r="T77" i="107"/>
  <c r="U77" i="107"/>
  <c r="C79" i="107"/>
  <c r="D79" i="107"/>
  <c r="H79" i="107"/>
  <c r="L79" i="107"/>
  <c r="P79" i="107"/>
  <c r="R79" i="107"/>
  <c r="S79" i="107"/>
  <c r="T79" i="107"/>
  <c r="U79" i="107"/>
  <c r="B81" i="107"/>
  <c r="C81" i="107"/>
  <c r="D81" i="107"/>
  <c r="F81" i="107"/>
  <c r="H81" i="107"/>
  <c r="J81" i="107"/>
  <c r="L81" i="107"/>
  <c r="N81" i="107"/>
  <c r="P81" i="107"/>
  <c r="R81" i="107"/>
  <c r="S81" i="107"/>
  <c r="T81" i="107"/>
  <c r="U81" i="107"/>
  <c r="B88" i="107"/>
  <c r="B90" i="107"/>
  <c r="D90" i="107"/>
  <c r="F90" i="107"/>
  <c r="H90" i="107"/>
  <c r="B91" i="107"/>
  <c r="B92" i="107"/>
  <c r="D92" i="107"/>
  <c r="F92" i="107"/>
  <c r="H92" i="107"/>
  <c r="B95" i="107"/>
  <c r="B96" i="107"/>
  <c r="B97" i="107"/>
  <c r="B98" i="107"/>
  <c r="D98" i="107"/>
  <c r="F98" i="107"/>
  <c r="H98" i="107"/>
  <c r="B100" i="107"/>
  <c r="D100" i="107"/>
  <c r="F100" i="107"/>
  <c r="H100" i="107"/>
  <c r="B105" i="107"/>
  <c r="D105" i="107"/>
  <c r="F105" i="107"/>
  <c r="H105" i="107"/>
  <c r="B108" i="107"/>
  <c r="B109" i="107"/>
  <c r="B110" i="107"/>
  <c r="B111" i="107"/>
  <c r="B112" i="107"/>
  <c r="D112" i="107"/>
  <c r="F112" i="107"/>
  <c r="H112" i="107"/>
  <c r="B114" i="107"/>
  <c r="D114" i="107"/>
  <c r="F114" i="107"/>
  <c r="H114" i="107"/>
  <c r="B118" i="107"/>
  <c r="D118" i="107"/>
  <c r="F118" i="107"/>
  <c r="H118" i="107"/>
  <c r="I10" i="104"/>
  <c r="K10" i="104"/>
  <c r="M10" i="104"/>
  <c r="O10" i="104"/>
  <c r="P10" i="104"/>
  <c r="I11" i="104"/>
  <c r="K11" i="104"/>
  <c r="M11" i="104"/>
  <c r="O11" i="104"/>
  <c r="P11" i="104"/>
  <c r="I12" i="104"/>
  <c r="K12" i="104"/>
  <c r="M12" i="104"/>
  <c r="O12" i="104"/>
  <c r="P12" i="104"/>
  <c r="O13" i="104"/>
  <c r="P13" i="104"/>
  <c r="I14" i="104"/>
  <c r="K14" i="104"/>
  <c r="M14" i="104"/>
  <c r="O14" i="104"/>
  <c r="P14" i="104"/>
  <c r="B15" i="104"/>
  <c r="D15" i="104"/>
  <c r="F15" i="104"/>
  <c r="H15" i="104"/>
  <c r="I15" i="104"/>
  <c r="J15" i="104"/>
  <c r="K15" i="104"/>
  <c r="L15" i="104"/>
  <c r="M15" i="104"/>
  <c r="N15" i="104"/>
  <c r="O15" i="104"/>
  <c r="P15" i="104"/>
  <c r="D17" i="104"/>
  <c r="F17" i="104"/>
  <c r="I17" i="104"/>
  <c r="L17" i="104"/>
  <c r="B18" i="104"/>
  <c r="D18" i="104"/>
  <c r="F18" i="104"/>
  <c r="H18" i="104"/>
  <c r="J18" i="104"/>
  <c r="L18" i="104"/>
  <c r="I19" i="104"/>
  <c r="K19" i="104"/>
  <c r="M19" i="104"/>
  <c r="O19" i="104"/>
  <c r="P19" i="104"/>
  <c r="I20" i="104"/>
  <c r="K20" i="104"/>
  <c r="M20" i="104"/>
  <c r="O20" i="104"/>
  <c r="P20" i="104"/>
  <c r="I21" i="104"/>
  <c r="K21" i="104"/>
  <c r="M21" i="104"/>
  <c r="O21" i="104"/>
  <c r="P21" i="104"/>
  <c r="B22" i="104"/>
  <c r="D22" i="104"/>
  <c r="F22" i="104"/>
  <c r="H22" i="104"/>
  <c r="I22" i="104"/>
  <c r="J22" i="104"/>
  <c r="K22" i="104"/>
  <c r="L22" i="104"/>
  <c r="M22" i="104"/>
  <c r="N22" i="104"/>
  <c r="O22" i="104"/>
  <c r="P22" i="104"/>
  <c r="I26" i="104"/>
  <c r="K26" i="104"/>
  <c r="M26" i="104"/>
  <c r="O26" i="104"/>
  <c r="P26" i="104"/>
  <c r="I27" i="104"/>
  <c r="K27" i="104"/>
  <c r="M27" i="104"/>
  <c r="O27" i="104"/>
  <c r="P27" i="104"/>
  <c r="I28" i="104"/>
  <c r="K28" i="104"/>
  <c r="M28" i="104"/>
  <c r="O28" i="104"/>
  <c r="P28" i="104"/>
  <c r="B29" i="104"/>
  <c r="D29" i="104"/>
  <c r="F29" i="104"/>
  <c r="H29" i="104"/>
  <c r="I29" i="104"/>
  <c r="J29" i="104"/>
  <c r="K29" i="104"/>
  <c r="L29" i="104"/>
  <c r="M29" i="104"/>
  <c r="N29" i="104"/>
  <c r="O29" i="104"/>
  <c r="P29" i="104"/>
  <c r="D32" i="104"/>
  <c r="F32" i="104"/>
  <c r="H32" i="104"/>
  <c r="J32" i="104"/>
  <c r="L32" i="104"/>
  <c r="B33" i="104"/>
  <c r="D33" i="104"/>
  <c r="F33" i="104"/>
  <c r="H33" i="104"/>
  <c r="J33" i="104"/>
  <c r="L33" i="104"/>
  <c r="I34" i="104"/>
  <c r="K34" i="104"/>
  <c r="M34" i="104"/>
  <c r="O34" i="104"/>
  <c r="P34" i="104"/>
  <c r="B35" i="104"/>
  <c r="D35" i="104"/>
  <c r="F35" i="104"/>
  <c r="H35" i="104"/>
  <c r="I35" i="104"/>
  <c r="J35" i="104"/>
  <c r="K35" i="104"/>
  <c r="L35" i="104"/>
  <c r="M35" i="104"/>
  <c r="N35" i="104"/>
  <c r="O35" i="104"/>
  <c r="P35" i="104"/>
  <c r="B38" i="104"/>
  <c r="D38" i="104"/>
  <c r="F38" i="104"/>
  <c r="H38" i="104"/>
  <c r="J38" i="104"/>
  <c r="L38" i="104"/>
  <c r="B39" i="104"/>
  <c r="D39" i="104"/>
  <c r="F39" i="104"/>
  <c r="H39" i="104"/>
  <c r="J39" i="104"/>
  <c r="L39" i="104"/>
  <c r="I40" i="104"/>
  <c r="K40" i="104"/>
  <c r="M40" i="104"/>
  <c r="O40" i="104"/>
  <c r="P40" i="104"/>
  <c r="B41" i="104"/>
  <c r="D41" i="104"/>
  <c r="F41" i="104"/>
  <c r="H41" i="104"/>
  <c r="I41" i="104"/>
  <c r="J41" i="104"/>
  <c r="K41" i="104"/>
  <c r="L41" i="104"/>
  <c r="M41" i="104"/>
  <c r="N41" i="104"/>
  <c r="O41" i="104"/>
  <c r="P41" i="104"/>
  <c r="H43" i="104"/>
  <c r="J43" i="104"/>
  <c r="L43" i="104"/>
  <c r="O43" i="104"/>
  <c r="P43" i="104"/>
  <c r="B44" i="104"/>
  <c r="D44" i="104"/>
  <c r="F44" i="104"/>
  <c r="H44" i="104"/>
  <c r="I44" i="104"/>
  <c r="J44" i="104"/>
  <c r="K44" i="104"/>
  <c r="L44" i="104"/>
  <c r="M44" i="104"/>
  <c r="N44" i="104"/>
  <c r="O44" i="104"/>
  <c r="P44" i="104"/>
  <c r="I47" i="104"/>
  <c r="K47" i="104"/>
  <c r="M47" i="104"/>
  <c r="N47" i="104"/>
  <c r="O47" i="104"/>
  <c r="P47" i="104"/>
  <c r="I48" i="104"/>
  <c r="K48" i="104"/>
  <c r="M48" i="104"/>
  <c r="N48" i="104"/>
  <c r="O48" i="104"/>
  <c r="P48" i="104"/>
  <c r="B49" i="104"/>
  <c r="D49" i="104"/>
  <c r="F49" i="104"/>
  <c r="J49" i="104"/>
  <c r="L49" i="104"/>
  <c r="I50" i="104"/>
  <c r="K50" i="104"/>
  <c r="M50" i="104"/>
  <c r="O50" i="104"/>
  <c r="P50" i="104"/>
  <c r="B51" i="104"/>
  <c r="D51" i="104"/>
  <c r="F51" i="104"/>
  <c r="H51" i="104"/>
  <c r="I51" i="104"/>
  <c r="J51" i="104"/>
  <c r="K51" i="104"/>
  <c r="L51" i="104"/>
  <c r="M51" i="104"/>
  <c r="N51" i="104"/>
  <c r="O51" i="104"/>
  <c r="P51" i="104"/>
  <c r="B52" i="104"/>
  <c r="D52" i="104"/>
  <c r="F52" i="104"/>
  <c r="H52" i="104"/>
  <c r="I52" i="104"/>
  <c r="J52" i="104"/>
  <c r="K52" i="104"/>
  <c r="L52" i="104"/>
  <c r="M52" i="104"/>
  <c r="N52" i="104"/>
  <c r="O52" i="104"/>
  <c r="P52" i="104"/>
  <c r="P60" i="104"/>
  <c r="L62" i="104"/>
  <c r="P62" i="104"/>
  <c r="B68" i="104"/>
  <c r="D68" i="104"/>
  <c r="E68" i="104"/>
  <c r="F68" i="104"/>
  <c r="H68" i="104"/>
  <c r="I68" i="104"/>
  <c r="J68" i="104"/>
  <c r="K68" i="104"/>
  <c r="L68" i="104"/>
  <c r="M68" i="104"/>
  <c r="O68" i="104"/>
  <c r="B69" i="104"/>
  <c r="B70" i="104"/>
  <c r="B71" i="104"/>
  <c r="B72" i="104"/>
  <c r="B74" i="104"/>
  <c r="B75" i="104"/>
  <c r="B79" i="104"/>
  <c r="D79" i="104"/>
  <c r="E79" i="104"/>
  <c r="F79" i="104"/>
  <c r="G79" i="104"/>
  <c r="H79" i="104"/>
  <c r="I79" i="104"/>
  <c r="J79" i="104"/>
  <c r="K79" i="104"/>
  <c r="L79" i="104"/>
  <c r="M79" i="104"/>
  <c r="O79" i="104"/>
  <c r="B83" i="104"/>
  <c r="D83" i="104"/>
  <c r="E83" i="104"/>
  <c r="F83" i="104"/>
  <c r="G83" i="104"/>
  <c r="H83" i="104"/>
  <c r="I83" i="104"/>
  <c r="J83" i="104"/>
  <c r="K83" i="104"/>
  <c r="L83" i="104"/>
  <c r="M83" i="104"/>
  <c r="O83" i="104"/>
  <c r="B85" i="104"/>
  <c r="B86" i="104"/>
  <c r="B93" i="104"/>
  <c r="B96" i="104"/>
  <c r="D96" i="104"/>
  <c r="E96" i="104"/>
  <c r="F96" i="104"/>
  <c r="G96" i="104"/>
  <c r="H96" i="104"/>
  <c r="I96" i="104"/>
  <c r="J96" i="104"/>
  <c r="K96" i="104"/>
  <c r="L96" i="104"/>
  <c r="M96" i="104"/>
  <c r="O96" i="104"/>
  <c r="B97" i="104"/>
  <c r="B98" i="104"/>
  <c r="B100" i="104"/>
  <c r="B106" i="104"/>
  <c r="D106" i="104"/>
  <c r="E106" i="104"/>
  <c r="F106" i="104"/>
  <c r="G106" i="104"/>
  <c r="H106" i="104"/>
  <c r="I106" i="104"/>
  <c r="J106" i="104"/>
  <c r="K106" i="104"/>
  <c r="L106" i="104"/>
  <c r="M106" i="104"/>
  <c r="O106" i="104"/>
  <c r="B107" i="104"/>
  <c r="B109" i="104"/>
  <c r="B114" i="104"/>
  <c r="D114" i="104"/>
  <c r="E114" i="104"/>
  <c r="F114" i="104"/>
  <c r="G114" i="104"/>
  <c r="H114" i="104"/>
  <c r="I114" i="104"/>
  <c r="J114" i="104"/>
  <c r="K114" i="104"/>
  <c r="L114" i="104"/>
  <c r="M114" i="104"/>
  <c r="O114" i="104"/>
  <c r="B119" i="104"/>
  <c r="D119" i="104"/>
  <c r="F119" i="104"/>
  <c r="H119" i="104"/>
  <c r="B120" i="104"/>
  <c r="B121" i="104"/>
  <c r="B123" i="104"/>
  <c r="B125" i="104"/>
  <c r="B127" i="104"/>
  <c r="D127" i="104"/>
  <c r="F127" i="104"/>
  <c r="H127" i="104"/>
  <c r="B128" i="104"/>
  <c r="B130" i="104"/>
  <c r="B133" i="104"/>
  <c r="B135" i="104"/>
  <c r="B136" i="104"/>
  <c r="B138" i="104"/>
  <c r="B142" i="104"/>
  <c r="D142" i="104"/>
  <c r="F142" i="104"/>
  <c r="H142" i="104"/>
  <c r="B149" i="104"/>
  <c r="B153" i="104"/>
  <c r="B157" i="104"/>
  <c r="D157" i="104"/>
  <c r="F157" i="104"/>
  <c r="H157" i="104"/>
  <c r="B158" i="104"/>
  <c r="B161" i="104"/>
  <c r="D161" i="104"/>
  <c r="F161" i="104"/>
  <c r="H161" i="104"/>
  <c r="B163" i="104"/>
  <c r="B165" i="104"/>
  <c r="D165" i="104"/>
  <c r="F165" i="104"/>
  <c r="H165" i="104"/>
  <c r="B166" i="104"/>
  <c r="B169" i="104"/>
  <c r="D169" i="104"/>
  <c r="E169" i="104"/>
  <c r="F169" i="104"/>
  <c r="G169" i="104"/>
  <c r="H169" i="104"/>
  <c r="I169" i="104"/>
  <c r="J169" i="104"/>
  <c r="K169" i="104"/>
  <c r="L169" i="104"/>
  <c r="M169" i="104"/>
  <c r="O169" i="104"/>
  <c r="B12" i="108"/>
  <c r="C12" i="108"/>
  <c r="D12" i="108"/>
  <c r="F12" i="108"/>
  <c r="G12" i="108"/>
  <c r="I12" i="108"/>
  <c r="K12" i="108"/>
  <c r="B13" i="108"/>
  <c r="C13" i="108"/>
  <c r="D13" i="108"/>
  <c r="F13" i="108"/>
  <c r="B14" i="108"/>
  <c r="C14" i="108"/>
  <c r="D14" i="108"/>
  <c r="F14" i="108"/>
  <c r="G14" i="108"/>
  <c r="B15" i="108"/>
  <c r="C15" i="108"/>
  <c r="D15" i="108"/>
  <c r="F15" i="108"/>
  <c r="G15" i="108"/>
  <c r="H15" i="108"/>
  <c r="I15" i="108"/>
  <c r="J15" i="108"/>
  <c r="K15" i="108"/>
  <c r="L15" i="108"/>
  <c r="B16" i="108"/>
  <c r="C16" i="108"/>
  <c r="D16" i="108"/>
  <c r="F16" i="108"/>
  <c r="G16" i="108"/>
  <c r="I16" i="108"/>
  <c r="K16" i="108"/>
  <c r="B17" i="108"/>
  <c r="C17" i="108"/>
  <c r="D17" i="108"/>
  <c r="F17" i="108"/>
  <c r="G17" i="108"/>
  <c r="H17" i="108"/>
  <c r="I17" i="108"/>
  <c r="J17" i="108"/>
  <c r="K17" i="108"/>
  <c r="L17" i="108"/>
  <c r="B20" i="108"/>
  <c r="C20" i="108"/>
  <c r="D20" i="108"/>
  <c r="F20" i="108"/>
  <c r="G20" i="108"/>
  <c r="I20" i="108"/>
  <c r="K20" i="108"/>
  <c r="B21" i="108"/>
  <c r="C21" i="108"/>
  <c r="D21" i="108"/>
  <c r="F21" i="108"/>
  <c r="G21" i="108"/>
  <c r="I21" i="108"/>
  <c r="K21" i="108"/>
  <c r="B22" i="108"/>
  <c r="C22" i="108"/>
  <c r="D22" i="108"/>
  <c r="F22" i="108"/>
  <c r="G22" i="108"/>
  <c r="I22" i="108"/>
  <c r="K22" i="108"/>
  <c r="B23" i="108"/>
  <c r="C23" i="108"/>
  <c r="D23" i="108"/>
  <c r="F23" i="108"/>
  <c r="G23" i="108"/>
  <c r="H23" i="108"/>
  <c r="I23" i="108"/>
  <c r="J23" i="108"/>
  <c r="K23" i="108"/>
  <c r="L23" i="108"/>
  <c r="B25" i="108"/>
  <c r="C25" i="108"/>
  <c r="D25" i="108"/>
  <c r="F25" i="108"/>
  <c r="G25" i="108"/>
  <c r="H25" i="108"/>
  <c r="I25" i="108"/>
  <c r="J25" i="108"/>
  <c r="K25" i="108"/>
  <c r="L25" i="108"/>
  <c r="B27" i="108"/>
  <c r="C27" i="108"/>
  <c r="D27" i="108"/>
  <c r="F27" i="108"/>
  <c r="G27" i="108"/>
  <c r="B30" i="108"/>
  <c r="C30" i="108"/>
  <c r="D30" i="108"/>
  <c r="F30" i="108"/>
  <c r="G30" i="108"/>
  <c r="H30" i="108"/>
  <c r="I30" i="108"/>
  <c r="J30" i="108"/>
  <c r="K30" i="108"/>
  <c r="L30" i="108"/>
  <c r="B33" i="108"/>
  <c r="C33" i="108"/>
  <c r="D33" i="108"/>
  <c r="F33" i="108"/>
  <c r="G33" i="108"/>
  <c r="I33" i="108"/>
  <c r="K33" i="108"/>
  <c r="B34" i="108"/>
  <c r="C34" i="108"/>
  <c r="D34" i="108"/>
  <c r="F34" i="108"/>
  <c r="G34" i="108"/>
  <c r="I34" i="108"/>
  <c r="K34" i="108"/>
  <c r="B35" i="108"/>
  <c r="C35" i="108"/>
  <c r="D35" i="108"/>
  <c r="F35" i="108"/>
  <c r="G35" i="108"/>
  <c r="I35" i="108"/>
  <c r="K35" i="108"/>
  <c r="B36" i="108"/>
  <c r="C36" i="108"/>
  <c r="D36" i="108"/>
  <c r="F36" i="108"/>
  <c r="G36" i="108"/>
  <c r="I36" i="108"/>
  <c r="K36" i="108"/>
  <c r="B37" i="108"/>
  <c r="C37" i="108"/>
  <c r="D37" i="108"/>
  <c r="F37" i="108"/>
  <c r="G37" i="108"/>
  <c r="H37" i="108"/>
  <c r="I37" i="108"/>
  <c r="J37" i="108"/>
  <c r="K37" i="108"/>
  <c r="L37" i="108"/>
  <c r="B39" i="108"/>
  <c r="C39" i="108"/>
  <c r="D39" i="108"/>
  <c r="F39" i="108"/>
  <c r="G39" i="108"/>
  <c r="H39" i="108"/>
  <c r="I39" i="108"/>
  <c r="J39" i="108"/>
  <c r="K39" i="108"/>
  <c r="L39" i="108"/>
  <c r="B41" i="108"/>
  <c r="C41" i="108"/>
  <c r="D41" i="108"/>
  <c r="F41" i="108"/>
  <c r="G41" i="108"/>
  <c r="I41" i="108"/>
  <c r="K41" i="108"/>
  <c r="B43" i="108"/>
  <c r="C43" i="108"/>
  <c r="D43" i="108"/>
  <c r="F43" i="108"/>
  <c r="G43" i="108"/>
  <c r="H43" i="108"/>
  <c r="I43" i="108"/>
  <c r="J43" i="108"/>
  <c r="K43" i="108"/>
  <c r="L43" i="108"/>
  <c r="D52" i="138"/>
  <c r="E52" i="138"/>
  <c r="F52" i="138"/>
  <c r="G52" i="138"/>
  <c r="H52" i="138"/>
  <c r="I52" i="138"/>
  <c r="J52" i="138"/>
  <c r="K52" i="138"/>
  <c r="L52" i="138"/>
  <c r="M52" i="138"/>
  <c r="N52" i="138"/>
  <c r="O52" i="138"/>
  <c r="P52" i="138"/>
  <c r="Q52" i="138"/>
  <c r="E63" i="138"/>
  <c r="F63" i="138"/>
  <c r="G63" i="138"/>
  <c r="H63" i="138"/>
  <c r="I63" i="138"/>
  <c r="J63" i="138"/>
  <c r="K63" i="138"/>
  <c r="L63" i="138"/>
  <c r="O63" i="138"/>
  <c r="P63" i="138"/>
  <c r="Q63" i="138"/>
  <c r="E76" i="138"/>
  <c r="F76" i="138"/>
  <c r="G76" i="138"/>
  <c r="H76" i="138"/>
  <c r="I76" i="138"/>
  <c r="J76" i="138"/>
  <c r="K76" i="138"/>
  <c r="L76" i="138"/>
  <c r="O76" i="138"/>
  <c r="P76" i="138"/>
  <c r="Q76" i="138"/>
  <c r="B10" i="123"/>
  <c r="C10" i="123"/>
  <c r="D10" i="123"/>
  <c r="F10" i="123"/>
  <c r="H10" i="123"/>
  <c r="J10" i="123"/>
  <c r="K10" i="123"/>
  <c r="L10" i="123"/>
  <c r="M10" i="123"/>
  <c r="N10" i="123"/>
  <c r="O10" i="123"/>
  <c r="P10" i="123"/>
  <c r="Q10" i="123"/>
  <c r="B11" i="123"/>
  <c r="C11" i="123"/>
  <c r="D11" i="123"/>
  <c r="F11" i="123"/>
  <c r="H11" i="123"/>
  <c r="J11" i="123"/>
  <c r="K11" i="123"/>
  <c r="L11" i="123"/>
  <c r="M11" i="123"/>
  <c r="N11" i="123"/>
  <c r="O11" i="123"/>
  <c r="P11" i="123"/>
  <c r="Q11" i="123"/>
  <c r="B12" i="123"/>
  <c r="C12" i="123"/>
  <c r="D12" i="123"/>
  <c r="F12" i="123"/>
  <c r="H12" i="123"/>
  <c r="J12" i="123"/>
  <c r="K12" i="123"/>
  <c r="L12" i="123"/>
  <c r="M12" i="123"/>
  <c r="N12" i="123"/>
  <c r="O12" i="123"/>
  <c r="P12" i="123"/>
  <c r="Q12" i="123"/>
  <c r="B13" i="123"/>
  <c r="C13" i="123"/>
  <c r="D13" i="123"/>
  <c r="F13" i="123"/>
  <c r="H13" i="123"/>
  <c r="J13" i="123"/>
  <c r="K13" i="123"/>
  <c r="L13" i="123"/>
  <c r="M13" i="123"/>
  <c r="N13" i="123"/>
  <c r="O13" i="123"/>
  <c r="P13" i="123"/>
  <c r="Q13" i="123"/>
  <c r="B14" i="123"/>
  <c r="C14" i="123"/>
  <c r="D14" i="123"/>
  <c r="F14" i="123"/>
  <c r="H14" i="123"/>
  <c r="J14" i="123"/>
  <c r="K14" i="123"/>
  <c r="L14" i="123"/>
  <c r="M14" i="123"/>
  <c r="N14" i="123"/>
  <c r="O14" i="123"/>
  <c r="P14" i="123"/>
  <c r="Q14" i="123"/>
  <c r="B15" i="123"/>
  <c r="C15" i="123"/>
  <c r="D15" i="123"/>
  <c r="F15" i="123"/>
  <c r="H15" i="123"/>
  <c r="J15" i="123"/>
  <c r="K15" i="123"/>
  <c r="L15" i="123"/>
  <c r="M15" i="123"/>
  <c r="N15" i="123"/>
  <c r="O15" i="123"/>
  <c r="P15" i="123"/>
  <c r="Q15" i="123"/>
  <c r="B17" i="123"/>
  <c r="C17" i="123"/>
  <c r="D17" i="123"/>
  <c r="F17" i="123"/>
  <c r="H17" i="123"/>
  <c r="J17" i="123"/>
  <c r="K17" i="123"/>
  <c r="L17" i="123"/>
  <c r="M17" i="123"/>
  <c r="N17" i="123"/>
  <c r="O17" i="123"/>
  <c r="P17" i="123"/>
  <c r="Q17" i="123"/>
  <c r="B18" i="123"/>
  <c r="C18" i="123"/>
  <c r="D18" i="123"/>
  <c r="F18" i="123"/>
  <c r="H18" i="123"/>
  <c r="J18" i="123"/>
  <c r="K18" i="123"/>
  <c r="L18" i="123"/>
  <c r="M18" i="123"/>
  <c r="N18" i="123"/>
  <c r="O18" i="123"/>
  <c r="P18" i="123"/>
  <c r="Q18" i="123"/>
  <c r="B19" i="123"/>
  <c r="C19" i="123"/>
  <c r="D19" i="123"/>
  <c r="F19" i="123"/>
  <c r="H19" i="123"/>
  <c r="J19" i="123"/>
  <c r="K19" i="123"/>
  <c r="L19" i="123"/>
  <c r="M19" i="123"/>
  <c r="N19" i="123"/>
  <c r="O19" i="123"/>
  <c r="P19" i="123"/>
  <c r="Q19" i="123"/>
  <c r="B20" i="123"/>
  <c r="C20" i="123"/>
  <c r="D20" i="123"/>
  <c r="F20" i="123"/>
  <c r="H20" i="123"/>
  <c r="J20" i="123"/>
  <c r="K20" i="123"/>
  <c r="L20" i="123"/>
  <c r="M20" i="123"/>
  <c r="N20" i="123"/>
  <c r="O20" i="123"/>
  <c r="P20" i="123"/>
  <c r="Q20" i="123"/>
  <c r="B21" i="123"/>
  <c r="C21" i="123"/>
  <c r="D21" i="123"/>
  <c r="F21" i="123"/>
  <c r="H21" i="123"/>
  <c r="J21" i="123"/>
  <c r="K21" i="123"/>
  <c r="L21" i="123"/>
  <c r="M21" i="123"/>
  <c r="N21" i="123"/>
  <c r="O21" i="123"/>
  <c r="P21" i="123"/>
  <c r="Q21" i="123"/>
  <c r="B22" i="123"/>
  <c r="C22" i="123"/>
  <c r="D22" i="123"/>
  <c r="F22" i="123"/>
  <c r="H22" i="123"/>
  <c r="J22" i="123"/>
  <c r="K22" i="123"/>
  <c r="L22" i="123"/>
  <c r="M22" i="123"/>
  <c r="N22" i="123"/>
  <c r="O22" i="123"/>
  <c r="P22" i="123"/>
  <c r="Q22" i="123"/>
  <c r="B26" i="123"/>
  <c r="C26" i="123"/>
  <c r="D26" i="123"/>
  <c r="F26" i="123"/>
  <c r="H26" i="123"/>
  <c r="J26" i="123"/>
  <c r="K26" i="123"/>
  <c r="L26" i="123"/>
  <c r="M26" i="123"/>
  <c r="N26" i="123"/>
  <c r="O26" i="123"/>
  <c r="P26" i="123"/>
  <c r="Q26" i="123"/>
  <c r="B27" i="123"/>
  <c r="C27" i="123"/>
  <c r="D27" i="123"/>
  <c r="F27" i="123"/>
  <c r="H27" i="123"/>
  <c r="J27" i="123"/>
  <c r="K27" i="123"/>
  <c r="L27" i="123"/>
  <c r="M27" i="123"/>
  <c r="N27" i="123"/>
  <c r="O27" i="123"/>
  <c r="P27" i="123"/>
  <c r="Q27" i="123"/>
  <c r="B28" i="123"/>
  <c r="C28" i="123"/>
  <c r="D28" i="123"/>
  <c r="F28" i="123"/>
  <c r="H28" i="123"/>
  <c r="J28" i="123"/>
  <c r="K28" i="123"/>
  <c r="L28" i="123"/>
  <c r="M28" i="123"/>
  <c r="N28" i="123"/>
  <c r="O28" i="123"/>
  <c r="P28" i="123"/>
  <c r="Q28" i="123"/>
  <c r="B29" i="123"/>
  <c r="C29" i="123"/>
  <c r="D29" i="123"/>
  <c r="F29" i="123"/>
  <c r="H29" i="123"/>
  <c r="J29" i="123"/>
  <c r="K29" i="123"/>
  <c r="L29" i="123"/>
  <c r="M29" i="123"/>
  <c r="N29" i="123"/>
  <c r="O29" i="123"/>
  <c r="P29" i="123"/>
  <c r="Q29" i="123"/>
  <c r="B32" i="123"/>
  <c r="C32" i="123"/>
  <c r="D32" i="123"/>
  <c r="F32" i="123"/>
  <c r="H32" i="123"/>
  <c r="J32" i="123"/>
  <c r="K32" i="123"/>
  <c r="L32" i="123"/>
  <c r="M32" i="123"/>
  <c r="N32" i="123"/>
  <c r="O32" i="123"/>
  <c r="P32" i="123"/>
  <c r="Q32" i="123"/>
  <c r="B33" i="123"/>
  <c r="C33" i="123"/>
  <c r="D33" i="123"/>
  <c r="F33" i="123"/>
  <c r="H33" i="123"/>
  <c r="J33" i="123"/>
  <c r="K33" i="123"/>
  <c r="L33" i="123"/>
  <c r="M33" i="123"/>
  <c r="N33" i="123"/>
  <c r="O33" i="123"/>
  <c r="P33" i="123"/>
  <c r="Q33" i="123"/>
  <c r="B34" i="123"/>
  <c r="C34" i="123"/>
  <c r="D34" i="123"/>
  <c r="F34" i="123"/>
  <c r="H34" i="123"/>
  <c r="J34" i="123"/>
  <c r="K34" i="123"/>
  <c r="L34" i="123"/>
  <c r="M34" i="123"/>
  <c r="N34" i="123"/>
  <c r="O34" i="123"/>
  <c r="P34" i="123"/>
  <c r="Q34" i="123"/>
  <c r="B35" i="123"/>
  <c r="C35" i="123"/>
  <c r="D35" i="123"/>
  <c r="F35" i="123"/>
  <c r="H35" i="123"/>
  <c r="J35" i="123"/>
  <c r="K35" i="123"/>
  <c r="L35" i="123"/>
  <c r="M35" i="123"/>
  <c r="N35" i="123"/>
  <c r="O35" i="123"/>
  <c r="P35" i="123"/>
  <c r="Q35" i="123"/>
  <c r="B38" i="123"/>
  <c r="C38" i="123"/>
  <c r="D38" i="123"/>
  <c r="F38" i="123"/>
  <c r="H38" i="123"/>
  <c r="J38" i="123"/>
  <c r="K38" i="123"/>
  <c r="L38" i="123"/>
  <c r="M38" i="123"/>
  <c r="N38" i="123"/>
  <c r="O38" i="123"/>
  <c r="P38" i="123"/>
  <c r="Q38" i="123"/>
  <c r="B39" i="123"/>
  <c r="C39" i="123"/>
  <c r="D39" i="123"/>
  <c r="F39" i="123"/>
  <c r="H39" i="123"/>
  <c r="J39" i="123"/>
  <c r="K39" i="123"/>
  <c r="L39" i="123"/>
  <c r="M39" i="123"/>
  <c r="N39" i="123"/>
  <c r="O39" i="123"/>
  <c r="P39" i="123"/>
  <c r="Q39" i="123"/>
  <c r="B40" i="123"/>
  <c r="C40" i="123"/>
  <c r="D40" i="123"/>
  <c r="F40" i="123"/>
  <c r="H40" i="123"/>
  <c r="J40" i="123"/>
  <c r="K40" i="123"/>
  <c r="L40" i="123"/>
  <c r="M40" i="123"/>
  <c r="N40" i="123"/>
  <c r="O40" i="123"/>
  <c r="P40" i="123"/>
  <c r="Q40" i="123"/>
  <c r="B41" i="123"/>
  <c r="C41" i="123"/>
  <c r="D41" i="123"/>
  <c r="F41" i="123"/>
  <c r="H41" i="123"/>
  <c r="J41" i="123"/>
  <c r="K41" i="123"/>
  <c r="L41" i="123"/>
  <c r="M41" i="123"/>
  <c r="N41" i="123"/>
  <c r="O41" i="123"/>
  <c r="P41" i="123"/>
  <c r="Q41" i="123"/>
  <c r="B43" i="123"/>
  <c r="C43" i="123"/>
  <c r="D43" i="123"/>
  <c r="F43" i="123"/>
  <c r="H43" i="123"/>
  <c r="J43" i="123"/>
  <c r="K43" i="123"/>
  <c r="L43" i="123"/>
  <c r="M43" i="123"/>
  <c r="N43" i="123"/>
  <c r="O43" i="123"/>
  <c r="P43" i="123"/>
  <c r="Q43" i="123"/>
  <c r="B44" i="123"/>
  <c r="C44" i="123"/>
  <c r="D44" i="123"/>
  <c r="F44" i="123"/>
  <c r="H44" i="123"/>
  <c r="J44" i="123"/>
  <c r="K44" i="123"/>
  <c r="L44" i="123"/>
  <c r="M44" i="123"/>
  <c r="N44" i="123"/>
  <c r="O44" i="123"/>
  <c r="P44" i="123"/>
  <c r="Q44" i="123"/>
  <c r="B47" i="123"/>
  <c r="C47" i="123"/>
  <c r="D47" i="123"/>
  <c r="F47" i="123"/>
  <c r="H47" i="123"/>
  <c r="J47" i="123"/>
  <c r="K47" i="123"/>
  <c r="L47" i="123"/>
  <c r="M47" i="123"/>
  <c r="N47" i="123"/>
  <c r="O47" i="123"/>
  <c r="P47" i="123"/>
  <c r="Q47" i="123"/>
  <c r="B48" i="123"/>
  <c r="C48" i="123"/>
  <c r="D48" i="123"/>
  <c r="F48" i="123"/>
  <c r="H48" i="123"/>
  <c r="J48" i="123"/>
  <c r="K48" i="123"/>
  <c r="L48" i="123"/>
  <c r="M48" i="123"/>
  <c r="N48" i="123"/>
  <c r="O48" i="123"/>
  <c r="P48" i="123"/>
  <c r="Q48" i="123"/>
  <c r="B49" i="123"/>
  <c r="C49" i="123"/>
  <c r="D49" i="123"/>
  <c r="F49" i="123"/>
  <c r="H49" i="123"/>
  <c r="B50" i="123"/>
  <c r="C50" i="123"/>
  <c r="D50" i="123"/>
  <c r="F50" i="123"/>
  <c r="H50" i="123"/>
  <c r="J50" i="123"/>
  <c r="K50" i="123"/>
  <c r="L50" i="123"/>
  <c r="M50" i="123"/>
  <c r="N50" i="123"/>
  <c r="O50" i="123"/>
  <c r="P50" i="123"/>
  <c r="Q50" i="123"/>
  <c r="B51" i="123"/>
  <c r="C51" i="123"/>
  <c r="D51" i="123"/>
  <c r="F51" i="123"/>
  <c r="H51" i="123"/>
  <c r="J51" i="123"/>
  <c r="K51" i="123"/>
  <c r="L51" i="123"/>
  <c r="M51" i="123"/>
  <c r="N51" i="123"/>
  <c r="O51" i="123"/>
  <c r="P51" i="123"/>
  <c r="Q51" i="123"/>
  <c r="B52" i="123"/>
  <c r="C52" i="123"/>
  <c r="D52" i="123"/>
  <c r="F52" i="123"/>
  <c r="H52" i="123"/>
  <c r="J52" i="123"/>
  <c r="K52" i="123"/>
  <c r="L52" i="123"/>
  <c r="M52" i="123"/>
  <c r="N52" i="123"/>
  <c r="O52" i="123"/>
  <c r="P52" i="123"/>
  <c r="Q52" i="123"/>
  <c r="B57" i="123"/>
  <c r="D57" i="123"/>
  <c r="F57" i="123"/>
  <c r="H57" i="123"/>
  <c r="J57" i="123"/>
  <c r="L57" i="123"/>
  <c r="N57" i="123"/>
  <c r="P57" i="123"/>
  <c r="B58" i="123"/>
  <c r="D58" i="123"/>
  <c r="F58" i="123"/>
  <c r="H58" i="123"/>
  <c r="J58" i="123"/>
  <c r="L58" i="123"/>
  <c r="N58" i="123"/>
  <c r="P58" i="123"/>
  <c r="B59" i="123"/>
  <c r="D59" i="123"/>
  <c r="F59" i="123"/>
  <c r="H59" i="123"/>
  <c r="J59" i="123"/>
  <c r="L59" i="123"/>
  <c r="N59" i="123"/>
  <c r="P59" i="123"/>
  <c r="B61" i="123"/>
  <c r="D61" i="123"/>
  <c r="F61" i="123"/>
  <c r="H61" i="123"/>
  <c r="J61" i="123"/>
  <c r="L61" i="123"/>
  <c r="N61" i="123"/>
  <c r="P61" i="123"/>
  <c r="B62" i="123"/>
  <c r="D62" i="123"/>
  <c r="F62" i="123"/>
  <c r="H62" i="123"/>
  <c r="J62" i="123"/>
  <c r="L62" i="123"/>
  <c r="N62" i="123"/>
  <c r="P62" i="123"/>
  <c r="B63" i="123"/>
  <c r="D63" i="123"/>
  <c r="F63" i="123"/>
  <c r="H63" i="123"/>
  <c r="J63" i="123"/>
  <c r="L63" i="123"/>
  <c r="N63" i="123"/>
  <c r="P63" i="123"/>
  <c r="D10" i="124"/>
  <c r="E10" i="124"/>
  <c r="J10" i="124"/>
  <c r="K10" i="124"/>
  <c r="D11" i="124"/>
  <c r="E11" i="124"/>
  <c r="J11" i="124"/>
  <c r="K11" i="124"/>
  <c r="D12" i="124"/>
  <c r="J12" i="124"/>
  <c r="D13" i="124"/>
  <c r="E13" i="124"/>
  <c r="J13" i="124"/>
  <c r="K13" i="124"/>
  <c r="D14" i="124"/>
  <c r="E14" i="124"/>
  <c r="J14" i="124"/>
  <c r="K14" i="124"/>
  <c r="B15" i="124"/>
  <c r="C15" i="124"/>
  <c r="D15" i="124"/>
  <c r="E15" i="124"/>
  <c r="H15" i="124"/>
  <c r="I15" i="124"/>
  <c r="J15" i="124"/>
  <c r="K15" i="124"/>
  <c r="D17" i="124"/>
  <c r="J17" i="124"/>
  <c r="D18" i="124"/>
  <c r="E18" i="124"/>
  <c r="J18" i="124"/>
  <c r="K18" i="124"/>
  <c r="D19" i="124"/>
  <c r="E19" i="124"/>
  <c r="J19" i="124"/>
  <c r="K19" i="124"/>
  <c r="D20" i="124"/>
  <c r="J20" i="124"/>
  <c r="D21" i="124"/>
  <c r="E21" i="124"/>
  <c r="J21" i="124"/>
  <c r="K21" i="124"/>
  <c r="B22" i="124"/>
  <c r="C22" i="124"/>
  <c r="D22" i="124"/>
  <c r="E22" i="124"/>
  <c r="H22" i="124"/>
  <c r="I22" i="124"/>
  <c r="J22" i="124"/>
  <c r="K22" i="124"/>
  <c r="D26" i="124"/>
  <c r="E26" i="124"/>
  <c r="J26" i="124"/>
  <c r="K26" i="124"/>
  <c r="D27" i="124"/>
  <c r="E27" i="124"/>
  <c r="J27" i="124"/>
  <c r="K27" i="124"/>
  <c r="D28" i="124"/>
  <c r="E28" i="124"/>
  <c r="J28" i="124"/>
  <c r="K28" i="124"/>
  <c r="B29" i="124"/>
  <c r="C29" i="124"/>
  <c r="D29" i="124"/>
  <c r="E29" i="124"/>
  <c r="H29" i="124"/>
  <c r="I29" i="124"/>
  <c r="J29" i="124"/>
  <c r="K29" i="124"/>
  <c r="D32" i="124"/>
  <c r="J32" i="124"/>
  <c r="K32" i="124"/>
  <c r="D33" i="124"/>
  <c r="J33" i="124"/>
  <c r="D34" i="124"/>
  <c r="E34" i="124"/>
  <c r="J34" i="124"/>
  <c r="K34" i="124"/>
  <c r="B35" i="124"/>
  <c r="C35" i="124"/>
  <c r="D35" i="124"/>
  <c r="E35" i="124"/>
  <c r="H35" i="124"/>
  <c r="I35" i="124"/>
  <c r="J35" i="124"/>
  <c r="K35" i="124"/>
  <c r="D38" i="124"/>
  <c r="J38" i="124"/>
  <c r="D39" i="124"/>
  <c r="J39" i="124"/>
  <c r="D40" i="124"/>
  <c r="E40" i="124"/>
  <c r="J40" i="124"/>
  <c r="B41" i="124"/>
  <c r="C41" i="124"/>
  <c r="D41" i="124"/>
  <c r="E41" i="124"/>
  <c r="H41" i="124"/>
  <c r="I41" i="124"/>
  <c r="J41" i="124"/>
  <c r="D43" i="124"/>
  <c r="E43" i="124"/>
  <c r="J43" i="124"/>
  <c r="B44" i="124"/>
  <c r="C44" i="124"/>
  <c r="D44" i="124"/>
  <c r="E44" i="124"/>
  <c r="H44" i="124"/>
  <c r="I44" i="124"/>
  <c r="J44" i="124"/>
  <c r="K44" i="124"/>
  <c r="D47" i="124"/>
  <c r="E47" i="124"/>
  <c r="J47" i="124"/>
  <c r="K47" i="124"/>
  <c r="D48" i="124"/>
  <c r="J48" i="124"/>
  <c r="D50" i="124"/>
  <c r="J50" i="124"/>
  <c r="B51" i="124"/>
  <c r="C51" i="124"/>
  <c r="D51" i="124"/>
  <c r="H51" i="124"/>
  <c r="I51" i="124"/>
  <c r="J51" i="124"/>
  <c r="B53" i="124"/>
  <c r="C53" i="124"/>
  <c r="D53" i="124"/>
  <c r="E53" i="124"/>
  <c r="H53" i="124"/>
  <c r="I53" i="124"/>
  <c r="J53" i="124"/>
  <c r="K53" i="124"/>
  <c r="B58" i="124"/>
  <c r="B59" i="124"/>
  <c r="B60" i="124"/>
  <c r="B62" i="124"/>
  <c r="J62" i="124"/>
  <c r="B63" i="124"/>
  <c r="J63" i="124"/>
  <c r="B64" i="124"/>
  <c r="B11" i="121"/>
  <c r="D11" i="121"/>
  <c r="F11" i="121"/>
  <c r="H11" i="121"/>
  <c r="I11" i="121"/>
  <c r="J11" i="121"/>
  <c r="K11" i="121"/>
  <c r="L11" i="121"/>
  <c r="M11" i="121"/>
  <c r="N11" i="121"/>
  <c r="O11" i="121"/>
  <c r="P11" i="121"/>
  <c r="B12" i="121"/>
  <c r="D12" i="121"/>
  <c r="F12" i="121"/>
  <c r="H12" i="121"/>
  <c r="I12" i="121"/>
  <c r="J12" i="121"/>
  <c r="K12" i="121"/>
  <c r="L12" i="121"/>
  <c r="B13" i="121"/>
  <c r="D13" i="121"/>
  <c r="F13" i="121"/>
  <c r="H13" i="121"/>
  <c r="I13" i="121"/>
  <c r="J13" i="121"/>
  <c r="K13" i="121"/>
  <c r="L13" i="121"/>
  <c r="M13" i="121"/>
  <c r="N13" i="121"/>
  <c r="O13" i="121"/>
  <c r="P13" i="121"/>
  <c r="B14" i="121"/>
  <c r="D14" i="121"/>
  <c r="F14" i="121"/>
  <c r="H14" i="121"/>
  <c r="I14" i="121"/>
  <c r="J14" i="121"/>
  <c r="K14" i="121"/>
  <c r="L14" i="121"/>
  <c r="M14" i="121"/>
  <c r="N14" i="121"/>
  <c r="O14" i="121"/>
  <c r="P14" i="121"/>
  <c r="B15" i="121"/>
  <c r="D15" i="121"/>
  <c r="F15" i="121"/>
  <c r="H15" i="121"/>
  <c r="I15" i="121"/>
  <c r="J15" i="121"/>
  <c r="K15" i="121"/>
  <c r="L15" i="121"/>
  <c r="M15" i="121"/>
  <c r="N15" i="121"/>
  <c r="O15" i="121"/>
  <c r="P15" i="121"/>
  <c r="B23" i="121"/>
  <c r="C23" i="121"/>
  <c r="D23" i="121"/>
  <c r="F23" i="121"/>
  <c r="H23" i="121"/>
  <c r="J23" i="121"/>
  <c r="L23" i="121"/>
  <c r="N23" i="121"/>
  <c r="P23" i="121"/>
  <c r="R23" i="121"/>
  <c r="S23" i="121"/>
  <c r="T23" i="121"/>
  <c r="B24" i="121"/>
  <c r="C24" i="121"/>
  <c r="D24" i="121"/>
  <c r="F24" i="121"/>
  <c r="H24" i="121"/>
  <c r="J24" i="121"/>
  <c r="L24" i="121"/>
  <c r="N24" i="121"/>
  <c r="P24" i="121"/>
  <c r="R24" i="121"/>
  <c r="S24" i="121"/>
  <c r="T24" i="121"/>
  <c r="B25" i="121"/>
  <c r="C25" i="121"/>
  <c r="D25" i="121"/>
  <c r="F25" i="121"/>
  <c r="H25" i="121"/>
  <c r="J25" i="121"/>
  <c r="L25" i="121"/>
  <c r="N25" i="121"/>
  <c r="P25" i="121"/>
  <c r="R25" i="121"/>
  <c r="S25" i="121"/>
  <c r="T25" i="121"/>
  <c r="B26" i="121"/>
  <c r="C26" i="121"/>
  <c r="D26" i="121"/>
  <c r="F26" i="121"/>
  <c r="H26" i="121"/>
  <c r="J26" i="121"/>
  <c r="L26" i="121"/>
  <c r="N26" i="121"/>
  <c r="P26" i="121"/>
  <c r="R26" i="121"/>
  <c r="S26" i="121"/>
  <c r="T26" i="121"/>
  <c r="B27" i="121"/>
  <c r="C27" i="121"/>
  <c r="D27" i="121"/>
  <c r="F27" i="121"/>
  <c r="H27" i="121"/>
  <c r="J27" i="121"/>
  <c r="L27" i="121"/>
  <c r="N27" i="121"/>
  <c r="P27" i="121"/>
  <c r="R27" i="121"/>
  <c r="S27" i="121"/>
  <c r="T27" i="121"/>
  <c r="B41" i="121"/>
  <c r="N41" i="121"/>
  <c r="O41" i="121"/>
  <c r="Q41" i="121"/>
  <c r="B43" i="121"/>
  <c r="N43" i="121"/>
  <c r="O43" i="121"/>
  <c r="Q43" i="121"/>
  <c r="B48" i="121"/>
  <c r="N48" i="121"/>
  <c r="O48" i="121"/>
  <c r="Q48" i="121"/>
  <c r="B51" i="121"/>
  <c r="N51" i="121"/>
  <c r="O51" i="121"/>
  <c r="Q51" i="121"/>
  <c r="B54" i="121"/>
  <c r="N54" i="121"/>
  <c r="O54" i="121"/>
  <c r="Q54" i="121"/>
  <c r="B58" i="121"/>
  <c r="N58" i="121"/>
  <c r="O58" i="121"/>
  <c r="Q58" i="121"/>
  <c r="B60" i="121"/>
  <c r="N60" i="121"/>
  <c r="O60" i="121"/>
  <c r="Q60" i="121"/>
  <c r="B63" i="121"/>
  <c r="N63" i="121"/>
  <c r="O63" i="121"/>
  <c r="Q63" i="121"/>
  <c r="B65" i="121"/>
  <c r="N65" i="121"/>
  <c r="O65" i="121"/>
  <c r="Q65" i="121"/>
  <c r="B67" i="121"/>
  <c r="N67" i="121"/>
  <c r="O67" i="121"/>
  <c r="Q67" i="121"/>
  <c r="B70" i="121"/>
  <c r="N70" i="121"/>
  <c r="O70" i="121"/>
  <c r="Q70" i="121"/>
  <c r="B73" i="121"/>
  <c r="N73" i="121"/>
  <c r="O73" i="121"/>
  <c r="Q73" i="121"/>
  <c r="B10" i="125"/>
  <c r="D10" i="125"/>
  <c r="F10" i="125"/>
  <c r="H10" i="125"/>
  <c r="J10" i="125"/>
  <c r="K10" i="125"/>
  <c r="L10" i="125"/>
  <c r="M10" i="125"/>
  <c r="N10" i="125"/>
  <c r="O10" i="125"/>
  <c r="P10" i="125"/>
  <c r="B11" i="125"/>
  <c r="D11" i="125"/>
  <c r="F11" i="125"/>
  <c r="H11" i="125"/>
  <c r="J11" i="125"/>
  <c r="L11" i="125"/>
  <c r="M11" i="125"/>
  <c r="N11" i="125"/>
  <c r="O11" i="125"/>
  <c r="P11" i="125"/>
  <c r="B12" i="125"/>
  <c r="D12" i="125"/>
  <c r="F12" i="125"/>
  <c r="H12" i="125"/>
  <c r="J12" i="125"/>
  <c r="K12" i="125"/>
  <c r="L12" i="125"/>
  <c r="M12" i="125"/>
  <c r="N12" i="125"/>
  <c r="O12" i="125"/>
  <c r="P12" i="125"/>
  <c r="B13" i="125"/>
  <c r="D13" i="125"/>
  <c r="F13" i="125"/>
  <c r="H13" i="125"/>
  <c r="J13" i="125"/>
  <c r="K13" i="125"/>
  <c r="L13" i="125"/>
  <c r="M13" i="125"/>
  <c r="N13" i="125"/>
  <c r="O13" i="125"/>
  <c r="P13" i="125"/>
  <c r="B14" i="125"/>
  <c r="D14" i="125"/>
  <c r="F14" i="125"/>
  <c r="H14" i="125"/>
  <c r="J14" i="125"/>
  <c r="K14" i="125"/>
  <c r="L14" i="125"/>
  <c r="M14" i="125"/>
  <c r="N14" i="125"/>
  <c r="O14" i="125"/>
  <c r="P14" i="125"/>
  <c r="B15" i="125"/>
  <c r="D15" i="125"/>
  <c r="F15" i="125"/>
  <c r="H15" i="125"/>
  <c r="J15" i="125"/>
  <c r="K15" i="125"/>
  <c r="L15" i="125"/>
  <c r="M15" i="125"/>
  <c r="N15" i="125"/>
  <c r="O15" i="125"/>
  <c r="P15" i="125"/>
  <c r="B18" i="125"/>
  <c r="D18" i="125"/>
  <c r="F18" i="125"/>
  <c r="H18" i="125"/>
  <c r="J18" i="125"/>
  <c r="K18" i="125"/>
  <c r="L18" i="125"/>
  <c r="M18" i="125"/>
  <c r="N18" i="125"/>
  <c r="O18" i="125"/>
  <c r="P18" i="125"/>
  <c r="B19" i="125"/>
  <c r="D19" i="125"/>
  <c r="F19" i="125"/>
  <c r="H19" i="125"/>
  <c r="J19" i="125"/>
  <c r="L19" i="125"/>
  <c r="M19" i="125"/>
  <c r="N19" i="125"/>
  <c r="O19" i="125"/>
  <c r="P19" i="125"/>
  <c r="B20" i="125"/>
  <c r="D20" i="125"/>
  <c r="F20" i="125"/>
  <c r="H20" i="125"/>
  <c r="J20" i="125"/>
  <c r="K20" i="125"/>
  <c r="L20" i="125"/>
  <c r="M20" i="125"/>
  <c r="N20" i="125"/>
  <c r="O20" i="125"/>
  <c r="P20" i="125"/>
  <c r="B21" i="125"/>
  <c r="D21" i="125"/>
  <c r="F21" i="125"/>
  <c r="H21" i="125"/>
  <c r="J21" i="125"/>
  <c r="K21" i="125"/>
  <c r="L21" i="125"/>
  <c r="M21" i="125"/>
  <c r="N21" i="125"/>
  <c r="O21" i="125"/>
  <c r="P21" i="125"/>
  <c r="B23" i="125"/>
  <c r="D23" i="125"/>
  <c r="F23" i="125"/>
  <c r="H23" i="125"/>
  <c r="J23" i="125"/>
  <c r="K23" i="125"/>
  <c r="L23" i="125"/>
  <c r="M23" i="125"/>
  <c r="N23" i="125"/>
  <c r="O23" i="125"/>
  <c r="P23" i="125"/>
  <c r="B25" i="125"/>
  <c r="D25" i="125"/>
  <c r="F25" i="125"/>
  <c r="H25" i="125"/>
  <c r="J25" i="125"/>
  <c r="K25" i="125"/>
  <c r="L25" i="125"/>
  <c r="M25" i="125"/>
  <c r="N25" i="125"/>
  <c r="O25" i="125"/>
  <c r="P25" i="125"/>
  <c r="B28" i="125"/>
  <c r="D28" i="125"/>
  <c r="F28" i="125"/>
  <c r="H28" i="125"/>
  <c r="J28" i="125"/>
  <c r="K28" i="125"/>
  <c r="L28" i="125"/>
  <c r="M28" i="125"/>
  <c r="N28" i="125"/>
  <c r="O28" i="125"/>
  <c r="P28" i="125"/>
  <c r="B31" i="125"/>
  <c r="D31" i="125"/>
  <c r="F31" i="125"/>
  <c r="H31" i="125"/>
  <c r="J31" i="125"/>
  <c r="K31" i="125"/>
  <c r="L31" i="125"/>
  <c r="M31" i="125"/>
  <c r="N31" i="125"/>
  <c r="O31" i="125"/>
  <c r="P31" i="125"/>
  <c r="B32" i="125"/>
  <c r="D32" i="125"/>
  <c r="F32" i="125"/>
  <c r="H32" i="125"/>
  <c r="J32" i="125"/>
  <c r="K32" i="125"/>
  <c r="L32" i="125"/>
  <c r="M32" i="125"/>
  <c r="N32" i="125"/>
  <c r="O32" i="125"/>
  <c r="P32" i="125"/>
  <c r="B33" i="125"/>
  <c r="D33" i="125"/>
  <c r="F33" i="125"/>
  <c r="H33" i="125"/>
  <c r="J33" i="125"/>
  <c r="K33" i="125"/>
  <c r="L33" i="125"/>
  <c r="M33" i="125"/>
  <c r="N33" i="125"/>
  <c r="O33" i="125"/>
  <c r="P33" i="125"/>
  <c r="B34" i="125"/>
  <c r="D34" i="125"/>
  <c r="F34" i="125"/>
  <c r="H34" i="125"/>
  <c r="J34" i="125"/>
  <c r="K34" i="125"/>
  <c r="L34" i="125"/>
  <c r="M34" i="125"/>
  <c r="N34" i="125"/>
  <c r="O34" i="125"/>
  <c r="P34" i="125"/>
  <c r="B35" i="125"/>
  <c r="D35" i="125"/>
  <c r="F35" i="125"/>
  <c r="H35" i="125"/>
  <c r="J35" i="125"/>
  <c r="K35" i="125"/>
  <c r="L35" i="125"/>
  <c r="M35" i="125"/>
  <c r="N35" i="125"/>
  <c r="O35" i="125"/>
  <c r="P35" i="125"/>
  <c r="B37" i="125"/>
  <c r="D37" i="125"/>
  <c r="F37" i="125"/>
  <c r="H37" i="125"/>
  <c r="J37" i="125"/>
  <c r="K37" i="125"/>
  <c r="L37" i="125"/>
  <c r="M37" i="125"/>
  <c r="N37" i="125"/>
  <c r="O37" i="125"/>
  <c r="P37" i="125"/>
  <c r="B39" i="125"/>
  <c r="D39" i="125"/>
  <c r="F39" i="125"/>
  <c r="H39" i="125"/>
  <c r="J39" i="125"/>
  <c r="L39" i="125"/>
  <c r="M39" i="125"/>
  <c r="N39" i="125"/>
  <c r="O39" i="125"/>
  <c r="P39" i="125"/>
  <c r="B41" i="125"/>
  <c r="D41" i="125"/>
  <c r="F41" i="125"/>
  <c r="H41" i="125"/>
  <c r="J41" i="125"/>
  <c r="K41" i="125"/>
  <c r="L41" i="125"/>
  <c r="M41" i="125"/>
  <c r="N41" i="125"/>
  <c r="O41" i="125"/>
  <c r="P41" i="125"/>
  <c r="U49" i="125"/>
  <c r="C50" i="125"/>
  <c r="D50" i="125"/>
  <c r="H50" i="125"/>
  <c r="L50" i="125"/>
  <c r="P50" i="125"/>
  <c r="R50" i="125"/>
  <c r="S50" i="125"/>
  <c r="T50" i="125"/>
  <c r="U50" i="125"/>
  <c r="C51" i="125"/>
  <c r="D51" i="125"/>
  <c r="H51" i="125"/>
  <c r="L51" i="125"/>
  <c r="P51" i="125"/>
  <c r="R51" i="125"/>
  <c r="S51" i="125"/>
  <c r="T51" i="125"/>
  <c r="U51" i="125"/>
  <c r="C52" i="125"/>
  <c r="D52" i="125"/>
  <c r="H52" i="125"/>
  <c r="L52" i="125"/>
  <c r="P52" i="125"/>
  <c r="R52" i="125"/>
  <c r="S52" i="125"/>
  <c r="T52" i="125"/>
  <c r="U52" i="125"/>
  <c r="B53" i="125"/>
  <c r="C53" i="125"/>
  <c r="D53" i="125"/>
  <c r="F53" i="125"/>
  <c r="H53" i="125"/>
  <c r="J53" i="125"/>
  <c r="L53" i="125"/>
  <c r="N53" i="125"/>
  <c r="P53" i="125"/>
  <c r="R53" i="125"/>
  <c r="S53" i="125"/>
  <c r="T53" i="125"/>
  <c r="U53" i="125"/>
  <c r="C54" i="125"/>
  <c r="D54" i="125"/>
  <c r="H54" i="125"/>
  <c r="L54" i="125"/>
  <c r="P54" i="125"/>
  <c r="R54" i="125"/>
  <c r="S54" i="125"/>
  <c r="T54" i="125"/>
  <c r="U54" i="125"/>
  <c r="B55" i="125"/>
  <c r="C55" i="125"/>
  <c r="D55" i="125"/>
  <c r="F55" i="125"/>
  <c r="H55" i="125"/>
  <c r="J55" i="125"/>
  <c r="L55" i="125"/>
  <c r="N55" i="125"/>
  <c r="P55" i="125"/>
  <c r="R55" i="125"/>
  <c r="S55" i="125"/>
  <c r="T55" i="125"/>
  <c r="U55" i="125"/>
  <c r="C58" i="125"/>
  <c r="D58" i="125"/>
  <c r="H58" i="125"/>
  <c r="L58" i="125"/>
  <c r="P58" i="125"/>
  <c r="R58" i="125"/>
  <c r="S58" i="125"/>
  <c r="T58" i="125"/>
  <c r="U58" i="125"/>
  <c r="C59" i="125"/>
  <c r="D59" i="125"/>
  <c r="H59" i="125"/>
  <c r="L59" i="125"/>
  <c r="P59" i="125"/>
  <c r="R59" i="125"/>
  <c r="S59" i="125"/>
  <c r="T59" i="125"/>
  <c r="U59" i="125"/>
  <c r="C60" i="125"/>
  <c r="D60" i="125"/>
  <c r="H60" i="125"/>
  <c r="L60" i="125"/>
  <c r="P60" i="125"/>
  <c r="R60" i="125"/>
  <c r="S60" i="125"/>
  <c r="T60" i="125"/>
  <c r="U60" i="125"/>
  <c r="B61" i="125"/>
  <c r="C61" i="125"/>
  <c r="D61" i="125"/>
  <c r="F61" i="125"/>
  <c r="H61" i="125"/>
  <c r="J61" i="125"/>
  <c r="L61" i="125"/>
  <c r="N61" i="125"/>
  <c r="P61" i="125"/>
  <c r="R61" i="125"/>
  <c r="S61" i="125"/>
  <c r="T61" i="125"/>
  <c r="U61" i="125"/>
  <c r="B63" i="125"/>
  <c r="C63" i="125"/>
  <c r="D63" i="125"/>
  <c r="F63" i="125"/>
  <c r="H63" i="125"/>
  <c r="J63" i="125"/>
  <c r="L63" i="125"/>
  <c r="N63" i="125"/>
  <c r="P63" i="125"/>
  <c r="R63" i="125"/>
  <c r="S63" i="125"/>
  <c r="T63" i="125"/>
  <c r="U63" i="125"/>
  <c r="C65" i="125"/>
  <c r="D65" i="125"/>
  <c r="H65" i="125"/>
  <c r="L65" i="125"/>
  <c r="P65" i="125"/>
  <c r="R65" i="125"/>
  <c r="S65" i="125"/>
  <c r="T65" i="125"/>
  <c r="U65" i="125"/>
  <c r="B68" i="125"/>
  <c r="C68" i="125"/>
  <c r="D68" i="125"/>
  <c r="F68" i="125"/>
  <c r="H68" i="125"/>
  <c r="J68" i="125"/>
  <c r="L68" i="125"/>
  <c r="N68" i="125"/>
  <c r="P68" i="125"/>
  <c r="R68" i="125"/>
  <c r="S68" i="125"/>
  <c r="T68" i="125"/>
  <c r="U68" i="125"/>
  <c r="C71" i="125"/>
  <c r="D71" i="125"/>
  <c r="H71" i="125"/>
  <c r="L71" i="125"/>
  <c r="P71" i="125"/>
  <c r="R71" i="125"/>
  <c r="S71" i="125"/>
  <c r="T71" i="125"/>
  <c r="U71" i="125"/>
  <c r="C72" i="125"/>
  <c r="D72" i="125"/>
  <c r="H72" i="125"/>
  <c r="L72" i="125"/>
  <c r="P72" i="125"/>
  <c r="R72" i="125"/>
  <c r="S72" i="125"/>
  <c r="T72" i="125"/>
  <c r="U72" i="125"/>
  <c r="C73" i="125"/>
  <c r="D73" i="125"/>
  <c r="H73" i="125"/>
  <c r="L73" i="125"/>
  <c r="P73" i="125"/>
  <c r="R73" i="125"/>
  <c r="S73" i="125"/>
  <c r="T73" i="125"/>
  <c r="U73" i="125"/>
  <c r="C74" i="125"/>
  <c r="D74" i="125"/>
  <c r="H74" i="125"/>
  <c r="L74" i="125"/>
  <c r="P74" i="125"/>
  <c r="R74" i="125"/>
  <c r="S74" i="125"/>
  <c r="T74" i="125"/>
  <c r="U74" i="125"/>
  <c r="B75" i="125"/>
  <c r="C75" i="125"/>
  <c r="D75" i="125"/>
  <c r="F75" i="125"/>
  <c r="H75" i="125"/>
  <c r="J75" i="125"/>
  <c r="L75" i="125"/>
  <c r="N75" i="125"/>
  <c r="P75" i="125"/>
  <c r="R75" i="125"/>
  <c r="S75" i="125"/>
  <c r="T75" i="125"/>
  <c r="U75" i="125"/>
  <c r="B77" i="125"/>
  <c r="C77" i="125"/>
  <c r="D77" i="125"/>
  <c r="F77" i="125"/>
  <c r="H77" i="125"/>
  <c r="J77" i="125"/>
  <c r="L77" i="125"/>
  <c r="N77" i="125"/>
  <c r="P77" i="125"/>
  <c r="R77" i="125"/>
  <c r="S77" i="125"/>
  <c r="T77" i="125"/>
  <c r="U77" i="125"/>
  <c r="C79" i="125"/>
  <c r="D79" i="125"/>
  <c r="H79" i="125"/>
  <c r="L79" i="125"/>
  <c r="P79" i="125"/>
  <c r="R79" i="125"/>
  <c r="S79" i="125"/>
  <c r="T79" i="125"/>
  <c r="U79" i="125"/>
  <c r="B81" i="125"/>
  <c r="C81" i="125"/>
  <c r="D81" i="125"/>
  <c r="F81" i="125"/>
  <c r="H81" i="125"/>
  <c r="J81" i="125"/>
  <c r="L81" i="125"/>
  <c r="N81" i="125"/>
  <c r="P81" i="125"/>
  <c r="R81" i="125"/>
  <c r="S81" i="125"/>
  <c r="T81" i="125"/>
  <c r="U81" i="125"/>
  <c r="B88" i="125"/>
  <c r="B89" i="125"/>
  <c r="B90" i="125"/>
  <c r="D90" i="125"/>
  <c r="F90" i="125"/>
  <c r="H90" i="125"/>
  <c r="B91" i="125"/>
  <c r="B92" i="125"/>
  <c r="D92" i="125"/>
  <c r="F92" i="125"/>
  <c r="H92" i="125"/>
  <c r="B95" i="125"/>
  <c r="B97" i="125"/>
  <c r="B98" i="125"/>
  <c r="D98" i="125"/>
  <c r="F98" i="125"/>
  <c r="H98" i="125"/>
  <c r="B100" i="125"/>
  <c r="D100" i="125"/>
  <c r="F100" i="125"/>
  <c r="H100" i="125"/>
  <c r="B102" i="125"/>
  <c r="B105" i="125"/>
  <c r="D105" i="125"/>
  <c r="F105" i="125"/>
  <c r="H105" i="125"/>
  <c r="B108" i="125"/>
  <c r="B109" i="125"/>
  <c r="B110" i="125"/>
  <c r="B111" i="125"/>
  <c r="B112" i="125"/>
  <c r="D112" i="125"/>
  <c r="F112" i="125"/>
  <c r="H112" i="125"/>
  <c r="B114" i="125"/>
  <c r="D114" i="125"/>
  <c r="F114" i="125"/>
  <c r="H114" i="125"/>
  <c r="B118" i="125"/>
  <c r="D118" i="125"/>
  <c r="F118" i="125"/>
  <c r="H118" i="125"/>
  <c r="I10" i="122"/>
  <c r="K10" i="122"/>
  <c r="M10" i="122"/>
  <c r="O10" i="122"/>
  <c r="P10" i="122"/>
  <c r="I11" i="122"/>
  <c r="K11" i="122"/>
  <c r="M11" i="122"/>
  <c r="O11" i="122"/>
  <c r="P11" i="122"/>
  <c r="D12" i="122"/>
  <c r="F12" i="122"/>
  <c r="H12" i="122"/>
  <c r="J12" i="122"/>
  <c r="L12" i="122"/>
  <c r="O12" i="122"/>
  <c r="P12" i="122"/>
  <c r="I13" i="122"/>
  <c r="K13" i="122"/>
  <c r="M13" i="122"/>
  <c r="O13" i="122"/>
  <c r="P13" i="122"/>
  <c r="I14" i="122"/>
  <c r="K14" i="122"/>
  <c r="M14" i="122"/>
  <c r="O14" i="122"/>
  <c r="P14" i="122"/>
  <c r="B15" i="122"/>
  <c r="D15" i="122"/>
  <c r="F15" i="122"/>
  <c r="H15" i="122"/>
  <c r="I15" i="122"/>
  <c r="J15" i="122"/>
  <c r="K15" i="122"/>
  <c r="L15" i="122"/>
  <c r="M15" i="122"/>
  <c r="N15" i="122"/>
  <c r="O15" i="122"/>
  <c r="P15" i="122"/>
  <c r="I17" i="122"/>
  <c r="K17" i="122"/>
  <c r="I18" i="122"/>
  <c r="K18" i="122"/>
  <c r="L18" i="122"/>
  <c r="M18" i="122"/>
  <c r="N18" i="122"/>
  <c r="O18" i="122"/>
  <c r="P18" i="122"/>
  <c r="I19" i="122"/>
  <c r="K19" i="122"/>
  <c r="M19" i="122"/>
  <c r="O19" i="122"/>
  <c r="P19" i="122"/>
  <c r="I20" i="122"/>
  <c r="K20" i="122"/>
  <c r="M20" i="122"/>
  <c r="O20" i="122"/>
  <c r="P20" i="122"/>
  <c r="I21" i="122"/>
  <c r="K21" i="122"/>
  <c r="M21" i="122"/>
  <c r="O21" i="122"/>
  <c r="P21" i="122"/>
  <c r="B22" i="122"/>
  <c r="D22" i="122"/>
  <c r="F22" i="122"/>
  <c r="H22" i="122"/>
  <c r="I22" i="122"/>
  <c r="J22" i="122"/>
  <c r="K22" i="122"/>
  <c r="L22" i="122"/>
  <c r="M22" i="122"/>
  <c r="N22" i="122"/>
  <c r="O22" i="122"/>
  <c r="P22" i="122"/>
  <c r="I26" i="122"/>
  <c r="K26" i="122"/>
  <c r="P26" i="122"/>
  <c r="I27" i="122"/>
  <c r="K27" i="122"/>
  <c r="M27" i="122"/>
  <c r="O27" i="122"/>
  <c r="P27" i="122"/>
  <c r="I28" i="122"/>
  <c r="K28" i="122"/>
  <c r="M28" i="122"/>
  <c r="O28" i="122"/>
  <c r="P28" i="122"/>
  <c r="B29" i="122"/>
  <c r="D29" i="122"/>
  <c r="F29" i="122"/>
  <c r="H29" i="122"/>
  <c r="I29" i="122"/>
  <c r="J29" i="122"/>
  <c r="K29" i="122"/>
  <c r="L29" i="122"/>
  <c r="M29" i="122"/>
  <c r="N29" i="122"/>
  <c r="O29" i="122"/>
  <c r="P29" i="122"/>
  <c r="B32" i="122"/>
  <c r="D32" i="122"/>
  <c r="F32" i="122"/>
  <c r="B33" i="122"/>
  <c r="D33" i="122"/>
  <c r="F33" i="122"/>
  <c r="H33" i="122"/>
  <c r="J33" i="122"/>
  <c r="L33" i="122"/>
  <c r="I34" i="122"/>
  <c r="L34" i="122"/>
  <c r="M34" i="122"/>
  <c r="O34" i="122"/>
  <c r="P34" i="122"/>
  <c r="B35" i="122"/>
  <c r="D35" i="122"/>
  <c r="F35" i="122"/>
  <c r="H35" i="122"/>
  <c r="I35" i="122"/>
  <c r="J35" i="122"/>
  <c r="L35" i="122"/>
  <c r="M35" i="122"/>
  <c r="N35" i="122"/>
  <c r="O35" i="122"/>
  <c r="P35" i="122"/>
  <c r="B38" i="122"/>
  <c r="D38" i="122"/>
  <c r="F38" i="122"/>
  <c r="H38" i="122"/>
  <c r="J38" i="122"/>
  <c r="L38" i="122"/>
  <c r="B39" i="122"/>
  <c r="D39" i="122"/>
  <c r="F39" i="122"/>
  <c r="H39" i="122"/>
  <c r="J39" i="122"/>
  <c r="L39" i="122"/>
  <c r="I40" i="122"/>
  <c r="K40" i="122"/>
  <c r="B41" i="122"/>
  <c r="D41" i="122"/>
  <c r="F41" i="122"/>
  <c r="H41" i="122"/>
  <c r="I41" i="122"/>
  <c r="J41" i="122"/>
  <c r="K41" i="122"/>
  <c r="L41" i="122"/>
  <c r="N41" i="122"/>
  <c r="P41" i="122"/>
  <c r="I43" i="122"/>
  <c r="K43" i="122"/>
  <c r="M43" i="122"/>
  <c r="O43" i="122"/>
  <c r="P43" i="122"/>
  <c r="B44" i="122"/>
  <c r="D44" i="122"/>
  <c r="F44" i="122"/>
  <c r="H44" i="122"/>
  <c r="I44" i="122"/>
  <c r="J44" i="122"/>
  <c r="K44" i="122"/>
  <c r="L44" i="122"/>
  <c r="M44" i="122"/>
  <c r="N44" i="122"/>
  <c r="O44" i="122"/>
  <c r="P44" i="122"/>
  <c r="I47" i="122"/>
  <c r="K47" i="122"/>
  <c r="M47" i="122"/>
  <c r="N47" i="122"/>
  <c r="O47" i="122"/>
  <c r="P47" i="122"/>
  <c r="I48" i="122"/>
  <c r="K48" i="122"/>
  <c r="M48" i="122"/>
  <c r="O48" i="122"/>
  <c r="P48" i="122"/>
  <c r="B49" i="122"/>
  <c r="D49" i="122"/>
  <c r="H49" i="122"/>
  <c r="J49" i="122"/>
  <c r="L49" i="122"/>
  <c r="I50" i="122"/>
  <c r="K50" i="122"/>
  <c r="L50" i="122"/>
  <c r="M50" i="122"/>
  <c r="O50" i="122"/>
  <c r="P50" i="122"/>
  <c r="B51" i="122"/>
  <c r="D51" i="122"/>
  <c r="F51" i="122"/>
  <c r="H51" i="122"/>
  <c r="I51" i="122"/>
  <c r="J51" i="122"/>
  <c r="K51" i="122"/>
  <c r="L51" i="122"/>
  <c r="M51" i="122"/>
  <c r="N51" i="122"/>
  <c r="O51" i="122"/>
  <c r="P51" i="122"/>
  <c r="B52" i="122"/>
  <c r="D52" i="122"/>
  <c r="F52" i="122"/>
  <c r="H52" i="122"/>
  <c r="I52" i="122"/>
  <c r="J52" i="122"/>
  <c r="K52" i="122"/>
  <c r="L52" i="122"/>
  <c r="M52" i="122"/>
  <c r="N52" i="122"/>
  <c r="O52" i="122"/>
  <c r="P52" i="122"/>
  <c r="P60" i="122"/>
  <c r="P61" i="122"/>
  <c r="L62" i="122"/>
  <c r="B69" i="122"/>
  <c r="D69" i="122"/>
  <c r="F69" i="122"/>
  <c r="G69" i="122"/>
  <c r="H69" i="122"/>
  <c r="I69" i="122"/>
  <c r="J69" i="122"/>
  <c r="K69" i="122"/>
  <c r="L69" i="122"/>
  <c r="M69" i="122"/>
  <c r="O69" i="122"/>
  <c r="B70" i="122"/>
  <c r="B71" i="122"/>
  <c r="B72" i="122"/>
  <c r="B73" i="122"/>
  <c r="B74" i="122"/>
  <c r="B75" i="122"/>
  <c r="B76" i="122"/>
  <c r="B80" i="122"/>
  <c r="D80" i="122"/>
  <c r="F80" i="122"/>
  <c r="G80" i="122"/>
  <c r="H80" i="122"/>
  <c r="I80" i="122"/>
  <c r="J80" i="122"/>
  <c r="K80" i="122"/>
  <c r="L80" i="122"/>
  <c r="M80" i="122"/>
  <c r="O80" i="122"/>
  <c r="B81" i="122"/>
  <c r="B84" i="122"/>
  <c r="D84" i="122"/>
  <c r="F84" i="122"/>
  <c r="G84" i="122"/>
  <c r="H84" i="122"/>
  <c r="I84" i="122"/>
  <c r="J84" i="122"/>
  <c r="K84" i="122"/>
  <c r="L84" i="122"/>
  <c r="M84" i="122"/>
  <c r="O84" i="122"/>
  <c r="B86" i="122"/>
  <c r="B93" i="122"/>
  <c r="B94" i="122"/>
  <c r="B96" i="122"/>
  <c r="D96" i="122"/>
  <c r="F96" i="122"/>
  <c r="G96" i="122"/>
  <c r="H96" i="122"/>
  <c r="I96" i="122"/>
  <c r="J96" i="122"/>
  <c r="K96" i="122"/>
  <c r="L96" i="122"/>
  <c r="M96" i="122"/>
  <c r="O96" i="122"/>
  <c r="B106" i="122"/>
  <c r="D106" i="122"/>
  <c r="F106" i="122"/>
  <c r="G106" i="122"/>
  <c r="H106" i="122"/>
  <c r="I106" i="122"/>
  <c r="J106" i="122"/>
  <c r="K106" i="122"/>
  <c r="L106" i="122"/>
  <c r="M106" i="122"/>
  <c r="O106" i="122"/>
  <c r="B107" i="122"/>
  <c r="B109" i="122"/>
  <c r="B112" i="122"/>
  <c r="B114" i="122"/>
  <c r="D114" i="122"/>
  <c r="F114" i="122"/>
  <c r="G114" i="122"/>
  <c r="H114" i="122"/>
  <c r="I114" i="122"/>
  <c r="J114" i="122"/>
  <c r="K114" i="122"/>
  <c r="L114" i="122"/>
  <c r="M114" i="122"/>
  <c r="O114" i="122"/>
  <c r="B119" i="122"/>
  <c r="D119" i="122"/>
  <c r="F119" i="122"/>
  <c r="H119" i="122"/>
  <c r="B120" i="122"/>
  <c r="B123" i="122"/>
  <c r="B125" i="122"/>
  <c r="B127" i="122"/>
  <c r="D127" i="122"/>
  <c r="F127" i="122"/>
  <c r="H127" i="122"/>
  <c r="B142" i="122"/>
  <c r="D142" i="122"/>
  <c r="F142" i="122"/>
  <c r="H142" i="122"/>
  <c r="B148" i="122"/>
  <c r="B153" i="122"/>
  <c r="B157" i="122"/>
  <c r="D157" i="122"/>
  <c r="F157" i="122"/>
  <c r="H157" i="122"/>
  <c r="B158" i="122"/>
  <c r="B161" i="122"/>
  <c r="D161" i="122"/>
  <c r="F161" i="122"/>
  <c r="H161" i="122"/>
  <c r="B162" i="122"/>
  <c r="B163" i="122"/>
  <c r="B165" i="122"/>
  <c r="D165" i="122"/>
  <c r="F165" i="122"/>
  <c r="H165" i="122"/>
  <c r="B166" i="122"/>
  <c r="B169" i="122"/>
  <c r="D169" i="122"/>
  <c r="F169" i="122"/>
  <c r="G169" i="122"/>
  <c r="H169" i="122"/>
  <c r="I169" i="122"/>
  <c r="J169" i="122"/>
  <c r="K169" i="122"/>
  <c r="L169" i="122"/>
  <c r="M169" i="122"/>
  <c r="O169" i="122"/>
  <c r="B12" i="126"/>
  <c r="C12" i="126"/>
  <c r="D12" i="126"/>
  <c r="F12" i="126"/>
  <c r="G12" i="126"/>
  <c r="I12" i="126"/>
  <c r="K12" i="126"/>
  <c r="B13" i="126"/>
  <c r="C13" i="126"/>
  <c r="D13" i="126"/>
  <c r="F13" i="126"/>
  <c r="G13" i="126"/>
  <c r="B14" i="126"/>
  <c r="C14" i="126"/>
  <c r="D14" i="126"/>
  <c r="F14" i="126"/>
  <c r="G14" i="126"/>
  <c r="I14" i="126"/>
  <c r="B15" i="126"/>
  <c r="C15" i="126"/>
  <c r="D15" i="126"/>
  <c r="F15" i="126"/>
  <c r="G15" i="126"/>
  <c r="H15" i="126"/>
  <c r="I15" i="126"/>
  <c r="J15" i="126"/>
  <c r="K15" i="126"/>
  <c r="L15" i="126"/>
  <c r="B16" i="126"/>
  <c r="C16" i="126"/>
  <c r="D16" i="126"/>
  <c r="F16" i="126"/>
  <c r="G16" i="126"/>
  <c r="I16" i="126"/>
  <c r="K16" i="126"/>
  <c r="B17" i="126"/>
  <c r="C17" i="126"/>
  <c r="D17" i="126"/>
  <c r="F17" i="126"/>
  <c r="G17" i="126"/>
  <c r="H17" i="126"/>
  <c r="I17" i="126"/>
  <c r="J17" i="126"/>
  <c r="K17" i="126"/>
  <c r="L17" i="126"/>
  <c r="B20" i="126"/>
  <c r="C20" i="126"/>
  <c r="D20" i="126"/>
  <c r="F20" i="126"/>
  <c r="G20" i="126"/>
  <c r="I20" i="126"/>
  <c r="K20" i="126"/>
  <c r="B21" i="126"/>
  <c r="C21" i="126"/>
  <c r="D21" i="126"/>
  <c r="F21" i="126"/>
  <c r="B22" i="126"/>
  <c r="C22" i="126"/>
  <c r="D22" i="126"/>
  <c r="F22" i="126"/>
  <c r="G22" i="126"/>
  <c r="I22" i="126"/>
  <c r="K22" i="126"/>
  <c r="B23" i="126"/>
  <c r="C23" i="126"/>
  <c r="D23" i="126"/>
  <c r="F23" i="126"/>
  <c r="G23" i="126"/>
  <c r="H23" i="126"/>
  <c r="I23" i="126"/>
  <c r="J23" i="126"/>
  <c r="K23" i="126"/>
  <c r="L23" i="126"/>
  <c r="B25" i="126"/>
  <c r="C25" i="126"/>
  <c r="D25" i="126"/>
  <c r="F25" i="126"/>
  <c r="G25" i="126"/>
  <c r="H25" i="126"/>
  <c r="I25" i="126"/>
  <c r="J25" i="126"/>
  <c r="K25" i="126"/>
  <c r="L25" i="126"/>
  <c r="B27" i="126"/>
  <c r="C27" i="126"/>
  <c r="D27" i="126"/>
  <c r="F27" i="126"/>
  <c r="G27" i="126"/>
  <c r="I27" i="126"/>
  <c r="K27" i="126"/>
  <c r="B30" i="126"/>
  <c r="C30" i="126"/>
  <c r="D30" i="126"/>
  <c r="F30" i="126"/>
  <c r="G30" i="126"/>
  <c r="H30" i="126"/>
  <c r="I30" i="126"/>
  <c r="J30" i="126"/>
  <c r="K30" i="126"/>
  <c r="L30" i="126"/>
  <c r="B33" i="126"/>
  <c r="C33" i="126"/>
  <c r="D33" i="126"/>
  <c r="F33" i="126"/>
  <c r="G33" i="126"/>
  <c r="I33" i="126"/>
  <c r="K33" i="126"/>
  <c r="B34" i="126"/>
  <c r="C34" i="126"/>
  <c r="D34" i="126"/>
  <c r="F34" i="126"/>
  <c r="G34" i="126"/>
  <c r="I34" i="126"/>
  <c r="K34" i="126"/>
  <c r="B35" i="126"/>
  <c r="C35" i="126"/>
  <c r="D35" i="126"/>
  <c r="F35" i="126"/>
  <c r="G35" i="126"/>
  <c r="I35" i="126"/>
  <c r="K35" i="126"/>
  <c r="B36" i="126"/>
  <c r="C36" i="126"/>
  <c r="D36" i="126"/>
  <c r="F36" i="126"/>
  <c r="G36" i="126"/>
  <c r="I36" i="126"/>
  <c r="K36" i="126"/>
  <c r="B37" i="126"/>
  <c r="C37" i="126"/>
  <c r="D37" i="126"/>
  <c r="F37" i="126"/>
  <c r="G37" i="126"/>
  <c r="H37" i="126"/>
  <c r="I37" i="126"/>
  <c r="J37" i="126"/>
  <c r="K37" i="126"/>
  <c r="L37" i="126"/>
  <c r="B39" i="126"/>
  <c r="C39" i="126"/>
  <c r="D39" i="126"/>
  <c r="F39" i="126"/>
  <c r="G39" i="126"/>
  <c r="H39" i="126"/>
  <c r="I39" i="126"/>
  <c r="J39" i="126"/>
  <c r="K39" i="126"/>
  <c r="L39" i="126"/>
  <c r="B41" i="126"/>
  <c r="C41" i="126"/>
  <c r="D41" i="126"/>
  <c r="F41" i="126"/>
  <c r="G41" i="126"/>
  <c r="I41" i="126"/>
  <c r="B43" i="126"/>
  <c r="C43" i="126"/>
  <c r="D43" i="126"/>
  <c r="F43" i="126"/>
  <c r="G43" i="126"/>
  <c r="H43" i="126"/>
  <c r="I43" i="126"/>
  <c r="J43" i="126"/>
  <c r="K43" i="126"/>
  <c r="L43" i="126"/>
  <c r="B10" i="111"/>
  <c r="C10" i="111"/>
  <c r="D10" i="111"/>
  <c r="F10" i="111"/>
  <c r="H10" i="111"/>
  <c r="J10" i="111"/>
  <c r="K10" i="111"/>
  <c r="L10" i="111"/>
  <c r="M10" i="111"/>
  <c r="N10" i="111"/>
  <c r="O10" i="111"/>
  <c r="P10" i="111"/>
  <c r="Q10" i="111"/>
  <c r="B11" i="111"/>
  <c r="C11" i="111"/>
  <c r="D11" i="111"/>
  <c r="F11" i="111"/>
  <c r="H11" i="111"/>
  <c r="J11" i="111"/>
  <c r="K11" i="111"/>
  <c r="L11" i="111"/>
  <c r="M11" i="111"/>
  <c r="N11" i="111"/>
  <c r="O11" i="111"/>
  <c r="P11" i="111"/>
  <c r="Q11" i="111"/>
  <c r="B12" i="111"/>
  <c r="C12" i="111"/>
  <c r="D12" i="111"/>
  <c r="F12" i="111"/>
  <c r="H12" i="111"/>
  <c r="J12" i="111"/>
  <c r="K12" i="111"/>
  <c r="L12" i="111"/>
  <c r="M12" i="111"/>
  <c r="N12" i="111"/>
  <c r="O12" i="111"/>
  <c r="P12" i="111"/>
  <c r="Q12" i="111"/>
  <c r="B13" i="111"/>
  <c r="C13" i="111"/>
  <c r="D13" i="111"/>
  <c r="F13" i="111"/>
  <c r="H13" i="111"/>
  <c r="J13" i="111"/>
  <c r="K13" i="111"/>
  <c r="L13" i="111"/>
  <c r="M13" i="111"/>
  <c r="N13" i="111"/>
  <c r="O13" i="111"/>
  <c r="P13" i="111"/>
  <c r="Q13" i="111"/>
  <c r="B14" i="111"/>
  <c r="C14" i="111"/>
  <c r="D14" i="111"/>
  <c r="F14" i="111"/>
  <c r="H14" i="111"/>
  <c r="J14" i="111"/>
  <c r="K14" i="111"/>
  <c r="L14" i="111"/>
  <c r="M14" i="111"/>
  <c r="N14" i="111"/>
  <c r="O14" i="111"/>
  <c r="P14" i="111"/>
  <c r="Q14" i="111"/>
  <c r="B15" i="111"/>
  <c r="C15" i="111"/>
  <c r="D15" i="111"/>
  <c r="F15" i="111"/>
  <c r="H15" i="111"/>
  <c r="J15" i="111"/>
  <c r="K15" i="111"/>
  <c r="L15" i="111"/>
  <c r="M15" i="111"/>
  <c r="N15" i="111"/>
  <c r="O15" i="111"/>
  <c r="P15" i="111"/>
  <c r="Q15" i="111"/>
  <c r="B17" i="111"/>
  <c r="C17" i="111"/>
  <c r="D17" i="111"/>
  <c r="F17" i="111"/>
  <c r="H17" i="111"/>
  <c r="J17" i="111"/>
  <c r="K17" i="111"/>
  <c r="L17" i="111"/>
  <c r="M17" i="111"/>
  <c r="N17" i="111"/>
  <c r="O17" i="111"/>
  <c r="P17" i="111"/>
  <c r="Q17" i="111"/>
  <c r="B18" i="111"/>
  <c r="C18" i="111"/>
  <c r="D18" i="111"/>
  <c r="F18" i="111"/>
  <c r="H18" i="111"/>
  <c r="J18" i="111"/>
  <c r="K18" i="111"/>
  <c r="L18" i="111"/>
  <c r="M18" i="111"/>
  <c r="N18" i="111"/>
  <c r="O18" i="111"/>
  <c r="P18" i="111"/>
  <c r="Q18" i="111"/>
  <c r="B19" i="111"/>
  <c r="C19" i="111"/>
  <c r="D19" i="111"/>
  <c r="F19" i="111"/>
  <c r="H19" i="111"/>
  <c r="J19" i="111"/>
  <c r="K19" i="111"/>
  <c r="L19" i="111"/>
  <c r="M19" i="111"/>
  <c r="N19" i="111"/>
  <c r="O19" i="111"/>
  <c r="P19" i="111"/>
  <c r="Q19" i="111"/>
  <c r="B20" i="111"/>
  <c r="C20" i="111"/>
  <c r="D20" i="111"/>
  <c r="F20" i="111"/>
  <c r="H20" i="111"/>
  <c r="J20" i="111"/>
  <c r="K20" i="111"/>
  <c r="L20" i="111"/>
  <c r="M20" i="111"/>
  <c r="N20" i="111"/>
  <c r="O20" i="111"/>
  <c r="P20" i="111"/>
  <c r="Q20" i="111"/>
  <c r="B21" i="111"/>
  <c r="C21" i="111"/>
  <c r="D21" i="111"/>
  <c r="F21" i="111"/>
  <c r="H21" i="111"/>
  <c r="J21" i="111"/>
  <c r="K21" i="111"/>
  <c r="L21" i="111"/>
  <c r="M21" i="111"/>
  <c r="N21" i="111"/>
  <c r="O21" i="111"/>
  <c r="P21" i="111"/>
  <c r="Q21" i="111"/>
  <c r="B22" i="111"/>
  <c r="C22" i="111"/>
  <c r="D22" i="111"/>
  <c r="F22" i="111"/>
  <c r="H22" i="111"/>
  <c r="J22" i="111"/>
  <c r="K22" i="111"/>
  <c r="L22" i="111"/>
  <c r="M22" i="111"/>
  <c r="N22" i="111"/>
  <c r="O22" i="111"/>
  <c r="P22" i="111"/>
  <c r="Q22" i="111"/>
  <c r="B26" i="111"/>
  <c r="C26" i="111"/>
  <c r="D26" i="111"/>
  <c r="F26" i="111"/>
  <c r="H26" i="111"/>
  <c r="J26" i="111"/>
  <c r="K26" i="111"/>
  <c r="L26" i="111"/>
  <c r="M26" i="111"/>
  <c r="N26" i="111"/>
  <c r="O26" i="111"/>
  <c r="P26" i="111"/>
  <c r="Q26" i="111"/>
  <c r="B27" i="111"/>
  <c r="C27" i="111"/>
  <c r="D27" i="111"/>
  <c r="F27" i="111"/>
  <c r="H27" i="111"/>
  <c r="J27" i="111"/>
  <c r="K27" i="111"/>
  <c r="L27" i="111"/>
  <c r="M27" i="111"/>
  <c r="N27" i="111"/>
  <c r="O27" i="111"/>
  <c r="P27" i="111"/>
  <c r="Q27" i="111"/>
  <c r="B28" i="111"/>
  <c r="C28" i="111"/>
  <c r="D28" i="111"/>
  <c r="F28" i="111"/>
  <c r="H28" i="111"/>
  <c r="J28" i="111"/>
  <c r="K28" i="111"/>
  <c r="L28" i="111"/>
  <c r="M28" i="111"/>
  <c r="N28" i="111"/>
  <c r="O28" i="111"/>
  <c r="P28" i="111"/>
  <c r="Q28" i="111"/>
  <c r="B29" i="111"/>
  <c r="C29" i="111"/>
  <c r="D29" i="111"/>
  <c r="F29" i="111"/>
  <c r="H29" i="111"/>
  <c r="J29" i="111"/>
  <c r="K29" i="111"/>
  <c r="L29" i="111"/>
  <c r="M29" i="111"/>
  <c r="N29" i="111"/>
  <c r="O29" i="111"/>
  <c r="P29" i="111"/>
  <c r="Q29" i="111"/>
  <c r="B32" i="111"/>
  <c r="C32" i="111"/>
  <c r="D32" i="111"/>
  <c r="F32" i="111"/>
  <c r="H32" i="111"/>
  <c r="J32" i="111"/>
  <c r="K32" i="111"/>
  <c r="L32" i="111"/>
  <c r="M32" i="111"/>
  <c r="N32" i="111"/>
  <c r="O32" i="111"/>
  <c r="P32" i="111"/>
  <c r="Q32" i="111"/>
  <c r="B33" i="111"/>
  <c r="C33" i="111"/>
  <c r="D33" i="111"/>
  <c r="F33" i="111"/>
  <c r="H33" i="111"/>
  <c r="J33" i="111"/>
  <c r="K33" i="111"/>
  <c r="L33" i="111"/>
  <c r="M33" i="111"/>
  <c r="N33" i="111"/>
  <c r="O33" i="111"/>
  <c r="P33" i="111"/>
  <c r="Q33" i="111"/>
  <c r="B34" i="111"/>
  <c r="C34" i="111"/>
  <c r="D34" i="111"/>
  <c r="F34" i="111"/>
  <c r="H34" i="111"/>
  <c r="J34" i="111"/>
  <c r="K34" i="111"/>
  <c r="L34" i="111"/>
  <c r="M34" i="111"/>
  <c r="N34" i="111"/>
  <c r="O34" i="111"/>
  <c r="P34" i="111"/>
  <c r="Q34" i="111"/>
  <c r="B35" i="111"/>
  <c r="C35" i="111"/>
  <c r="D35" i="111"/>
  <c r="F35" i="111"/>
  <c r="H35" i="111"/>
  <c r="J35" i="111"/>
  <c r="K35" i="111"/>
  <c r="L35" i="111"/>
  <c r="M35" i="111"/>
  <c r="N35" i="111"/>
  <c r="O35" i="111"/>
  <c r="P35" i="111"/>
  <c r="Q35" i="111"/>
  <c r="B38" i="111"/>
  <c r="C38" i="111"/>
  <c r="D38" i="111"/>
  <c r="F38" i="111"/>
  <c r="H38" i="111"/>
  <c r="J38" i="111"/>
  <c r="K38" i="111"/>
  <c r="L38" i="111"/>
  <c r="M38" i="111"/>
  <c r="N38" i="111"/>
  <c r="O38" i="111"/>
  <c r="P38" i="111"/>
  <c r="Q38" i="111"/>
  <c r="B39" i="111"/>
  <c r="C39" i="111"/>
  <c r="D39" i="111"/>
  <c r="F39" i="111"/>
  <c r="H39" i="111"/>
  <c r="J39" i="111"/>
  <c r="K39" i="111"/>
  <c r="L39" i="111"/>
  <c r="M39" i="111"/>
  <c r="N39" i="111"/>
  <c r="O39" i="111"/>
  <c r="P39" i="111"/>
  <c r="Q39" i="111"/>
  <c r="B40" i="111"/>
  <c r="C40" i="111"/>
  <c r="D40" i="111"/>
  <c r="F40" i="111"/>
  <c r="H40" i="111"/>
  <c r="J40" i="111"/>
  <c r="K40" i="111"/>
  <c r="L40" i="111"/>
  <c r="M40" i="111"/>
  <c r="N40" i="111"/>
  <c r="O40" i="111"/>
  <c r="P40" i="111"/>
  <c r="Q40" i="111"/>
  <c r="B41" i="111"/>
  <c r="C41" i="111"/>
  <c r="D41" i="111"/>
  <c r="F41" i="111"/>
  <c r="H41" i="111"/>
  <c r="J41" i="111"/>
  <c r="K41" i="111"/>
  <c r="L41" i="111"/>
  <c r="M41" i="111"/>
  <c r="N41" i="111"/>
  <c r="O41" i="111"/>
  <c r="P41" i="111"/>
  <c r="Q41" i="111"/>
  <c r="B43" i="111"/>
  <c r="C43" i="111"/>
  <c r="D43" i="111"/>
  <c r="F43" i="111"/>
  <c r="H43" i="111"/>
  <c r="J43" i="111"/>
  <c r="K43" i="111"/>
  <c r="L43" i="111"/>
  <c r="M43" i="111"/>
  <c r="N43" i="111"/>
  <c r="O43" i="111"/>
  <c r="P43" i="111"/>
  <c r="Q43" i="111"/>
  <c r="B44" i="111"/>
  <c r="C44" i="111"/>
  <c r="D44" i="111"/>
  <c r="F44" i="111"/>
  <c r="H44" i="111"/>
  <c r="J44" i="111"/>
  <c r="K44" i="111"/>
  <c r="L44" i="111"/>
  <c r="M44" i="111"/>
  <c r="N44" i="111"/>
  <c r="O44" i="111"/>
  <c r="P44" i="111"/>
  <c r="Q44" i="111"/>
  <c r="B47" i="111"/>
  <c r="C47" i="111"/>
  <c r="D47" i="111"/>
  <c r="F47" i="111"/>
  <c r="H47" i="111"/>
  <c r="J47" i="111"/>
  <c r="K47" i="111"/>
  <c r="L47" i="111"/>
  <c r="M47" i="111"/>
  <c r="N47" i="111"/>
  <c r="O47" i="111"/>
  <c r="P47" i="111"/>
  <c r="Q47" i="111"/>
  <c r="B48" i="111"/>
  <c r="C48" i="111"/>
  <c r="D48" i="111"/>
  <c r="F48" i="111"/>
  <c r="H48" i="111"/>
  <c r="J48" i="111"/>
  <c r="K48" i="111"/>
  <c r="L48" i="111"/>
  <c r="M48" i="111"/>
  <c r="N48" i="111"/>
  <c r="O48" i="111"/>
  <c r="P48" i="111"/>
  <c r="Q48" i="111"/>
  <c r="B49" i="111"/>
  <c r="C49" i="111"/>
  <c r="D49" i="111"/>
  <c r="F49" i="111"/>
  <c r="H49" i="111"/>
  <c r="J49" i="111"/>
  <c r="K49" i="111"/>
  <c r="O49" i="111"/>
  <c r="Q49" i="111"/>
  <c r="B50" i="111"/>
  <c r="C50" i="111"/>
  <c r="D50" i="111"/>
  <c r="F50" i="111"/>
  <c r="H50" i="111"/>
  <c r="J50" i="111"/>
  <c r="K50" i="111"/>
  <c r="L50" i="111"/>
  <c r="M50" i="111"/>
  <c r="N50" i="111"/>
  <c r="O50" i="111"/>
  <c r="P50" i="111"/>
  <c r="Q50" i="111"/>
  <c r="B51" i="111"/>
  <c r="C51" i="111"/>
  <c r="D51" i="111"/>
  <c r="F51" i="111"/>
  <c r="H51" i="111"/>
  <c r="J51" i="111"/>
  <c r="K51" i="111"/>
  <c r="L51" i="111"/>
  <c r="M51" i="111"/>
  <c r="N51" i="111"/>
  <c r="O51" i="111"/>
  <c r="P51" i="111"/>
  <c r="Q51" i="111"/>
  <c r="B52" i="111"/>
  <c r="C52" i="111"/>
  <c r="D52" i="111"/>
  <c r="F52" i="111"/>
  <c r="H52" i="111"/>
  <c r="J52" i="111"/>
  <c r="K52" i="111"/>
  <c r="L52" i="111"/>
  <c r="M52" i="111"/>
  <c r="N52" i="111"/>
  <c r="O52" i="111"/>
  <c r="P52" i="111"/>
  <c r="Q52" i="111"/>
  <c r="B56" i="111"/>
  <c r="D56" i="111"/>
  <c r="F56" i="111"/>
  <c r="H56" i="111"/>
  <c r="J56" i="111"/>
  <c r="L56" i="111"/>
  <c r="N56" i="111"/>
  <c r="P56" i="111"/>
  <c r="B57" i="111"/>
  <c r="D57" i="111"/>
  <c r="F57" i="111"/>
  <c r="H57" i="111"/>
  <c r="J57" i="111"/>
  <c r="L57" i="111"/>
  <c r="N57" i="111"/>
  <c r="P57" i="111"/>
  <c r="B58" i="111"/>
  <c r="D58" i="111"/>
  <c r="F58" i="111"/>
  <c r="H58" i="111"/>
  <c r="J58" i="111"/>
  <c r="L58" i="111"/>
  <c r="N58" i="111"/>
  <c r="P58" i="111"/>
  <c r="B60" i="111"/>
  <c r="D60" i="111"/>
  <c r="F60" i="111"/>
  <c r="H60" i="111"/>
  <c r="J60" i="111"/>
  <c r="L60" i="111"/>
  <c r="N60" i="111"/>
  <c r="P60" i="111"/>
  <c r="B61" i="111"/>
  <c r="D61" i="111"/>
  <c r="F61" i="111"/>
  <c r="H61" i="111"/>
  <c r="J61" i="111"/>
  <c r="L61" i="111"/>
  <c r="N61" i="111"/>
  <c r="P61" i="111"/>
  <c r="B62" i="111"/>
  <c r="D62" i="111"/>
  <c r="F62" i="111"/>
  <c r="H62" i="111"/>
  <c r="J62" i="111"/>
  <c r="L62" i="111"/>
  <c r="N62" i="111"/>
  <c r="P62" i="111"/>
  <c r="D10" i="112"/>
  <c r="E10" i="112"/>
  <c r="J10" i="112"/>
  <c r="K10" i="112"/>
  <c r="D11" i="112"/>
  <c r="E11" i="112"/>
  <c r="J11" i="112"/>
  <c r="K11" i="112"/>
  <c r="D12" i="112"/>
  <c r="E12" i="112"/>
  <c r="J12" i="112"/>
  <c r="K12" i="112"/>
  <c r="D13" i="112"/>
  <c r="J13" i="112"/>
  <c r="D14" i="112"/>
  <c r="E14" i="112"/>
  <c r="H14" i="112"/>
  <c r="J14" i="112"/>
  <c r="K14" i="112"/>
  <c r="B15" i="112"/>
  <c r="C15" i="112"/>
  <c r="D15" i="112"/>
  <c r="E15" i="112"/>
  <c r="H15" i="112"/>
  <c r="I15" i="112"/>
  <c r="J15" i="112"/>
  <c r="K15" i="112"/>
  <c r="D17" i="112"/>
  <c r="J17" i="112"/>
  <c r="D18" i="112"/>
  <c r="E18" i="112"/>
  <c r="J18" i="112"/>
  <c r="K18" i="112"/>
  <c r="D19" i="112"/>
  <c r="E19" i="112"/>
  <c r="J19" i="112"/>
  <c r="K19" i="112"/>
  <c r="D20" i="112"/>
  <c r="J20" i="112"/>
  <c r="D21" i="112"/>
  <c r="E21" i="112"/>
  <c r="J21" i="112"/>
  <c r="K21" i="112"/>
  <c r="B22" i="112"/>
  <c r="C22" i="112"/>
  <c r="D22" i="112"/>
  <c r="E22" i="112"/>
  <c r="H22" i="112"/>
  <c r="I22" i="112"/>
  <c r="J22" i="112"/>
  <c r="K22" i="112"/>
  <c r="D26" i="112"/>
  <c r="E26" i="112"/>
  <c r="J26" i="112"/>
  <c r="K26" i="112"/>
  <c r="D27" i="112"/>
  <c r="E27" i="112"/>
  <c r="J27" i="112"/>
  <c r="K27" i="112"/>
  <c r="D28" i="112"/>
  <c r="E28" i="112"/>
  <c r="J28" i="112"/>
  <c r="K28" i="112"/>
  <c r="B29" i="112"/>
  <c r="C29" i="112"/>
  <c r="D29" i="112"/>
  <c r="E29" i="112"/>
  <c r="H29" i="112"/>
  <c r="I29" i="112"/>
  <c r="J29" i="112"/>
  <c r="K29" i="112"/>
  <c r="D32" i="112"/>
  <c r="J32" i="112"/>
  <c r="D33" i="112"/>
  <c r="J33" i="112"/>
  <c r="D34" i="112"/>
  <c r="E34" i="112"/>
  <c r="J34" i="112"/>
  <c r="K34" i="112"/>
  <c r="B35" i="112"/>
  <c r="C35" i="112"/>
  <c r="D35" i="112"/>
  <c r="E35" i="112"/>
  <c r="H35" i="112"/>
  <c r="I35" i="112"/>
  <c r="J35" i="112"/>
  <c r="K35" i="112"/>
  <c r="D38" i="112"/>
  <c r="J38" i="112"/>
  <c r="D39" i="112"/>
  <c r="J39" i="112"/>
  <c r="D40" i="112"/>
  <c r="J40" i="112"/>
  <c r="B41" i="112"/>
  <c r="C41" i="112"/>
  <c r="D41" i="112"/>
  <c r="H41" i="112"/>
  <c r="I41" i="112"/>
  <c r="J41" i="112"/>
  <c r="D43" i="112"/>
  <c r="J43" i="112"/>
  <c r="B44" i="112"/>
  <c r="C44" i="112"/>
  <c r="D44" i="112"/>
  <c r="E44" i="112"/>
  <c r="H44" i="112"/>
  <c r="I44" i="112"/>
  <c r="J44" i="112"/>
  <c r="K44" i="112"/>
  <c r="D47" i="112"/>
  <c r="E47" i="112"/>
  <c r="J47" i="112"/>
  <c r="K47" i="112"/>
  <c r="D48" i="112"/>
  <c r="J48" i="112"/>
  <c r="D49" i="112"/>
  <c r="J49" i="112"/>
  <c r="D50" i="112"/>
  <c r="J50" i="112"/>
  <c r="B51" i="112"/>
  <c r="C51" i="112"/>
  <c r="D51" i="112"/>
  <c r="H51" i="112"/>
  <c r="I51" i="112"/>
  <c r="J51" i="112"/>
  <c r="B53" i="112"/>
  <c r="C53" i="112"/>
  <c r="D53" i="112"/>
  <c r="E53" i="112"/>
  <c r="H53" i="112"/>
  <c r="I53" i="112"/>
  <c r="J53" i="112"/>
  <c r="K53" i="112"/>
  <c r="B58" i="112"/>
  <c r="D58" i="112"/>
  <c r="J58" i="112"/>
  <c r="B59" i="112"/>
  <c r="D59" i="112"/>
  <c r="J59" i="112"/>
  <c r="B60" i="112"/>
  <c r="C60" i="112"/>
  <c r="D60" i="112"/>
  <c r="H60" i="112"/>
  <c r="I60" i="112"/>
  <c r="J60" i="112"/>
  <c r="B62" i="112"/>
  <c r="J62" i="112"/>
  <c r="B63" i="112"/>
  <c r="J63" i="112"/>
  <c r="B64" i="112"/>
  <c r="B11" i="109"/>
  <c r="D11" i="109"/>
  <c r="F11" i="109"/>
  <c r="H11" i="109"/>
  <c r="I11" i="109"/>
  <c r="J11" i="109"/>
  <c r="K11" i="109"/>
  <c r="L11" i="109"/>
  <c r="M11" i="109"/>
  <c r="N11" i="109"/>
  <c r="O11" i="109"/>
  <c r="P11" i="109"/>
  <c r="B12" i="109"/>
  <c r="D12" i="109"/>
  <c r="F12" i="109"/>
  <c r="H12" i="109"/>
  <c r="I12" i="109"/>
  <c r="J12" i="109"/>
  <c r="K12" i="109"/>
  <c r="L12" i="109"/>
  <c r="B13" i="109"/>
  <c r="D13" i="109"/>
  <c r="F13" i="109"/>
  <c r="H13" i="109"/>
  <c r="I13" i="109"/>
  <c r="J13" i="109"/>
  <c r="K13" i="109"/>
  <c r="L13" i="109"/>
  <c r="M13" i="109"/>
  <c r="N13" i="109"/>
  <c r="O13" i="109"/>
  <c r="P13" i="109"/>
  <c r="B14" i="109"/>
  <c r="D14" i="109"/>
  <c r="F14" i="109"/>
  <c r="H14" i="109"/>
  <c r="I14" i="109"/>
  <c r="J14" i="109"/>
  <c r="K14" i="109"/>
  <c r="L14" i="109"/>
  <c r="M14" i="109"/>
  <c r="N14" i="109"/>
  <c r="O14" i="109"/>
  <c r="P14" i="109"/>
  <c r="B15" i="109"/>
  <c r="D15" i="109"/>
  <c r="F15" i="109"/>
  <c r="H15" i="109"/>
  <c r="I15" i="109"/>
  <c r="J15" i="109"/>
  <c r="K15" i="109"/>
  <c r="L15" i="109"/>
  <c r="M15" i="109"/>
  <c r="N15" i="109"/>
  <c r="O15" i="109"/>
  <c r="P15" i="109"/>
  <c r="B23" i="109"/>
  <c r="C23" i="109"/>
  <c r="D23" i="109"/>
  <c r="F23" i="109"/>
  <c r="H23" i="109"/>
  <c r="J23" i="109"/>
  <c r="L23" i="109"/>
  <c r="N23" i="109"/>
  <c r="P23" i="109"/>
  <c r="R23" i="109"/>
  <c r="S23" i="109"/>
  <c r="T23" i="109"/>
  <c r="B24" i="109"/>
  <c r="C24" i="109"/>
  <c r="D24" i="109"/>
  <c r="F24" i="109"/>
  <c r="H24" i="109"/>
  <c r="J24" i="109"/>
  <c r="L24" i="109"/>
  <c r="N24" i="109"/>
  <c r="P24" i="109"/>
  <c r="R24" i="109"/>
  <c r="S24" i="109"/>
  <c r="T24" i="109"/>
  <c r="B25" i="109"/>
  <c r="C25" i="109"/>
  <c r="D25" i="109"/>
  <c r="F25" i="109"/>
  <c r="H25" i="109"/>
  <c r="J25" i="109"/>
  <c r="L25" i="109"/>
  <c r="N25" i="109"/>
  <c r="P25" i="109"/>
  <c r="R25" i="109"/>
  <c r="S25" i="109"/>
  <c r="T25" i="109"/>
  <c r="B26" i="109"/>
  <c r="C26" i="109"/>
  <c r="D26" i="109"/>
  <c r="F26" i="109"/>
  <c r="H26" i="109"/>
  <c r="J26" i="109"/>
  <c r="L26" i="109"/>
  <c r="N26" i="109"/>
  <c r="P26" i="109"/>
  <c r="R26" i="109"/>
  <c r="S26" i="109"/>
  <c r="T26" i="109"/>
  <c r="B27" i="109"/>
  <c r="C27" i="109"/>
  <c r="D27" i="109"/>
  <c r="F27" i="109"/>
  <c r="H27" i="109"/>
  <c r="J27" i="109"/>
  <c r="L27" i="109"/>
  <c r="N27" i="109"/>
  <c r="P27" i="109"/>
  <c r="R27" i="109"/>
  <c r="S27" i="109"/>
  <c r="T27" i="109"/>
  <c r="B42" i="109"/>
  <c r="N42" i="109"/>
  <c r="O42" i="109"/>
  <c r="Q42" i="109"/>
  <c r="B44" i="109"/>
  <c r="N44" i="109"/>
  <c r="O44" i="109"/>
  <c r="Q44" i="109"/>
  <c r="B49" i="109"/>
  <c r="N49" i="109"/>
  <c r="O49" i="109"/>
  <c r="Q49" i="109"/>
  <c r="B52" i="109"/>
  <c r="N52" i="109"/>
  <c r="O52" i="109"/>
  <c r="Q52" i="109"/>
  <c r="B55" i="109"/>
  <c r="N55" i="109"/>
  <c r="O55" i="109"/>
  <c r="Q55" i="109"/>
  <c r="B59" i="109"/>
  <c r="N59" i="109"/>
  <c r="O59" i="109"/>
  <c r="Q59" i="109"/>
  <c r="B61" i="109"/>
  <c r="N61" i="109"/>
  <c r="O61" i="109"/>
  <c r="Q61" i="109"/>
  <c r="B64" i="109"/>
  <c r="N64" i="109"/>
  <c r="O64" i="109"/>
  <c r="Q64" i="109"/>
  <c r="B66" i="109"/>
  <c r="N66" i="109"/>
  <c r="O66" i="109"/>
  <c r="Q66" i="109"/>
  <c r="B68" i="109"/>
  <c r="N68" i="109"/>
  <c r="O68" i="109"/>
  <c r="Q68" i="109"/>
  <c r="B71" i="109"/>
  <c r="N71" i="109"/>
  <c r="O71" i="109"/>
  <c r="Q71" i="109"/>
  <c r="B74" i="109"/>
  <c r="N74" i="109"/>
  <c r="O74" i="109"/>
  <c r="B10" i="113"/>
  <c r="D10" i="113"/>
  <c r="F10" i="113"/>
  <c r="H10" i="113"/>
  <c r="J10" i="113"/>
  <c r="K10" i="113"/>
  <c r="L10" i="113"/>
  <c r="M10" i="113"/>
  <c r="N10" i="113"/>
  <c r="O10" i="113"/>
  <c r="P10" i="113"/>
  <c r="B11" i="113"/>
  <c r="D11" i="113"/>
  <c r="F11" i="113"/>
  <c r="H11" i="113"/>
  <c r="J11" i="113"/>
  <c r="L11" i="113"/>
  <c r="N11" i="113"/>
  <c r="P11" i="113"/>
  <c r="B12" i="113"/>
  <c r="D12" i="113"/>
  <c r="F12" i="113"/>
  <c r="H12" i="113"/>
  <c r="J12" i="113"/>
  <c r="L12" i="113"/>
  <c r="M12" i="113"/>
  <c r="N12" i="113"/>
  <c r="O12" i="113"/>
  <c r="P12" i="113"/>
  <c r="B13" i="113"/>
  <c r="D13" i="113"/>
  <c r="F13" i="113"/>
  <c r="H13" i="113"/>
  <c r="J13" i="113"/>
  <c r="K13" i="113"/>
  <c r="L13" i="113"/>
  <c r="M13" i="113"/>
  <c r="N13" i="113"/>
  <c r="O13" i="113"/>
  <c r="P13" i="113"/>
  <c r="B14" i="113"/>
  <c r="D14" i="113"/>
  <c r="F14" i="113"/>
  <c r="H14" i="113"/>
  <c r="J14" i="113"/>
  <c r="K14" i="113"/>
  <c r="L14" i="113"/>
  <c r="M14" i="113"/>
  <c r="N14" i="113"/>
  <c r="O14" i="113"/>
  <c r="P14" i="113"/>
  <c r="B15" i="113"/>
  <c r="D15" i="113"/>
  <c r="F15" i="113"/>
  <c r="H15" i="113"/>
  <c r="J15" i="113"/>
  <c r="K15" i="113"/>
  <c r="L15" i="113"/>
  <c r="M15" i="113"/>
  <c r="N15" i="113"/>
  <c r="O15" i="113"/>
  <c r="P15" i="113"/>
  <c r="B18" i="113"/>
  <c r="D18" i="113"/>
  <c r="F18" i="113"/>
  <c r="H18" i="113"/>
  <c r="J18" i="113"/>
  <c r="K18" i="113"/>
  <c r="L18" i="113"/>
  <c r="M18" i="113"/>
  <c r="N18" i="113"/>
  <c r="O18" i="113"/>
  <c r="P18" i="113"/>
  <c r="B19" i="113"/>
  <c r="D19" i="113"/>
  <c r="F19" i="113"/>
  <c r="H19" i="113"/>
  <c r="J19" i="113"/>
  <c r="K19" i="113"/>
  <c r="L19" i="113"/>
  <c r="M19" i="113"/>
  <c r="N19" i="113"/>
  <c r="O19" i="113"/>
  <c r="P19" i="113"/>
  <c r="B20" i="113"/>
  <c r="D20" i="113"/>
  <c r="F20" i="113"/>
  <c r="H20" i="113"/>
  <c r="J20" i="113"/>
  <c r="L20" i="113"/>
  <c r="M20" i="113"/>
  <c r="N20" i="113"/>
  <c r="O20" i="113"/>
  <c r="P20" i="113"/>
  <c r="B21" i="113"/>
  <c r="D21" i="113"/>
  <c r="F21" i="113"/>
  <c r="H21" i="113"/>
  <c r="J21" i="113"/>
  <c r="K21" i="113"/>
  <c r="L21" i="113"/>
  <c r="M21" i="113"/>
  <c r="N21" i="113"/>
  <c r="O21" i="113"/>
  <c r="P21" i="113"/>
  <c r="B23" i="113"/>
  <c r="D23" i="113"/>
  <c r="F23" i="113"/>
  <c r="H23" i="113"/>
  <c r="J23" i="113"/>
  <c r="K23" i="113"/>
  <c r="L23" i="113"/>
  <c r="M23" i="113"/>
  <c r="N23" i="113"/>
  <c r="O23" i="113"/>
  <c r="P23" i="113"/>
  <c r="B25" i="113"/>
  <c r="D25" i="113"/>
  <c r="F25" i="113"/>
  <c r="H25" i="113"/>
  <c r="J25" i="113"/>
  <c r="K25" i="113"/>
  <c r="L25" i="113"/>
  <c r="M25" i="113"/>
  <c r="N25" i="113"/>
  <c r="O25" i="113"/>
  <c r="P25" i="113"/>
  <c r="B28" i="113"/>
  <c r="D28" i="113"/>
  <c r="F28" i="113"/>
  <c r="H28" i="113"/>
  <c r="J28" i="113"/>
  <c r="K28" i="113"/>
  <c r="L28" i="113"/>
  <c r="M28" i="113"/>
  <c r="N28" i="113"/>
  <c r="O28" i="113"/>
  <c r="P28" i="113"/>
  <c r="B31" i="113"/>
  <c r="D31" i="113"/>
  <c r="F31" i="113"/>
  <c r="H31" i="113"/>
  <c r="J31" i="113"/>
  <c r="K31" i="113"/>
  <c r="L31" i="113"/>
  <c r="M31" i="113"/>
  <c r="N31" i="113"/>
  <c r="O31" i="113"/>
  <c r="P31" i="113"/>
  <c r="B32" i="113"/>
  <c r="D32" i="113"/>
  <c r="F32" i="113"/>
  <c r="H32" i="113"/>
  <c r="J32" i="113"/>
  <c r="K32" i="113"/>
  <c r="L32" i="113"/>
  <c r="M32" i="113"/>
  <c r="N32" i="113"/>
  <c r="O32" i="113"/>
  <c r="P32" i="113"/>
  <c r="B33" i="113"/>
  <c r="D33" i="113"/>
  <c r="F33" i="113"/>
  <c r="H33" i="113"/>
  <c r="J33" i="113"/>
  <c r="K33" i="113"/>
  <c r="L33" i="113"/>
  <c r="M33" i="113"/>
  <c r="N33" i="113"/>
  <c r="O33" i="113"/>
  <c r="P33" i="113"/>
  <c r="B34" i="113"/>
  <c r="D34" i="113"/>
  <c r="F34" i="113"/>
  <c r="H34" i="113"/>
  <c r="J34" i="113"/>
  <c r="K34" i="113"/>
  <c r="L34" i="113"/>
  <c r="M34" i="113"/>
  <c r="N34" i="113"/>
  <c r="O34" i="113"/>
  <c r="P34" i="113"/>
  <c r="B35" i="113"/>
  <c r="D35" i="113"/>
  <c r="F35" i="113"/>
  <c r="H35" i="113"/>
  <c r="J35" i="113"/>
  <c r="K35" i="113"/>
  <c r="L35" i="113"/>
  <c r="M35" i="113"/>
  <c r="N35" i="113"/>
  <c r="O35" i="113"/>
  <c r="P35" i="113"/>
  <c r="B37" i="113"/>
  <c r="D37" i="113"/>
  <c r="F37" i="113"/>
  <c r="H37" i="113"/>
  <c r="J37" i="113"/>
  <c r="K37" i="113"/>
  <c r="L37" i="113"/>
  <c r="M37" i="113"/>
  <c r="N37" i="113"/>
  <c r="O37" i="113"/>
  <c r="P37" i="113"/>
  <c r="B39" i="113"/>
  <c r="D39" i="113"/>
  <c r="F39" i="113"/>
  <c r="H39" i="113"/>
  <c r="J39" i="113"/>
  <c r="K39" i="113"/>
  <c r="L39" i="113"/>
  <c r="N39" i="113"/>
  <c r="P39" i="113"/>
  <c r="B41" i="113"/>
  <c r="D41" i="113"/>
  <c r="F41" i="113"/>
  <c r="H41" i="113"/>
  <c r="J41" i="113"/>
  <c r="K41" i="113"/>
  <c r="L41" i="113"/>
  <c r="M41" i="113"/>
  <c r="N41" i="113"/>
  <c r="O41" i="113"/>
  <c r="P41" i="113"/>
  <c r="U49" i="113"/>
  <c r="C50" i="113"/>
  <c r="D50" i="113"/>
  <c r="H50" i="113"/>
  <c r="L50" i="113"/>
  <c r="P50" i="113"/>
  <c r="R50" i="113"/>
  <c r="S50" i="113"/>
  <c r="T50" i="113"/>
  <c r="U50" i="113"/>
  <c r="C51" i="113"/>
  <c r="D51" i="113"/>
  <c r="H51" i="113"/>
  <c r="L51" i="113"/>
  <c r="P51" i="113"/>
  <c r="R51" i="113"/>
  <c r="S51" i="113"/>
  <c r="T51" i="113"/>
  <c r="U51" i="113"/>
  <c r="C52" i="113"/>
  <c r="D52" i="113"/>
  <c r="H52" i="113"/>
  <c r="L52" i="113"/>
  <c r="P52" i="113"/>
  <c r="R52" i="113"/>
  <c r="S52" i="113"/>
  <c r="T52" i="113"/>
  <c r="U52" i="113"/>
  <c r="B53" i="113"/>
  <c r="C53" i="113"/>
  <c r="D53" i="113"/>
  <c r="F53" i="113"/>
  <c r="H53" i="113"/>
  <c r="J53" i="113"/>
  <c r="L53" i="113"/>
  <c r="N53" i="113"/>
  <c r="P53" i="113"/>
  <c r="R53" i="113"/>
  <c r="S53" i="113"/>
  <c r="T53" i="113"/>
  <c r="U53" i="113"/>
  <c r="C54" i="113"/>
  <c r="D54" i="113"/>
  <c r="H54" i="113"/>
  <c r="L54" i="113"/>
  <c r="P54" i="113"/>
  <c r="R54" i="113"/>
  <c r="S54" i="113"/>
  <c r="T54" i="113"/>
  <c r="U54" i="113"/>
  <c r="B55" i="113"/>
  <c r="C55" i="113"/>
  <c r="D55" i="113"/>
  <c r="F55" i="113"/>
  <c r="H55" i="113"/>
  <c r="J55" i="113"/>
  <c r="L55" i="113"/>
  <c r="N55" i="113"/>
  <c r="P55" i="113"/>
  <c r="R55" i="113"/>
  <c r="S55" i="113"/>
  <c r="T55" i="113"/>
  <c r="U55" i="113"/>
  <c r="C58" i="113"/>
  <c r="D58" i="113"/>
  <c r="H58" i="113"/>
  <c r="L58" i="113"/>
  <c r="P58" i="113"/>
  <c r="R58" i="113"/>
  <c r="S58" i="113"/>
  <c r="T58" i="113"/>
  <c r="U58" i="113"/>
  <c r="C59" i="113"/>
  <c r="D59" i="113"/>
  <c r="H59" i="113"/>
  <c r="L59" i="113"/>
  <c r="P59" i="113"/>
  <c r="R59" i="113"/>
  <c r="S59" i="113"/>
  <c r="T59" i="113"/>
  <c r="U59" i="113"/>
  <c r="D60" i="113"/>
  <c r="H60" i="113"/>
  <c r="L60" i="113"/>
  <c r="P60" i="113"/>
  <c r="R60" i="113"/>
  <c r="S60" i="113"/>
  <c r="T60" i="113"/>
  <c r="U60" i="113"/>
  <c r="B61" i="113"/>
  <c r="C61" i="113"/>
  <c r="D61" i="113"/>
  <c r="F61" i="113"/>
  <c r="H61" i="113"/>
  <c r="J61" i="113"/>
  <c r="L61" i="113"/>
  <c r="N61" i="113"/>
  <c r="P61" i="113"/>
  <c r="R61" i="113"/>
  <c r="S61" i="113"/>
  <c r="T61" i="113"/>
  <c r="U61" i="113"/>
  <c r="B63" i="113"/>
  <c r="C63" i="113"/>
  <c r="D63" i="113"/>
  <c r="F63" i="113"/>
  <c r="H63" i="113"/>
  <c r="J63" i="113"/>
  <c r="L63" i="113"/>
  <c r="N63" i="113"/>
  <c r="P63" i="113"/>
  <c r="R63" i="113"/>
  <c r="S63" i="113"/>
  <c r="T63" i="113"/>
  <c r="U63" i="113"/>
  <c r="C65" i="113"/>
  <c r="D65" i="113"/>
  <c r="H65" i="113"/>
  <c r="L65" i="113"/>
  <c r="P65" i="113"/>
  <c r="R65" i="113"/>
  <c r="S65" i="113"/>
  <c r="T65" i="113"/>
  <c r="U65" i="113"/>
  <c r="B68" i="113"/>
  <c r="C68" i="113"/>
  <c r="D68" i="113"/>
  <c r="F68" i="113"/>
  <c r="H68" i="113"/>
  <c r="J68" i="113"/>
  <c r="L68" i="113"/>
  <c r="N68" i="113"/>
  <c r="P68" i="113"/>
  <c r="R68" i="113"/>
  <c r="S68" i="113"/>
  <c r="T68" i="113"/>
  <c r="U68" i="113"/>
  <c r="C71" i="113"/>
  <c r="D71" i="113"/>
  <c r="H71" i="113"/>
  <c r="L71" i="113"/>
  <c r="P71" i="113"/>
  <c r="R71" i="113"/>
  <c r="S71" i="113"/>
  <c r="T71" i="113"/>
  <c r="U71" i="113"/>
  <c r="C72" i="113"/>
  <c r="D72" i="113"/>
  <c r="H72" i="113"/>
  <c r="L72" i="113"/>
  <c r="P72" i="113"/>
  <c r="R72" i="113"/>
  <c r="S72" i="113"/>
  <c r="T72" i="113"/>
  <c r="U72" i="113"/>
  <c r="C73" i="113"/>
  <c r="D73" i="113"/>
  <c r="H73" i="113"/>
  <c r="L73" i="113"/>
  <c r="P73" i="113"/>
  <c r="R73" i="113"/>
  <c r="S73" i="113"/>
  <c r="T73" i="113"/>
  <c r="U73" i="113"/>
  <c r="C74" i="113"/>
  <c r="D74" i="113"/>
  <c r="H74" i="113"/>
  <c r="L74" i="113"/>
  <c r="P74" i="113"/>
  <c r="R74" i="113"/>
  <c r="S74" i="113"/>
  <c r="T74" i="113"/>
  <c r="U74" i="113"/>
  <c r="B75" i="113"/>
  <c r="C75" i="113"/>
  <c r="D75" i="113"/>
  <c r="F75" i="113"/>
  <c r="H75" i="113"/>
  <c r="J75" i="113"/>
  <c r="L75" i="113"/>
  <c r="N75" i="113"/>
  <c r="P75" i="113"/>
  <c r="R75" i="113"/>
  <c r="S75" i="113"/>
  <c r="T75" i="113"/>
  <c r="U75" i="113"/>
  <c r="B77" i="113"/>
  <c r="C77" i="113"/>
  <c r="D77" i="113"/>
  <c r="F77" i="113"/>
  <c r="H77" i="113"/>
  <c r="J77" i="113"/>
  <c r="L77" i="113"/>
  <c r="N77" i="113"/>
  <c r="P77" i="113"/>
  <c r="R77" i="113"/>
  <c r="S77" i="113"/>
  <c r="T77" i="113"/>
  <c r="U77" i="113"/>
  <c r="C79" i="113"/>
  <c r="D79" i="113"/>
  <c r="H79" i="113"/>
  <c r="L79" i="113"/>
  <c r="P79" i="113"/>
  <c r="R79" i="113"/>
  <c r="S79" i="113"/>
  <c r="T79" i="113"/>
  <c r="U79" i="113"/>
  <c r="B81" i="113"/>
  <c r="C81" i="113"/>
  <c r="D81" i="113"/>
  <c r="F81" i="113"/>
  <c r="H81" i="113"/>
  <c r="J81" i="113"/>
  <c r="L81" i="113"/>
  <c r="N81" i="113"/>
  <c r="P81" i="113"/>
  <c r="R81" i="113"/>
  <c r="S81" i="113"/>
  <c r="T81" i="113"/>
  <c r="U81" i="113"/>
  <c r="B88" i="113"/>
  <c r="B90" i="113"/>
  <c r="D90" i="113"/>
  <c r="F90" i="113"/>
  <c r="H90" i="113"/>
  <c r="B91" i="113"/>
  <c r="B92" i="113"/>
  <c r="D92" i="113"/>
  <c r="F92" i="113"/>
  <c r="H92" i="113"/>
  <c r="B95" i="113"/>
  <c r="B96" i="113"/>
  <c r="B98" i="113"/>
  <c r="D98" i="113"/>
  <c r="F98" i="113"/>
  <c r="H98" i="113"/>
  <c r="B100" i="113"/>
  <c r="D100" i="113"/>
  <c r="F100" i="113"/>
  <c r="H100" i="113"/>
  <c r="B102" i="113"/>
  <c r="B105" i="113"/>
  <c r="D105" i="113"/>
  <c r="F105" i="113"/>
  <c r="H105" i="113"/>
  <c r="B108" i="113"/>
  <c r="B109" i="113"/>
  <c r="B110" i="113"/>
  <c r="B111" i="113"/>
  <c r="B112" i="113"/>
  <c r="D112" i="113"/>
  <c r="F112" i="113"/>
  <c r="H112" i="113"/>
  <c r="B114" i="113"/>
  <c r="D114" i="113"/>
  <c r="F114" i="113"/>
  <c r="H114" i="113"/>
  <c r="B116" i="113"/>
  <c r="B118" i="113"/>
  <c r="D118" i="113"/>
  <c r="F118" i="113"/>
  <c r="H118" i="113"/>
  <c r="I10" i="110"/>
  <c r="K10" i="110"/>
  <c r="M10" i="110"/>
  <c r="O10" i="110"/>
  <c r="P10" i="110"/>
  <c r="I11" i="110"/>
  <c r="K11" i="110"/>
  <c r="M11" i="110"/>
  <c r="O11" i="110"/>
  <c r="P11" i="110"/>
  <c r="I12" i="110"/>
  <c r="K12" i="110"/>
  <c r="M12" i="110"/>
  <c r="O12" i="110"/>
  <c r="P12" i="110"/>
  <c r="I13" i="110"/>
  <c r="K13" i="110"/>
  <c r="M13" i="110"/>
  <c r="O13" i="110"/>
  <c r="P13" i="110"/>
  <c r="I14" i="110"/>
  <c r="K14" i="110"/>
  <c r="L14" i="110"/>
  <c r="M14" i="110"/>
  <c r="O14" i="110"/>
  <c r="P14" i="110"/>
  <c r="B15" i="110"/>
  <c r="D15" i="110"/>
  <c r="F15" i="110"/>
  <c r="H15" i="110"/>
  <c r="I15" i="110"/>
  <c r="J15" i="110"/>
  <c r="K15" i="110"/>
  <c r="L15" i="110"/>
  <c r="M15" i="110"/>
  <c r="N15" i="110"/>
  <c r="O15" i="110"/>
  <c r="P15" i="110"/>
  <c r="I17" i="110"/>
  <c r="K17" i="110"/>
  <c r="I18" i="110"/>
  <c r="K18" i="110"/>
  <c r="M18" i="110"/>
  <c r="P18" i="110"/>
  <c r="I19" i="110"/>
  <c r="K19" i="110"/>
  <c r="M19" i="110"/>
  <c r="O19" i="110"/>
  <c r="P19" i="110"/>
  <c r="I20" i="110"/>
  <c r="K20" i="110"/>
  <c r="M20" i="110"/>
  <c r="O20" i="110"/>
  <c r="P20" i="110"/>
  <c r="I21" i="110"/>
  <c r="K21" i="110"/>
  <c r="M21" i="110"/>
  <c r="O21" i="110"/>
  <c r="P21" i="110"/>
  <c r="B22" i="110"/>
  <c r="D22" i="110"/>
  <c r="F22" i="110"/>
  <c r="H22" i="110"/>
  <c r="I22" i="110"/>
  <c r="J22" i="110"/>
  <c r="K22" i="110"/>
  <c r="L22" i="110"/>
  <c r="M22" i="110"/>
  <c r="N22" i="110"/>
  <c r="O22" i="110"/>
  <c r="P22" i="110"/>
  <c r="I26" i="110"/>
  <c r="K26" i="110"/>
  <c r="M26" i="110"/>
  <c r="O26" i="110"/>
  <c r="P26" i="110"/>
  <c r="I27" i="110"/>
  <c r="K27" i="110"/>
  <c r="M27" i="110"/>
  <c r="O27" i="110"/>
  <c r="P27" i="110"/>
  <c r="I28" i="110"/>
  <c r="K28" i="110"/>
  <c r="M28" i="110"/>
  <c r="O28" i="110"/>
  <c r="P28" i="110"/>
  <c r="B29" i="110"/>
  <c r="D29" i="110"/>
  <c r="F29" i="110"/>
  <c r="H29" i="110"/>
  <c r="I29" i="110"/>
  <c r="J29" i="110"/>
  <c r="K29" i="110"/>
  <c r="L29" i="110"/>
  <c r="M29" i="110"/>
  <c r="N29" i="110"/>
  <c r="O29" i="110"/>
  <c r="P29" i="110"/>
  <c r="B32" i="110"/>
  <c r="D32" i="110"/>
  <c r="F32" i="110"/>
  <c r="H32" i="110"/>
  <c r="J32" i="110"/>
  <c r="L32" i="110"/>
  <c r="B33" i="110"/>
  <c r="D33" i="110"/>
  <c r="F33" i="110"/>
  <c r="H33" i="110"/>
  <c r="J33" i="110"/>
  <c r="L33" i="110"/>
  <c r="I34" i="110"/>
  <c r="K34" i="110"/>
  <c r="M34" i="110"/>
  <c r="O34" i="110"/>
  <c r="P34" i="110"/>
  <c r="B35" i="110"/>
  <c r="D35" i="110"/>
  <c r="F35" i="110"/>
  <c r="H35" i="110"/>
  <c r="I35" i="110"/>
  <c r="J35" i="110"/>
  <c r="K35" i="110"/>
  <c r="L35" i="110"/>
  <c r="M35" i="110"/>
  <c r="N35" i="110"/>
  <c r="O35" i="110"/>
  <c r="P35" i="110"/>
  <c r="L38" i="110"/>
  <c r="B39" i="110"/>
  <c r="D39" i="110"/>
  <c r="F39" i="110"/>
  <c r="H39" i="110"/>
  <c r="J39" i="110"/>
  <c r="L39" i="110"/>
  <c r="B40" i="110"/>
  <c r="D40" i="110"/>
  <c r="H40" i="110"/>
  <c r="J40" i="110"/>
  <c r="L40" i="110"/>
  <c r="P40" i="110"/>
  <c r="B41" i="110"/>
  <c r="D41" i="110"/>
  <c r="F41" i="110"/>
  <c r="H41" i="110"/>
  <c r="I41" i="110"/>
  <c r="J41" i="110"/>
  <c r="L41" i="110"/>
  <c r="M41" i="110"/>
  <c r="N41" i="110"/>
  <c r="O41" i="110"/>
  <c r="P41" i="110"/>
  <c r="B43" i="110"/>
  <c r="D43" i="110"/>
  <c r="F43" i="110"/>
  <c r="H43" i="110"/>
  <c r="J43" i="110"/>
  <c r="L43" i="110"/>
  <c r="B44" i="110"/>
  <c r="D44" i="110"/>
  <c r="F44" i="110"/>
  <c r="H44" i="110"/>
  <c r="I44" i="110"/>
  <c r="J44" i="110"/>
  <c r="K44" i="110"/>
  <c r="L44" i="110"/>
  <c r="M44" i="110"/>
  <c r="N44" i="110"/>
  <c r="O44" i="110"/>
  <c r="P44" i="110"/>
  <c r="I47" i="110"/>
  <c r="K47" i="110"/>
  <c r="M47" i="110"/>
  <c r="O47" i="110"/>
  <c r="P47" i="110"/>
  <c r="I48" i="110"/>
  <c r="K48" i="110"/>
  <c r="L48" i="110"/>
  <c r="D49" i="110"/>
  <c r="F49" i="110"/>
  <c r="I49" i="110"/>
  <c r="L49" i="110"/>
  <c r="I50" i="110"/>
  <c r="K50" i="110"/>
  <c r="L50" i="110"/>
  <c r="M50" i="110"/>
  <c r="O50" i="110"/>
  <c r="P50" i="110"/>
  <c r="B51" i="110"/>
  <c r="D51" i="110"/>
  <c r="F51" i="110"/>
  <c r="H51" i="110"/>
  <c r="I51" i="110"/>
  <c r="J51" i="110"/>
  <c r="K51" i="110"/>
  <c r="L51" i="110"/>
  <c r="M51" i="110"/>
  <c r="N51" i="110"/>
  <c r="O51" i="110"/>
  <c r="P51" i="110"/>
  <c r="B52" i="110"/>
  <c r="D52" i="110"/>
  <c r="F52" i="110"/>
  <c r="H52" i="110"/>
  <c r="I52" i="110"/>
  <c r="J52" i="110"/>
  <c r="K52" i="110"/>
  <c r="L52" i="110"/>
  <c r="M52" i="110"/>
  <c r="N52" i="110"/>
  <c r="O52" i="110"/>
  <c r="P52" i="110"/>
  <c r="B69" i="110"/>
  <c r="D69" i="110"/>
  <c r="E69" i="110"/>
  <c r="F69" i="110"/>
  <c r="G69" i="110"/>
  <c r="H69" i="110"/>
  <c r="I69" i="110"/>
  <c r="J69" i="110"/>
  <c r="K69" i="110"/>
  <c r="L69" i="110"/>
  <c r="M69" i="110"/>
  <c r="O69" i="110"/>
  <c r="B70" i="110"/>
  <c r="B71" i="110"/>
  <c r="B72" i="110"/>
  <c r="B73" i="110"/>
  <c r="B75" i="110"/>
  <c r="B76" i="110"/>
  <c r="B78" i="110"/>
  <c r="B80" i="110"/>
  <c r="D80" i="110"/>
  <c r="E80" i="110"/>
  <c r="F80" i="110"/>
  <c r="G80" i="110"/>
  <c r="H80" i="110"/>
  <c r="I80" i="110"/>
  <c r="J80" i="110"/>
  <c r="K80" i="110"/>
  <c r="L80" i="110"/>
  <c r="M80" i="110"/>
  <c r="O80" i="110"/>
  <c r="B82" i="110"/>
  <c r="B84" i="110"/>
  <c r="D84" i="110"/>
  <c r="E84" i="110"/>
  <c r="F84" i="110"/>
  <c r="G84" i="110"/>
  <c r="H84" i="110"/>
  <c r="I84" i="110"/>
  <c r="J84" i="110"/>
  <c r="K84" i="110"/>
  <c r="L84" i="110"/>
  <c r="M84" i="110"/>
  <c r="O84" i="110"/>
  <c r="B86" i="110"/>
  <c r="B87" i="110"/>
  <c r="B95" i="110"/>
  <c r="B97" i="110"/>
  <c r="D97" i="110"/>
  <c r="E97" i="110"/>
  <c r="F97" i="110"/>
  <c r="G97" i="110"/>
  <c r="H97" i="110"/>
  <c r="I97" i="110"/>
  <c r="J97" i="110"/>
  <c r="K97" i="110"/>
  <c r="L97" i="110"/>
  <c r="M97" i="110"/>
  <c r="O97" i="110"/>
  <c r="B101" i="110"/>
  <c r="B103" i="110"/>
  <c r="B107" i="110"/>
  <c r="D107" i="110"/>
  <c r="E107" i="110"/>
  <c r="F107" i="110"/>
  <c r="G107" i="110"/>
  <c r="H107" i="110"/>
  <c r="I107" i="110"/>
  <c r="J107" i="110"/>
  <c r="K107" i="110"/>
  <c r="L107" i="110"/>
  <c r="M107" i="110"/>
  <c r="O107" i="110"/>
  <c r="B108" i="110"/>
  <c r="B110" i="110"/>
  <c r="B111" i="110"/>
  <c r="B115" i="110"/>
  <c r="D115" i="110"/>
  <c r="E115" i="110"/>
  <c r="F115" i="110"/>
  <c r="G115" i="110"/>
  <c r="H115" i="110"/>
  <c r="I115" i="110"/>
  <c r="J115" i="110"/>
  <c r="K115" i="110"/>
  <c r="L115" i="110"/>
  <c r="M115" i="110"/>
  <c r="O115" i="110"/>
  <c r="B120" i="110"/>
  <c r="D120" i="110"/>
  <c r="F120" i="110"/>
  <c r="H120" i="110"/>
  <c r="B121" i="110"/>
  <c r="B122" i="110"/>
  <c r="B124" i="110"/>
  <c r="B126" i="110"/>
  <c r="B128" i="110"/>
  <c r="D128" i="110"/>
  <c r="F128" i="110"/>
  <c r="H128" i="110"/>
  <c r="B129" i="110"/>
  <c r="B134" i="110"/>
  <c r="B136" i="110"/>
  <c r="B143" i="110"/>
  <c r="D143" i="110"/>
  <c r="F143" i="110"/>
  <c r="H143" i="110"/>
  <c r="B146" i="110"/>
  <c r="B158" i="110"/>
  <c r="D158" i="110"/>
  <c r="F158" i="110"/>
  <c r="H158" i="110"/>
  <c r="B159" i="110"/>
  <c r="B160" i="110"/>
  <c r="B161" i="110"/>
  <c r="B162" i="110"/>
  <c r="D162" i="110"/>
  <c r="F162" i="110"/>
  <c r="H162" i="110"/>
  <c r="B163" i="110"/>
  <c r="B164" i="110"/>
  <c r="B166" i="110"/>
  <c r="D166" i="110"/>
  <c r="F166" i="110"/>
  <c r="H166" i="110"/>
  <c r="B170" i="110"/>
  <c r="D170" i="110"/>
  <c r="E170" i="110"/>
  <c r="F170" i="110"/>
  <c r="G170" i="110"/>
  <c r="H170" i="110"/>
  <c r="I170" i="110"/>
  <c r="J170" i="110"/>
  <c r="K170" i="110"/>
  <c r="L170" i="110"/>
  <c r="M170" i="110"/>
  <c r="O170" i="110"/>
  <c r="B11" i="114"/>
  <c r="D11" i="114"/>
  <c r="F11" i="114"/>
  <c r="B12" i="114"/>
  <c r="C12" i="114"/>
  <c r="D12" i="114"/>
  <c r="F12" i="114"/>
  <c r="G12" i="114"/>
  <c r="I12" i="114"/>
  <c r="K12" i="114"/>
  <c r="B13" i="114"/>
  <c r="C13" i="114"/>
  <c r="D13" i="114"/>
  <c r="F13" i="114"/>
  <c r="G13" i="114"/>
  <c r="B14" i="114"/>
  <c r="C14" i="114"/>
  <c r="D14" i="114"/>
  <c r="F14" i="114"/>
  <c r="G14" i="114"/>
  <c r="I14" i="114"/>
  <c r="K14" i="114"/>
  <c r="B15" i="114"/>
  <c r="C15" i="114"/>
  <c r="D15" i="114"/>
  <c r="F15" i="114"/>
  <c r="G15" i="114"/>
  <c r="H15" i="114"/>
  <c r="I15" i="114"/>
  <c r="J15" i="114"/>
  <c r="K15" i="114"/>
  <c r="L15" i="114"/>
  <c r="B16" i="114"/>
  <c r="C16" i="114"/>
  <c r="D16" i="114"/>
  <c r="F16" i="114"/>
  <c r="G16" i="114"/>
  <c r="I16" i="114"/>
  <c r="K16" i="114"/>
  <c r="B17" i="114"/>
  <c r="C17" i="114"/>
  <c r="D17" i="114"/>
  <c r="F17" i="114"/>
  <c r="G17" i="114"/>
  <c r="H17" i="114"/>
  <c r="I17" i="114"/>
  <c r="J17" i="114"/>
  <c r="K17" i="114"/>
  <c r="L17" i="114"/>
  <c r="B20" i="114"/>
  <c r="C20" i="114"/>
  <c r="D20" i="114"/>
  <c r="F20" i="114"/>
  <c r="G20" i="114"/>
  <c r="I20" i="114"/>
  <c r="K20" i="114"/>
  <c r="B21" i="114"/>
  <c r="C21" i="114"/>
  <c r="D21" i="114"/>
  <c r="F21" i="114"/>
  <c r="G21" i="114"/>
  <c r="I21" i="114"/>
  <c r="K21" i="114"/>
  <c r="B22" i="114"/>
  <c r="D22" i="114"/>
  <c r="F22" i="114"/>
  <c r="G22" i="114"/>
  <c r="I22" i="114"/>
  <c r="B23" i="114"/>
  <c r="C23" i="114"/>
  <c r="D23" i="114"/>
  <c r="F23" i="114"/>
  <c r="G23" i="114"/>
  <c r="H23" i="114"/>
  <c r="I23" i="114"/>
  <c r="J23" i="114"/>
  <c r="K23" i="114"/>
  <c r="L23" i="114"/>
  <c r="B25" i="114"/>
  <c r="C25" i="114"/>
  <c r="D25" i="114"/>
  <c r="F25" i="114"/>
  <c r="G25" i="114"/>
  <c r="H25" i="114"/>
  <c r="I25" i="114"/>
  <c r="J25" i="114"/>
  <c r="K25" i="114"/>
  <c r="L25" i="114"/>
  <c r="B27" i="114"/>
  <c r="C27" i="114"/>
  <c r="D27" i="114"/>
  <c r="F27" i="114"/>
  <c r="G27" i="114"/>
  <c r="I27" i="114"/>
  <c r="B30" i="114"/>
  <c r="C30" i="114"/>
  <c r="D30" i="114"/>
  <c r="F30" i="114"/>
  <c r="G30" i="114"/>
  <c r="H30" i="114"/>
  <c r="I30" i="114"/>
  <c r="J30" i="114"/>
  <c r="K30" i="114"/>
  <c r="L30" i="114"/>
  <c r="B33" i="114"/>
  <c r="C33" i="114"/>
  <c r="D33" i="114"/>
  <c r="F33" i="114"/>
  <c r="G33" i="114"/>
  <c r="I33" i="114"/>
  <c r="K33" i="114"/>
  <c r="B34" i="114"/>
  <c r="C34" i="114"/>
  <c r="D34" i="114"/>
  <c r="F34" i="114"/>
  <c r="G34" i="114"/>
  <c r="I34" i="114"/>
  <c r="K34" i="114"/>
  <c r="B35" i="114"/>
  <c r="C35" i="114"/>
  <c r="D35" i="114"/>
  <c r="F35" i="114"/>
  <c r="G35" i="114"/>
  <c r="I35" i="114"/>
  <c r="K35" i="114"/>
  <c r="B36" i="114"/>
  <c r="C36" i="114"/>
  <c r="D36" i="114"/>
  <c r="F36" i="114"/>
  <c r="G36" i="114"/>
  <c r="I36" i="114"/>
  <c r="K36" i="114"/>
  <c r="B37" i="114"/>
  <c r="C37" i="114"/>
  <c r="D37" i="114"/>
  <c r="F37" i="114"/>
  <c r="G37" i="114"/>
  <c r="H37" i="114"/>
  <c r="I37" i="114"/>
  <c r="J37" i="114"/>
  <c r="K37" i="114"/>
  <c r="L37" i="114"/>
  <c r="B39" i="114"/>
  <c r="C39" i="114"/>
  <c r="D39" i="114"/>
  <c r="F39" i="114"/>
  <c r="G39" i="114"/>
  <c r="H39" i="114"/>
  <c r="I39" i="114"/>
  <c r="J39" i="114"/>
  <c r="K39" i="114"/>
  <c r="L39" i="114"/>
  <c r="B41" i="114"/>
  <c r="C41" i="114"/>
  <c r="D41" i="114"/>
  <c r="F41" i="114"/>
  <c r="G41" i="114"/>
  <c r="I41" i="114"/>
  <c r="K41" i="114"/>
  <c r="B43" i="114"/>
  <c r="C43" i="114"/>
  <c r="D43" i="114"/>
  <c r="F43" i="114"/>
  <c r="G43" i="114"/>
  <c r="H43" i="114"/>
  <c r="I43" i="114"/>
  <c r="J43" i="114"/>
  <c r="K43" i="114"/>
  <c r="L43" i="114"/>
  <c r="B9" i="27"/>
  <c r="C9" i="27"/>
  <c r="D9" i="27"/>
  <c r="F9" i="27"/>
  <c r="H9" i="27"/>
  <c r="J9" i="27"/>
  <c r="K9" i="27"/>
  <c r="L9" i="27"/>
  <c r="M9" i="27"/>
  <c r="N9" i="27"/>
  <c r="O9" i="27"/>
  <c r="P9" i="27"/>
  <c r="Q9" i="27"/>
  <c r="B10" i="27"/>
  <c r="C10" i="27"/>
  <c r="D10" i="27"/>
  <c r="F10" i="27"/>
  <c r="H10" i="27"/>
  <c r="J10" i="27"/>
  <c r="K10" i="27"/>
  <c r="L10" i="27"/>
  <c r="M10" i="27"/>
  <c r="N10" i="27"/>
  <c r="O10" i="27"/>
  <c r="P10" i="27"/>
  <c r="Q10" i="27"/>
  <c r="B11" i="27"/>
  <c r="C11" i="27"/>
  <c r="D11" i="27"/>
  <c r="F11" i="27"/>
  <c r="H11" i="27"/>
  <c r="J11" i="27"/>
  <c r="K11" i="27"/>
  <c r="L11" i="27"/>
  <c r="M11" i="27"/>
  <c r="N11" i="27"/>
  <c r="O11" i="27"/>
  <c r="P11" i="27"/>
  <c r="Q11" i="27"/>
  <c r="B12" i="27"/>
  <c r="C12" i="27"/>
  <c r="D12" i="27"/>
  <c r="F12" i="27"/>
  <c r="H12" i="27"/>
  <c r="J12" i="27"/>
  <c r="K12" i="27"/>
  <c r="L12" i="27"/>
  <c r="M12" i="27"/>
  <c r="N12" i="27"/>
  <c r="O12" i="27"/>
  <c r="P12" i="27"/>
  <c r="Q12" i="27"/>
  <c r="B13" i="27"/>
  <c r="C13" i="27"/>
  <c r="D13" i="27"/>
  <c r="F13" i="27"/>
  <c r="H13" i="27"/>
  <c r="J13" i="27"/>
  <c r="K13" i="27"/>
  <c r="L13" i="27"/>
  <c r="M13" i="27"/>
  <c r="N13" i="27"/>
  <c r="O13" i="27"/>
  <c r="P13" i="27"/>
  <c r="Q13" i="27"/>
  <c r="B14" i="27"/>
  <c r="C14" i="27"/>
  <c r="D14" i="27"/>
  <c r="F14" i="27"/>
  <c r="H14" i="27"/>
  <c r="J14" i="27"/>
  <c r="K14" i="27"/>
  <c r="L14" i="27"/>
  <c r="M14" i="27"/>
  <c r="N14" i="27"/>
  <c r="O14" i="27"/>
  <c r="P14" i="27"/>
  <c r="Q14" i="27"/>
  <c r="B16" i="27"/>
  <c r="C16" i="27"/>
  <c r="D16" i="27"/>
  <c r="F16" i="27"/>
  <c r="H16" i="27"/>
  <c r="J16" i="27"/>
  <c r="K16" i="27"/>
  <c r="L16" i="27"/>
  <c r="N16" i="27"/>
  <c r="P16" i="27"/>
  <c r="B17" i="27"/>
  <c r="C17" i="27"/>
  <c r="D17" i="27"/>
  <c r="F17" i="27"/>
  <c r="H17" i="27"/>
  <c r="J17" i="27"/>
  <c r="K17" i="27"/>
  <c r="L17" i="27"/>
  <c r="M17" i="27"/>
  <c r="N17" i="27"/>
  <c r="O17" i="27"/>
  <c r="P17" i="27"/>
  <c r="Q17" i="27"/>
  <c r="B18" i="27"/>
  <c r="C18" i="27"/>
  <c r="D18" i="27"/>
  <c r="F18" i="27"/>
  <c r="H18" i="27"/>
  <c r="J18" i="27"/>
  <c r="K18" i="27"/>
  <c r="L18" i="27"/>
  <c r="M18" i="27"/>
  <c r="N18" i="27"/>
  <c r="O18" i="27"/>
  <c r="P18" i="27"/>
  <c r="Q18" i="27"/>
  <c r="B19" i="27"/>
  <c r="C19" i="27"/>
  <c r="D19" i="27"/>
  <c r="F19" i="27"/>
  <c r="H19" i="27"/>
  <c r="J19" i="27"/>
  <c r="K19" i="27"/>
  <c r="L19" i="27"/>
  <c r="M19" i="27"/>
  <c r="N19" i="27"/>
  <c r="O19" i="27"/>
  <c r="P19" i="27"/>
  <c r="Q19" i="27"/>
  <c r="B20" i="27"/>
  <c r="C20" i="27"/>
  <c r="D20" i="27"/>
  <c r="F20" i="27"/>
  <c r="H20" i="27"/>
  <c r="J20" i="27"/>
  <c r="K20" i="27"/>
  <c r="L20" i="27"/>
  <c r="M20" i="27"/>
  <c r="N20" i="27"/>
  <c r="O20" i="27"/>
  <c r="P20" i="27"/>
  <c r="Q20" i="27"/>
  <c r="B21" i="27"/>
  <c r="C21" i="27"/>
  <c r="D21" i="27"/>
  <c r="F21" i="27"/>
  <c r="H21" i="27"/>
  <c r="J21" i="27"/>
  <c r="K21" i="27"/>
  <c r="L21" i="27"/>
  <c r="M21" i="27"/>
  <c r="N21" i="27"/>
  <c r="O21" i="27"/>
  <c r="P21" i="27"/>
  <c r="Q21" i="27"/>
  <c r="B25" i="27"/>
  <c r="C25" i="27"/>
  <c r="D25" i="27"/>
  <c r="F25" i="27"/>
  <c r="H25" i="27"/>
  <c r="J25" i="27"/>
  <c r="K25" i="27"/>
  <c r="L25" i="27"/>
  <c r="M25" i="27"/>
  <c r="N25" i="27"/>
  <c r="O25" i="27"/>
  <c r="P25" i="27"/>
  <c r="Q25" i="27"/>
  <c r="B26" i="27"/>
  <c r="C26" i="27"/>
  <c r="D26" i="27"/>
  <c r="F26" i="27"/>
  <c r="H26" i="27"/>
  <c r="J26" i="27"/>
  <c r="K26" i="27"/>
  <c r="L26" i="27"/>
  <c r="M26" i="27"/>
  <c r="N26" i="27"/>
  <c r="O26" i="27"/>
  <c r="P26" i="27"/>
  <c r="Q26" i="27"/>
  <c r="B27" i="27"/>
  <c r="C27" i="27"/>
  <c r="D27" i="27"/>
  <c r="F27" i="27"/>
  <c r="H27" i="27"/>
  <c r="J27" i="27"/>
  <c r="K27" i="27"/>
  <c r="L27" i="27"/>
  <c r="M27" i="27"/>
  <c r="N27" i="27"/>
  <c r="O27" i="27"/>
  <c r="P27" i="27"/>
  <c r="Q27" i="27"/>
  <c r="B28" i="27"/>
  <c r="C28" i="27"/>
  <c r="D28" i="27"/>
  <c r="F28" i="27"/>
  <c r="H28" i="27"/>
  <c r="J28" i="27"/>
  <c r="K28" i="27"/>
  <c r="L28" i="27"/>
  <c r="M28" i="27"/>
  <c r="N28" i="27"/>
  <c r="O28" i="27"/>
  <c r="P28" i="27"/>
  <c r="Q28" i="27"/>
  <c r="B31" i="27"/>
  <c r="C31" i="27"/>
  <c r="D31" i="27"/>
  <c r="F31" i="27"/>
  <c r="H31" i="27"/>
  <c r="J31" i="27"/>
  <c r="K31" i="27"/>
  <c r="L31" i="27"/>
  <c r="M31" i="27"/>
  <c r="N31" i="27"/>
  <c r="O31" i="27"/>
  <c r="P31" i="27"/>
  <c r="Q31" i="27"/>
  <c r="B32" i="27"/>
  <c r="C32" i="27"/>
  <c r="D32" i="27"/>
  <c r="F32" i="27"/>
  <c r="H32" i="27"/>
  <c r="J32" i="27"/>
  <c r="K32" i="27"/>
  <c r="L32" i="27"/>
  <c r="M32" i="27"/>
  <c r="N32" i="27"/>
  <c r="O32" i="27"/>
  <c r="P32" i="27"/>
  <c r="Q32" i="27"/>
  <c r="B33" i="27"/>
  <c r="C33" i="27"/>
  <c r="D33" i="27"/>
  <c r="F33" i="27"/>
  <c r="H33" i="27"/>
  <c r="J33" i="27"/>
  <c r="K33" i="27"/>
  <c r="L33" i="27"/>
  <c r="M33" i="27"/>
  <c r="N33" i="27"/>
  <c r="O33" i="27"/>
  <c r="P33" i="27"/>
  <c r="Q33" i="27"/>
  <c r="B34" i="27"/>
  <c r="C34" i="27"/>
  <c r="D34" i="27"/>
  <c r="F34" i="27"/>
  <c r="H34" i="27"/>
  <c r="J34" i="27"/>
  <c r="K34" i="27"/>
  <c r="L34" i="27"/>
  <c r="M34" i="27"/>
  <c r="N34" i="27"/>
  <c r="O34" i="27"/>
  <c r="P34" i="27"/>
  <c r="Q34" i="27"/>
  <c r="B37" i="27"/>
  <c r="C37" i="27"/>
  <c r="D37" i="27"/>
  <c r="F37" i="27"/>
  <c r="H37" i="27"/>
  <c r="J37" i="27"/>
  <c r="K37" i="27"/>
  <c r="L37" i="27"/>
  <c r="M37" i="27"/>
  <c r="N37" i="27"/>
  <c r="O37" i="27"/>
  <c r="P37" i="27"/>
  <c r="Q37" i="27"/>
  <c r="B38" i="27"/>
  <c r="C38" i="27"/>
  <c r="D38" i="27"/>
  <c r="F38" i="27"/>
  <c r="H38" i="27"/>
  <c r="J38" i="27"/>
  <c r="K38" i="27"/>
  <c r="L38" i="27"/>
  <c r="M38" i="27"/>
  <c r="N38" i="27"/>
  <c r="O38" i="27"/>
  <c r="P38" i="27"/>
  <c r="Q38" i="27"/>
  <c r="B39" i="27"/>
  <c r="C39" i="27"/>
  <c r="D39" i="27"/>
  <c r="F39" i="27"/>
  <c r="H39" i="27"/>
  <c r="J39" i="27"/>
  <c r="K39" i="27"/>
  <c r="L39" i="27"/>
  <c r="M39" i="27"/>
  <c r="N39" i="27"/>
  <c r="O39" i="27"/>
  <c r="P39" i="27"/>
  <c r="Q39" i="27"/>
  <c r="B40" i="27"/>
  <c r="C40" i="27"/>
  <c r="D40" i="27"/>
  <c r="F40" i="27"/>
  <c r="H40" i="27"/>
  <c r="J40" i="27"/>
  <c r="K40" i="27"/>
  <c r="L40" i="27"/>
  <c r="M40" i="27"/>
  <c r="N40" i="27"/>
  <c r="O40" i="27"/>
  <c r="P40" i="27"/>
  <c r="Q40" i="27"/>
  <c r="B42" i="27"/>
  <c r="C42" i="27"/>
  <c r="D42" i="27"/>
  <c r="F42" i="27"/>
  <c r="H42" i="27"/>
  <c r="J42" i="27"/>
  <c r="K42" i="27"/>
  <c r="L42" i="27"/>
  <c r="M42" i="27"/>
  <c r="N42" i="27"/>
  <c r="O42" i="27"/>
  <c r="P42" i="27"/>
  <c r="Q42" i="27"/>
  <c r="B43" i="27"/>
  <c r="C43" i="27"/>
  <c r="D43" i="27"/>
  <c r="F43" i="27"/>
  <c r="H43" i="27"/>
  <c r="J43" i="27"/>
  <c r="K43" i="27"/>
  <c r="L43" i="27"/>
  <c r="M43" i="27"/>
  <c r="N43" i="27"/>
  <c r="O43" i="27"/>
  <c r="P43" i="27"/>
  <c r="Q43" i="27"/>
  <c r="B46" i="27"/>
  <c r="C46" i="27"/>
  <c r="D46" i="27"/>
  <c r="F46" i="27"/>
  <c r="H46" i="27"/>
  <c r="J46" i="27"/>
  <c r="K46" i="27"/>
  <c r="L46" i="27"/>
  <c r="M46" i="27"/>
  <c r="N46" i="27"/>
  <c r="O46" i="27"/>
  <c r="P46" i="27"/>
  <c r="Q46" i="27"/>
  <c r="B47" i="27"/>
  <c r="C47" i="27"/>
  <c r="D47" i="27"/>
  <c r="F47" i="27"/>
  <c r="H47" i="27"/>
  <c r="J47" i="27"/>
  <c r="K47" i="27"/>
  <c r="L47" i="27"/>
  <c r="M47" i="27"/>
  <c r="N47" i="27"/>
  <c r="O47" i="27"/>
  <c r="P47" i="27"/>
  <c r="Q47" i="27"/>
  <c r="B48" i="27"/>
  <c r="C48" i="27"/>
  <c r="D48" i="27"/>
  <c r="F48" i="27"/>
  <c r="H48" i="27"/>
  <c r="J48" i="27"/>
  <c r="L48" i="27"/>
  <c r="N48" i="27"/>
  <c r="B49" i="27"/>
  <c r="C49" i="27"/>
  <c r="D49" i="27"/>
  <c r="F49" i="27"/>
  <c r="H49" i="27"/>
  <c r="J49" i="27"/>
  <c r="K49" i="27"/>
  <c r="L49" i="27"/>
  <c r="M49" i="27"/>
  <c r="N49" i="27"/>
  <c r="O49" i="27"/>
  <c r="P49" i="27"/>
  <c r="Q49" i="27"/>
  <c r="B50" i="27"/>
  <c r="C50" i="27"/>
  <c r="D50" i="27"/>
  <c r="F50" i="27"/>
  <c r="H50" i="27"/>
  <c r="J50" i="27"/>
  <c r="K50" i="27"/>
  <c r="L50" i="27"/>
  <c r="M50" i="27"/>
  <c r="N50" i="27"/>
  <c r="O50" i="27"/>
  <c r="P50" i="27"/>
  <c r="Q50" i="27"/>
  <c r="B51" i="27"/>
  <c r="C51" i="27"/>
  <c r="D51" i="27"/>
  <c r="F51" i="27"/>
  <c r="H51" i="27"/>
  <c r="J51" i="27"/>
  <c r="K51" i="27"/>
  <c r="L51" i="27"/>
  <c r="M51" i="27"/>
  <c r="N51" i="27"/>
  <c r="O51" i="27"/>
  <c r="P51" i="27"/>
  <c r="Q51" i="27"/>
  <c r="B57" i="27"/>
  <c r="D57" i="27"/>
  <c r="F57" i="27"/>
  <c r="H57" i="27"/>
  <c r="J57" i="27"/>
  <c r="L57" i="27"/>
  <c r="N57" i="27"/>
  <c r="P57" i="27"/>
  <c r="B58" i="27"/>
  <c r="D58" i="27"/>
  <c r="F58" i="27"/>
  <c r="H58" i="27"/>
  <c r="J58" i="27"/>
  <c r="L58" i="27"/>
  <c r="N58" i="27"/>
  <c r="P58" i="27"/>
  <c r="B59" i="27"/>
  <c r="D59" i="27"/>
  <c r="F59" i="27"/>
  <c r="H59" i="27"/>
  <c r="J59" i="27"/>
  <c r="L59" i="27"/>
  <c r="N59" i="27"/>
  <c r="P59" i="27"/>
  <c r="B61" i="27"/>
  <c r="D61" i="27"/>
  <c r="F61" i="27"/>
  <c r="H61" i="27"/>
  <c r="J61" i="27"/>
  <c r="L61" i="27"/>
  <c r="N61" i="27"/>
  <c r="P61" i="27"/>
  <c r="B62" i="27"/>
  <c r="D62" i="27"/>
  <c r="F62" i="27"/>
  <c r="H62" i="27"/>
  <c r="J62" i="27"/>
  <c r="L62" i="27"/>
  <c r="N62" i="27"/>
  <c r="P62" i="27"/>
  <c r="B63" i="27"/>
  <c r="D63" i="27"/>
  <c r="F63" i="27"/>
  <c r="H63" i="27"/>
  <c r="J63" i="27"/>
  <c r="L63" i="27"/>
  <c r="N63" i="27"/>
  <c r="P63" i="27"/>
  <c r="B10" i="28"/>
  <c r="C10" i="28"/>
  <c r="D10" i="28"/>
  <c r="E10" i="28"/>
  <c r="H10" i="28"/>
  <c r="I10" i="28"/>
  <c r="J10" i="28"/>
  <c r="K10" i="28"/>
  <c r="B11" i="28"/>
  <c r="C11" i="28"/>
  <c r="D11" i="28"/>
  <c r="E11" i="28"/>
  <c r="H11" i="28"/>
  <c r="I11" i="28"/>
  <c r="J11" i="28"/>
  <c r="K11" i="28"/>
  <c r="B12" i="28"/>
  <c r="C12" i="28"/>
  <c r="D12" i="28"/>
  <c r="E12" i="28"/>
  <c r="H12" i="28"/>
  <c r="I12" i="28"/>
  <c r="J12" i="28"/>
  <c r="K12" i="28"/>
  <c r="B13" i="28"/>
  <c r="C13" i="28"/>
  <c r="D13" i="28"/>
  <c r="E13" i="28"/>
  <c r="H13" i="28"/>
  <c r="I13" i="28"/>
  <c r="J13" i="28"/>
  <c r="K13" i="28"/>
  <c r="B14" i="28"/>
  <c r="C14" i="28"/>
  <c r="D14" i="28"/>
  <c r="E14" i="28"/>
  <c r="H14" i="28"/>
  <c r="I14" i="28"/>
  <c r="J14" i="28"/>
  <c r="K14" i="28"/>
  <c r="B15" i="28"/>
  <c r="C15" i="28"/>
  <c r="D15" i="28"/>
  <c r="E15" i="28"/>
  <c r="H15" i="28"/>
  <c r="I15" i="28"/>
  <c r="J15" i="28"/>
  <c r="K15" i="28"/>
  <c r="B17" i="28"/>
  <c r="C17" i="28"/>
  <c r="D17" i="28"/>
  <c r="E17" i="28"/>
  <c r="H17" i="28"/>
  <c r="I17" i="28"/>
  <c r="J17" i="28"/>
  <c r="K17" i="28"/>
  <c r="B18" i="28"/>
  <c r="C18" i="28"/>
  <c r="D18" i="28"/>
  <c r="E18" i="28"/>
  <c r="H18" i="28"/>
  <c r="I18" i="28"/>
  <c r="J18" i="28"/>
  <c r="K18" i="28"/>
  <c r="B19" i="28"/>
  <c r="C19" i="28"/>
  <c r="D19" i="28"/>
  <c r="E19" i="28"/>
  <c r="H19" i="28"/>
  <c r="I19" i="28"/>
  <c r="J19" i="28"/>
  <c r="K19" i="28"/>
  <c r="B20" i="28"/>
  <c r="C20" i="28"/>
  <c r="D20" i="28"/>
  <c r="H20" i="28"/>
  <c r="I20" i="28"/>
  <c r="J20" i="28"/>
  <c r="K20" i="28"/>
  <c r="B21" i="28"/>
  <c r="C21" i="28"/>
  <c r="D21" i="28"/>
  <c r="E21" i="28"/>
  <c r="H21" i="28"/>
  <c r="I21" i="28"/>
  <c r="J21" i="28"/>
  <c r="K21" i="28"/>
  <c r="B22" i="28"/>
  <c r="C22" i="28"/>
  <c r="D22" i="28"/>
  <c r="E22" i="28"/>
  <c r="H22" i="28"/>
  <c r="I22" i="28"/>
  <c r="J22" i="28"/>
  <c r="K22" i="28"/>
  <c r="B26" i="28"/>
  <c r="C26" i="28"/>
  <c r="D26" i="28"/>
  <c r="E26" i="28"/>
  <c r="H26" i="28"/>
  <c r="I26" i="28"/>
  <c r="J26" i="28"/>
  <c r="K26" i="28"/>
  <c r="B27" i="28"/>
  <c r="C27" i="28"/>
  <c r="D27" i="28"/>
  <c r="E27" i="28"/>
  <c r="H27" i="28"/>
  <c r="I27" i="28"/>
  <c r="J27" i="28"/>
  <c r="K27" i="28"/>
  <c r="B28" i="28"/>
  <c r="C28" i="28"/>
  <c r="D28" i="28"/>
  <c r="E28" i="28"/>
  <c r="H28" i="28"/>
  <c r="I28" i="28"/>
  <c r="J28" i="28"/>
  <c r="K28" i="28"/>
  <c r="B29" i="28"/>
  <c r="C29" i="28"/>
  <c r="D29" i="28"/>
  <c r="E29" i="28"/>
  <c r="H29" i="28"/>
  <c r="I29" i="28"/>
  <c r="J29" i="28"/>
  <c r="K29" i="28"/>
  <c r="B32" i="28"/>
  <c r="C32" i="28"/>
  <c r="D32" i="28"/>
  <c r="E32" i="28"/>
  <c r="H32" i="28"/>
  <c r="I32" i="28"/>
  <c r="J32" i="28"/>
  <c r="K32" i="28"/>
  <c r="B33" i="28"/>
  <c r="C33" i="28"/>
  <c r="D33" i="28"/>
  <c r="H33" i="28"/>
  <c r="I33" i="28"/>
  <c r="J33" i="28"/>
  <c r="B34" i="28"/>
  <c r="C34" i="28"/>
  <c r="D34" i="28"/>
  <c r="E34" i="28"/>
  <c r="H34" i="28"/>
  <c r="I34" i="28"/>
  <c r="J34" i="28"/>
  <c r="K34" i="28"/>
  <c r="B35" i="28"/>
  <c r="C35" i="28"/>
  <c r="D35" i="28"/>
  <c r="E35" i="28"/>
  <c r="H35" i="28"/>
  <c r="I35" i="28"/>
  <c r="J35" i="28"/>
  <c r="K35" i="28"/>
  <c r="B38" i="28"/>
  <c r="C38" i="28"/>
  <c r="D38" i="28"/>
  <c r="E38" i="28"/>
  <c r="H38" i="28"/>
  <c r="I38" i="28"/>
  <c r="J38" i="28"/>
  <c r="K38" i="28"/>
  <c r="B39" i="28"/>
  <c r="C39" i="28"/>
  <c r="D39" i="28"/>
  <c r="H39" i="28"/>
  <c r="I39" i="28"/>
  <c r="J39" i="28"/>
  <c r="B40" i="28"/>
  <c r="C40" i="28"/>
  <c r="D40" i="28"/>
  <c r="E40" i="28"/>
  <c r="H40" i="28"/>
  <c r="I40" i="28"/>
  <c r="J40" i="28"/>
  <c r="K40" i="28"/>
  <c r="B41" i="28"/>
  <c r="C41" i="28"/>
  <c r="D41" i="28"/>
  <c r="E41" i="28"/>
  <c r="H41" i="28"/>
  <c r="I41" i="28"/>
  <c r="J41" i="28"/>
  <c r="K41" i="28"/>
  <c r="B43" i="28"/>
  <c r="C43" i="28"/>
  <c r="D43" i="28"/>
  <c r="E43" i="28"/>
  <c r="H43" i="28"/>
  <c r="I43" i="28"/>
  <c r="J43" i="28"/>
  <c r="K43" i="28"/>
  <c r="B44" i="28"/>
  <c r="C44" i="28"/>
  <c r="D44" i="28"/>
  <c r="E44" i="28"/>
  <c r="H44" i="28"/>
  <c r="I44" i="28"/>
  <c r="J44" i="28"/>
  <c r="K44" i="28"/>
  <c r="B47" i="28"/>
  <c r="C47" i="28"/>
  <c r="D47" i="28"/>
  <c r="E47" i="28"/>
  <c r="H47" i="28"/>
  <c r="I47" i="28"/>
  <c r="J47" i="28"/>
  <c r="K47" i="28"/>
  <c r="B48" i="28"/>
  <c r="C48" i="28"/>
  <c r="D48" i="28"/>
  <c r="E48" i="28"/>
  <c r="H48" i="28"/>
  <c r="I48" i="28"/>
  <c r="J48" i="28"/>
  <c r="K48" i="28"/>
  <c r="B49" i="28"/>
  <c r="C49" i="28"/>
  <c r="D49" i="28"/>
  <c r="E49" i="28"/>
  <c r="H49" i="28"/>
  <c r="I49" i="28"/>
  <c r="J49" i="28"/>
  <c r="B50" i="28"/>
  <c r="C50" i="28"/>
  <c r="D50" i="28"/>
  <c r="H50" i="28"/>
  <c r="I50" i="28"/>
  <c r="J50" i="28"/>
  <c r="B51" i="28"/>
  <c r="C51" i="28"/>
  <c r="D51" i="28"/>
  <c r="H51" i="28"/>
  <c r="I51" i="28"/>
  <c r="J51" i="28"/>
  <c r="B53" i="28"/>
  <c r="C53" i="28"/>
  <c r="D53" i="28"/>
  <c r="E53" i="28"/>
  <c r="H53" i="28"/>
  <c r="I53" i="28"/>
  <c r="J53" i="28"/>
  <c r="K53" i="28"/>
  <c r="B58" i="28"/>
  <c r="B59" i="28"/>
  <c r="B60" i="28"/>
  <c r="B62" i="28"/>
  <c r="J62" i="28"/>
  <c r="B63" i="28"/>
  <c r="J63" i="28"/>
  <c r="B64" i="28"/>
  <c r="J64" i="28"/>
  <c r="B12" i="24"/>
  <c r="D12" i="24"/>
  <c r="F12" i="24"/>
  <c r="H12" i="24"/>
  <c r="I12" i="24"/>
  <c r="J12" i="24"/>
  <c r="K12" i="24"/>
  <c r="L12" i="24"/>
  <c r="M12" i="24"/>
  <c r="N12" i="24"/>
  <c r="O12" i="24"/>
  <c r="P12" i="24"/>
  <c r="B13" i="24"/>
  <c r="D13" i="24"/>
  <c r="F13" i="24"/>
  <c r="H13" i="24"/>
  <c r="I13" i="24"/>
  <c r="J13" i="24"/>
  <c r="K13" i="24"/>
  <c r="L13" i="24"/>
  <c r="M13" i="24"/>
  <c r="N13" i="24"/>
  <c r="P13" i="24"/>
  <c r="B14" i="24"/>
  <c r="D14" i="24"/>
  <c r="F14" i="24"/>
  <c r="H14" i="24"/>
  <c r="I14" i="24"/>
  <c r="J14" i="24"/>
  <c r="K14" i="24"/>
  <c r="L14" i="24"/>
  <c r="M14" i="24"/>
  <c r="N14" i="24"/>
  <c r="O14" i="24"/>
  <c r="P14" i="24"/>
  <c r="B15" i="24"/>
  <c r="D15" i="24"/>
  <c r="F15" i="24"/>
  <c r="H15" i="24"/>
  <c r="I15" i="24"/>
  <c r="J15" i="24"/>
  <c r="K15" i="24"/>
  <c r="L15" i="24"/>
  <c r="M15" i="24"/>
  <c r="N15" i="24"/>
  <c r="O15" i="24"/>
  <c r="P15" i="24"/>
  <c r="B16" i="24"/>
  <c r="D16" i="24"/>
  <c r="F16" i="24"/>
  <c r="H16" i="24"/>
  <c r="I16" i="24"/>
  <c r="J16" i="24"/>
  <c r="K16" i="24"/>
  <c r="L16" i="24"/>
  <c r="M16" i="24"/>
  <c r="N16" i="24"/>
  <c r="O16" i="24"/>
  <c r="P16" i="24"/>
  <c r="B24" i="24"/>
  <c r="C24" i="24"/>
  <c r="D24" i="24"/>
  <c r="F24" i="24"/>
  <c r="H24" i="24"/>
  <c r="J24" i="24"/>
  <c r="L24" i="24"/>
  <c r="N24" i="24"/>
  <c r="P24" i="24"/>
  <c r="R24" i="24"/>
  <c r="S24" i="24"/>
  <c r="T24" i="24"/>
  <c r="B25" i="24"/>
  <c r="C25" i="24"/>
  <c r="D25" i="24"/>
  <c r="F25" i="24"/>
  <c r="H25" i="24"/>
  <c r="J25" i="24"/>
  <c r="L25" i="24"/>
  <c r="N25" i="24"/>
  <c r="P25" i="24"/>
  <c r="R25" i="24"/>
  <c r="S25" i="24"/>
  <c r="T25" i="24"/>
  <c r="B26" i="24"/>
  <c r="C26" i="24"/>
  <c r="D26" i="24"/>
  <c r="F26" i="24"/>
  <c r="H26" i="24"/>
  <c r="J26" i="24"/>
  <c r="L26" i="24"/>
  <c r="N26" i="24"/>
  <c r="P26" i="24"/>
  <c r="R26" i="24"/>
  <c r="S26" i="24"/>
  <c r="T26" i="24"/>
  <c r="B27" i="24"/>
  <c r="C27" i="24"/>
  <c r="D27" i="24"/>
  <c r="F27" i="24"/>
  <c r="H27" i="24"/>
  <c r="J27" i="24"/>
  <c r="L27" i="24"/>
  <c r="N27" i="24"/>
  <c r="P27" i="24"/>
  <c r="R27" i="24"/>
  <c r="S27" i="24"/>
  <c r="T27" i="24"/>
  <c r="B28" i="24"/>
  <c r="C28" i="24"/>
  <c r="D28" i="24"/>
  <c r="F28" i="24"/>
  <c r="H28" i="24"/>
  <c r="J28" i="24"/>
  <c r="L28" i="24"/>
  <c r="N28" i="24"/>
  <c r="P28" i="24"/>
  <c r="R28" i="24"/>
  <c r="S28" i="24"/>
  <c r="T28" i="24"/>
  <c r="B43" i="24"/>
  <c r="N43" i="24"/>
  <c r="O43" i="24"/>
  <c r="Q43" i="24"/>
  <c r="B45" i="24"/>
  <c r="N45" i="24"/>
  <c r="O45" i="24"/>
  <c r="Q45" i="24"/>
  <c r="B50" i="24"/>
  <c r="N50" i="24"/>
  <c r="O50" i="24"/>
  <c r="B53" i="24"/>
  <c r="N53" i="24"/>
  <c r="O53" i="24"/>
  <c r="B56" i="24"/>
  <c r="N56" i="24"/>
  <c r="O56" i="24"/>
  <c r="B60" i="24"/>
  <c r="N60" i="24"/>
  <c r="O60" i="24"/>
  <c r="B62" i="24"/>
  <c r="N62" i="24"/>
  <c r="O62" i="24"/>
  <c r="B65" i="24"/>
  <c r="N65" i="24"/>
  <c r="O65" i="24"/>
  <c r="B67" i="24"/>
  <c r="N67" i="24"/>
  <c r="O67" i="24"/>
  <c r="B69" i="24"/>
  <c r="N69" i="24"/>
  <c r="O69" i="24"/>
  <c r="B72" i="24"/>
  <c r="N72" i="24"/>
  <c r="O72" i="24"/>
  <c r="N75" i="24"/>
  <c r="O75" i="24"/>
  <c r="B78" i="24"/>
  <c r="N78" i="24"/>
  <c r="B79" i="24"/>
  <c r="N79" i="24"/>
  <c r="B10" i="117"/>
  <c r="C10" i="117"/>
  <c r="D10" i="117"/>
  <c r="F10" i="117"/>
  <c r="H10" i="117"/>
  <c r="J10" i="117"/>
  <c r="K10" i="117"/>
  <c r="L10" i="117"/>
  <c r="M10" i="117"/>
  <c r="N10" i="117"/>
  <c r="O10" i="117"/>
  <c r="P10" i="117"/>
  <c r="Q10" i="117"/>
  <c r="B11" i="117"/>
  <c r="C11" i="117"/>
  <c r="D11" i="117"/>
  <c r="F11" i="117"/>
  <c r="H11" i="117"/>
  <c r="J11" i="117"/>
  <c r="K11" i="117"/>
  <c r="L11" i="117"/>
  <c r="M11" i="117"/>
  <c r="N11" i="117"/>
  <c r="O11" i="117"/>
  <c r="P11" i="117"/>
  <c r="Q11" i="117"/>
  <c r="B12" i="117"/>
  <c r="C12" i="117"/>
  <c r="D12" i="117"/>
  <c r="F12" i="117"/>
  <c r="H12" i="117"/>
  <c r="J12" i="117"/>
  <c r="K12" i="117"/>
  <c r="L12" i="117"/>
  <c r="M12" i="117"/>
  <c r="N12" i="117"/>
  <c r="O12" i="117"/>
  <c r="P12" i="117"/>
  <c r="Q12" i="117"/>
  <c r="B13" i="117"/>
  <c r="C13" i="117"/>
  <c r="D13" i="117"/>
  <c r="F13" i="117"/>
  <c r="H13" i="117"/>
  <c r="J13" i="117"/>
  <c r="K13" i="117"/>
  <c r="L13" i="117"/>
  <c r="M13" i="117"/>
  <c r="N13" i="117"/>
  <c r="O13" i="117"/>
  <c r="P13" i="117"/>
  <c r="Q13" i="117"/>
  <c r="B14" i="117"/>
  <c r="C14" i="117"/>
  <c r="D14" i="117"/>
  <c r="F14" i="117"/>
  <c r="H14" i="117"/>
  <c r="J14" i="117"/>
  <c r="K14" i="117"/>
  <c r="L14" i="117"/>
  <c r="M14" i="117"/>
  <c r="N14" i="117"/>
  <c r="O14" i="117"/>
  <c r="P14" i="117"/>
  <c r="Q14" i="117"/>
  <c r="B15" i="117"/>
  <c r="C15" i="117"/>
  <c r="D15" i="117"/>
  <c r="F15" i="117"/>
  <c r="H15" i="117"/>
  <c r="J15" i="117"/>
  <c r="K15" i="117"/>
  <c r="L15" i="117"/>
  <c r="M15" i="117"/>
  <c r="N15" i="117"/>
  <c r="O15" i="117"/>
  <c r="P15" i="117"/>
  <c r="Q15" i="117"/>
  <c r="B17" i="117"/>
  <c r="C17" i="117"/>
  <c r="D17" i="117"/>
  <c r="F17" i="117"/>
  <c r="H17" i="117"/>
  <c r="J17" i="117"/>
  <c r="K17" i="117"/>
  <c r="L17" i="117"/>
  <c r="M17" i="117"/>
  <c r="N17" i="117"/>
  <c r="O17" i="117"/>
  <c r="P17" i="117"/>
  <c r="Q17" i="117"/>
  <c r="B18" i="117"/>
  <c r="C18" i="117"/>
  <c r="D18" i="117"/>
  <c r="F18" i="117"/>
  <c r="H18" i="117"/>
  <c r="J18" i="117"/>
  <c r="K18" i="117"/>
  <c r="L18" i="117"/>
  <c r="M18" i="117"/>
  <c r="N18" i="117"/>
  <c r="O18" i="117"/>
  <c r="P18" i="117"/>
  <c r="Q18" i="117"/>
  <c r="B19" i="117"/>
  <c r="C19" i="117"/>
  <c r="D19" i="117"/>
  <c r="F19" i="117"/>
  <c r="H19" i="117"/>
  <c r="J19" i="117"/>
  <c r="K19" i="117"/>
  <c r="L19" i="117"/>
  <c r="M19" i="117"/>
  <c r="N19" i="117"/>
  <c r="O19" i="117"/>
  <c r="P19" i="117"/>
  <c r="Q19" i="117"/>
  <c r="B20" i="117"/>
  <c r="C20" i="117"/>
  <c r="D20" i="117"/>
  <c r="F20" i="117"/>
  <c r="H20" i="117"/>
  <c r="J20" i="117"/>
  <c r="K20" i="117"/>
  <c r="L20" i="117"/>
  <c r="M20" i="117"/>
  <c r="N20" i="117"/>
  <c r="O20" i="117"/>
  <c r="P20" i="117"/>
  <c r="Q20" i="117"/>
  <c r="B21" i="117"/>
  <c r="C21" i="117"/>
  <c r="D21" i="117"/>
  <c r="F21" i="117"/>
  <c r="H21" i="117"/>
  <c r="J21" i="117"/>
  <c r="K21" i="117"/>
  <c r="L21" i="117"/>
  <c r="M21" i="117"/>
  <c r="N21" i="117"/>
  <c r="O21" i="117"/>
  <c r="P21" i="117"/>
  <c r="Q21" i="117"/>
  <c r="B22" i="117"/>
  <c r="C22" i="117"/>
  <c r="D22" i="117"/>
  <c r="F22" i="117"/>
  <c r="H22" i="117"/>
  <c r="J22" i="117"/>
  <c r="K22" i="117"/>
  <c r="L22" i="117"/>
  <c r="M22" i="117"/>
  <c r="N22" i="117"/>
  <c r="O22" i="117"/>
  <c r="P22" i="117"/>
  <c r="Q22" i="117"/>
  <c r="B26" i="117"/>
  <c r="C26" i="117"/>
  <c r="D26" i="117"/>
  <c r="F26" i="117"/>
  <c r="H26" i="117"/>
  <c r="J26" i="117"/>
  <c r="K26" i="117"/>
  <c r="L26" i="117"/>
  <c r="M26" i="117"/>
  <c r="N26" i="117"/>
  <c r="O26" i="117"/>
  <c r="P26" i="117"/>
  <c r="Q26" i="117"/>
  <c r="B27" i="117"/>
  <c r="C27" i="117"/>
  <c r="D27" i="117"/>
  <c r="F27" i="117"/>
  <c r="H27" i="117"/>
  <c r="J27" i="117"/>
  <c r="K27" i="117"/>
  <c r="L27" i="117"/>
  <c r="M27" i="117"/>
  <c r="N27" i="117"/>
  <c r="O27" i="117"/>
  <c r="P27" i="117"/>
  <c r="Q27" i="117"/>
  <c r="B28" i="117"/>
  <c r="C28" i="117"/>
  <c r="D28" i="117"/>
  <c r="F28" i="117"/>
  <c r="H28" i="117"/>
  <c r="J28" i="117"/>
  <c r="K28" i="117"/>
  <c r="L28" i="117"/>
  <c r="M28" i="117"/>
  <c r="N28" i="117"/>
  <c r="O28" i="117"/>
  <c r="P28" i="117"/>
  <c r="Q28" i="117"/>
  <c r="B29" i="117"/>
  <c r="C29" i="117"/>
  <c r="D29" i="117"/>
  <c r="F29" i="117"/>
  <c r="H29" i="117"/>
  <c r="J29" i="117"/>
  <c r="K29" i="117"/>
  <c r="L29" i="117"/>
  <c r="M29" i="117"/>
  <c r="N29" i="117"/>
  <c r="O29" i="117"/>
  <c r="P29" i="117"/>
  <c r="Q29" i="117"/>
  <c r="B32" i="117"/>
  <c r="C32" i="117"/>
  <c r="D32" i="117"/>
  <c r="F32" i="117"/>
  <c r="H32" i="117"/>
  <c r="J32" i="117"/>
  <c r="K32" i="117"/>
  <c r="L32" i="117"/>
  <c r="M32" i="117"/>
  <c r="N32" i="117"/>
  <c r="O32" i="117"/>
  <c r="P32" i="117"/>
  <c r="Q32" i="117"/>
  <c r="B33" i="117"/>
  <c r="C33" i="117"/>
  <c r="D33" i="117"/>
  <c r="F33" i="117"/>
  <c r="H33" i="117"/>
  <c r="J33" i="117"/>
  <c r="K33" i="117"/>
  <c r="L33" i="117"/>
  <c r="M33" i="117"/>
  <c r="N33" i="117"/>
  <c r="O33" i="117"/>
  <c r="P33" i="117"/>
  <c r="Q33" i="117"/>
  <c r="B34" i="117"/>
  <c r="C34" i="117"/>
  <c r="D34" i="117"/>
  <c r="F34" i="117"/>
  <c r="H34" i="117"/>
  <c r="J34" i="117"/>
  <c r="K34" i="117"/>
  <c r="L34" i="117"/>
  <c r="M34" i="117"/>
  <c r="N34" i="117"/>
  <c r="O34" i="117"/>
  <c r="P34" i="117"/>
  <c r="Q34" i="117"/>
  <c r="B35" i="117"/>
  <c r="C35" i="117"/>
  <c r="D35" i="117"/>
  <c r="F35" i="117"/>
  <c r="H35" i="117"/>
  <c r="J35" i="117"/>
  <c r="K35" i="117"/>
  <c r="L35" i="117"/>
  <c r="M35" i="117"/>
  <c r="N35" i="117"/>
  <c r="O35" i="117"/>
  <c r="P35" i="117"/>
  <c r="Q35" i="117"/>
  <c r="B38" i="117"/>
  <c r="C38" i="117"/>
  <c r="D38" i="117"/>
  <c r="F38" i="117"/>
  <c r="H38" i="117"/>
  <c r="J38" i="117"/>
  <c r="K38" i="117"/>
  <c r="L38" i="117"/>
  <c r="M38" i="117"/>
  <c r="N38" i="117"/>
  <c r="O38" i="117"/>
  <c r="P38" i="117"/>
  <c r="Q38" i="117"/>
  <c r="B39" i="117"/>
  <c r="C39" i="117"/>
  <c r="D39" i="117"/>
  <c r="F39" i="117"/>
  <c r="H39" i="117"/>
  <c r="J39" i="117"/>
  <c r="K39" i="117"/>
  <c r="L39" i="117"/>
  <c r="M39" i="117"/>
  <c r="N39" i="117"/>
  <c r="O39" i="117"/>
  <c r="P39" i="117"/>
  <c r="Q39" i="117"/>
  <c r="B40" i="117"/>
  <c r="C40" i="117"/>
  <c r="D40" i="117"/>
  <c r="F40" i="117"/>
  <c r="H40" i="117"/>
  <c r="J40" i="117"/>
  <c r="K40" i="117"/>
  <c r="L40" i="117"/>
  <c r="M40" i="117"/>
  <c r="N40" i="117"/>
  <c r="O40" i="117"/>
  <c r="P40" i="117"/>
  <c r="Q40" i="117"/>
  <c r="B41" i="117"/>
  <c r="C41" i="117"/>
  <c r="D41" i="117"/>
  <c r="F41" i="117"/>
  <c r="H41" i="117"/>
  <c r="J41" i="117"/>
  <c r="K41" i="117"/>
  <c r="L41" i="117"/>
  <c r="M41" i="117"/>
  <c r="N41" i="117"/>
  <c r="O41" i="117"/>
  <c r="P41" i="117"/>
  <c r="Q41" i="117"/>
  <c r="B43" i="117"/>
  <c r="C43" i="117"/>
  <c r="D43" i="117"/>
  <c r="F43" i="117"/>
  <c r="H43" i="117"/>
  <c r="J43" i="117"/>
  <c r="K43" i="117"/>
  <c r="L43" i="117"/>
  <c r="M43" i="117"/>
  <c r="N43" i="117"/>
  <c r="O43" i="117"/>
  <c r="P43" i="117"/>
  <c r="Q43" i="117"/>
  <c r="B44" i="117"/>
  <c r="C44" i="117"/>
  <c r="D44" i="117"/>
  <c r="F44" i="117"/>
  <c r="H44" i="117"/>
  <c r="J44" i="117"/>
  <c r="K44" i="117"/>
  <c r="L44" i="117"/>
  <c r="M44" i="117"/>
  <c r="N44" i="117"/>
  <c r="O44" i="117"/>
  <c r="P44" i="117"/>
  <c r="Q44" i="117"/>
  <c r="B47" i="117"/>
  <c r="C47" i="117"/>
  <c r="D47" i="117"/>
  <c r="F47" i="117"/>
  <c r="H47" i="117"/>
  <c r="J47" i="117"/>
  <c r="K47" i="117"/>
  <c r="L47" i="117"/>
  <c r="M47" i="117"/>
  <c r="N47" i="117"/>
  <c r="O47" i="117"/>
  <c r="P47" i="117"/>
  <c r="Q47" i="117"/>
  <c r="B48" i="117"/>
  <c r="C48" i="117"/>
  <c r="D48" i="117"/>
  <c r="F48" i="117"/>
  <c r="H48" i="117"/>
  <c r="J48" i="117"/>
  <c r="K48" i="117"/>
  <c r="L48" i="117"/>
  <c r="M48" i="117"/>
  <c r="N48" i="117"/>
  <c r="O48" i="117"/>
  <c r="P48" i="117"/>
  <c r="Q48" i="117"/>
  <c r="B49" i="117"/>
  <c r="C49" i="117"/>
  <c r="D49" i="117"/>
  <c r="F49" i="117"/>
  <c r="H49" i="117"/>
  <c r="B50" i="117"/>
  <c r="C50" i="117"/>
  <c r="D50" i="117"/>
  <c r="F50" i="117"/>
  <c r="H50" i="117"/>
  <c r="J50" i="117"/>
  <c r="K50" i="117"/>
  <c r="L50" i="117"/>
  <c r="M50" i="117"/>
  <c r="N50" i="117"/>
  <c r="O50" i="117"/>
  <c r="P50" i="117"/>
  <c r="Q50" i="117"/>
  <c r="B51" i="117"/>
  <c r="C51" i="117"/>
  <c r="D51" i="117"/>
  <c r="F51" i="117"/>
  <c r="H51" i="117"/>
  <c r="J51" i="117"/>
  <c r="K51" i="117"/>
  <c r="L51" i="117"/>
  <c r="M51" i="117"/>
  <c r="N51" i="117"/>
  <c r="O51" i="117"/>
  <c r="P51" i="117"/>
  <c r="Q51" i="117"/>
  <c r="B52" i="117"/>
  <c r="C52" i="117"/>
  <c r="D52" i="117"/>
  <c r="F52" i="117"/>
  <c r="H52" i="117"/>
  <c r="J52" i="117"/>
  <c r="K52" i="117"/>
  <c r="L52" i="117"/>
  <c r="M52" i="117"/>
  <c r="N52" i="117"/>
  <c r="O52" i="117"/>
  <c r="P52" i="117"/>
  <c r="Q52" i="117"/>
  <c r="B56" i="117"/>
  <c r="D56" i="117"/>
  <c r="F56" i="117"/>
  <c r="H56" i="117"/>
  <c r="J56" i="117"/>
  <c r="L56" i="117"/>
  <c r="N56" i="117"/>
  <c r="P56" i="117"/>
  <c r="B57" i="117"/>
  <c r="D57" i="117"/>
  <c r="F57" i="117"/>
  <c r="H57" i="117"/>
  <c r="J57" i="117"/>
  <c r="L57" i="117"/>
  <c r="N57" i="117"/>
  <c r="P57" i="117"/>
  <c r="B58" i="117"/>
  <c r="D58" i="117"/>
  <c r="F58" i="117"/>
  <c r="H58" i="117"/>
  <c r="J58" i="117"/>
  <c r="L58" i="117"/>
  <c r="N58" i="117"/>
  <c r="P58" i="117"/>
  <c r="B60" i="117"/>
  <c r="D60" i="117"/>
  <c r="F60" i="117"/>
  <c r="H60" i="117"/>
  <c r="J60" i="117"/>
  <c r="L60" i="117"/>
  <c r="N60" i="117"/>
  <c r="P60" i="117"/>
  <c r="B61" i="117"/>
  <c r="D61" i="117"/>
  <c r="F61" i="117"/>
  <c r="H61" i="117"/>
  <c r="J61" i="117"/>
  <c r="L61" i="117"/>
  <c r="N61" i="117"/>
  <c r="P61" i="117"/>
  <c r="B62" i="117"/>
  <c r="D62" i="117"/>
  <c r="F62" i="117"/>
  <c r="H62" i="117"/>
  <c r="J62" i="117"/>
  <c r="L62" i="117"/>
  <c r="N62" i="117"/>
  <c r="P62" i="117"/>
  <c r="D10" i="118"/>
  <c r="E10" i="118"/>
  <c r="J10" i="118"/>
  <c r="K10" i="118"/>
  <c r="D11" i="118"/>
  <c r="E11" i="118"/>
  <c r="J11" i="118"/>
  <c r="K11" i="118"/>
  <c r="D12" i="118"/>
  <c r="J12" i="118"/>
  <c r="K12" i="118"/>
  <c r="D13" i="118"/>
  <c r="J13" i="118"/>
  <c r="K13" i="118"/>
  <c r="D14" i="118"/>
  <c r="E14" i="118"/>
  <c r="H14" i="118"/>
  <c r="J14" i="118"/>
  <c r="K14" i="118"/>
  <c r="B15" i="118"/>
  <c r="C15" i="118"/>
  <c r="D15" i="118"/>
  <c r="E15" i="118"/>
  <c r="H15" i="118"/>
  <c r="I15" i="118"/>
  <c r="J15" i="118"/>
  <c r="K15" i="118"/>
  <c r="D17" i="118"/>
  <c r="J17" i="118"/>
  <c r="D18" i="118"/>
  <c r="E18" i="118"/>
  <c r="H18" i="118"/>
  <c r="I18" i="118"/>
  <c r="J18" i="118"/>
  <c r="K18" i="118"/>
  <c r="D19" i="118"/>
  <c r="E19" i="118"/>
  <c r="J19" i="118"/>
  <c r="K19" i="118"/>
  <c r="D20" i="118"/>
  <c r="J20" i="118"/>
  <c r="D21" i="118"/>
  <c r="E21" i="118"/>
  <c r="J21" i="118"/>
  <c r="K21" i="118"/>
  <c r="B22" i="118"/>
  <c r="C22" i="118"/>
  <c r="D22" i="118"/>
  <c r="E22" i="118"/>
  <c r="H22" i="118"/>
  <c r="I22" i="118"/>
  <c r="J22" i="118"/>
  <c r="K22" i="118"/>
  <c r="D26" i="118"/>
  <c r="E26" i="118"/>
  <c r="J26" i="118"/>
  <c r="K26" i="118"/>
  <c r="D27" i="118"/>
  <c r="E27" i="118"/>
  <c r="J27" i="118"/>
  <c r="K27" i="118"/>
  <c r="D28" i="118"/>
  <c r="E28" i="118"/>
  <c r="J28" i="118"/>
  <c r="K28" i="118"/>
  <c r="B29" i="118"/>
  <c r="C29" i="118"/>
  <c r="D29" i="118"/>
  <c r="E29" i="118"/>
  <c r="H29" i="118"/>
  <c r="I29" i="118"/>
  <c r="J29" i="118"/>
  <c r="K29" i="118"/>
  <c r="D32" i="118"/>
  <c r="J32" i="118"/>
  <c r="D33" i="118"/>
  <c r="J33" i="118"/>
  <c r="D34" i="118"/>
  <c r="E34" i="118"/>
  <c r="J34" i="118"/>
  <c r="K34" i="118"/>
  <c r="B35" i="118"/>
  <c r="C35" i="118"/>
  <c r="D35" i="118"/>
  <c r="E35" i="118"/>
  <c r="H35" i="118"/>
  <c r="I35" i="118"/>
  <c r="J35" i="118"/>
  <c r="K35" i="118"/>
  <c r="D38" i="118"/>
  <c r="J38" i="118"/>
  <c r="D39" i="118"/>
  <c r="J39" i="118"/>
  <c r="D40" i="118"/>
  <c r="E40" i="118"/>
  <c r="I40" i="118"/>
  <c r="J40" i="118"/>
  <c r="K40" i="118"/>
  <c r="B41" i="118"/>
  <c r="C41" i="118"/>
  <c r="D41" i="118"/>
  <c r="E41" i="118"/>
  <c r="H41" i="118"/>
  <c r="I41" i="118"/>
  <c r="J41" i="118"/>
  <c r="K41" i="118"/>
  <c r="D43" i="118"/>
  <c r="E43" i="118"/>
  <c r="H43" i="118"/>
  <c r="J43" i="118"/>
  <c r="K43" i="118"/>
  <c r="B44" i="118"/>
  <c r="C44" i="118"/>
  <c r="D44" i="118"/>
  <c r="E44" i="118"/>
  <c r="H44" i="118"/>
  <c r="I44" i="118"/>
  <c r="J44" i="118"/>
  <c r="K44" i="118"/>
  <c r="D47" i="118"/>
  <c r="E47" i="118"/>
  <c r="J47" i="118"/>
  <c r="K47" i="118"/>
  <c r="D48" i="118"/>
  <c r="J48" i="118"/>
  <c r="D49" i="118"/>
  <c r="D50" i="118"/>
  <c r="J50" i="118"/>
  <c r="B51" i="118"/>
  <c r="C51" i="118"/>
  <c r="D51" i="118"/>
  <c r="H51" i="118"/>
  <c r="I51" i="118"/>
  <c r="J51" i="118"/>
  <c r="B53" i="118"/>
  <c r="C53" i="118"/>
  <c r="D53" i="118"/>
  <c r="E53" i="118"/>
  <c r="H53" i="118"/>
  <c r="I53" i="118"/>
  <c r="J53" i="118"/>
  <c r="K53" i="118"/>
  <c r="C58" i="118"/>
  <c r="D58" i="118"/>
  <c r="I58" i="118"/>
  <c r="J58" i="118"/>
  <c r="C59" i="118"/>
  <c r="D59" i="118"/>
  <c r="I59" i="118"/>
  <c r="J59" i="118"/>
  <c r="C60" i="118"/>
  <c r="D60" i="118"/>
  <c r="I60" i="118"/>
  <c r="J60" i="118"/>
  <c r="B62" i="118"/>
  <c r="J62" i="118"/>
  <c r="B63" i="118"/>
  <c r="J63" i="118"/>
  <c r="B64" i="118"/>
  <c r="J64" i="118"/>
  <c r="B11" i="115"/>
  <c r="D11" i="115"/>
  <c r="F11" i="115"/>
  <c r="H11" i="115"/>
  <c r="I11" i="115"/>
  <c r="J11" i="115"/>
  <c r="K11" i="115"/>
  <c r="L11" i="115"/>
  <c r="M11" i="115"/>
  <c r="N11" i="115"/>
  <c r="O11" i="115"/>
  <c r="P11" i="115"/>
  <c r="B12" i="115"/>
  <c r="D12" i="115"/>
  <c r="F12" i="115"/>
  <c r="H12" i="115"/>
  <c r="I12" i="115"/>
  <c r="J12" i="115"/>
  <c r="K12" i="115"/>
  <c r="L12" i="115"/>
  <c r="M12" i="115"/>
  <c r="N12" i="115"/>
  <c r="B13" i="115"/>
  <c r="D13" i="115"/>
  <c r="F13" i="115"/>
  <c r="H13" i="115"/>
  <c r="I13" i="115"/>
  <c r="J13" i="115"/>
  <c r="K13" i="115"/>
  <c r="L13" i="115"/>
  <c r="M13" i="115"/>
  <c r="N13" i="115"/>
  <c r="O13" i="115"/>
  <c r="P13" i="115"/>
  <c r="B14" i="115"/>
  <c r="D14" i="115"/>
  <c r="F14" i="115"/>
  <c r="H14" i="115"/>
  <c r="I14" i="115"/>
  <c r="J14" i="115"/>
  <c r="K14" i="115"/>
  <c r="L14" i="115"/>
  <c r="M14" i="115"/>
  <c r="N14" i="115"/>
  <c r="O14" i="115"/>
  <c r="P14" i="115"/>
  <c r="B15" i="115"/>
  <c r="D15" i="115"/>
  <c r="F15" i="115"/>
  <c r="H15" i="115"/>
  <c r="I15" i="115"/>
  <c r="J15" i="115"/>
  <c r="K15" i="115"/>
  <c r="L15" i="115"/>
  <c r="M15" i="115"/>
  <c r="N15" i="115"/>
  <c r="O15" i="115"/>
  <c r="P15" i="115"/>
  <c r="B22" i="115"/>
  <c r="C22" i="115"/>
  <c r="D22" i="115"/>
  <c r="F22" i="115"/>
  <c r="H22" i="115"/>
  <c r="J22" i="115"/>
  <c r="L22" i="115"/>
  <c r="N22" i="115"/>
  <c r="P22" i="115"/>
  <c r="R22" i="115"/>
  <c r="S22" i="115"/>
  <c r="T22" i="115"/>
  <c r="B23" i="115"/>
  <c r="C23" i="115"/>
  <c r="D23" i="115"/>
  <c r="F23" i="115"/>
  <c r="H23" i="115"/>
  <c r="J23" i="115"/>
  <c r="L23" i="115"/>
  <c r="N23" i="115"/>
  <c r="P23" i="115"/>
  <c r="R23" i="115"/>
  <c r="S23" i="115"/>
  <c r="T23" i="115"/>
  <c r="B24" i="115"/>
  <c r="C24" i="115"/>
  <c r="D24" i="115"/>
  <c r="F24" i="115"/>
  <c r="H24" i="115"/>
  <c r="J24" i="115"/>
  <c r="L24" i="115"/>
  <c r="N24" i="115"/>
  <c r="P24" i="115"/>
  <c r="R24" i="115"/>
  <c r="S24" i="115"/>
  <c r="T24" i="115"/>
  <c r="B25" i="115"/>
  <c r="C25" i="115"/>
  <c r="D25" i="115"/>
  <c r="F25" i="115"/>
  <c r="H25" i="115"/>
  <c r="J25" i="115"/>
  <c r="L25" i="115"/>
  <c r="N25" i="115"/>
  <c r="P25" i="115"/>
  <c r="R25" i="115"/>
  <c r="S25" i="115"/>
  <c r="T25" i="115"/>
  <c r="B26" i="115"/>
  <c r="C26" i="115"/>
  <c r="D26" i="115"/>
  <c r="F26" i="115"/>
  <c r="H26" i="115"/>
  <c r="J26" i="115"/>
  <c r="L26" i="115"/>
  <c r="N26" i="115"/>
  <c r="P26" i="115"/>
  <c r="R26" i="115"/>
  <c r="S26" i="115"/>
  <c r="T26" i="115"/>
  <c r="B41" i="115"/>
  <c r="N41" i="115"/>
  <c r="O41" i="115"/>
  <c r="Q41" i="115"/>
  <c r="B43" i="115"/>
  <c r="N43" i="115"/>
  <c r="O43" i="115"/>
  <c r="Q43" i="115"/>
  <c r="B48" i="115"/>
  <c r="N48" i="115"/>
  <c r="O48" i="115"/>
  <c r="Q48" i="115"/>
  <c r="B51" i="115"/>
  <c r="N51" i="115"/>
  <c r="O51" i="115"/>
  <c r="Q51" i="115"/>
  <c r="B54" i="115"/>
  <c r="N54" i="115"/>
  <c r="O54" i="115"/>
  <c r="Q54" i="115"/>
  <c r="B58" i="115"/>
  <c r="N58" i="115"/>
  <c r="O58" i="115"/>
  <c r="Q58" i="115"/>
  <c r="B60" i="115"/>
  <c r="N60" i="115"/>
  <c r="O60" i="115"/>
  <c r="Q60" i="115"/>
  <c r="B63" i="115"/>
  <c r="N63" i="115"/>
  <c r="O63" i="115"/>
  <c r="Q63" i="115"/>
  <c r="B65" i="115"/>
  <c r="N65" i="115"/>
  <c r="O65" i="115"/>
  <c r="Q65" i="115"/>
  <c r="B67" i="115"/>
  <c r="N67" i="115"/>
  <c r="O67" i="115"/>
  <c r="Q67" i="115"/>
  <c r="B70" i="115"/>
  <c r="N70" i="115"/>
  <c r="O70" i="115"/>
  <c r="Q70" i="115"/>
  <c r="B73" i="115"/>
  <c r="N73" i="115"/>
  <c r="O73" i="115"/>
  <c r="B10" i="119"/>
  <c r="D10" i="119"/>
  <c r="F10" i="119"/>
  <c r="H10" i="119"/>
  <c r="J10" i="119"/>
  <c r="K10" i="119"/>
  <c r="L10" i="119"/>
  <c r="M10" i="119"/>
  <c r="N10" i="119"/>
  <c r="O10" i="119"/>
  <c r="P10" i="119"/>
  <c r="B11" i="119"/>
  <c r="D11" i="119"/>
  <c r="F11" i="119"/>
  <c r="H11" i="119"/>
  <c r="J11" i="119"/>
  <c r="K11" i="119"/>
  <c r="L11" i="119"/>
  <c r="M11" i="119"/>
  <c r="N11" i="119"/>
  <c r="O11" i="119"/>
  <c r="P11" i="119"/>
  <c r="B12" i="119"/>
  <c r="D12" i="119"/>
  <c r="F12" i="119"/>
  <c r="H12" i="119"/>
  <c r="J12" i="119"/>
  <c r="K12" i="119"/>
  <c r="L12" i="119"/>
  <c r="M12" i="119"/>
  <c r="N12" i="119"/>
  <c r="O12" i="119"/>
  <c r="P12" i="119"/>
  <c r="B13" i="119"/>
  <c r="D13" i="119"/>
  <c r="F13" i="119"/>
  <c r="H13" i="119"/>
  <c r="J13" i="119"/>
  <c r="K13" i="119"/>
  <c r="L13" i="119"/>
  <c r="M13" i="119"/>
  <c r="N13" i="119"/>
  <c r="O13" i="119"/>
  <c r="P13" i="119"/>
  <c r="B14" i="119"/>
  <c r="D14" i="119"/>
  <c r="F14" i="119"/>
  <c r="H14" i="119"/>
  <c r="J14" i="119"/>
  <c r="K14" i="119"/>
  <c r="L14" i="119"/>
  <c r="M14" i="119"/>
  <c r="N14" i="119"/>
  <c r="O14" i="119"/>
  <c r="P14" i="119"/>
  <c r="B15" i="119"/>
  <c r="D15" i="119"/>
  <c r="F15" i="119"/>
  <c r="H15" i="119"/>
  <c r="J15" i="119"/>
  <c r="K15" i="119"/>
  <c r="L15" i="119"/>
  <c r="M15" i="119"/>
  <c r="N15" i="119"/>
  <c r="O15" i="119"/>
  <c r="P15" i="119"/>
  <c r="B18" i="119"/>
  <c r="D18" i="119"/>
  <c r="F18" i="119"/>
  <c r="H18" i="119"/>
  <c r="J18" i="119"/>
  <c r="K18" i="119"/>
  <c r="L18" i="119"/>
  <c r="M18" i="119"/>
  <c r="N18" i="119"/>
  <c r="O18" i="119"/>
  <c r="P18" i="119"/>
  <c r="B19" i="119"/>
  <c r="D19" i="119"/>
  <c r="F19" i="119"/>
  <c r="H19" i="119"/>
  <c r="J19" i="119"/>
  <c r="K19" i="119"/>
  <c r="L19" i="119"/>
  <c r="M19" i="119"/>
  <c r="N19" i="119"/>
  <c r="O19" i="119"/>
  <c r="P19" i="119"/>
  <c r="B20" i="119"/>
  <c r="D20" i="119"/>
  <c r="F20" i="119"/>
  <c r="H20" i="119"/>
  <c r="J20" i="119"/>
  <c r="K20" i="119"/>
  <c r="L20" i="119"/>
  <c r="M20" i="119"/>
  <c r="N20" i="119"/>
  <c r="O20" i="119"/>
  <c r="P20" i="119"/>
  <c r="B21" i="119"/>
  <c r="D21" i="119"/>
  <c r="F21" i="119"/>
  <c r="H21" i="119"/>
  <c r="J21" i="119"/>
  <c r="K21" i="119"/>
  <c r="L21" i="119"/>
  <c r="M21" i="119"/>
  <c r="N21" i="119"/>
  <c r="O21" i="119"/>
  <c r="P21" i="119"/>
  <c r="B23" i="119"/>
  <c r="D23" i="119"/>
  <c r="F23" i="119"/>
  <c r="H23" i="119"/>
  <c r="J23" i="119"/>
  <c r="K23" i="119"/>
  <c r="L23" i="119"/>
  <c r="M23" i="119"/>
  <c r="N23" i="119"/>
  <c r="O23" i="119"/>
  <c r="P23" i="119"/>
  <c r="B25" i="119"/>
  <c r="D25" i="119"/>
  <c r="F25" i="119"/>
  <c r="H25" i="119"/>
  <c r="J25" i="119"/>
  <c r="K25" i="119"/>
  <c r="L25" i="119"/>
  <c r="M25" i="119"/>
  <c r="N25" i="119"/>
  <c r="O25" i="119"/>
  <c r="P25" i="119"/>
  <c r="B28" i="119"/>
  <c r="D28" i="119"/>
  <c r="F28" i="119"/>
  <c r="H28" i="119"/>
  <c r="J28" i="119"/>
  <c r="K28" i="119"/>
  <c r="L28" i="119"/>
  <c r="M28" i="119"/>
  <c r="N28" i="119"/>
  <c r="O28" i="119"/>
  <c r="P28" i="119"/>
  <c r="B31" i="119"/>
  <c r="D31" i="119"/>
  <c r="F31" i="119"/>
  <c r="H31" i="119"/>
  <c r="J31" i="119"/>
  <c r="K31" i="119"/>
  <c r="L31" i="119"/>
  <c r="M31" i="119"/>
  <c r="N31" i="119"/>
  <c r="O31" i="119"/>
  <c r="P31" i="119"/>
  <c r="B32" i="119"/>
  <c r="D32" i="119"/>
  <c r="F32" i="119"/>
  <c r="H32" i="119"/>
  <c r="J32" i="119"/>
  <c r="K32" i="119"/>
  <c r="L32" i="119"/>
  <c r="M32" i="119"/>
  <c r="N32" i="119"/>
  <c r="O32" i="119"/>
  <c r="P32" i="119"/>
  <c r="B33" i="119"/>
  <c r="D33" i="119"/>
  <c r="F33" i="119"/>
  <c r="H33" i="119"/>
  <c r="J33" i="119"/>
  <c r="K33" i="119"/>
  <c r="L33" i="119"/>
  <c r="M33" i="119"/>
  <c r="N33" i="119"/>
  <c r="O33" i="119"/>
  <c r="P33" i="119"/>
  <c r="B34" i="119"/>
  <c r="D34" i="119"/>
  <c r="F34" i="119"/>
  <c r="H34" i="119"/>
  <c r="J34" i="119"/>
  <c r="K34" i="119"/>
  <c r="L34" i="119"/>
  <c r="M34" i="119"/>
  <c r="N34" i="119"/>
  <c r="O34" i="119"/>
  <c r="P34" i="119"/>
  <c r="B35" i="119"/>
  <c r="D35" i="119"/>
  <c r="F35" i="119"/>
  <c r="H35" i="119"/>
  <c r="J35" i="119"/>
  <c r="K35" i="119"/>
  <c r="L35" i="119"/>
  <c r="M35" i="119"/>
  <c r="N35" i="119"/>
  <c r="O35" i="119"/>
  <c r="P35" i="119"/>
  <c r="B37" i="119"/>
  <c r="D37" i="119"/>
  <c r="F37" i="119"/>
  <c r="H37" i="119"/>
  <c r="J37" i="119"/>
  <c r="K37" i="119"/>
  <c r="L37" i="119"/>
  <c r="M37" i="119"/>
  <c r="N37" i="119"/>
  <c r="O37" i="119"/>
  <c r="P37" i="119"/>
  <c r="B39" i="119"/>
  <c r="D39" i="119"/>
  <c r="F39" i="119"/>
  <c r="H39" i="119"/>
  <c r="J39" i="119"/>
  <c r="K39" i="119"/>
  <c r="L39" i="119"/>
  <c r="M39" i="119"/>
  <c r="N39" i="119"/>
  <c r="O39" i="119"/>
  <c r="P39" i="119"/>
  <c r="B41" i="119"/>
  <c r="D41" i="119"/>
  <c r="F41" i="119"/>
  <c r="H41" i="119"/>
  <c r="J41" i="119"/>
  <c r="K41" i="119"/>
  <c r="L41" i="119"/>
  <c r="M41" i="119"/>
  <c r="N41" i="119"/>
  <c r="O41" i="119"/>
  <c r="P41" i="119"/>
  <c r="C50" i="119"/>
  <c r="D50" i="119"/>
  <c r="H50" i="119"/>
  <c r="L50" i="119"/>
  <c r="P50" i="119"/>
  <c r="R50" i="119"/>
  <c r="S50" i="119"/>
  <c r="T50" i="119"/>
  <c r="U50" i="119"/>
  <c r="C51" i="119"/>
  <c r="D51" i="119"/>
  <c r="H51" i="119"/>
  <c r="L51" i="119"/>
  <c r="P51" i="119"/>
  <c r="R51" i="119"/>
  <c r="S51" i="119"/>
  <c r="T51" i="119"/>
  <c r="U51" i="119"/>
  <c r="C52" i="119"/>
  <c r="D52" i="119"/>
  <c r="H52" i="119"/>
  <c r="L52" i="119"/>
  <c r="P52" i="119"/>
  <c r="R52" i="119"/>
  <c r="S52" i="119"/>
  <c r="T52" i="119"/>
  <c r="U52" i="119"/>
  <c r="B53" i="119"/>
  <c r="C53" i="119"/>
  <c r="D53" i="119"/>
  <c r="F53" i="119"/>
  <c r="H53" i="119"/>
  <c r="J53" i="119"/>
  <c r="L53" i="119"/>
  <c r="N53" i="119"/>
  <c r="P53" i="119"/>
  <c r="R53" i="119"/>
  <c r="S53" i="119"/>
  <c r="T53" i="119"/>
  <c r="U53" i="119"/>
  <c r="C54" i="119"/>
  <c r="D54" i="119"/>
  <c r="H54" i="119"/>
  <c r="L54" i="119"/>
  <c r="P54" i="119"/>
  <c r="R54" i="119"/>
  <c r="S54" i="119"/>
  <c r="T54" i="119"/>
  <c r="U54" i="119"/>
  <c r="B55" i="119"/>
  <c r="C55" i="119"/>
  <c r="D55" i="119"/>
  <c r="F55" i="119"/>
  <c r="H55" i="119"/>
  <c r="J55" i="119"/>
  <c r="L55" i="119"/>
  <c r="N55" i="119"/>
  <c r="P55" i="119"/>
  <c r="R55" i="119"/>
  <c r="S55" i="119"/>
  <c r="T55" i="119"/>
  <c r="U55" i="119"/>
  <c r="C58" i="119"/>
  <c r="D58" i="119"/>
  <c r="H58" i="119"/>
  <c r="L58" i="119"/>
  <c r="P58" i="119"/>
  <c r="R58" i="119"/>
  <c r="S58" i="119"/>
  <c r="T58" i="119"/>
  <c r="U58" i="119"/>
  <c r="C59" i="119"/>
  <c r="D59" i="119"/>
  <c r="H59" i="119"/>
  <c r="L59" i="119"/>
  <c r="P59" i="119"/>
  <c r="R59" i="119"/>
  <c r="S59" i="119"/>
  <c r="T59" i="119"/>
  <c r="U59" i="119"/>
  <c r="C60" i="119"/>
  <c r="D60" i="119"/>
  <c r="H60" i="119"/>
  <c r="L60" i="119"/>
  <c r="P60" i="119"/>
  <c r="R60" i="119"/>
  <c r="S60" i="119"/>
  <c r="T60" i="119"/>
  <c r="U60" i="119"/>
  <c r="B61" i="119"/>
  <c r="C61" i="119"/>
  <c r="D61" i="119"/>
  <c r="F61" i="119"/>
  <c r="H61" i="119"/>
  <c r="J61" i="119"/>
  <c r="L61" i="119"/>
  <c r="N61" i="119"/>
  <c r="P61" i="119"/>
  <c r="R61" i="119"/>
  <c r="S61" i="119"/>
  <c r="T61" i="119"/>
  <c r="U61" i="119"/>
  <c r="B63" i="119"/>
  <c r="C63" i="119"/>
  <c r="D63" i="119"/>
  <c r="F63" i="119"/>
  <c r="H63" i="119"/>
  <c r="J63" i="119"/>
  <c r="L63" i="119"/>
  <c r="N63" i="119"/>
  <c r="P63" i="119"/>
  <c r="R63" i="119"/>
  <c r="S63" i="119"/>
  <c r="T63" i="119"/>
  <c r="U63" i="119"/>
  <c r="C65" i="119"/>
  <c r="D65" i="119"/>
  <c r="H65" i="119"/>
  <c r="L65" i="119"/>
  <c r="P65" i="119"/>
  <c r="R65" i="119"/>
  <c r="S65" i="119"/>
  <c r="T65" i="119"/>
  <c r="U65" i="119"/>
  <c r="B68" i="119"/>
  <c r="C68" i="119"/>
  <c r="D68" i="119"/>
  <c r="F68" i="119"/>
  <c r="H68" i="119"/>
  <c r="J68" i="119"/>
  <c r="L68" i="119"/>
  <c r="N68" i="119"/>
  <c r="P68" i="119"/>
  <c r="R68" i="119"/>
  <c r="S68" i="119"/>
  <c r="T68" i="119"/>
  <c r="U68" i="119"/>
  <c r="C71" i="119"/>
  <c r="D71" i="119"/>
  <c r="H71" i="119"/>
  <c r="L71" i="119"/>
  <c r="P71" i="119"/>
  <c r="R71" i="119"/>
  <c r="S71" i="119"/>
  <c r="T71" i="119"/>
  <c r="U71" i="119"/>
  <c r="C72" i="119"/>
  <c r="D72" i="119"/>
  <c r="H72" i="119"/>
  <c r="L72" i="119"/>
  <c r="P72" i="119"/>
  <c r="R72" i="119"/>
  <c r="S72" i="119"/>
  <c r="T72" i="119"/>
  <c r="U72" i="119"/>
  <c r="C73" i="119"/>
  <c r="D73" i="119"/>
  <c r="H73" i="119"/>
  <c r="L73" i="119"/>
  <c r="P73" i="119"/>
  <c r="R73" i="119"/>
  <c r="S73" i="119"/>
  <c r="T73" i="119"/>
  <c r="U73" i="119"/>
  <c r="C74" i="119"/>
  <c r="D74" i="119"/>
  <c r="H74" i="119"/>
  <c r="L74" i="119"/>
  <c r="P74" i="119"/>
  <c r="R74" i="119"/>
  <c r="S74" i="119"/>
  <c r="T74" i="119"/>
  <c r="U74" i="119"/>
  <c r="B75" i="119"/>
  <c r="C75" i="119"/>
  <c r="D75" i="119"/>
  <c r="F75" i="119"/>
  <c r="H75" i="119"/>
  <c r="J75" i="119"/>
  <c r="L75" i="119"/>
  <c r="N75" i="119"/>
  <c r="P75" i="119"/>
  <c r="R75" i="119"/>
  <c r="S75" i="119"/>
  <c r="T75" i="119"/>
  <c r="U75" i="119"/>
  <c r="B77" i="119"/>
  <c r="C77" i="119"/>
  <c r="D77" i="119"/>
  <c r="F77" i="119"/>
  <c r="H77" i="119"/>
  <c r="J77" i="119"/>
  <c r="L77" i="119"/>
  <c r="N77" i="119"/>
  <c r="P77" i="119"/>
  <c r="R77" i="119"/>
  <c r="S77" i="119"/>
  <c r="T77" i="119"/>
  <c r="U77" i="119"/>
  <c r="C79" i="119"/>
  <c r="H79" i="119"/>
  <c r="L79" i="119"/>
  <c r="R79" i="119"/>
  <c r="S79" i="119"/>
  <c r="T79" i="119"/>
  <c r="U79" i="119"/>
  <c r="B81" i="119"/>
  <c r="C81" i="119"/>
  <c r="D81" i="119"/>
  <c r="F81" i="119"/>
  <c r="H81" i="119"/>
  <c r="J81" i="119"/>
  <c r="L81" i="119"/>
  <c r="N81" i="119"/>
  <c r="P81" i="119"/>
  <c r="R81" i="119"/>
  <c r="S81" i="119"/>
  <c r="T81" i="119"/>
  <c r="U81" i="119"/>
  <c r="B88" i="119"/>
  <c r="B89" i="119"/>
  <c r="B90" i="119"/>
  <c r="D90" i="119"/>
  <c r="F90" i="119"/>
  <c r="H90" i="119"/>
  <c r="B91" i="119"/>
  <c r="B92" i="119"/>
  <c r="D92" i="119"/>
  <c r="F92" i="119"/>
  <c r="H92" i="119"/>
  <c r="B95" i="119"/>
  <c r="B96" i="119"/>
  <c r="B97" i="119"/>
  <c r="B98" i="119"/>
  <c r="D98" i="119"/>
  <c r="F98" i="119"/>
  <c r="H98" i="119"/>
  <c r="B100" i="119"/>
  <c r="D100" i="119"/>
  <c r="F100" i="119"/>
  <c r="H100" i="119"/>
  <c r="B102" i="119"/>
  <c r="B105" i="119"/>
  <c r="D105" i="119"/>
  <c r="F105" i="119"/>
  <c r="H105" i="119"/>
  <c r="B108" i="119"/>
  <c r="B109" i="119"/>
  <c r="B110" i="119"/>
  <c r="B111" i="119"/>
  <c r="B112" i="119"/>
  <c r="D112" i="119"/>
  <c r="F112" i="119"/>
  <c r="H112" i="119"/>
  <c r="B114" i="119"/>
  <c r="D114" i="119"/>
  <c r="F114" i="119"/>
  <c r="H114" i="119"/>
  <c r="B116" i="119"/>
  <c r="B118" i="119"/>
  <c r="D118" i="119"/>
  <c r="F118" i="119"/>
  <c r="H118" i="119"/>
  <c r="I10" i="116"/>
  <c r="K10" i="116"/>
  <c r="M10" i="116"/>
  <c r="O10" i="116"/>
  <c r="P10" i="116"/>
  <c r="I11" i="116"/>
  <c r="K11" i="116"/>
  <c r="M11" i="116"/>
  <c r="O11" i="116"/>
  <c r="P11" i="116"/>
  <c r="I12" i="116"/>
  <c r="K12" i="116"/>
  <c r="M12" i="116"/>
  <c r="O12" i="116"/>
  <c r="P12" i="116"/>
  <c r="B13" i="116"/>
  <c r="D13" i="116"/>
  <c r="I14" i="116"/>
  <c r="K14" i="116"/>
  <c r="L14" i="116"/>
  <c r="M14" i="116"/>
  <c r="O14" i="116"/>
  <c r="P14" i="116"/>
  <c r="B15" i="116"/>
  <c r="D15" i="116"/>
  <c r="F15" i="116"/>
  <c r="H15" i="116"/>
  <c r="I15" i="116"/>
  <c r="J15" i="116"/>
  <c r="K15" i="116"/>
  <c r="L15" i="116"/>
  <c r="M15" i="116"/>
  <c r="N15" i="116"/>
  <c r="O15" i="116"/>
  <c r="P15" i="116"/>
  <c r="I17" i="116"/>
  <c r="K17" i="116"/>
  <c r="I18" i="116"/>
  <c r="K18" i="116"/>
  <c r="L18" i="116"/>
  <c r="M18" i="116"/>
  <c r="O18" i="116"/>
  <c r="P18" i="116"/>
  <c r="I19" i="116"/>
  <c r="K19" i="116"/>
  <c r="M19" i="116"/>
  <c r="O19" i="116"/>
  <c r="P19" i="116"/>
  <c r="I20" i="116"/>
  <c r="K20" i="116"/>
  <c r="M20" i="116"/>
  <c r="O20" i="116"/>
  <c r="P20" i="116"/>
  <c r="I21" i="116"/>
  <c r="K21" i="116"/>
  <c r="L21" i="116"/>
  <c r="M21" i="116"/>
  <c r="O21" i="116"/>
  <c r="P21" i="116"/>
  <c r="B22" i="116"/>
  <c r="D22" i="116"/>
  <c r="F22" i="116"/>
  <c r="H22" i="116"/>
  <c r="I22" i="116"/>
  <c r="J22" i="116"/>
  <c r="K22" i="116"/>
  <c r="L22" i="116"/>
  <c r="M22" i="116"/>
  <c r="N22" i="116"/>
  <c r="O22" i="116"/>
  <c r="P22" i="116"/>
  <c r="I26" i="116"/>
  <c r="K26" i="116"/>
  <c r="M26" i="116"/>
  <c r="O26" i="116"/>
  <c r="P26" i="116"/>
  <c r="I27" i="116"/>
  <c r="K27" i="116"/>
  <c r="M27" i="116"/>
  <c r="O27" i="116"/>
  <c r="P27" i="116"/>
  <c r="I28" i="116"/>
  <c r="K28" i="116"/>
  <c r="M28" i="116"/>
  <c r="O28" i="116"/>
  <c r="P28" i="116"/>
  <c r="B29" i="116"/>
  <c r="D29" i="116"/>
  <c r="F29" i="116"/>
  <c r="H29" i="116"/>
  <c r="I29" i="116"/>
  <c r="J29" i="116"/>
  <c r="K29" i="116"/>
  <c r="L29" i="116"/>
  <c r="M29" i="116"/>
  <c r="N29" i="116"/>
  <c r="O29" i="116"/>
  <c r="P29" i="116"/>
  <c r="B32" i="116"/>
  <c r="D32" i="116"/>
  <c r="F32" i="116"/>
  <c r="H32" i="116"/>
  <c r="J32" i="116"/>
  <c r="L32" i="116"/>
  <c r="B33" i="116"/>
  <c r="D33" i="116"/>
  <c r="F33" i="116"/>
  <c r="H33" i="116"/>
  <c r="J33" i="116"/>
  <c r="L33" i="116"/>
  <c r="I34" i="116"/>
  <c r="K34" i="116"/>
  <c r="M34" i="116"/>
  <c r="O34" i="116"/>
  <c r="P34" i="116"/>
  <c r="B35" i="116"/>
  <c r="D35" i="116"/>
  <c r="F35" i="116"/>
  <c r="H35" i="116"/>
  <c r="I35" i="116"/>
  <c r="J35" i="116"/>
  <c r="K35" i="116"/>
  <c r="L35" i="116"/>
  <c r="M35" i="116"/>
  <c r="N35" i="116"/>
  <c r="O35" i="116"/>
  <c r="P35" i="116"/>
  <c r="I38" i="116"/>
  <c r="B39" i="116"/>
  <c r="D39" i="116"/>
  <c r="F39" i="116"/>
  <c r="H39" i="116"/>
  <c r="J39" i="116"/>
  <c r="L39" i="116"/>
  <c r="I40" i="116"/>
  <c r="K40" i="116"/>
  <c r="L40" i="116"/>
  <c r="M40" i="116"/>
  <c r="O40" i="116"/>
  <c r="P40" i="116"/>
  <c r="B41" i="116"/>
  <c r="D41" i="116"/>
  <c r="F41" i="116"/>
  <c r="H41" i="116"/>
  <c r="I41" i="116"/>
  <c r="J41" i="116"/>
  <c r="K41" i="116"/>
  <c r="L41" i="116"/>
  <c r="M41" i="116"/>
  <c r="N41" i="116"/>
  <c r="O41" i="116"/>
  <c r="P41" i="116"/>
  <c r="I43" i="116"/>
  <c r="K43" i="116"/>
  <c r="M43" i="116"/>
  <c r="O43" i="116"/>
  <c r="P43" i="116"/>
  <c r="B44" i="116"/>
  <c r="D44" i="116"/>
  <c r="F44" i="116"/>
  <c r="H44" i="116"/>
  <c r="I44" i="116"/>
  <c r="J44" i="116"/>
  <c r="K44" i="116"/>
  <c r="L44" i="116"/>
  <c r="M44" i="116"/>
  <c r="N44" i="116"/>
  <c r="O44" i="116"/>
  <c r="P44" i="116"/>
  <c r="I47" i="116"/>
  <c r="K47" i="116"/>
  <c r="M47" i="116"/>
  <c r="O47" i="116"/>
  <c r="P47" i="116"/>
  <c r="I48" i="116"/>
  <c r="K48" i="116"/>
  <c r="L48" i="116"/>
  <c r="M48" i="116"/>
  <c r="O48" i="116"/>
  <c r="P48" i="116"/>
  <c r="L49" i="116"/>
  <c r="I50" i="116"/>
  <c r="K50" i="116"/>
  <c r="L50" i="116"/>
  <c r="M50" i="116"/>
  <c r="O50" i="116"/>
  <c r="P50" i="116"/>
  <c r="B51" i="116"/>
  <c r="D51" i="116"/>
  <c r="F51" i="116"/>
  <c r="H51" i="116"/>
  <c r="I51" i="116"/>
  <c r="J51" i="116"/>
  <c r="K51" i="116"/>
  <c r="L51" i="116"/>
  <c r="M51" i="116"/>
  <c r="N51" i="116"/>
  <c r="O51" i="116"/>
  <c r="P51" i="116"/>
  <c r="B52" i="116"/>
  <c r="D52" i="116"/>
  <c r="F52" i="116"/>
  <c r="H52" i="116"/>
  <c r="I52" i="116"/>
  <c r="J52" i="116"/>
  <c r="K52" i="116"/>
  <c r="L52" i="116"/>
  <c r="M52" i="116"/>
  <c r="N52" i="116"/>
  <c r="O52" i="116"/>
  <c r="P52" i="116"/>
  <c r="L58" i="116"/>
  <c r="L62" i="116"/>
  <c r="B69" i="116"/>
  <c r="D69" i="116"/>
  <c r="E69" i="116"/>
  <c r="F69" i="116"/>
  <c r="G69" i="116"/>
  <c r="H69" i="116"/>
  <c r="I69" i="116"/>
  <c r="J69" i="116"/>
  <c r="K69" i="116"/>
  <c r="L69" i="116"/>
  <c r="M69" i="116"/>
  <c r="O69" i="116"/>
  <c r="B70" i="116"/>
  <c r="B72" i="116"/>
  <c r="B73" i="116"/>
  <c r="B76" i="116"/>
  <c r="B78" i="116"/>
  <c r="B80" i="116"/>
  <c r="D80" i="116"/>
  <c r="E80" i="116"/>
  <c r="F80" i="116"/>
  <c r="G80" i="116"/>
  <c r="H80" i="116"/>
  <c r="I80" i="116"/>
  <c r="J80" i="116"/>
  <c r="K80" i="116"/>
  <c r="L80" i="116"/>
  <c r="M80" i="116"/>
  <c r="O80" i="116"/>
  <c r="B81" i="116"/>
  <c r="B82" i="116"/>
  <c r="B84" i="116"/>
  <c r="D84" i="116"/>
  <c r="E84" i="116"/>
  <c r="F84" i="116"/>
  <c r="G84" i="116"/>
  <c r="H84" i="116"/>
  <c r="I84" i="116"/>
  <c r="J84" i="116"/>
  <c r="K84" i="116"/>
  <c r="L84" i="116"/>
  <c r="M84" i="116"/>
  <c r="O84" i="116"/>
  <c r="B85" i="116"/>
  <c r="B86" i="116"/>
  <c r="B87" i="116"/>
  <c r="B94" i="116"/>
  <c r="B95" i="116"/>
  <c r="B97" i="116"/>
  <c r="D97" i="116"/>
  <c r="E97" i="116"/>
  <c r="F97" i="116"/>
  <c r="G97" i="116"/>
  <c r="H97" i="116"/>
  <c r="I97" i="116"/>
  <c r="J97" i="116"/>
  <c r="K97" i="116"/>
  <c r="L97" i="116"/>
  <c r="M97" i="116"/>
  <c r="O97" i="116"/>
  <c r="B98" i="116"/>
  <c r="B99" i="116"/>
  <c r="B101" i="116"/>
  <c r="B103" i="116"/>
  <c r="B107" i="116"/>
  <c r="D107" i="116"/>
  <c r="E107" i="116"/>
  <c r="F107" i="116"/>
  <c r="G107" i="116"/>
  <c r="H107" i="116"/>
  <c r="I107" i="116"/>
  <c r="J107" i="116"/>
  <c r="K107" i="116"/>
  <c r="L107" i="116"/>
  <c r="M107" i="116"/>
  <c r="O107" i="116"/>
  <c r="B108" i="116"/>
  <c r="B109" i="116"/>
  <c r="B110" i="116"/>
  <c r="B111" i="116"/>
  <c r="B113" i="116"/>
  <c r="B115" i="116"/>
  <c r="D115" i="116"/>
  <c r="E115" i="116"/>
  <c r="F115" i="116"/>
  <c r="G115" i="116"/>
  <c r="H115" i="116"/>
  <c r="I115" i="116"/>
  <c r="J115" i="116"/>
  <c r="K115" i="116"/>
  <c r="L115" i="116"/>
  <c r="M115" i="116"/>
  <c r="O115" i="116"/>
  <c r="B120" i="116"/>
  <c r="D120" i="116"/>
  <c r="F120" i="116"/>
  <c r="H120" i="116"/>
  <c r="B121" i="116"/>
  <c r="B122" i="116"/>
  <c r="B124" i="116"/>
  <c r="B126" i="116"/>
  <c r="B128" i="116"/>
  <c r="D128" i="116"/>
  <c r="F128" i="116"/>
  <c r="H128" i="116"/>
  <c r="B129" i="116"/>
  <c r="B131" i="116"/>
  <c r="B132" i="116"/>
  <c r="B134" i="116"/>
  <c r="B136" i="116"/>
  <c r="B137" i="116"/>
  <c r="B143" i="116"/>
  <c r="D143" i="116"/>
  <c r="F143" i="116"/>
  <c r="H143" i="116"/>
  <c r="B145" i="116"/>
  <c r="B150" i="116"/>
  <c r="B154" i="116"/>
  <c r="B156" i="116"/>
  <c r="B158" i="116"/>
  <c r="D158" i="116"/>
  <c r="F158" i="116"/>
  <c r="H158" i="116"/>
  <c r="B159" i="116"/>
  <c r="B162" i="116"/>
  <c r="D162" i="116"/>
  <c r="F162" i="116"/>
  <c r="H162" i="116"/>
  <c r="B163" i="116"/>
  <c r="B164" i="116"/>
  <c r="B166" i="116"/>
  <c r="D166" i="116"/>
  <c r="F166" i="116"/>
  <c r="H166" i="116"/>
  <c r="B167" i="116"/>
  <c r="B168" i="116"/>
  <c r="B169" i="116"/>
  <c r="B171" i="116"/>
  <c r="D171" i="116"/>
  <c r="E171" i="116"/>
  <c r="F171" i="116"/>
  <c r="G171" i="116"/>
  <c r="H171" i="116"/>
  <c r="I171" i="116"/>
  <c r="J171" i="116"/>
  <c r="K171" i="116"/>
  <c r="L171" i="116"/>
  <c r="M171" i="116"/>
  <c r="O171" i="116"/>
  <c r="B12" i="120"/>
  <c r="C12" i="120"/>
  <c r="D12" i="120"/>
  <c r="F12" i="120"/>
  <c r="G12" i="120"/>
  <c r="I12" i="120"/>
  <c r="K12" i="120"/>
  <c r="B13" i="120"/>
  <c r="C13" i="120"/>
  <c r="D13" i="120"/>
  <c r="F13" i="120"/>
  <c r="G13" i="120"/>
  <c r="B14" i="120"/>
  <c r="C14" i="120"/>
  <c r="D14" i="120"/>
  <c r="F14" i="120"/>
  <c r="G14" i="120"/>
  <c r="I14" i="120"/>
  <c r="B15" i="120"/>
  <c r="C15" i="120"/>
  <c r="D15" i="120"/>
  <c r="F15" i="120"/>
  <c r="G15" i="120"/>
  <c r="H15" i="120"/>
  <c r="I15" i="120"/>
  <c r="J15" i="120"/>
  <c r="K15" i="120"/>
  <c r="L15" i="120"/>
  <c r="B16" i="120"/>
  <c r="C16" i="120"/>
  <c r="D16" i="120"/>
  <c r="F16" i="120"/>
  <c r="G16" i="120"/>
  <c r="I16" i="120"/>
  <c r="K16" i="120"/>
  <c r="B17" i="120"/>
  <c r="C17" i="120"/>
  <c r="D17" i="120"/>
  <c r="F17" i="120"/>
  <c r="G17" i="120"/>
  <c r="H17" i="120"/>
  <c r="I17" i="120"/>
  <c r="J17" i="120"/>
  <c r="K17" i="120"/>
  <c r="L17" i="120"/>
  <c r="B20" i="120"/>
  <c r="C20" i="120"/>
  <c r="D20" i="120"/>
  <c r="F20" i="120"/>
  <c r="G20" i="120"/>
  <c r="I20" i="120"/>
  <c r="K20" i="120"/>
  <c r="B21" i="120"/>
  <c r="C21" i="120"/>
  <c r="D21" i="120"/>
  <c r="F21" i="120"/>
  <c r="G21" i="120"/>
  <c r="I21" i="120"/>
  <c r="K21" i="120"/>
  <c r="B22" i="120"/>
  <c r="C22" i="120"/>
  <c r="D22" i="120"/>
  <c r="F22" i="120"/>
  <c r="G22" i="120"/>
  <c r="I22" i="120"/>
  <c r="K22" i="120"/>
  <c r="B23" i="120"/>
  <c r="C23" i="120"/>
  <c r="D23" i="120"/>
  <c r="F23" i="120"/>
  <c r="G23" i="120"/>
  <c r="H23" i="120"/>
  <c r="I23" i="120"/>
  <c r="J23" i="120"/>
  <c r="K23" i="120"/>
  <c r="L23" i="120"/>
  <c r="B25" i="120"/>
  <c r="C25" i="120"/>
  <c r="D25" i="120"/>
  <c r="F25" i="120"/>
  <c r="G25" i="120"/>
  <c r="H25" i="120"/>
  <c r="I25" i="120"/>
  <c r="J25" i="120"/>
  <c r="K25" i="120"/>
  <c r="L25" i="120"/>
  <c r="B27" i="120"/>
  <c r="C27" i="120"/>
  <c r="D27" i="120"/>
  <c r="F27" i="120"/>
  <c r="G27" i="120"/>
  <c r="I27" i="120"/>
  <c r="K27" i="120"/>
  <c r="B30" i="120"/>
  <c r="C30" i="120"/>
  <c r="D30" i="120"/>
  <c r="F30" i="120"/>
  <c r="G30" i="120"/>
  <c r="H30" i="120"/>
  <c r="I30" i="120"/>
  <c r="J30" i="120"/>
  <c r="K30" i="120"/>
  <c r="L30" i="120"/>
  <c r="B33" i="120"/>
  <c r="C33" i="120"/>
  <c r="D33" i="120"/>
  <c r="F33" i="120"/>
  <c r="G33" i="120"/>
  <c r="I33" i="120"/>
  <c r="K33" i="120"/>
  <c r="B34" i="120"/>
  <c r="C34" i="120"/>
  <c r="D34" i="120"/>
  <c r="F34" i="120"/>
  <c r="G34" i="120"/>
  <c r="I34" i="120"/>
  <c r="K34" i="120"/>
  <c r="B35" i="120"/>
  <c r="C35" i="120"/>
  <c r="D35" i="120"/>
  <c r="F35" i="120"/>
  <c r="G35" i="120"/>
  <c r="I35" i="120"/>
  <c r="K35" i="120"/>
  <c r="B36" i="120"/>
  <c r="C36" i="120"/>
  <c r="D36" i="120"/>
  <c r="F36" i="120"/>
  <c r="G36" i="120"/>
  <c r="I36" i="120"/>
  <c r="K36" i="120"/>
  <c r="B37" i="120"/>
  <c r="C37" i="120"/>
  <c r="D37" i="120"/>
  <c r="F37" i="120"/>
  <c r="G37" i="120"/>
  <c r="H37" i="120"/>
  <c r="I37" i="120"/>
  <c r="J37" i="120"/>
  <c r="K37" i="120"/>
  <c r="L37" i="120"/>
  <c r="B39" i="120"/>
  <c r="C39" i="120"/>
  <c r="D39" i="120"/>
  <c r="F39" i="120"/>
  <c r="G39" i="120"/>
  <c r="H39" i="120"/>
  <c r="I39" i="120"/>
  <c r="J39" i="120"/>
  <c r="K39" i="120"/>
  <c r="L39" i="120"/>
  <c r="B41" i="120"/>
  <c r="C41" i="120"/>
  <c r="D41" i="120"/>
  <c r="F41" i="120"/>
  <c r="G41" i="120"/>
  <c r="I41" i="120"/>
  <c r="K41" i="120"/>
  <c r="B43" i="120"/>
  <c r="C43" i="120"/>
  <c r="D43" i="120"/>
  <c r="F43" i="120"/>
  <c r="G43" i="120"/>
  <c r="H43" i="120"/>
  <c r="I43" i="120"/>
  <c r="J43" i="120"/>
  <c r="K43" i="120"/>
  <c r="L43" i="120"/>
  <c r="B10" i="26"/>
  <c r="D10" i="26"/>
  <c r="F10" i="26"/>
  <c r="H10" i="26"/>
  <c r="I10" i="26"/>
  <c r="J10" i="26"/>
  <c r="K10" i="26"/>
  <c r="L10" i="26"/>
  <c r="M10" i="26"/>
  <c r="N10" i="26"/>
  <c r="O10" i="26"/>
  <c r="P10" i="26"/>
  <c r="B11" i="26"/>
  <c r="D11" i="26"/>
  <c r="F11" i="26"/>
  <c r="H11" i="26"/>
  <c r="I11" i="26"/>
  <c r="J11" i="26"/>
  <c r="K11" i="26"/>
  <c r="L11" i="26"/>
  <c r="M11" i="26"/>
  <c r="N11" i="26"/>
  <c r="O11" i="26"/>
  <c r="P11" i="26"/>
  <c r="B12" i="26"/>
  <c r="D12" i="26"/>
  <c r="F12" i="26"/>
  <c r="H12" i="26"/>
  <c r="I12" i="26"/>
  <c r="J12" i="26"/>
  <c r="K12" i="26"/>
  <c r="L12" i="26"/>
  <c r="M12" i="26"/>
  <c r="N12" i="26"/>
  <c r="O12" i="26"/>
  <c r="P12" i="26"/>
  <c r="B13" i="26"/>
  <c r="D13" i="26"/>
  <c r="F13" i="26"/>
  <c r="H13" i="26"/>
  <c r="I13" i="26"/>
  <c r="J13" i="26"/>
  <c r="K13" i="26"/>
  <c r="L13" i="26"/>
  <c r="M13" i="26"/>
  <c r="N13" i="26"/>
  <c r="O13" i="26"/>
  <c r="P13" i="26"/>
  <c r="B14" i="26"/>
  <c r="D14" i="26"/>
  <c r="F14" i="26"/>
  <c r="H14" i="26"/>
  <c r="I14" i="26"/>
  <c r="J14" i="26"/>
  <c r="K14" i="26"/>
  <c r="L14" i="26"/>
  <c r="M14" i="26"/>
  <c r="N14" i="26"/>
  <c r="O14" i="26"/>
  <c r="P14" i="26"/>
  <c r="B15" i="26"/>
  <c r="D15" i="26"/>
  <c r="F15" i="26"/>
  <c r="H15" i="26"/>
  <c r="I15" i="26"/>
  <c r="J15" i="26"/>
  <c r="K15" i="26"/>
  <c r="L15" i="26"/>
  <c r="M15" i="26"/>
  <c r="N15" i="26"/>
  <c r="O15" i="26"/>
  <c r="P15" i="26"/>
  <c r="B17" i="26"/>
  <c r="D17" i="26"/>
  <c r="F17" i="26"/>
  <c r="H17" i="26"/>
  <c r="I17" i="26"/>
  <c r="J17" i="26"/>
  <c r="K17" i="26"/>
  <c r="L17" i="26"/>
  <c r="N17" i="26"/>
  <c r="P17" i="26"/>
  <c r="B18" i="26"/>
  <c r="D18" i="26"/>
  <c r="F18" i="26"/>
  <c r="H18" i="26"/>
  <c r="I18" i="26"/>
  <c r="J18" i="26"/>
  <c r="K18" i="26"/>
  <c r="L18" i="26"/>
  <c r="M18" i="26"/>
  <c r="N18" i="26"/>
  <c r="O18" i="26"/>
  <c r="P18" i="26"/>
  <c r="B19" i="26"/>
  <c r="D19" i="26"/>
  <c r="F19" i="26"/>
  <c r="H19" i="26"/>
  <c r="I19" i="26"/>
  <c r="J19" i="26"/>
  <c r="K19" i="26"/>
  <c r="L19" i="26"/>
  <c r="M19" i="26"/>
  <c r="N19" i="26"/>
  <c r="O19" i="26"/>
  <c r="P19" i="26"/>
  <c r="B20" i="26"/>
  <c r="D20" i="26"/>
  <c r="F20" i="26"/>
  <c r="H20" i="26"/>
  <c r="I20" i="26"/>
  <c r="J20" i="26"/>
  <c r="K20" i="26"/>
  <c r="L20" i="26"/>
  <c r="M20" i="26"/>
  <c r="N20" i="26"/>
  <c r="O20" i="26"/>
  <c r="P20" i="26"/>
  <c r="B21" i="26"/>
  <c r="D21" i="26"/>
  <c r="F21" i="26"/>
  <c r="H21" i="26"/>
  <c r="I21" i="26"/>
  <c r="J21" i="26"/>
  <c r="K21" i="26"/>
  <c r="L21" i="26"/>
  <c r="M21" i="26"/>
  <c r="N21" i="26"/>
  <c r="O21" i="26"/>
  <c r="P21" i="26"/>
  <c r="B22" i="26"/>
  <c r="D22" i="26"/>
  <c r="F22" i="26"/>
  <c r="H22" i="26"/>
  <c r="I22" i="26"/>
  <c r="J22" i="26"/>
  <c r="K22" i="26"/>
  <c r="L22" i="26"/>
  <c r="M22" i="26"/>
  <c r="N22" i="26"/>
  <c r="O22" i="26"/>
  <c r="P22" i="26"/>
  <c r="B26" i="26"/>
  <c r="D26" i="26"/>
  <c r="F26" i="26"/>
  <c r="H26" i="26"/>
  <c r="I26" i="26"/>
  <c r="J26" i="26"/>
  <c r="K26" i="26"/>
  <c r="L26" i="26"/>
  <c r="M26" i="26"/>
  <c r="N26" i="26"/>
  <c r="O26" i="26"/>
  <c r="P26" i="26"/>
  <c r="B27" i="26"/>
  <c r="D27" i="26"/>
  <c r="F27" i="26"/>
  <c r="H27" i="26"/>
  <c r="I27" i="26"/>
  <c r="J27" i="26"/>
  <c r="K27" i="26"/>
  <c r="L27" i="26"/>
  <c r="M27" i="26"/>
  <c r="N27" i="26"/>
  <c r="O27" i="26"/>
  <c r="P27" i="26"/>
  <c r="B28" i="26"/>
  <c r="D28" i="26"/>
  <c r="F28" i="26"/>
  <c r="H28" i="26"/>
  <c r="I28" i="26"/>
  <c r="J28" i="26"/>
  <c r="K28" i="26"/>
  <c r="L28" i="26"/>
  <c r="M28" i="26"/>
  <c r="N28" i="26"/>
  <c r="O28" i="26"/>
  <c r="P28" i="26"/>
  <c r="B29" i="26"/>
  <c r="D29" i="26"/>
  <c r="F29" i="26"/>
  <c r="H29" i="26"/>
  <c r="I29" i="26"/>
  <c r="J29" i="26"/>
  <c r="K29" i="26"/>
  <c r="L29" i="26"/>
  <c r="M29" i="26"/>
  <c r="N29" i="26"/>
  <c r="O29" i="26"/>
  <c r="P29" i="26"/>
  <c r="B32" i="26"/>
  <c r="D32" i="26"/>
  <c r="F32" i="26"/>
  <c r="H32" i="26"/>
  <c r="I32" i="26"/>
  <c r="J32" i="26"/>
  <c r="K32" i="26"/>
  <c r="L32" i="26"/>
  <c r="M32" i="26"/>
  <c r="N32" i="26"/>
  <c r="O32" i="26"/>
  <c r="P32" i="26"/>
  <c r="B33" i="26"/>
  <c r="D33" i="26"/>
  <c r="F33" i="26"/>
  <c r="H33" i="26"/>
  <c r="J33" i="26"/>
  <c r="K33" i="26"/>
  <c r="L33" i="26"/>
  <c r="M33" i="26"/>
  <c r="N33" i="26"/>
  <c r="O33" i="26"/>
  <c r="P33" i="26"/>
  <c r="B34" i="26"/>
  <c r="D34" i="26"/>
  <c r="F34" i="26"/>
  <c r="H34" i="26"/>
  <c r="I34" i="26"/>
  <c r="J34" i="26"/>
  <c r="K34" i="26"/>
  <c r="L34" i="26"/>
  <c r="M34" i="26"/>
  <c r="N34" i="26"/>
  <c r="O34" i="26"/>
  <c r="P34" i="26"/>
  <c r="B35" i="26"/>
  <c r="D35" i="26"/>
  <c r="F35" i="26"/>
  <c r="H35" i="26"/>
  <c r="I35" i="26"/>
  <c r="J35" i="26"/>
  <c r="K35" i="26"/>
  <c r="L35" i="26"/>
  <c r="M35" i="26"/>
  <c r="N35" i="26"/>
  <c r="O35" i="26"/>
  <c r="P35" i="26"/>
  <c r="B38" i="26"/>
  <c r="D38" i="26"/>
  <c r="F38" i="26"/>
  <c r="H38" i="26"/>
  <c r="I38" i="26"/>
  <c r="J38" i="26"/>
  <c r="K38" i="26"/>
  <c r="L38" i="26"/>
  <c r="M38" i="26"/>
  <c r="N38" i="26"/>
  <c r="O38" i="26"/>
  <c r="P38" i="26"/>
  <c r="B39" i="26"/>
  <c r="D39" i="26"/>
  <c r="F39" i="26"/>
  <c r="H39" i="26"/>
  <c r="J39" i="26"/>
  <c r="L39" i="26"/>
  <c r="N39" i="26"/>
  <c r="P39" i="26"/>
  <c r="B40" i="26"/>
  <c r="D40" i="26"/>
  <c r="F40" i="26"/>
  <c r="H40" i="26"/>
  <c r="I40" i="26"/>
  <c r="J40" i="26"/>
  <c r="K40" i="26"/>
  <c r="L40" i="26"/>
  <c r="M40" i="26"/>
  <c r="N40" i="26"/>
  <c r="O40" i="26"/>
  <c r="P40" i="26"/>
  <c r="B41" i="26"/>
  <c r="D41" i="26"/>
  <c r="F41" i="26"/>
  <c r="H41" i="26"/>
  <c r="I41" i="26"/>
  <c r="J41" i="26"/>
  <c r="K41" i="26"/>
  <c r="L41" i="26"/>
  <c r="M41" i="26"/>
  <c r="N41" i="26"/>
  <c r="O41" i="26"/>
  <c r="P41" i="26"/>
  <c r="B43" i="26"/>
  <c r="D43" i="26"/>
  <c r="F43" i="26"/>
  <c r="H43" i="26"/>
  <c r="I43" i="26"/>
  <c r="J43" i="26"/>
  <c r="K43" i="26"/>
  <c r="L43" i="26"/>
  <c r="M43" i="26"/>
  <c r="N43" i="26"/>
  <c r="O43" i="26"/>
  <c r="P43" i="26"/>
  <c r="B44" i="26"/>
  <c r="D44" i="26"/>
  <c r="F44" i="26"/>
  <c r="H44" i="26"/>
  <c r="I44" i="26"/>
  <c r="J44" i="26"/>
  <c r="K44" i="26"/>
  <c r="L44" i="26"/>
  <c r="M44" i="26"/>
  <c r="N44" i="26"/>
  <c r="O44" i="26"/>
  <c r="P44" i="26"/>
  <c r="B47" i="26"/>
  <c r="D47" i="26"/>
  <c r="F47" i="26"/>
  <c r="H47" i="26"/>
  <c r="I47" i="26"/>
  <c r="J47" i="26"/>
  <c r="K47" i="26"/>
  <c r="L47" i="26"/>
  <c r="M47" i="26"/>
  <c r="N47" i="26"/>
  <c r="O47" i="26"/>
  <c r="P47" i="26"/>
  <c r="B48" i="26"/>
  <c r="D48" i="26"/>
  <c r="F48" i="26"/>
  <c r="H48" i="26"/>
  <c r="I48" i="26"/>
  <c r="J48" i="26"/>
  <c r="K48" i="26"/>
  <c r="L48" i="26"/>
  <c r="M48" i="26"/>
  <c r="N48" i="26"/>
  <c r="O48" i="26"/>
  <c r="P48" i="26"/>
  <c r="B49" i="26"/>
  <c r="D49" i="26"/>
  <c r="F49" i="26"/>
  <c r="H49" i="26"/>
  <c r="I49" i="26"/>
  <c r="J49" i="26"/>
  <c r="K49" i="26"/>
  <c r="L49" i="26"/>
  <c r="N49" i="26"/>
  <c r="P49" i="26"/>
  <c r="B50" i="26"/>
  <c r="D50" i="26"/>
  <c r="F50" i="26"/>
  <c r="H50" i="26"/>
  <c r="I50" i="26"/>
  <c r="J50" i="26"/>
  <c r="K50" i="26"/>
  <c r="L50" i="26"/>
  <c r="M50" i="26"/>
  <c r="N50" i="26"/>
  <c r="O50" i="26"/>
  <c r="P50" i="26"/>
  <c r="B51" i="26"/>
  <c r="D51" i="26"/>
  <c r="F51" i="26"/>
  <c r="H51" i="26"/>
  <c r="I51" i="26"/>
  <c r="J51" i="26"/>
  <c r="K51" i="26"/>
  <c r="L51" i="26"/>
  <c r="M51" i="26"/>
  <c r="N51" i="26"/>
  <c r="O51" i="26"/>
  <c r="P51" i="26"/>
  <c r="B52" i="26"/>
  <c r="D52" i="26"/>
  <c r="F52" i="26"/>
  <c r="H52" i="26"/>
  <c r="I52" i="26"/>
  <c r="J52" i="26"/>
  <c r="K52" i="26"/>
  <c r="L52" i="26"/>
  <c r="M52" i="26"/>
  <c r="N52" i="26"/>
  <c r="O52" i="26"/>
  <c r="P52" i="26"/>
  <c r="B56" i="26"/>
  <c r="D56" i="26"/>
  <c r="F56" i="26"/>
  <c r="H56" i="26"/>
  <c r="J56" i="26"/>
  <c r="L56" i="26"/>
  <c r="N56" i="26"/>
  <c r="P56" i="26"/>
  <c r="B57" i="26"/>
  <c r="D57" i="26"/>
  <c r="F57" i="26"/>
  <c r="H57" i="26"/>
  <c r="J57" i="26"/>
  <c r="L57" i="26"/>
  <c r="N57" i="26"/>
  <c r="P57" i="26"/>
  <c r="B58" i="26"/>
  <c r="D58" i="26"/>
  <c r="F58" i="26"/>
  <c r="H58" i="26"/>
  <c r="J58" i="26"/>
  <c r="L58" i="26"/>
  <c r="N58" i="26"/>
  <c r="P58" i="26"/>
  <c r="B60" i="26"/>
  <c r="D60" i="26"/>
  <c r="F60" i="26"/>
  <c r="H60" i="26"/>
  <c r="J60" i="26"/>
  <c r="L60" i="26"/>
  <c r="N60" i="26"/>
  <c r="P60" i="26"/>
  <c r="B61" i="26"/>
  <c r="D61" i="26"/>
  <c r="F61" i="26"/>
  <c r="H61" i="26"/>
  <c r="J61" i="26"/>
  <c r="L61" i="26"/>
  <c r="N61" i="26"/>
  <c r="P61" i="26"/>
  <c r="B62" i="26"/>
  <c r="D62" i="26"/>
  <c r="F62" i="26"/>
  <c r="H62" i="26"/>
  <c r="J62" i="26"/>
  <c r="L62" i="26"/>
  <c r="N62" i="26"/>
  <c r="P62" i="26"/>
  <c r="H67" i="26"/>
  <c r="B72" i="26"/>
  <c r="C72" i="26"/>
  <c r="D72" i="26"/>
  <c r="E72" i="26"/>
  <c r="F72" i="26"/>
  <c r="G72" i="26"/>
  <c r="B10" i="32"/>
  <c r="E10" i="32"/>
  <c r="F10" i="32"/>
  <c r="G10" i="32"/>
  <c r="H10" i="32"/>
  <c r="I10" i="32"/>
  <c r="J10" i="32"/>
  <c r="K10" i="32"/>
  <c r="L10" i="32"/>
  <c r="M10" i="32"/>
  <c r="N10" i="32"/>
  <c r="O10" i="32"/>
  <c r="P10" i="32"/>
  <c r="Q10" i="32"/>
  <c r="R10" i="32"/>
  <c r="S10" i="32"/>
  <c r="T10" i="32"/>
  <c r="B11" i="32"/>
  <c r="E11" i="32"/>
  <c r="F11" i="32"/>
  <c r="G11" i="32"/>
  <c r="H11" i="32"/>
  <c r="I11" i="32"/>
  <c r="J11" i="32"/>
  <c r="K11" i="32"/>
  <c r="L11" i="32"/>
  <c r="M11" i="32"/>
  <c r="N11" i="32"/>
  <c r="O11" i="32"/>
  <c r="P11" i="32"/>
  <c r="Q11" i="32"/>
  <c r="R11" i="32"/>
  <c r="S11" i="32"/>
  <c r="T11" i="32"/>
  <c r="B12" i="32"/>
  <c r="E12" i="32"/>
  <c r="F12" i="32"/>
  <c r="G12" i="32"/>
  <c r="H12" i="32"/>
  <c r="I12" i="32"/>
  <c r="J12" i="32"/>
  <c r="K12" i="32"/>
  <c r="L12" i="32"/>
  <c r="M12" i="32"/>
  <c r="N12" i="32"/>
  <c r="O12" i="32"/>
  <c r="P12" i="32"/>
  <c r="Q12" i="32"/>
  <c r="R12" i="32"/>
  <c r="S12" i="32"/>
  <c r="T12" i="32"/>
  <c r="B13" i="32"/>
  <c r="E13" i="32"/>
  <c r="F13" i="32"/>
  <c r="G13" i="32"/>
  <c r="H13" i="32"/>
  <c r="I13" i="32"/>
  <c r="J13" i="32"/>
  <c r="K13" i="32"/>
  <c r="L13" i="32"/>
  <c r="M13" i="32"/>
  <c r="N13" i="32"/>
  <c r="O13" i="32"/>
  <c r="P13" i="32"/>
  <c r="Q13" i="32"/>
  <c r="R13" i="32"/>
  <c r="S13" i="32"/>
  <c r="T13" i="32"/>
  <c r="B14" i="32"/>
  <c r="E14" i="32"/>
  <c r="F14" i="32"/>
  <c r="G14" i="32"/>
  <c r="H14" i="32"/>
  <c r="I14" i="32"/>
  <c r="J14" i="32"/>
  <c r="K14" i="32"/>
  <c r="L14" i="32"/>
  <c r="M14" i="32"/>
  <c r="N14" i="32"/>
  <c r="O14" i="32"/>
  <c r="P14" i="32"/>
  <c r="Q14" i="32"/>
  <c r="R14" i="32"/>
  <c r="S14" i="32"/>
  <c r="T14" i="32"/>
  <c r="B17" i="32"/>
  <c r="E17" i="32"/>
  <c r="F17" i="32"/>
  <c r="G17" i="32"/>
  <c r="H17" i="32"/>
  <c r="I17" i="32"/>
  <c r="J17" i="32"/>
  <c r="K17" i="32"/>
  <c r="L17" i="32"/>
  <c r="M17" i="32"/>
  <c r="O17" i="32"/>
  <c r="P17" i="32"/>
  <c r="Q17" i="32"/>
  <c r="R17" i="32"/>
  <c r="S17" i="32"/>
  <c r="T17" i="32"/>
  <c r="B18" i="32"/>
  <c r="E18" i="32"/>
  <c r="F18" i="32"/>
  <c r="G18" i="32"/>
  <c r="H18" i="32"/>
  <c r="I18" i="32"/>
  <c r="J18" i="32"/>
  <c r="K18" i="32"/>
  <c r="L18" i="32"/>
  <c r="M18" i="32"/>
  <c r="O18" i="32"/>
  <c r="P18" i="32"/>
  <c r="Q18" i="32"/>
  <c r="R18" i="32"/>
  <c r="S18" i="32"/>
  <c r="T18" i="32"/>
  <c r="B19" i="32"/>
  <c r="E19" i="32"/>
  <c r="F19" i="32"/>
  <c r="G19" i="32"/>
  <c r="H19" i="32"/>
  <c r="I19" i="32"/>
  <c r="J19" i="32"/>
  <c r="K19" i="32"/>
  <c r="L19" i="32"/>
  <c r="M19" i="32"/>
  <c r="O19" i="32"/>
  <c r="P19" i="32"/>
  <c r="Q19" i="32"/>
  <c r="R19" i="32"/>
  <c r="S19" i="32"/>
  <c r="T19" i="32"/>
  <c r="B20" i="32"/>
  <c r="E20" i="32"/>
  <c r="F20" i="32"/>
  <c r="G20" i="32"/>
  <c r="H20" i="32"/>
  <c r="I20" i="32"/>
  <c r="J20" i="32"/>
  <c r="K20" i="32"/>
  <c r="L20" i="32"/>
  <c r="M20" i="32"/>
  <c r="O20" i="32"/>
  <c r="P20" i="32"/>
  <c r="Q20" i="32"/>
  <c r="R20" i="32"/>
  <c r="S20" i="32"/>
  <c r="T20" i="32"/>
  <c r="B21" i="32"/>
  <c r="E21" i="32"/>
  <c r="F21" i="32"/>
  <c r="G21" i="32"/>
  <c r="H21" i="32"/>
  <c r="I21" i="32"/>
  <c r="J21" i="32"/>
  <c r="K21" i="32"/>
  <c r="L21" i="32"/>
  <c r="M21" i="32"/>
  <c r="O21" i="32"/>
  <c r="P21" i="32"/>
  <c r="Q21" i="32"/>
  <c r="R21" i="32"/>
  <c r="S21" i="32"/>
  <c r="T21" i="32"/>
  <c r="B24" i="32"/>
  <c r="E24" i="32"/>
  <c r="F24" i="32"/>
  <c r="G24" i="32"/>
  <c r="H24" i="32"/>
  <c r="I24" i="32"/>
  <c r="J24" i="32"/>
  <c r="K24" i="32"/>
  <c r="L24" i="32"/>
  <c r="M24" i="32"/>
  <c r="O24" i="32"/>
  <c r="P24" i="32"/>
  <c r="Q24" i="32"/>
  <c r="R24" i="32"/>
  <c r="S24" i="32"/>
  <c r="T24" i="32"/>
  <c r="E25" i="32"/>
  <c r="F25" i="32"/>
  <c r="G25" i="32"/>
  <c r="H25" i="32"/>
  <c r="I25" i="32"/>
  <c r="J25" i="32"/>
  <c r="K25" i="32"/>
  <c r="L25" i="32"/>
  <c r="M25" i="32"/>
  <c r="O25" i="32"/>
  <c r="P25" i="32"/>
  <c r="T25" i="32"/>
  <c r="B26" i="32"/>
  <c r="E26" i="32"/>
  <c r="F26" i="32"/>
  <c r="G26" i="32"/>
  <c r="H26" i="32"/>
  <c r="I26" i="32"/>
  <c r="J26" i="32"/>
  <c r="K26" i="32"/>
  <c r="L26" i="32"/>
  <c r="M26" i="32"/>
  <c r="O26" i="32"/>
  <c r="P26" i="32"/>
  <c r="Q26" i="32"/>
  <c r="R26" i="32"/>
  <c r="S26" i="32"/>
  <c r="T26" i="32"/>
  <c r="B27" i="32"/>
  <c r="E27" i="32"/>
  <c r="F27" i="32"/>
  <c r="G27" i="32"/>
  <c r="H27" i="32"/>
  <c r="I27" i="32"/>
  <c r="J27" i="32"/>
  <c r="K27" i="32"/>
  <c r="L27" i="32"/>
  <c r="M27" i="32"/>
  <c r="O27" i="32"/>
  <c r="P27" i="32"/>
  <c r="Q27" i="32"/>
  <c r="R27" i="32"/>
  <c r="S27" i="32"/>
  <c r="T27" i="32"/>
  <c r="B28" i="32"/>
  <c r="E28" i="32"/>
  <c r="F28" i="32"/>
  <c r="G28" i="32"/>
  <c r="H28" i="32"/>
  <c r="I28" i="32"/>
  <c r="J28" i="32"/>
  <c r="K28" i="32"/>
  <c r="L28" i="32"/>
  <c r="M28" i="32"/>
  <c r="O28" i="32"/>
  <c r="P28" i="32"/>
  <c r="Q28" i="32"/>
  <c r="R28" i="32"/>
  <c r="S28" i="32"/>
  <c r="T28" i="32"/>
  <c r="B32" i="32"/>
  <c r="E32" i="32"/>
  <c r="F32" i="32"/>
  <c r="G32" i="32"/>
  <c r="H32" i="32"/>
  <c r="I32" i="32"/>
  <c r="J32" i="32"/>
  <c r="K32" i="32"/>
  <c r="L32" i="32"/>
  <c r="M32" i="32"/>
  <c r="N32" i="32"/>
  <c r="O32" i="32"/>
  <c r="P32" i="32"/>
  <c r="Q32" i="32"/>
  <c r="R32" i="32"/>
  <c r="S32" i="32"/>
  <c r="T32" i="32"/>
  <c r="B33" i="32"/>
  <c r="E33" i="32"/>
  <c r="F33" i="32"/>
  <c r="G33" i="32"/>
  <c r="H33" i="32"/>
  <c r="I33" i="32"/>
  <c r="J33" i="32"/>
  <c r="K33" i="32"/>
  <c r="L33" i="32"/>
  <c r="M33" i="32"/>
  <c r="N33" i="32"/>
  <c r="O33" i="32"/>
  <c r="P33" i="32"/>
  <c r="Q33" i="32"/>
  <c r="R33" i="32"/>
  <c r="S33" i="32"/>
  <c r="T33" i="32"/>
  <c r="B34" i="32"/>
  <c r="E34" i="32"/>
  <c r="F34" i="32"/>
  <c r="G34" i="32"/>
  <c r="H34" i="32"/>
  <c r="I34" i="32"/>
  <c r="J34" i="32"/>
  <c r="K34" i="32"/>
  <c r="L34" i="32"/>
  <c r="M34" i="32"/>
  <c r="N34" i="32"/>
  <c r="O34" i="32"/>
  <c r="P34" i="32"/>
  <c r="Q34" i="32"/>
  <c r="R34" i="32"/>
  <c r="S34" i="32"/>
  <c r="T34" i="32"/>
  <c r="B35" i="32"/>
  <c r="E35" i="32"/>
  <c r="F35" i="32"/>
  <c r="G35" i="32"/>
  <c r="H35" i="32"/>
  <c r="I35" i="32"/>
  <c r="J35" i="32"/>
  <c r="K35" i="32"/>
  <c r="L35" i="32"/>
  <c r="M35" i="32"/>
  <c r="N35" i="32"/>
  <c r="O35" i="32"/>
  <c r="P35" i="32"/>
  <c r="Q35" i="32"/>
  <c r="R35" i="32"/>
  <c r="S35" i="32"/>
  <c r="T35" i="32"/>
  <c r="B36" i="32"/>
  <c r="E36" i="32"/>
  <c r="F36" i="32"/>
  <c r="G36" i="32"/>
  <c r="H36" i="32"/>
  <c r="I36" i="32"/>
  <c r="J36" i="32"/>
  <c r="K36" i="32"/>
  <c r="L36" i="32"/>
  <c r="M36" i="32"/>
  <c r="N36" i="32"/>
  <c r="O36" i="32"/>
  <c r="P36" i="32"/>
  <c r="Q36" i="32"/>
  <c r="R36" i="32"/>
  <c r="S36" i="32"/>
  <c r="T36" i="32"/>
  <c r="B39" i="32"/>
  <c r="C39" i="32"/>
  <c r="D39" i="32"/>
  <c r="E39" i="32"/>
  <c r="F39" i="32"/>
  <c r="G39" i="32"/>
  <c r="H39" i="32"/>
  <c r="I39" i="32"/>
  <c r="J39" i="32"/>
  <c r="K39" i="32"/>
  <c r="L39" i="32"/>
  <c r="M39" i="32"/>
  <c r="O39" i="32"/>
  <c r="P39" i="32"/>
  <c r="Q39" i="32"/>
  <c r="R39" i="32"/>
  <c r="S39" i="32"/>
  <c r="T39" i="32"/>
  <c r="B40" i="32"/>
  <c r="C40" i="32"/>
  <c r="D40" i="32"/>
  <c r="E40" i="32"/>
  <c r="F40" i="32"/>
  <c r="G40" i="32"/>
  <c r="H40" i="32"/>
  <c r="I40" i="32"/>
  <c r="J40" i="32"/>
  <c r="K40" i="32"/>
  <c r="L40" i="32"/>
  <c r="M40" i="32"/>
  <c r="O40" i="32"/>
  <c r="P40" i="32"/>
  <c r="Q40" i="32"/>
  <c r="R40" i="32"/>
  <c r="S40" i="32"/>
  <c r="T40" i="32"/>
  <c r="B41" i="32"/>
  <c r="C41" i="32"/>
  <c r="D41" i="32"/>
  <c r="E41" i="32"/>
  <c r="F41" i="32"/>
  <c r="G41" i="32"/>
  <c r="H41" i="32"/>
  <c r="I41" i="32"/>
  <c r="J41" i="32"/>
  <c r="K41" i="32"/>
  <c r="L41" i="32"/>
  <c r="M41" i="32"/>
  <c r="O41" i="32"/>
  <c r="P41" i="32"/>
  <c r="Q41" i="32"/>
  <c r="R41" i="32"/>
  <c r="S41" i="32"/>
  <c r="T41" i="32"/>
  <c r="B42" i="32"/>
  <c r="C42" i="32"/>
  <c r="D42" i="32"/>
  <c r="E42" i="32"/>
  <c r="F42" i="32"/>
  <c r="G42" i="32"/>
  <c r="H42" i="32"/>
  <c r="I42" i="32"/>
  <c r="J42" i="32"/>
  <c r="K42" i="32"/>
  <c r="L42" i="32"/>
  <c r="M42" i="32"/>
  <c r="O42" i="32"/>
  <c r="P42" i="32"/>
  <c r="Q42" i="32"/>
  <c r="R42" i="32"/>
  <c r="S42" i="32"/>
  <c r="T42" i="32"/>
  <c r="B43" i="32"/>
  <c r="C43" i="32"/>
  <c r="D43" i="32"/>
  <c r="E43" i="32"/>
  <c r="F43" i="32"/>
  <c r="G43" i="32"/>
  <c r="H43" i="32"/>
  <c r="I43" i="32"/>
  <c r="J43" i="32"/>
  <c r="K43" i="32"/>
  <c r="L43" i="32"/>
  <c r="M43" i="32"/>
  <c r="O43" i="32"/>
  <c r="P43" i="32"/>
  <c r="Q43" i="32"/>
  <c r="R43" i="32"/>
  <c r="S43" i="32"/>
  <c r="T43" i="32"/>
  <c r="B46" i="32"/>
  <c r="E46" i="32"/>
  <c r="F46" i="32"/>
  <c r="G46" i="32"/>
  <c r="H46" i="32"/>
  <c r="I46" i="32"/>
  <c r="J46" i="32"/>
  <c r="K46" i="32"/>
  <c r="L46" i="32"/>
  <c r="M46" i="32"/>
  <c r="O46" i="32"/>
  <c r="P46" i="32"/>
  <c r="Q46" i="32"/>
  <c r="R46" i="32"/>
  <c r="S46" i="32"/>
  <c r="T46" i="32"/>
  <c r="B47" i="32"/>
  <c r="E47" i="32"/>
  <c r="F47" i="32"/>
  <c r="G47" i="32"/>
  <c r="H47" i="32"/>
  <c r="I47" i="32"/>
  <c r="J47" i="32"/>
  <c r="K47" i="32"/>
  <c r="L47" i="32"/>
  <c r="M47" i="32"/>
  <c r="O47" i="32"/>
  <c r="P47" i="32"/>
  <c r="Q47" i="32"/>
  <c r="R47" i="32"/>
  <c r="S47" i="32"/>
  <c r="T47" i="32"/>
  <c r="F48" i="32"/>
  <c r="G48" i="32"/>
  <c r="H48" i="32"/>
  <c r="I48" i="32"/>
  <c r="J48" i="32"/>
  <c r="K48" i="32"/>
  <c r="L48" i="32"/>
  <c r="M48" i="32"/>
  <c r="O48" i="32"/>
  <c r="P48" i="32"/>
  <c r="Q48" i="32"/>
  <c r="S48" i="32"/>
  <c r="T48" i="32"/>
  <c r="B49" i="32"/>
  <c r="E49" i="32"/>
  <c r="F49" i="32"/>
  <c r="G49" i="32"/>
  <c r="H49" i="32"/>
  <c r="I49" i="32"/>
  <c r="J49" i="32"/>
  <c r="K49" i="32"/>
  <c r="L49" i="32"/>
  <c r="M49" i="32"/>
  <c r="O49" i="32"/>
  <c r="P49" i="32"/>
  <c r="Q49" i="32"/>
  <c r="R49" i="32"/>
  <c r="S49" i="32"/>
  <c r="T49" i="32"/>
  <c r="B50" i="32"/>
  <c r="E50" i="32"/>
  <c r="F50" i="32"/>
  <c r="G50" i="32"/>
  <c r="H50" i="32"/>
  <c r="I50" i="32"/>
  <c r="J50" i="32"/>
  <c r="K50" i="32"/>
  <c r="L50" i="32"/>
  <c r="M50" i="32"/>
  <c r="O50" i="32"/>
  <c r="P50" i="32"/>
  <c r="Q50" i="32"/>
  <c r="R50" i="32"/>
  <c r="S50" i="32"/>
  <c r="T50" i="32"/>
  <c r="B54" i="32"/>
  <c r="E54" i="32"/>
  <c r="F54" i="32"/>
  <c r="G54" i="32"/>
  <c r="H54" i="32"/>
  <c r="I54" i="32"/>
  <c r="J54" i="32"/>
  <c r="K54" i="32"/>
  <c r="L54" i="32"/>
  <c r="M54" i="32"/>
  <c r="N54" i="32"/>
  <c r="O54" i="32"/>
  <c r="P54" i="32"/>
  <c r="Q54" i="32"/>
  <c r="R54" i="32"/>
  <c r="S54" i="32"/>
  <c r="T54" i="32"/>
  <c r="B55" i="32"/>
  <c r="E55" i="32"/>
  <c r="F55" i="32"/>
  <c r="G55" i="32"/>
  <c r="H55" i="32"/>
  <c r="I55" i="32"/>
  <c r="J55" i="32"/>
  <c r="K55" i="32"/>
  <c r="L55" i="32"/>
  <c r="M55" i="32"/>
  <c r="N55" i="32"/>
  <c r="O55" i="32"/>
  <c r="P55" i="32"/>
  <c r="Q55" i="32"/>
  <c r="R55" i="32"/>
  <c r="S55" i="32"/>
  <c r="T55" i="32"/>
  <c r="B56" i="32"/>
  <c r="E56" i="32"/>
  <c r="F56" i="32"/>
  <c r="G56" i="32"/>
  <c r="H56" i="32"/>
  <c r="I56" i="32"/>
  <c r="J56" i="32"/>
  <c r="K56" i="32"/>
  <c r="L56" i="32"/>
  <c r="M56" i="32"/>
  <c r="N56" i="32"/>
  <c r="O56" i="32"/>
  <c r="P56" i="32"/>
  <c r="Q56" i="32"/>
  <c r="R56" i="32"/>
  <c r="S56" i="32"/>
  <c r="T56" i="32"/>
  <c r="B57" i="32"/>
  <c r="E57" i="32"/>
  <c r="F57" i="32"/>
  <c r="G57" i="32"/>
  <c r="H57" i="32"/>
  <c r="I57" i="32"/>
  <c r="J57" i="32"/>
  <c r="K57" i="32"/>
  <c r="L57" i="32"/>
  <c r="M57" i="32"/>
  <c r="N57" i="32"/>
  <c r="O57" i="32"/>
  <c r="P57" i="32"/>
  <c r="Q57" i="32"/>
  <c r="R57" i="32"/>
  <c r="S57" i="32"/>
  <c r="T57" i="32"/>
  <c r="B58" i="32"/>
  <c r="E58" i="32"/>
  <c r="F58" i="32"/>
  <c r="G58" i="32"/>
  <c r="H58" i="32"/>
  <c r="I58" i="32"/>
  <c r="J58" i="32"/>
  <c r="K58" i="32"/>
  <c r="L58" i="32"/>
  <c r="M58" i="32"/>
  <c r="N58" i="32"/>
  <c r="O58" i="32"/>
  <c r="P58" i="32"/>
  <c r="Q58" i="32"/>
  <c r="R58" i="32"/>
  <c r="S58" i="32"/>
  <c r="T58" i="32"/>
  <c r="B61" i="32"/>
  <c r="C61" i="32"/>
  <c r="D61" i="32"/>
  <c r="E61" i="32"/>
  <c r="F61" i="32"/>
  <c r="G61" i="32"/>
  <c r="H61" i="32"/>
  <c r="I61" i="32"/>
  <c r="J61" i="32"/>
  <c r="K61" i="32"/>
  <c r="L61" i="32"/>
  <c r="M61" i="32"/>
  <c r="O61" i="32"/>
  <c r="P61" i="32"/>
  <c r="Q61" i="32"/>
  <c r="R61" i="32"/>
  <c r="S61" i="32"/>
  <c r="T61" i="32"/>
  <c r="B62" i="32"/>
  <c r="C62" i="32"/>
  <c r="D62" i="32"/>
  <c r="E62" i="32"/>
  <c r="F62" i="32"/>
  <c r="G62" i="32"/>
  <c r="H62" i="32"/>
  <c r="I62" i="32"/>
  <c r="J62" i="32"/>
  <c r="K62" i="32"/>
  <c r="L62" i="32"/>
  <c r="M62" i="32"/>
  <c r="O62" i="32"/>
  <c r="P62" i="32"/>
  <c r="Q62" i="32"/>
  <c r="R62" i="32"/>
  <c r="S62" i="32"/>
  <c r="T62" i="32"/>
  <c r="B63" i="32"/>
  <c r="C63" i="32"/>
  <c r="D63" i="32"/>
  <c r="E63" i="32"/>
  <c r="F63" i="32"/>
  <c r="G63" i="32"/>
  <c r="H63" i="32"/>
  <c r="I63" i="32"/>
  <c r="J63" i="32"/>
  <c r="K63" i="32"/>
  <c r="L63" i="32"/>
  <c r="M63" i="32"/>
  <c r="O63" i="32"/>
  <c r="P63" i="32"/>
  <c r="Q63" i="32"/>
  <c r="R63" i="32"/>
  <c r="S63" i="32"/>
  <c r="T63" i="32"/>
  <c r="B64" i="32"/>
  <c r="C64" i="32"/>
  <c r="D64" i="32"/>
  <c r="E64" i="32"/>
  <c r="F64" i="32"/>
  <c r="G64" i="32"/>
  <c r="H64" i="32"/>
  <c r="I64" i="32"/>
  <c r="J64" i="32"/>
  <c r="K64" i="32"/>
  <c r="L64" i="32"/>
  <c r="M64" i="32"/>
  <c r="O64" i="32"/>
  <c r="P64" i="32"/>
  <c r="Q64" i="32"/>
  <c r="R64" i="32"/>
  <c r="S64" i="32"/>
  <c r="T64" i="32"/>
  <c r="B65" i="32"/>
  <c r="C65" i="32"/>
  <c r="D65" i="32"/>
  <c r="E65" i="32"/>
  <c r="F65" i="32"/>
  <c r="G65" i="32"/>
  <c r="H65" i="32"/>
  <c r="I65" i="32"/>
  <c r="J65" i="32"/>
  <c r="K65" i="32"/>
  <c r="L65" i="32"/>
  <c r="M65" i="32"/>
  <c r="O65" i="32"/>
  <c r="P65" i="32"/>
  <c r="Q65" i="32"/>
  <c r="R65" i="32"/>
  <c r="S65" i="32"/>
  <c r="T65" i="32"/>
  <c r="B68" i="32"/>
  <c r="E68" i="32"/>
  <c r="F68" i="32"/>
  <c r="G68" i="32"/>
  <c r="H68" i="32"/>
  <c r="I68" i="32"/>
  <c r="J68" i="32"/>
  <c r="K68" i="32"/>
  <c r="L68" i="32"/>
  <c r="M68" i="32"/>
  <c r="O68" i="32"/>
  <c r="P68" i="32"/>
  <c r="Q68" i="32"/>
  <c r="R68" i="32"/>
  <c r="S68" i="32"/>
  <c r="T68" i="32"/>
  <c r="B69" i="32"/>
  <c r="E69" i="32"/>
  <c r="F69" i="32"/>
  <c r="G69" i="32"/>
  <c r="H69" i="32"/>
  <c r="I69" i="32"/>
  <c r="J69" i="32"/>
  <c r="K69" i="32"/>
  <c r="L69" i="32"/>
  <c r="M69" i="32"/>
  <c r="O69" i="32"/>
  <c r="P69" i="32"/>
  <c r="Q69" i="32"/>
  <c r="R69" i="32"/>
  <c r="S69" i="32"/>
  <c r="T69" i="32"/>
  <c r="F70" i="32"/>
  <c r="G70" i="32"/>
  <c r="H70" i="32"/>
  <c r="I70" i="32"/>
  <c r="J70" i="32"/>
  <c r="K70" i="32"/>
  <c r="L70" i="32"/>
  <c r="M70" i="32"/>
  <c r="O70" i="32"/>
  <c r="P70" i="32"/>
  <c r="Q70" i="32"/>
  <c r="S70" i="32"/>
  <c r="T70" i="32"/>
  <c r="B71" i="32"/>
  <c r="E71" i="32"/>
  <c r="F71" i="32"/>
  <c r="G71" i="32"/>
  <c r="H71" i="32"/>
  <c r="I71" i="32"/>
  <c r="J71" i="32"/>
  <c r="K71" i="32"/>
  <c r="L71" i="32"/>
  <c r="M71" i="32"/>
  <c r="O71" i="32"/>
  <c r="P71" i="32"/>
  <c r="Q71" i="32"/>
  <c r="R71" i="32"/>
  <c r="S71" i="32"/>
  <c r="T71" i="32"/>
  <c r="B72" i="32"/>
  <c r="E72" i="32"/>
  <c r="F72" i="32"/>
  <c r="G72" i="32"/>
  <c r="H72" i="32"/>
  <c r="I72" i="32"/>
  <c r="J72" i="32"/>
  <c r="K72" i="32"/>
  <c r="L72" i="32"/>
  <c r="M72" i="32"/>
  <c r="O72" i="32"/>
  <c r="P72" i="32"/>
  <c r="Q72" i="32"/>
  <c r="R72" i="32"/>
  <c r="S72" i="32"/>
  <c r="T72" i="32"/>
  <c r="B146" i="32"/>
  <c r="B149" i="32"/>
  <c r="B153" i="32"/>
  <c r="B157" i="32"/>
  <c r="C157" i="32"/>
  <c r="E157" i="32"/>
  <c r="F157" i="32"/>
  <c r="G157" i="32"/>
  <c r="I157" i="32"/>
  <c r="J157" i="32"/>
  <c r="O157" i="32"/>
  <c r="R157" i="32"/>
  <c r="B12" i="30"/>
  <c r="C12" i="30"/>
  <c r="D12" i="30"/>
  <c r="F12" i="30"/>
  <c r="G12" i="30"/>
  <c r="I12" i="30"/>
  <c r="J12" i="30"/>
  <c r="K12" i="30"/>
  <c r="L12" i="30"/>
  <c r="B13" i="30"/>
  <c r="C13" i="30"/>
  <c r="D13" i="30"/>
  <c r="F13" i="30"/>
  <c r="G13" i="30"/>
  <c r="I13" i="30"/>
  <c r="L13" i="30"/>
  <c r="B14" i="30"/>
  <c r="C14" i="30"/>
  <c r="D14" i="30"/>
  <c r="F14" i="30"/>
  <c r="G14" i="30"/>
  <c r="I14" i="30"/>
  <c r="J14" i="30"/>
  <c r="L14" i="30"/>
  <c r="B15" i="30"/>
  <c r="C15" i="30"/>
  <c r="D15" i="30"/>
  <c r="F15" i="30"/>
  <c r="G15" i="30"/>
  <c r="H15" i="30"/>
  <c r="I15" i="30"/>
  <c r="J15" i="30"/>
  <c r="K15" i="30"/>
  <c r="L15" i="30"/>
  <c r="B16" i="30"/>
  <c r="C16" i="30"/>
  <c r="D16" i="30"/>
  <c r="F16" i="30"/>
  <c r="G16" i="30"/>
  <c r="I16" i="30"/>
  <c r="J16" i="30"/>
  <c r="K16" i="30"/>
  <c r="L16" i="30"/>
  <c r="B17" i="30"/>
  <c r="C17" i="30"/>
  <c r="D17" i="30"/>
  <c r="F17" i="30"/>
  <c r="G17" i="30"/>
  <c r="H17" i="30"/>
  <c r="I17" i="30"/>
  <c r="J17" i="30"/>
  <c r="K17" i="30"/>
  <c r="L17" i="30"/>
  <c r="B20" i="30"/>
  <c r="C20" i="30"/>
  <c r="D20" i="30"/>
  <c r="F20" i="30"/>
  <c r="G20" i="30"/>
  <c r="I20" i="30"/>
  <c r="J20" i="30"/>
  <c r="K20" i="30"/>
  <c r="L20" i="30"/>
  <c r="B21" i="30"/>
  <c r="C21" i="30"/>
  <c r="D21" i="30"/>
  <c r="F21" i="30"/>
  <c r="G21" i="30"/>
  <c r="I21" i="30"/>
  <c r="J21" i="30"/>
  <c r="K21" i="30"/>
  <c r="L21" i="30"/>
  <c r="B22" i="30"/>
  <c r="C22" i="30"/>
  <c r="D22" i="30"/>
  <c r="F22" i="30"/>
  <c r="G22" i="30"/>
  <c r="I22" i="30"/>
  <c r="J22" i="30"/>
  <c r="K22" i="30"/>
  <c r="L22" i="30"/>
  <c r="B23" i="30"/>
  <c r="C23" i="30"/>
  <c r="D23" i="30"/>
  <c r="F23" i="30"/>
  <c r="G23" i="30"/>
  <c r="H23" i="30"/>
  <c r="I23" i="30"/>
  <c r="J23" i="30"/>
  <c r="K23" i="30"/>
  <c r="L23" i="30"/>
  <c r="B25" i="30"/>
  <c r="C25" i="30"/>
  <c r="D25" i="30"/>
  <c r="F25" i="30"/>
  <c r="G25" i="30"/>
  <c r="H25" i="30"/>
  <c r="I25" i="30"/>
  <c r="J25" i="30"/>
  <c r="K25" i="30"/>
  <c r="L25" i="30"/>
  <c r="B27" i="30"/>
  <c r="C27" i="30"/>
  <c r="D27" i="30"/>
  <c r="F27" i="30"/>
  <c r="G27" i="30"/>
  <c r="I27" i="30"/>
  <c r="J27" i="30"/>
  <c r="K27" i="30"/>
  <c r="L27" i="30"/>
  <c r="B30" i="30"/>
  <c r="C30" i="30"/>
  <c r="D30" i="30"/>
  <c r="F30" i="30"/>
  <c r="G30" i="30"/>
  <c r="H30" i="30"/>
  <c r="I30" i="30"/>
  <c r="J30" i="30"/>
  <c r="K30" i="30"/>
  <c r="L30" i="30"/>
  <c r="B33" i="30"/>
  <c r="C33" i="30"/>
  <c r="D33" i="30"/>
  <c r="F33" i="30"/>
  <c r="G33" i="30"/>
  <c r="I33" i="30"/>
  <c r="J33" i="30"/>
  <c r="K33" i="30"/>
  <c r="L33" i="30"/>
  <c r="B34" i="30"/>
  <c r="C34" i="30"/>
  <c r="D34" i="30"/>
  <c r="F34" i="30"/>
  <c r="G34" i="30"/>
  <c r="I34" i="30"/>
  <c r="J34" i="30"/>
  <c r="K34" i="30"/>
  <c r="L34" i="30"/>
  <c r="B35" i="30"/>
  <c r="C35" i="30"/>
  <c r="D35" i="30"/>
  <c r="F35" i="30"/>
  <c r="G35" i="30"/>
  <c r="I35" i="30"/>
  <c r="J35" i="30"/>
  <c r="K35" i="30"/>
  <c r="L35" i="30"/>
  <c r="B36" i="30"/>
  <c r="C36" i="30"/>
  <c r="D36" i="30"/>
  <c r="F36" i="30"/>
  <c r="G36" i="30"/>
  <c r="I36" i="30"/>
  <c r="J36" i="30"/>
  <c r="K36" i="30"/>
  <c r="L36" i="30"/>
  <c r="B37" i="30"/>
  <c r="C37" i="30"/>
  <c r="D37" i="30"/>
  <c r="F37" i="30"/>
  <c r="G37" i="30"/>
  <c r="H37" i="30"/>
  <c r="I37" i="30"/>
  <c r="J37" i="30"/>
  <c r="K37" i="30"/>
  <c r="L37" i="30"/>
  <c r="B39" i="30"/>
  <c r="C39" i="30"/>
  <c r="D39" i="30"/>
  <c r="F39" i="30"/>
  <c r="G39" i="30"/>
  <c r="H39" i="30"/>
  <c r="I39" i="30"/>
  <c r="J39" i="30"/>
  <c r="K39" i="30"/>
  <c r="L39" i="30"/>
  <c r="B41" i="30"/>
  <c r="C41" i="30"/>
  <c r="D41" i="30"/>
  <c r="F41" i="30"/>
  <c r="G41" i="30"/>
  <c r="I41" i="30"/>
  <c r="J41" i="30"/>
  <c r="K41" i="30"/>
  <c r="L41" i="30"/>
  <c r="B43" i="30"/>
  <c r="C43" i="30"/>
  <c r="D43" i="30"/>
  <c r="F43" i="30"/>
  <c r="G43" i="30"/>
  <c r="H43" i="30"/>
  <c r="I43" i="30"/>
  <c r="J43" i="30"/>
  <c r="K43" i="30"/>
  <c r="L43" i="30"/>
  <c r="B10" i="29"/>
  <c r="D10" i="29"/>
  <c r="F10" i="29"/>
  <c r="H10" i="29"/>
  <c r="J10" i="29"/>
  <c r="K10" i="29"/>
  <c r="L10" i="29"/>
  <c r="M10" i="29"/>
  <c r="N10" i="29"/>
  <c r="O10" i="29"/>
  <c r="P10" i="29"/>
  <c r="B11" i="29"/>
  <c r="D11" i="29"/>
  <c r="F11" i="29"/>
  <c r="H11" i="29"/>
  <c r="J11" i="29"/>
  <c r="K11" i="29"/>
  <c r="L11" i="29"/>
  <c r="M11" i="29"/>
  <c r="N11" i="29"/>
  <c r="O11" i="29"/>
  <c r="P11" i="29"/>
  <c r="B12" i="29"/>
  <c r="D12" i="29"/>
  <c r="F12" i="29"/>
  <c r="H12" i="29"/>
  <c r="J12" i="29"/>
  <c r="K12" i="29"/>
  <c r="L12" i="29"/>
  <c r="M12" i="29"/>
  <c r="N12" i="29"/>
  <c r="O12" i="29"/>
  <c r="P12" i="29"/>
  <c r="B13" i="29"/>
  <c r="D13" i="29"/>
  <c r="F13" i="29"/>
  <c r="H13" i="29"/>
  <c r="J13" i="29"/>
  <c r="K13" i="29"/>
  <c r="L13" i="29"/>
  <c r="M13" i="29"/>
  <c r="N13" i="29"/>
  <c r="O13" i="29"/>
  <c r="P13" i="29"/>
  <c r="B14" i="29"/>
  <c r="D14" i="29"/>
  <c r="F14" i="29"/>
  <c r="H14" i="29"/>
  <c r="J14" i="29"/>
  <c r="K14" i="29"/>
  <c r="L14" i="29"/>
  <c r="M14" i="29"/>
  <c r="N14" i="29"/>
  <c r="O14" i="29"/>
  <c r="P14" i="29"/>
  <c r="B15" i="29"/>
  <c r="D15" i="29"/>
  <c r="F15" i="29"/>
  <c r="H15" i="29"/>
  <c r="J15" i="29"/>
  <c r="K15" i="29"/>
  <c r="L15" i="29"/>
  <c r="M15" i="29"/>
  <c r="N15" i="29"/>
  <c r="O15" i="29"/>
  <c r="P15" i="29"/>
  <c r="B18" i="29"/>
  <c r="D18" i="29"/>
  <c r="F18" i="29"/>
  <c r="H18" i="29"/>
  <c r="J18" i="29"/>
  <c r="K18" i="29"/>
  <c r="L18" i="29"/>
  <c r="M18" i="29"/>
  <c r="N18" i="29"/>
  <c r="O18" i="29"/>
  <c r="P18" i="29"/>
  <c r="B19" i="29"/>
  <c r="D19" i="29"/>
  <c r="F19" i="29"/>
  <c r="H19" i="29"/>
  <c r="J19" i="29"/>
  <c r="K19" i="29"/>
  <c r="L19" i="29"/>
  <c r="M19" i="29"/>
  <c r="N19" i="29"/>
  <c r="O19" i="29"/>
  <c r="P19" i="29"/>
  <c r="B20" i="29"/>
  <c r="D20" i="29"/>
  <c r="F20" i="29"/>
  <c r="H20" i="29"/>
  <c r="J20" i="29"/>
  <c r="K20" i="29"/>
  <c r="L20" i="29"/>
  <c r="M20" i="29"/>
  <c r="N20" i="29"/>
  <c r="O20" i="29"/>
  <c r="P20" i="29"/>
  <c r="B21" i="29"/>
  <c r="D21" i="29"/>
  <c r="F21" i="29"/>
  <c r="H21" i="29"/>
  <c r="J21" i="29"/>
  <c r="K21" i="29"/>
  <c r="L21" i="29"/>
  <c r="M21" i="29"/>
  <c r="N21" i="29"/>
  <c r="O21" i="29"/>
  <c r="P21" i="29"/>
  <c r="B23" i="29"/>
  <c r="D23" i="29"/>
  <c r="F23" i="29"/>
  <c r="H23" i="29"/>
  <c r="J23" i="29"/>
  <c r="K23" i="29"/>
  <c r="L23" i="29"/>
  <c r="M23" i="29"/>
  <c r="N23" i="29"/>
  <c r="O23" i="29"/>
  <c r="P23" i="29"/>
  <c r="B25" i="29"/>
  <c r="D25" i="29"/>
  <c r="F25" i="29"/>
  <c r="H25" i="29"/>
  <c r="J25" i="29"/>
  <c r="K25" i="29"/>
  <c r="L25" i="29"/>
  <c r="M25" i="29"/>
  <c r="N25" i="29"/>
  <c r="O25" i="29"/>
  <c r="P25" i="29"/>
  <c r="B28" i="29"/>
  <c r="D28" i="29"/>
  <c r="F28" i="29"/>
  <c r="H28" i="29"/>
  <c r="J28" i="29"/>
  <c r="K28" i="29"/>
  <c r="L28" i="29"/>
  <c r="M28" i="29"/>
  <c r="N28" i="29"/>
  <c r="O28" i="29"/>
  <c r="P28" i="29"/>
  <c r="B31" i="29"/>
  <c r="D31" i="29"/>
  <c r="F31" i="29"/>
  <c r="H31" i="29"/>
  <c r="J31" i="29"/>
  <c r="K31" i="29"/>
  <c r="L31" i="29"/>
  <c r="M31" i="29"/>
  <c r="N31" i="29"/>
  <c r="O31" i="29"/>
  <c r="P31" i="29"/>
  <c r="B32" i="29"/>
  <c r="D32" i="29"/>
  <c r="F32" i="29"/>
  <c r="H32" i="29"/>
  <c r="J32" i="29"/>
  <c r="K32" i="29"/>
  <c r="L32" i="29"/>
  <c r="M32" i="29"/>
  <c r="N32" i="29"/>
  <c r="O32" i="29"/>
  <c r="P32" i="29"/>
  <c r="B33" i="29"/>
  <c r="D33" i="29"/>
  <c r="F33" i="29"/>
  <c r="H33" i="29"/>
  <c r="J33" i="29"/>
  <c r="K33" i="29"/>
  <c r="L33" i="29"/>
  <c r="M33" i="29"/>
  <c r="N33" i="29"/>
  <c r="O33" i="29"/>
  <c r="P33" i="29"/>
  <c r="B34" i="29"/>
  <c r="D34" i="29"/>
  <c r="F34" i="29"/>
  <c r="H34" i="29"/>
  <c r="J34" i="29"/>
  <c r="K34" i="29"/>
  <c r="L34" i="29"/>
  <c r="M34" i="29"/>
  <c r="N34" i="29"/>
  <c r="O34" i="29"/>
  <c r="P34" i="29"/>
  <c r="B35" i="29"/>
  <c r="D35" i="29"/>
  <c r="F35" i="29"/>
  <c r="H35" i="29"/>
  <c r="J35" i="29"/>
  <c r="K35" i="29"/>
  <c r="L35" i="29"/>
  <c r="M35" i="29"/>
  <c r="N35" i="29"/>
  <c r="O35" i="29"/>
  <c r="P35" i="29"/>
  <c r="B37" i="29"/>
  <c r="D37" i="29"/>
  <c r="F37" i="29"/>
  <c r="H37" i="29"/>
  <c r="J37" i="29"/>
  <c r="K37" i="29"/>
  <c r="L37" i="29"/>
  <c r="M37" i="29"/>
  <c r="N37" i="29"/>
  <c r="O37" i="29"/>
  <c r="P37" i="29"/>
  <c r="B39" i="29"/>
  <c r="D39" i="29"/>
  <c r="F39" i="29"/>
  <c r="H39" i="29"/>
  <c r="J39" i="29"/>
  <c r="K39" i="29"/>
  <c r="L39" i="29"/>
  <c r="M39" i="29"/>
  <c r="N39" i="29"/>
  <c r="O39" i="29"/>
  <c r="P39" i="29"/>
  <c r="D40" i="29"/>
  <c r="B41" i="29"/>
  <c r="D41" i="29"/>
  <c r="F41" i="29"/>
  <c r="H41" i="29"/>
  <c r="J41" i="29"/>
  <c r="K41" i="29"/>
  <c r="L41" i="29"/>
  <c r="M41" i="29"/>
  <c r="N41" i="29"/>
  <c r="O41" i="29"/>
  <c r="P41" i="29"/>
  <c r="B50" i="29"/>
  <c r="C50" i="29"/>
  <c r="D50" i="29"/>
  <c r="F50" i="29"/>
  <c r="H50" i="29"/>
  <c r="J50" i="29"/>
  <c r="L50" i="29"/>
  <c r="N50" i="29"/>
  <c r="P50" i="29"/>
  <c r="R50" i="29"/>
  <c r="S50" i="29"/>
  <c r="T50" i="29"/>
  <c r="U50" i="29"/>
  <c r="B51" i="29"/>
  <c r="C51" i="29"/>
  <c r="D51" i="29"/>
  <c r="F51" i="29"/>
  <c r="H51" i="29"/>
  <c r="J51" i="29"/>
  <c r="L51" i="29"/>
  <c r="N51" i="29"/>
  <c r="P51" i="29"/>
  <c r="R51" i="29"/>
  <c r="S51" i="29"/>
  <c r="T51" i="29"/>
  <c r="U51" i="29"/>
  <c r="B52" i="29"/>
  <c r="C52" i="29"/>
  <c r="D52" i="29"/>
  <c r="F52" i="29"/>
  <c r="H52" i="29"/>
  <c r="J52" i="29"/>
  <c r="L52" i="29"/>
  <c r="N52" i="29"/>
  <c r="P52" i="29"/>
  <c r="R52" i="29"/>
  <c r="S52" i="29"/>
  <c r="T52" i="29"/>
  <c r="U52" i="29"/>
  <c r="B53" i="29"/>
  <c r="C53" i="29"/>
  <c r="D53" i="29"/>
  <c r="F53" i="29"/>
  <c r="H53" i="29"/>
  <c r="J53" i="29"/>
  <c r="L53" i="29"/>
  <c r="N53" i="29"/>
  <c r="P53" i="29"/>
  <c r="R53" i="29"/>
  <c r="S53" i="29"/>
  <c r="T53" i="29"/>
  <c r="U53" i="29"/>
  <c r="B54" i="29"/>
  <c r="C54" i="29"/>
  <c r="D54" i="29"/>
  <c r="F54" i="29"/>
  <c r="H54" i="29"/>
  <c r="J54" i="29"/>
  <c r="L54" i="29"/>
  <c r="N54" i="29"/>
  <c r="P54" i="29"/>
  <c r="R54" i="29"/>
  <c r="S54" i="29"/>
  <c r="T54" i="29"/>
  <c r="U54" i="29"/>
  <c r="B55" i="29"/>
  <c r="C55" i="29"/>
  <c r="D55" i="29"/>
  <c r="F55" i="29"/>
  <c r="H55" i="29"/>
  <c r="J55" i="29"/>
  <c r="L55" i="29"/>
  <c r="N55" i="29"/>
  <c r="P55" i="29"/>
  <c r="R55" i="29"/>
  <c r="S55" i="29"/>
  <c r="T55" i="29"/>
  <c r="U55" i="29"/>
  <c r="B58" i="29"/>
  <c r="C58" i="29"/>
  <c r="D58" i="29"/>
  <c r="F58" i="29"/>
  <c r="H58" i="29"/>
  <c r="J58" i="29"/>
  <c r="L58" i="29"/>
  <c r="N58" i="29"/>
  <c r="P58" i="29"/>
  <c r="R58" i="29"/>
  <c r="S58" i="29"/>
  <c r="T58" i="29"/>
  <c r="U58" i="29"/>
  <c r="B59" i="29"/>
  <c r="C59" i="29"/>
  <c r="D59" i="29"/>
  <c r="F59" i="29"/>
  <c r="H59" i="29"/>
  <c r="J59" i="29"/>
  <c r="L59" i="29"/>
  <c r="N59" i="29"/>
  <c r="P59" i="29"/>
  <c r="R59" i="29"/>
  <c r="S59" i="29"/>
  <c r="T59" i="29"/>
  <c r="U59" i="29"/>
  <c r="B60" i="29"/>
  <c r="C60" i="29"/>
  <c r="D60" i="29"/>
  <c r="F60" i="29"/>
  <c r="H60" i="29"/>
  <c r="J60" i="29"/>
  <c r="L60" i="29"/>
  <c r="N60" i="29"/>
  <c r="P60" i="29"/>
  <c r="R60" i="29"/>
  <c r="S60" i="29"/>
  <c r="T60" i="29"/>
  <c r="U60" i="29"/>
  <c r="B61" i="29"/>
  <c r="C61" i="29"/>
  <c r="D61" i="29"/>
  <c r="F61" i="29"/>
  <c r="H61" i="29"/>
  <c r="J61" i="29"/>
  <c r="L61" i="29"/>
  <c r="N61" i="29"/>
  <c r="P61" i="29"/>
  <c r="R61" i="29"/>
  <c r="S61" i="29"/>
  <c r="T61" i="29"/>
  <c r="U61" i="29"/>
  <c r="B63" i="29"/>
  <c r="C63" i="29"/>
  <c r="D63" i="29"/>
  <c r="F63" i="29"/>
  <c r="H63" i="29"/>
  <c r="J63" i="29"/>
  <c r="L63" i="29"/>
  <c r="N63" i="29"/>
  <c r="P63" i="29"/>
  <c r="R63" i="29"/>
  <c r="S63" i="29"/>
  <c r="T63" i="29"/>
  <c r="U63" i="29"/>
  <c r="B65" i="29"/>
  <c r="C65" i="29"/>
  <c r="D65" i="29"/>
  <c r="F65" i="29"/>
  <c r="H65" i="29"/>
  <c r="J65" i="29"/>
  <c r="L65" i="29"/>
  <c r="N65" i="29"/>
  <c r="P65" i="29"/>
  <c r="R65" i="29"/>
  <c r="S65" i="29"/>
  <c r="T65" i="29"/>
  <c r="U65" i="29"/>
  <c r="B68" i="29"/>
  <c r="C68" i="29"/>
  <c r="D68" i="29"/>
  <c r="F68" i="29"/>
  <c r="H68" i="29"/>
  <c r="J68" i="29"/>
  <c r="L68" i="29"/>
  <c r="N68" i="29"/>
  <c r="P68" i="29"/>
  <c r="R68" i="29"/>
  <c r="S68" i="29"/>
  <c r="T68" i="29"/>
  <c r="U68" i="29"/>
  <c r="B71" i="29"/>
  <c r="C71" i="29"/>
  <c r="D71" i="29"/>
  <c r="F71" i="29"/>
  <c r="H71" i="29"/>
  <c r="J71" i="29"/>
  <c r="L71" i="29"/>
  <c r="N71" i="29"/>
  <c r="P71" i="29"/>
  <c r="R71" i="29"/>
  <c r="S71" i="29"/>
  <c r="T71" i="29"/>
  <c r="U71" i="29"/>
  <c r="B72" i="29"/>
  <c r="C72" i="29"/>
  <c r="D72" i="29"/>
  <c r="F72" i="29"/>
  <c r="H72" i="29"/>
  <c r="J72" i="29"/>
  <c r="L72" i="29"/>
  <c r="N72" i="29"/>
  <c r="P72" i="29"/>
  <c r="R72" i="29"/>
  <c r="S72" i="29"/>
  <c r="T72" i="29"/>
  <c r="U72" i="29"/>
  <c r="B73" i="29"/>
  <c r="C73" i="29"/>
  <c r="D73" i="29"/>
  <c r="F73" i="29"/>
  <c r="H73" i="29"/>
  <c r="J73" i="29"/>
  <c r="L73" i="29"/>
  <c r="N73" i="29"/>
  <c r="P73" i="29"/>
  <c r="R73" i="29"/>
  <c r="S73" i="29"/>
  <c r="T73" i="29"/>
  <c r="U73" i="29"/>
  <c r="B74" i="29"/>
  <c r="C74" i="29"/>
  <c r="D74" i="29"/>
  <c r="F74" i="29"/>
  <c r="H74" i="29"/>
  <c r="J74" i="29"/>
  <c r="L74" i="29"/>
  <c r="N74" i="29"/>
  <c r="P74" i="29"/>
  <c r="R74" i="29"/>
  <c r="S74" i="29"/>
  <c r="T74" i="29"/>
  <c r="U74" i="29"/>
  <c r="B75" i="29"/>
  <c r="C75" i="29"/>
  <c r="D75" i="29"/>
  <c r="F75" i="29"/>
  <c r="H75" i="29"/>
  <c r="J75" i="29"/>
  <c r="L75" i="29"/>
  <c r="N75" i="29"/>
  <c r="P75" i="29"/>
  <c r="R75" i="29"/>
  <c r="S75" i="29"/>
  <c r="T75" i="29"/>
  <c r="U75" i="29"/>
  <c r="B77" i="29"/>
  <c r="C77" i="29"/>
  <c r="D77" i="29"/>
  <c r="F77" i="29"/>
  <c r="H77" i="29"/>
  <c r="J77" i="29"/>
  <c r="L77" i="29"/>
  <c r="N77" i="29"/>
  <c r="P77" i="29"/>
  <c r="R77" i="29"/>
  <c r="S77" i="29"/>
  <c r="T77" i="29"/>
  <c r="U77" i="29"/>
  <c r="B79" i="29"/>
  <c r="C79" i="29"/>
  <c r="D79" i="29"/>
  <c r="F79" i="29"/>
  <c r="H79" i="29"/>
  <c r="J79" i="29"/>
  <c r="L79" i="29"/>
  <c r="N79" i="29"/>
  <c r="P79" i="29"/>
  <c r="R79" i="29"/>
  <c r="S79" i="29"/>
  <c r="T79" i="29"/>
  <c r="U79" i="29"/>
  <c r="B81" i="29"/>
  <c r="C81" i="29"/>
  <c r="D81" i="29"/>
  <c r="F81" i="29"/>
  <c r="H81" i="29"/>
  <c r="J81" i="29"/>
  <c r="L81" i="29"/>
  <c r="N81" i="29"/>
  <c r="P81" i="29"/>
  <c r="R81" i="29"/>
  <c r="S81" i="29"/>
  <c r="T81" i="29"/>
  <c r="U81" i="29"/>
  <c r="B84" i="29"/>
  <c r="D84" i="29"/>
  <c r="F84" i="29"/>
  <c r="H84" i="29"/>
  <c r="J84" i="29"/>
  <c r="L84" i="29"/>
  <c r="N84" i="29"/>
  <c r="P84" i="29"/>
  <c r="R84" i="29"/>
  <c r="T84" i="29"/>
  <c r="B86" i="29"/>
  <c r="D86" i="29"/>
  <c r="F86" i="29"/>
  <c r="H86" i="29"/>
  <c r="J86" i="29"/>
  <c r="L86" i="29"/>
  <c r="N86" i="29"/>
  <c r="P86" i="29"/>
  <c r="R86" i="29"/>
  <c r="T86" i="29"/>
  <c r="F89" i="29"/>
  <c r="B122" i="139"/>
  <c r="B125" i="139"/>
  <c r="B129" i="139"/>
  <c r="B133" i="139"/>
  <c r="C133" i="139"/>
  <c r="D133" i="139"/>
  <c r="E133" i="139"/>
  <c r="F133" i="139"/>
  <c r="G133" i="139"/>
  <c r="K133" i="139"/>
  <c r="L133" i="139"/>
  <c r="M133" i="139"/>
  <c r="O133" i="139"/>
  <c r="B10" i="33"/>
  <c r="C10" i="33"/>
  <c r="D10" i="33"/>
  <c r="E10" i="33"/>
  <c r="F10" i="33"/>
  <c r="G10" i="33"/>
  <c r="H10" i="33"/>
  <c r="I10" i="33"/>
  <c r="J10" i="33"/>
  <c r="K10" i="33"/>
  <c r="L10" i="33"/>
  <c r="M10" i="33"/>
  <c r="N10" i="33"/>
  <c r="O10" i="33"/>
  <c r="P10" i="33"/>
  <c r="Q10" i="33"/>
  <c r="R10" i="33"/>
  <c r="B11" i="33"/>
  <c r="C11" i="33"/>
  <c r="D11" i="33"/>
  <c r="E11" i="33"/>
  <c r="F11" i="33"/>
  <c r="G11" i="33"/>
  <c r="H11" i="33"/>
  <c r="I11" i="33"/>
  <c r="J11" i="33"/>
  <c r="M11" i="33"/>
  <c r="N11" i="33"/>
  <c r="O11" i="33"/>
  <c r="P11" i="33"/>
  <c r="B14" i="33"/>
  <c r="C14" i="33"/>
  <c r="D14" i="33"/>
  <c r="E14" i="33"/>
  <c r="F14" i="33"/>
  <c r="G14" i="33"/>
  <c r="H14" i="33"/>
  <c r="I14" i="33"/>
  <c r="J14" i="33"/>
  <c r="K14" i="33"/>
  <c r="L14" i="33"/>
  <c r="M14" i="33"/>
  <c r="N14" i="33"/>
  <c r="O14" i="33"/>
  <c r="P14" i="33"/>
  <c r="Q14" i="33"/>
  <c r="R14" i="33"/>
  <c r="B15" i="33"/>
  <c r="C15" i="33"/>
  <c r="D15" i="33"/>
  <c r="E15" i="33"/>
  <c r="F15" i="33"/>
  <c r="G15" i="33"/>
  <c r="H15" i="33"/>
  <c r="I15" i="33"/>
  <c r="J15" i="33"/>
  <c r="K15" i="33"/>
  <c r="M15" i="33"/>
  <c r="N15" i="33"/>
  <c r="O15" i="33"/>
  <c r="P15" i="33"/>
  <c r="Q15" i="33"/>
  <c r="R15" i="33"/>
  <c r="C20" i="33"/>
  <c r="D20" i="33"/>
  <c r="E20" i="33"/>
  <c r="F20" i="33"/>
  <c r="G20" i="33"/>
  <c r="H20" i="33"/>
  <c r="I20" i="33"/>
  <c r="J20" i="33"/>
  <c r="K20" i="33"/>
  <c r="L20" i="33"/>
  <c r="M20" i="33"/>
  <c r="N20" i="33"/>
  <c r="O20" i="33"/>
  <c r="P20" i="33"/>
  <c r="Q20" i="33"/>
  <c r="R20" i="33"/>
  <c r="B21" i="33"/>
  <c r="C21" i="33"/>
  <c r="D21" i="33"/>
  <c r="E21" i="33"/>
  <c r="F21" i="33"/>
  <c r="G21" i="33"/>
  <c r="H21" i="33"/>
  <c r="I21" i="33"/>
  <c r="J21" i="33"/>
  <c r="K21" i="33"/>
  <c r="M21" i="33"/>
  <c r="N21" i="33"/>
  <c r="O21" i="33"/>
  <c r="P21" i="33"/>
  <c r="Q21" i="33"/>
  <c r="R21" i="33"/>
  <c r="C25" i="33"/>
  <c r="D25" i="33"/>
  <c r="E25" i="33"/>
  <c r="F25" i="33"/>
  <c r="G25" i="33"/>
  <c r="H25" i="33"/>
  <c r="I25" i="33"/>
  <c r="J25" i="33"/>
  <c r="K25" i="33"/>
  <c r="M25" i="33"/>
  <c r="N25" i="33"/>
  <c r="O25" i="33"/>
  <c r="P25" i="33"/>
  <c r="Q25" i="33"/>
  <c r="R25" i="33"/>
  <c r="C26" i="33"/>
  <c r="D26" i="33"/>
  <c r="E26" i="33"/>
  <c r="F26" i="33"/>
  <c r="G26" i="33"/>
  <c r="H26" i="33"/>
  <c r="I26" i="33"/>
  <c r="J26" i="33"/>
  <c r="K26" i="33"/>
  <c r="M26" i="33"/>
  <c r="N26" i="33"/>
  <c r="O26" i="33"/>
  <c r="P26" i="33"/>
  <c r="Q26" i="33"/>
  <c r="R26" i="33"/>
  <c r="C30" i="33"/>
  <c r="D30" i="33"/>
  <c r="E30" i="33"/>
  <c r="F30" i="33"/>
  <c r="G30" i="33"/>
  <c r="H30" i="33"/>
  <c r="I30" i="33"/>
  <c r="J30" i="33"/>
  <c r="K30" i="33"/>
  <c r="L30" i="33"/>
  <c r="M30" i="33"/>
  <c r="N30" i="33"/>
  <c r="O30" i="33"/>
  <c r="P30" i="33"/>
  <c r="Q30" i="33"/>
  <c r="R30" i="33"/>
  <c r="C31" i="33"/>
  <c r="D31" i="33"/>
  <c r="E31" i="33"/>
  <c r="F31" i="33"/>
  <c r="G31" i="33"/>
  <c r="H31" i="33"/>
  <c r="I31" i="33"/>
  <c r="J31" i="33"/>
  <c r="K31" i="33"/>
  <c r="M31" i="33"/>
  <c r="N31" i="33"/>
  <c r="O31" i="33"/>
  <c r="P31" i="33"/>
  <c r="Q31" i="33"/>
  <c r="R31" i="33"/>
  <c r="B35" i="33"/>
  <c r="C35" i="33"/>
  <c r="D35" i="33"/>
  <c r="E35" i="33"/>
  <c r="F35" i="33"/>
  <c r="G35" i="33"/>
  <c r="H35" i="33"/>
  <c r="I35" i="33"/>
  <c r="J35" i="33"/>
  <c r="K35" i="33"/>
  <c r="L35" i="33"/>
  <c r="M35" i="33"/>
  <c r="N35" i="33"/>
  <c r="O35" i="33"/>
  <c r="P35" i="33"/>
  <c r="Q35" i="33"/>
  <c r="R35" i="33"/>
  <c r="N36" i="33"/>
  <c r="R36" i="33"/>
  <c r="B37" i="33"/>
  <c r="C37" i="33"/>
  <c r="D37" i="33"/>
  <c r="E37" i="33"/>
  <c r="F37" i="33"/>
  <c r="G37" i="33"/>
  <c r="H37" i="33"/>
  <c r="I37" i="33"/>
  <c r="J37" i="33"/>
  <c r="K37" i="33"/>
  <c r="L37" i="33"/>
  <c r="M37" i="33"/>
  <c r="N37" i="33"/>
  <c r="O37" i="33"/>
  <c r="P37" i="33"/>
  <c r="Q37" i="33"/>
  <c r="R37" i="33"/>
  <c r="N38" i="33"/>
  <c r="B41" i="33"/>
  <c r="C41" i="33"/>
  <c r="D41" i="33"/>
  <c r="E41" i="33"/>
  <c r="F41" i="33"/>
  <c r="G41" i="33"/>
  <c r="H41" i="33"/>
  <c r="I41" i="33"/>
  <c r="J41" i="33"/>
  <c r="K41" i="33"/>
  <c r="L41" i="33"/>
  <c r="M41" i="33"/>
  <c r="N41" i="33"/>
  <c r="O41" i="33"/>
  <c r="P41" i="33"/>
  <c r="Q41" i="33"/>
  <c r="R41" i="33"/>
  <c r="N42" i="33"/>
  <c r="R42" i="33"/>
  <c r="B43" i="33"/>
  <c r="C43" i="33"/>
  <c r="D43" i="33"/>
  <c r="E43" i="33"/>
  <c r="F43" i="33"/>
  <c r="G43" i="33"/>
  <c r="H43" i="33"/>
  <c r="I43" i="33"/>
  <c r="J43" i="33"/>
  <c r="K43" i="33"/>
  <c r="L43" i="33"/>
  <c r="M43" i="33"/>
  <c r="N43" i="33"/>
  <c r="O43" i="33"/>
  <c r="P43" i="33"/>
  <c r="Q43" i="33"/>
  <c r="R43" i="33"/>
  <c r="B44" i="33"/>
  <c r="C44" i="33"/>
  <c r="D44" i="33"/>
  <c r="E44" i="33"/>
  <c r="F44" i="33"/>
  <c r="G44" i="33"/>
  <c r="H44" i="33"/>
  <c r="I44" i="33"/>
  <c r="J44" i="33"/>
  <c r="K44" i="33"/>
  <c r="M44" i="33"/>
  <c r="N44" i="33"/>
  <c r="O44" i="33"/>
  <c r="P44" i="33"/>
  <c r="Q44" i="33"/>
  <c r="R44" i="33"/>
  <c r="B48" i="33"/>
  <c r="C48" i="33"/>
  <c r="D48" i="33"/>
  <c r="E48" i="33"/>
  <c r="F48" i="33"/>
  <c r="G48" i="33"/>
  <c r="H48" i="33"/>
  <c r="I48" i="33"/>
  <c r="J48" i="33"/>
  <c r="K48" i="33"/>
  <c r="L48" i="33"/>
  <c r="M48" i="33"/>
  <c r="N48" i="33"/>
  <c r="O48" i="33"/>
  <c r="P48" i="33"/>
  <c r="Q48" i="33"/>
  <c r="R48" i="33"/>
  <c r="B49" i="33"/>
  <c r="C49" i="33"/>
  <c r="D49" i="33"/>
  <c r="E49" i="33"/>
  <c r="F49" i="33"/>
  <c r="G49" i="33"/>
  <c r="H49" i="33"/>
  <c r="I49" i="33"/>
  <c r="J49" i="33"/>
  <c r="K49" i="33"/>
  <c r="M49" i="33"/>
  <c r="N49" i="33"/>
  <c r="O49" i="33"/>
  <c r="P49" i="33"/>
  <c r="Q49" i="33"/>
  <c r="R49" i="33"/>
  <c r="B50" i="33"/>
  <c r="C50" i="33"/>
  <c r="D50" i="33"/>
  <c r="E50" i="33"/>
  <c r="F50" i="33"/>
  <c r="G50" i="33"/>
  <c r="H50" i="33"/>
  <c r="I50" i="33"/>
  <c r="J50" i="33"/>
  <c r="K50" i="33"/>
  <c r="L50" i="33"/>
  <c r="M50" i="33"/>
  <c r="N50" i="33"/>
  <c r="O50" i="33"/>
  <c r="P50" i="33"/>
  <c r="Q50" i="33"/>
  <c r="R50" i="33"/>
  <c r="B51" i="33"/>
  <c r="C51" i="33"/>
  <c r="D51" i="33"/>
  <c r="E51" i="33"/>
  <c r="F51" i="33"/>
  <c r="G51" i="33"/>
  <c r="H51" i="33"/>
  <c r="I51" i="33"/>
  <c r="J51" i="33"/>
  <c r="K51" i="33"/>
  <c r="M51" i="33"/>
  <c r="N51" i="33"/>
  <c r="O51" i="33"/>
  <c r="P51" i="33"/>
  <c r="Q51" i="33"/>
  <c r="R51" i="33"/>
  <c r="B54" i="33"/>
  <c r="C54" i="33"/>
  <c r="D54" i="33"/>
  <c r="E54" i="33"/>
  <c r="F54" i="33"/>
  <c r="G54" i="33"/>
  <c r="H54" i="33"/>
  <c r="I54" i="33"/>
  <c r="J54" i="33"/>
  <c r="K54" i="33"/>
  <c r="L54" i="33"/>
  <c r="M54" i="33"/>
  <c r="N54" i="33"/>
  <c r="O54" i="33"/>
  <c r="P54" i="33"/>
  <c r="Q54" i="33"/>
  <c r="R54" i="33"/>
  <c r="N55" i="33"/>
  <c r="B56" i="33"/>
  <c r="C56" i="33"/>
  <c r="D56" i="33"/>
  <c r="E56" i="33"/>
  <c r="F56" i="33"/>
  <c r="G56" i="33"/>
  <c r="H56" i="33"/>
  <c r="I56" i="33"/>
  <c r="J56" i="33"/>
  <c r="K56" i="33"/>
  <c r="L56" i="33"/>
  <c r="M56" i="33"/>
  <c r="N56" i="33"/>
  <c r="O56" i="33"/>
  <c r="P56" i="33"/>
  <c r="Q56" i="33"/>
  <c r="R56" i="33"/>
  <c r="B57" i="33"/>
  <c r="C57" i="33"/>
  <c r="D57" i="33"/>
  <c r="E57" i="33"/>
  <c r="F57" i="33"/>
  <c r="G57" i="33"/>
  <c r="H57" i="33"/>
  <c r="I57" i="33"/>
  <c r="J57" i="33"/>
  <c r="K57" i="33"/>
  <c r="M57" i="33"/>
  <c r="N57" i="33"/>
  <c r="O57" i="33"/>
  <c r="P57" i="33"/>
  <c r="Q57" i="33"/>
  <c r="R57" i="33"/>
  <c r="B60" i="33"/>
  <c r="C60" i="33"/>
  <c r="D60" i="33"/>
  <c r="E60" i="33"/>
  <c r="F60" i="33"/>
  <c r="G60" i="33"/>
  <c r="H60" i="33"/>
  <c r="I60" i="33"/>
  <c r="J60" i="33"/>
  <c r="K60" i="33"/>
  <c r="L60" i="33"/>
  <c r="M60" i="33"/>
  <c r="N60" i="33"/>
  <c r="O60" i="33"/>
  <c r="P60" i="33"/>
  <c r="Q60" i="33"/>
  <c r="R60" i="33"/>
  <c r="N61" i="33"/>
  <c r="B62" i="33"/>
  <c r="C62" i="33"/>
  <c r="D62" i="33"/>
  <c r="E62" i="33"/>
  <c r="F62" i="33"/>
  <c r="G62" i="33"/>
  <c r="H62" i="33"/>
  <c r="I62" i="33"/>
  <c r="J62" i="33"/>
  <c r="K62" i="33"/>
  <c r="L62" i="33"/>
  <c r="M62" i="33"/>
  <c r="N62" i="33"/>
  <c r="O62" i="33"/>
  <c r="P62" i="33"/>
  <c r="Q62" i="33"/>
  <c r="R62" i="33"/>
  <c r="B63" i="33"/>
  <c r="C63" i="33"/>
  <c r="D63" i="33"/>
  <c r="E63" i="33"/>
  <c r="F63" i="33"/>
  <c r="G63" i="33"/>
  <c r="H63" i="33"/>
  <c r="I63" i="33"/>
  <c r="J63" i="33"/>
  <c r="K63" i="33"/>
  <c r="M63" i="33"/>
  <c r="N63" i="33"/>
  <c r="O63" i="33"/>
  <c r="P63" i="33"/>
  <c r="Q63" i="33"/>
  <c r="R63" i="33"/>
  <c r="B68" i="33"/>
  <c r="C68" i="33"/>
  <c r="D68" i="33"/>
  <c r="E68" i="33"/>
  <c r="F68" i="33"/>
  <c r="G68" i="33"/>
  <c r="H68" i="33"/>
  <c r="I68" i="33"/>
  <c r="J68" i="33"/>
  <c r="K68" i="33"/>
  <c r="L68" i="33"/>
  <c r="M68" i="33"/>
  <c r="N68" i="33"/>
  <c r="O68" i="33"/>
  <c r="P68" i="33"/>
  <c r="Q68" i="33"/>
  <c r="R68" i="33"/>
  <c r="B69" i="33"/>
  <c r="C69" i="33"/>
  <c r="D69" i="33"/>
  <c r="E69" i="33"/>
  <c r="F69" i="33"/>
  <c r="G69" i="33"/>
  <c r="H69" i="33"/>
  <c r="I69" i="33"/>
  <c r="J69" i="33"/>
  <c r="K69" i="33"/>
  <c r="M69" i="33"/>
  <c r="N69" i="33"/>
  <c r="O69" i="33"/>
  <c r="P69" i="33"/>
  <c r="Q69" i="33"/>
  <c r="R69" i="33"/>
  <c r="B70" i="33"/>
  <c r="C70" i="33"/>
  <c r="D70" i="33"/>
  <c r="E70" i="33"/>
  <c r="F70" i="33"/>
  <c r="G70" i="33"/>
  <c r="H70" i="33"/>
  <c r="I70" i="33"/>
  <c r="J70" i="33"/>
  <c r="K70" i="33"/>
  <c r="L70" i="33"/>
  <c r="M70" i="33"/>
  <c r="N70" i="33"/>
  <c r="O70" i="33"/>
  <c r="P70" i="33"/>
  <c r="Q70" i="33"/>
  <c r="R70" i="33"/>
  <c r="B71" i="33"/>
  <c r="C71" i="33"/>
  <c r="D71" i="33"/>
  <c r="E71" i="33"/>
  <c r="F71" i="33"/>
  <c r="G71" i="33"/>
  <c r="H71" i="33"/>
  <c r="I71" i="33"/>
  <c r="J71" i="33"/>
  <c r="K71" i="33"/>
  <c r="M71" i="33"/>
  <c r="N71" i="33"/>
  <c r="O71" i="33"/>
  <c r="P71" i="33"/>
  <c r="Q71" i="33"/>
  <c r="R71" i="33"/>
  <c r="B74" i="33"/>
  <c r="C74" i="33"/>
  <c r="D74" i="33"/>
  <c r="E74" i="33"/>
  <c r="F74" i="33"/>
  <c r="G74" i="33"/>
  <c r="H74" i="33"/>
  <c r="I74" i="33"/>
  <c r="J74" i="33"/>
  <c r="K74" i="33"/>
  <c r="M74" i="33"/>
  <c r="N74" i="33"/>
  <c r="O74" i="33"/>
  <c r="P74" i="33"/>
  <c r="Q74" i="33"/>
  <c r="R74" i="33"/>
  <c r="N75" i="33"/>
  <c r="B76" i="33"/>
  <c r="C76" i="33"/>
  <c r="D76" i="33"/>
  <c r="E76" i="33"/>
  <c r="F76" i="33"/>
  <c r="G76" i="33"/>
  <c r="H76" i="33"/>
  <c r="I76" i="33"/>
  <c r="J76" i="33"/>
  <c r="K76" i="33"/>
  <c r="M76" i="33"/>
  <c r="N76" i="33"/>
  <c r="O76" i="33"/>
  <c r="P76" i="33"/>
  <c r="Q76" i="33"/>
  <c r="R76" i="33"/>
  <c r="N77" i="33"/>
  <c r="B149" i="33"/>
  <c r="B152" i="33"/>
  <c r="B156" i="33"/>
  <c r="B160" i="33"/>
  <c r="C160" i="33"/>
  <c r="D160" i="33"/>
  <c r="E160" i="33"/>
  <c r="G160" i="33"/>
  <c r="M160" i="33"/>
  <c r="N160" i="33"/>
  <c r="P160" i="33"/>
  <c r="B10" i="129"/>
  <c r="C10" i="129"/>
  <c r="D10" i="129"/>
  <c r="F10" i="129"/>
  <c r="H10" i="129"/>
  <c r="J10" i="129"/>
  <c r="K10" i="129"/>
  <c r="L10" i="129"/>
  <c r="M10" i="129"/>
  <c r="N10" i="129"/>
  <c r="O10" i="129"/>
  <c r="P10" i="129"/>
  <c r="Q10" i="129"/>
  <c r="B11" i="129"/>
  <c r="C11" i="129"/>
  <c r="D11" i="129"/>
  <c r="F11" i="129"/>
  <c r="H11" i="129"/>
  <c r="J11" i="129"/>
  <c r="K11" i="129"/>
  <c r="L11" i="129"/>
  <c r="M11" i="129"/>
  <c r="N11" i="129"/>
  <c r="O11" i="129"/>
  <c r="P11" i="129"/>
  <c r="Q11" i="129"/>
  <c r="B12" i="129"/>
  <c r="C12" i="129"/>
  <c r="D12" i="129"/>
  <c r="F12" i="129"/>
  <c r="H12" i="129"/>
  <c r="J12" i="129"/>
  <c r="K12" i="129"/>
  <c r="L12" i="129"/>
  <c r="M12" i="129"/>
  <c r="N12" i="129"/>
  <c r="O12" i="129"/>
  <c r="P12" i="129"/>
  <c r="Q12" i="129"/>
  <c r="B13" i="129"/>
  <c r="C13" i="129"/>
  <c r="D13" i="129"/>
  <c r="F13" i="129"/>
  <c r="H13" i="129"/>
  <c r="J13" i="129"/>
  <c r="K13" i="129"/>
  <c r="L13" i="129"/>
  <c r="M13" i="129"/>
  <c r="N13" i="129"/>
  <c r="O13" i="129"/>
  <c r="P13" i="129"/>
  <c r="Q13" i="129"/>
  <c r="B14" i="129"/>
  <c r="C14" i="129"/>
  <c r="D14" i="129"/>
  <c r="F14" i="129"/>
  <c r="H14" i="129"/>
  <c r="J14" i="129"/>
  <c r="K14" i="129"/>
  <c r="L14" i="129"/>
  <c r="M14" i="129"/>
  <c r="N14" i="129"/>
  <c r="O14" i="129"/>
  <c r="P14" i="129"/>
  <c r="Q14" i="129"/>
  <c r="B15" i="129"/>
  <c r="C15" i="129"/>
  <c r="D15" i="129"/>
  <c r="F15" i="129"/>
  <c r="H15" i="129"/>
  <c r="J15" i="129"/>
  <c r="K15" i="129"/>
  <c r="L15" i="129"/>
  <c r="M15" i="129"/>
  <c r="N15" i="129"/>
  <c r="O15" i="129"/>
  <c r="P15" i="129"/>
  <c r="Q15" i="129"/>
  <c r="B17" i="129"/>
  <c r="C17" i="129"/>
  <c r="D17" i="129"/>
  <c r="F17" i="129"/>
  <c r="H17" i="129"/>
  <c r="J17" i="129"/>
  <c r="K17" i="129"/>
  <c r="L17" i="129"/>
  <c r="M17" i="129"/>
  <c r="N17" i="129"/>
  <c r="O17" i="129"/>
  <c r="P17" i="129"/>
  <c r="Q17" i="129"/>
  <c r="B18" i="129"/>
  <c r="C18" i="129"/>
  <c r="D18" i="129"/>
  <c r="F18" i="129"/>
  <c r="H18" i="129"/>
  <c r="J18" i="129"/>
  <c r="K18" i="129"/>
  <c r="L18" i="129"/>
  <c r="M18" i="129"/>
  <c r="N18" i="129"/>
  <c r="O18" i="129"/>
  <c r="P18" i="129"/>
  <c r="Q18" i="129"/>
  <c r="B19" i="129"/>
  <c r="C19" i="129"/>
  <c r="D19" i="129"/>
  <c r="F19" i="129"/>
  <c r="H19" i="129"/>
  <c r="J19" i="129"/>
  <c r="K19" i="129"/>
  <c r="L19" i="129"/>
  <c r="M19" i="129"/>
  <c r="N19" i="129"/>
  <c r="O19" i="129"/>
  <c r="P19" i="129"/>
  <c r="Q19" i="129"/>
  <c r="B20" i="129"/>
  <c r="C20" i="129"/>
  <c r="D20" i="129"/>
  <c r="F20" i="129"/>
  <c r="H20" i="129"/>
  <c r="J20" i="129"/>
  <c r="K20" i="129"/>
  <c r="L20" i="129"/>
  <c r="M20" i="129"/>
  <c r="N20" i="129"/>
  <c r="O20" i="129"/>
  <c r="P20" i="129"/>
  <c r="Q20" i="129"/>
  <c r="B21" i="129"/>
  <c r="C21" i="129"/>
  <c r="D21" i="129"/>
  <c r="F21" i="129"/>
  <c r="H21" i="129"/>
  <c r="J21" i="129"/>
  <c r="K21" i="129"/>
  <c r="L21" i="129"/>
  <c r="M21" i="129"/>
  <c r="N21" i="129"/>
  <c r="O21" i="129"/>
  <c r="P21" i="129"/>
  <c r="Q21" i="129"/>
  <c r="B22" i="129"/>
  <c r="C22" i="129"/>
  <c r="D22" i="129"/>
  <c r="F22" i="129"/>
  <c r="H22" i="129"/>
  <c r="J22" i="129"/>
  <c r="K22" i="129"/>
  <c r="L22" i="129"/>
  <c r="M22" i="129"/>
  <c r="N22" i="129"/>
  <c r="O22" i="129"/>
  <c r="P22" i="129"/>
  <c r="Q22" i="129"/>
  <c r="B26" i="129"/>
  <c r="C26" i="129"/>
  <c r="D26" i="129"/>
  <c r="F26" i="129"/>
  <c r="H26" i="129"/>
  <c r="J26" i="129"/>
  <c r="K26" i="129"/>
  <c r="L26" i="129"/>
  <c r="M26" i="129"/>
  <c r="N26" i="129"/>
  <c r="O26" i="129"/>
  <c r="P26" i="129"/>
  <c r="Q26" i="129"/>
  <c r="B27" i="129"/>
  <c r="C27" i="129"/>
  <c r="D27" i="129"/>
  <c r="F27" i="129"/>
  <c r="H27" i="129"/>
  <c r="J27" i="129"/>
  <c r="K27" i="129"/>
  <c r="L27" i="129"/>
  <c r="M27" i="129"/>
  <c r="N27" i="129"/>
  <c r="O27" i="129"/>
  <c r="P27" i="129"/>
  <c r="Q27" i="129"/>
  <c r="B28" i="129"/>
  <c r="C28" i="129"/>
  <c r="D28" i="129"/>
  <c r="F28" i="129"/>
  <c r="H28" i="129"/>
  <c r="J28" i="129"/>
  <c r="K28" i="129"/>
  <c r="L28" i="129"/>
  <c r="M28" i="129"/>
  <c r="N28" i="129"/>
  <c r="O28" i="129"/>
  <c r="P28" i="129"/>
  <c r="Q28" i="129"/>
  <c r="B29" i="129"/>
  <c r="C29" i="129"/>
  <c r="D29" i="129"/>
  <c r="F29" i="129"/>
  <c r="H29" i="129"/>
  <c r="J29" i="129"/>
  <c r="K29" i="129"/>
  <c r="L29" i="129"/>
  <c r="M29" i="129"/>
  <c r="N29" i="129"/>
  <c r="O29" i="129"/>
  <c r="P29" i="129"/>
  <c r="Q29" i="129"/>
  <c r="B32" i="129"/>
  <c r="C32" i="129"/>
  <c r="D32" i="129"/>
  <c r="F32" i="129"/>
  <c r="H32" i="129"/>
  <c r="J32" i="129"/>
  <c r="K32" i="129"/>
  <c r="L32" i="129"/>
  <c r="M32" i="129"/>
  <c r="N32" i="129"/>
  <c r="O32" i="129"/>
  <c r="P32" i="129"/>
  <c r="Q32" i="129"/>
  <c r="B33" i="129"/>
  <c r="C33" i="129"/>
  <c r="D33" i="129"/>
  <c r="F33" i="129"/>
  <c r="H33" i="129"/>
  <c r="J33" i="129"/>
  <c r="K33" i="129"/>
  <c r="L33" i="129"/>
  <c r="M33" i="129"/>
  <c r="N33" i="129"/>
  <c r="O33" i="129"/>
  <c r="P33" i="129"/>
  <c r="Q33" i="129"/>
  <c r="B34" i="129"/>
  <c r="C34" i="129"/>
  <c r="D34" i="129"/>
  <c r="F34" i="129"/>
  <c r="H34" i="129"/>
  <c r="J34" i="129"/>
  <c r="K34" i="129"/>
  <c r="L34" i="129"/>
  <c r="M34" i="129"/>
  <c r="N34" i="129"/>
  <c r="O34" i="129"/>
  <c r="P34" i="129"/>
  <c r="Q34" i="129"/>
  <c r="B35" i="129"/>
  <c r="C35" i="129"/>
  <c r="D35" i="129"/>
  <c r="F35" i="129"/>
  <c r="H35" i="129"/>
  <c r="J35" i="129"/>
  <c r="K35" i="129"/>
  <c r="L35" i="129"/>
  <c r="M35" i="129"/>
  <c r="N35" i="129"/>
  <c r="O35" i="129"/>
  <c r="P35" i="129"/>
  <c r="Q35" i="129"/>
  <c r="B38" i="129"/>
  <c r="C38" i="129"/>
  <c r="D38" i="129"/>
  <c r="F38" i="129"/>
  <c r="H38" i="129"/>
  <c r="J38" i="129"/>
  <c r="K38" i="129"/>
  <c r="L38" i="129"/>
  <c r="M38" i="129"/>
  <c r="N38" i="129"/>
  <c r="O38" i="129"/>
  <c r="P38" i="129"/>
  <c r="Q38" i="129"/>
  <c r="B39" i="129"/>
  <c r="C39" i="129"/>
  <c r="D39" i="129"/>
  <c r="F39" i="129"/>
  <c r="H39" i="129"/>
  <c r="J39" i="129"/>
  <c r="K39" i="129"/>
  <c r="L39" i="129"/>
  <c r="M39" i="129"/>
  <c r="N39" i="129"/>
  <c r="O39" i="129"/>
  <c r="P39" i="129"/>
  <c r="Q39" i="129"/>
  <c r="B40" i="129"/>
  <c r="C40" i="129"/>
  <c r="D40" i="129"/>
  <c r="F40" i="129"/>
  <c r="H40" i="129"/>
  <c r="J40" i="129"/>
  <c r="K40" i="129"/>
  <c r="L40" i="129"/>
  <c r="M40" i="129"/>
  <c r="N40" i="129"/>
  <c r="O40" i="129"/>
  <c r="P40" i="129"/>
  <c r="Q40" i="129"/>
  <c r="B41" i="129"/>
  <c r="C41" i="129"/>
  <c r="D41" i="129"/>
  <c r="F41" i="129"/>
  <c r="H41" i="129"/>
  <c r="J41" i="129"/>
  <c r="K41" i="129"/>
  <c r="L41" i="129"/>
  <c r="M41" i="129"/>
  <c r="N41" i="129"/>
  <c r="O41" i="129"/>
  <c r="P41" i="129"/>
  <c r="Q41" i="129"/>
  <c r="B43" i="129"/>
  <c r="C43" i="129"/>
  <c r="D43" i="129"/>
  <c r="F43" i="129"/>
  <c r="H43" i="129"/>
  <c r="J43" i="129"/>
  <c r="K43" i="129"/>
  <c r="L43" i="129"/>
  <c r="M43" i="129"/>
  <c r="N43" i="129"/>
  <c r="O43" i="129"/>
  <c r="P43" i="129"/>
  <c r="Q43" i="129"/>
  <c r="B44" i="129"/>
  <c r="C44" i="129"/>
  <c r="D44" i="129"/>
  <c r="F44" i="129"/>
  <c r="H44" i="129"/>
  <c r="J44" i="129"/>
  <c r="K44" i="129"/>
  <c r="L44" i="129"/>
  <c r="M44" i="129"/>
  <c r="N44" i="129"/>
  <c r="O44" i="129"/>
  <c r="P44" i="129"/>
  <c r="Q44" i="129"/>
  <c r="B47" i="129"/>
  <c r="C47" i="129"/>
  <c r="D47" i="129"/>
  <c r="F47" i="129"/>
  <c r="H47" i="129"/>
  <c r="J47" i="129"/>
  <c r="K47" i="129"/>
  <c r="L47" i="129"/>
  <c r="M47" i="129"/>
  <c r="N47" i="129"/>
  <c r="O47" i="129"/>
  <c r="P47" i="129"/>
  <c r="Q47" i="129"/>
  <c r="B48" i="129"/>
  <c r="C48" i="129"/>
  <c r="D48" i="129"/>
  <c r="F48" i="129"/>
  <c r="H48" i="129"/>
  <c r="J48" i="129"/>
  <c r="K48" i="129"/>
  <c r="L48" i="129"/>
  <c r="M48" i="129"/>
  <c r="N48" i="129"/>
  <c r="O48" i="129"/>
  <c r="P48" i="129"/>
  <c r="Q48" i="129"/>
  <c r="B49" i="129"/>
  <c r="C49" i="129"/>
  <c r="D49" i="129"/>
  <c r="F49" i="129"/>
  <c r="H49" i="129"/>
  <c r="J49" i="129"/>
  <c r="K49" i="129"/>
  <c r="L49" i="129"/>
  <c r="M49" i="129"/>
  <c r="O49" i="129"/>
  <c r="Q49" i="129"/>
  <c r="B50" i="129"/>
  <c r="C50" i="129"/>
  <c r="D50" i="129"/>
  <c r="F50" i="129"/>
  <c r="H50" i="129"/>
  <c r="J50" i="129"/>
  <c r="K50" i="129"/>
  <c r="L50" i="129"/>
  <c r="M50" i="129"/>
  <c r="N50" i="129"/>
  <c r="O50" i="129"/>
  <c r="P50" i="129"/>
  <c r="Q50" i="129"/>
  <c r="B51" i="129"/>
  <c r="C51" i="129"/>
  <c r="D51" i="129"/>
  <c r="F51" i="129"/>
  <c r="H51" i="129"/>
  <c r="J51" i="129"/>
  <c r="K51" i="129"/>
  <c r="L51" i="129"/>
  <c r="M51" i="129"/>
  <c r="N51" i="129"/>
  <c r="O51" i="129"/>
  <c r="P51" i="129"/>
  <c r="Q51" i="129"/>
  <c r="B52" i="129"/>
  <c r="C52" i="129"/>
  <c r="D52" i="129"/>
  <c r="F52" i="129"/>
  <c r="H52" i="129"/>
  <c r="J52" i="129"/>
  <c r="K52" i="129"/>
  <c r="L52" i="129"/>
  <c r="M52" i="129"/>
  <c r="N52" i="129"/>
  <c r="O52" i="129"/>
  <c r="P52" i="129"/>
  <c r="Q52" i="129"/>
  <c r="B57" i="129"/>
  <c r="D57" i="129"/>
  <c r="F57" i="129"/>
  <c r="H57" i="129"/>
  <c r="J57" i="129"/>
  <c r="L57" i="129"/>
  <c r="N57" i="129"/>
  <c r="P57" i="129"/>
  <c r="B58" i="129"/>
  <c r="D58" i="129"/>
  <c r="F58" i="129"/>
  <c r="H58" i="129"/>
  <c r="J58" i="129"/>
  <c r="L58" i="129"/>
  <c r="N58" i="129"/>
  <c r="P58" i="129"/>
  <c r="B59" i="129"/>
  <c r="D59" i="129"/>
  <c r="F59" i="129"/>
  <c r="H59" i="129"/>
  <c r="J59" i="129"/>
  <c r="L59" i="129"/>
  <c r="N59" i="129"/>
  <c r="P59" i="129"/>
  <c r="B61" i="129"/>
  <c r="D61" i="129"/>
  <c r="F61" i="129"/>
  <c r="H61" i="129"/>
  <c r="J61" i="129"/>
  <c r="L61" i="129"/>
  <c r="N61" i="129"/>
  <c r="P61" i="129"/>
  <c r="B62" i="129"/>
  <c r="D62" i="129"/>
  <c r="F62" i="129"/>
  <c r="H62" i="129"/>
  <c r="J62" i="129"/>
  <c r="L62" i="129"/>
  <c r="N62" i="129"/>
  <c r="P62" i="129"/>
  <c r="B63" i="129"/>
  <c r="D63" i="129"/>
  <c r="F63" i="129"/>
  <c r="H63" i="129"/>
  <c r="J63" i="129"/>
  <c r="L63" i="129"/>
  <c r="N63" i="129"/>
  <c r="P63" i="129"/>
  <c r="D10" i="130"/>
  <c r="E10" i="130"/>
  <c r="J10" i="130"/>
  <c r="K10" i="130"/>
  <c r="D11" i="130"/>
  <c r="E11" i="130"/>
  <c r="J11" i="130"/>
  <c r="K11" i="130"/>
  <c r="D12" i="130"/>
  <c r="E12" i="130"/>
  <c r="J12" i="130"/>
  <c r="K12" i="130"/>
  <c r="D13" i="130"/>
  <c r="E13" i="130"/>
  <c r="J13" i="130"/>
  <c r="K13" i="130"/>
  <c r="D14" i="130"/>
  <c r="E14" i="130"/>
  <c r="H14" i="130"/>
  <c r="J14" i="130"/>
  <c r="K14" i="130"/>
  <c r="B15" i="130"/>
  <c r="C15" i="130"/>
  <c r="D15" i="130"/>
  <c r="E15" i="130"/>
  <c r="H15" i="130"/>
  <c r="I15" i="130"/>
  <c r="J15" i="130"/>
  <c r="K15" i="130"/>
  <c r="D17" i="130"/>
  <c r="J17" i="130"/>
  <c r="D18" i="130"/>
  <c r="E18" i="130"/>
  <c r="J18" i="130"/>
  <c r="K18" i="130"/>
  <c r="D19" i="130"/>
  <c r="E19" i="130"/>
  <c r="J19" i="130"/>
  <c r="K19" i="130"/>
  <c r="D20" i="130"/>
  <c r="J20" i="130"/>
  <c r="D21" i="130"/>
  <c r="E21" i="130"/>
  <c r="J21" i="130"/>
  <c r="K21" i="130"/>
  <c r="B22" i="130"/>
  <c r="C22" i="130"/>
  <c r="D22" i="130"/>
  <c r="E22" i="130"/>
  <c r="H22" i="130"/>
  <c r="I22" i="130"/>
  <c r="J22" i="130"/>
  <c r="K22" i="130"/>
  <c r="D26" i="130"/>
  <c r="E26" i="130"/>
  <c r="J26" i="130"/>
  <c r="K26" i="130"/>
  <c r="D27" i="130"/>
  <c r="E27" i="130"/>
  <c r="J27" i="130"/>
  <c r="K27" i="130"/>
  <c r="D28" i="130"/>
  <c r="E28" i="130"/>
  <c r="J28" i="130"/>
  <c r="K28" i="130"/>
  <c r="B29" i="130"/>
  <c r="C29" i="130"/>
  <c r="D29" i="130"/>
  <c r="E29" i="130"/>
  <c r="H29" i="130"/>
  <c r="I29" i="130"/>
  <c r="J29" i="130"/>
  <c r="K29" i="130"/>
  <c r="D32" i="130"/>
  <c r="J32" i="130"/>
  <c r="D33" i="130"/>
  <c r="J33" i="130"/>
  <c r="D34" i="130"/>
  <c r="E34" i="130"/>
  <c r="J34" i="130"/>
  <c r="K34" i="130"/>
  <c r="B35" i="130"/>
  <c r="C35" i="130"/>
  <c r="D35" i="130"/>
  <c r="E35" i="130"/>
  <c r="H35" i="130"/>
  <c r="I35" i="130"/>
  <c r="J35" i="130"/>
  <c r="K35" i="130"/>
  <c r="D38" i="130"/>
  <c r="J38" i="130"/>
  <c r="D39" i="130"/>
  <c r="J39" i="130"/>
  <c r="D40" i="130"/>
  <c r="E40" i="130"/>
  <c r="J40" i="130"/>
  <c r="K40" i="130"/>
  <c r="B41" i="130"/>
  <c r="C41" i="130"/>
  <c r="D41" i="130"/>
  <c r="E41" i="130"/>
  <c r="H41" i="130"/>
  <c r="I41" i="130"/>
  <c r="J41" i="130"/>
  <c r="K41" i="130"/>
  <c r="D43" i="130"/>
  <c r="E43" i="130"/>
  <c r="J43" i="130"/>
  <c r="K43" i="130"/>
  <c r="B44" i="130"/>
  <c r="C44" i="130"/>
  <c r="D44" i="130"/>
  <c r="E44" i="130"/>
  <c r="H44" i="130"/>
  <c r="I44" i="130"/>
  <c r="J44" i="130"/>
  <c r="K44" i="130"/>
  <c r="D47" i="130"/>
  <c r="E47" i="130"/>
  <c r="J47" i="130"/>
  <c r="K47" i="130"/>
  <c r="D48" i="130"/>
  <c r="J48" i="130"/>
  <c r="D49" i="130"/>
  <c r="D50" i="130"/>
  <c r="J50" i="130"/>
  <c r="B51" i="130"/>
  <c r="C51" i="130"/>
  <c r="D51" i="130"/>
  <c r="H51" i="130"/>
  <c r="I51" i="130"/>
  <c r="J51" i="130"/>
  <c r="B53" i="130"/>
  <c r="C53" i="130"/>
  <c r="D53" i="130"/>
  <c r="E53" i="130"/>
  <c r="H53" i="130"/>
  <c r="I53" i="130"/>
  <c r="J53" i="130"/>
  <c r="K53" i="130"/>
  <c r="B58" i="130"/>
  <c r="D58" i="130"/>
  <c r="H58" i="130"/>
  <c r="J58" i="130"/>
  <c r="B59" i="130"/>
  <c r="C59" i="130"/>
  <c r="D59" i="130"/>
  <c r="H59" i="130"/>
  <c r="J59" i="130"/>
  <c r="B60" i="130"/>
  <c r="C60" i="130"/>
  <c r="D60" i="130"/>
  <c r="H60" i="130"/>
  <c r="I60" i="130"/>
  <c r="J60" i="130"/>
  <c r="B62" i="130"/>
  <c r="J62" i="130"/>
  <c r="B63" i="130"/>
  <c r="J63" i="130"/>
  <c r="B64" i="130"/>
  <c r="B11" i="127"/>
  <c r="D11" i="127"/>
  <c r="F11" i="127"/>
  <c r="H11" i="127"/>
  <c r="I11" i="127"/>
  <c r="J11" i="127"/>
  <c r="K11" i="127"/>
  <c r="L11" i="127"/>
  <c r="M11" i="127"/>
  <c r="N11" i="127"/>
  <c r="O11" i="127"/>
  <c r="P11" i="127"/>
  <c r="B12" i="127"/>
  <c r="D12" i="127"/>
  <c r="F12" i="127"/>
  <c r="H12" i="127"/>
  <c r="I12" i="127"/>
  <c r="J12" i="127"/>
  <c r="K12" i="127"/>
  <c r="L12" i="127"/>
  <c r="B13" i="127"/>
  <c r="D13" i="127"/>
  <c r="F13" i="127"/>
  <c r="H13" i="127"/>
  <c r="I13" i="127"/>
  <c r="J13" i="127"/>
  <c r="K13" i="127"/>
  <c r="L13" i="127"/>
  <c r="M13" i="127"/>
  <c r="N13" i="127"/>
  <c r="O13" i="127"/>
  <c r="P13" i="127"/>
  <c r="B14" i="127"/>
  <c r="D14" i="127"/>
  <c r="F14" i="127"/>
  <c r="H14" i="127"/>
  <c r="I14" i="127"/>
  <c r="J14" i="127"/>
  <c r="K14" i="127"/>
  <c r="L14" i="127"/>
  <c r="M14" i="127"/>
  <c r="N14" i="127"/>
  <c r="O14" i="127"/>
  <c r="P14" i="127"/>
  <c r="B15" i="127"/>
  <c r="D15" i="127"/>
  <c r="F15" i="127"/>
  <c r="H15" i="127"/>
  <c r="I15" i="127"/>
  <c r="J15" i="127"/>
  <c r="K15" i="127"/>
  <c r="L15" i="127"/>
  <c r="M15" i="127"/>
  <c r="N15" i="127"/>
  <c r="O15" i="127"/>
  <c r="P15" i="127"/>
  <c r="B23" i="127"/>
  <c r="C23" i="127"/>
  <c r="D23" i="127"/>
  <c r="F23" i="127"/>
  <c r="H23" i="127"/>
  <c r="J23" i="127"/>
  <c r="L23" i="127"/>
  <c r="N23" i="127"/>
  <c r="P23" i="127"/>
  <c r="R23" i="127"/>
  <c r="S23" i="127"/>
  <c r="T23" i="127"/>
  <c r="B24" i="127"/>
  <c r="C24" i="127"/>
  <c r="D24" i="127"/>
  <c r="F24" i="127"/>
  <c r="H24" i="127"/>
  <c r="J24" i="127"/>
  <c r="L24" i="127"/>
  <c r="N24" i="127"/>
  <c r="P24" i="127"/>
  <c r="R24" i="127"/>
  <c r="S24" i="127"/>
  <c r="T24" i="127"/>
  <c r="B25" i="127"/>
  <c r="C25" i="127"/>
  <c r="D25" i="127"/>
  <c r="F25" i="127"/>
  <c r="H25" i="127"/>
  <c r="J25" i="127"/>
  <c r="L25" i="127"/>
  <c r="N25" i="127"/>
  <c r="P25" i="127"/>
  <c r="R25" i="127"/>
  <c r="S25" i="127"/>
  <c r="T25" i="127"/>
  <c r="B26" i="127"/>
  <c r="C26" i="127"/>
  <c r="D26" i="127"/>
  <c r="F26" i="127"/>
  <c r="H26" i="127"/>
  <c r="J26" i="127"/>
  <c r="L26" i="127"/>
  <c r="N26" i="127"/>
  <c r="P26" i="127"/>
  <c r="R26" i="127"/>
  <c r="S26" i="127"/>
  <c r="T26" i="127"/>
  <c r="B27" i="127"/>
  <c r="C27" i="127"/>
  <c r="D27" i="127"/>
  <c r="F27" i="127"/>
  <c r="H27" i="127"/>
  <c r="J27" i="127"/>
  <c r="L27" i="127"/>
  <c r="N27" i="127"/>
  <c r="P27" i="127"/>
  <c r="R27" i="127"/>
  <c r="S27" i="127"/>
  <c r="T27" i="127"/>
  <c r="B42" i="127"/>
  <c r="N42" i="127"/>
  <c r="O42" i="127"/>
  <c r="Q42" i="127"/>
  <c r="B44" i="127"/>
  <c r="N44" i="127"/>
  <c r="O44" i="127"/>
  <c r="Q44" i="127"/>
  <c r="B49" i="127"/>
  <c r="N49" i="127"/>
  <c r="O49" i="127"/>
  <c r="Q49" i="127"/>
  <c r="B52" i="127"/>
  <c r="N52" i="127"/>
  <c r="O52" i="127"/>
  <c r="Q52" i="127"/>
  <c r="B55" i="127"/>
  <c r="N55" i="127"/>
  <c r="O55" i="127"/>
  <c r="Q55" i="127"/>
  <c r="B59" i="127"/>
  <c r="N59" i="127"/>
  <c r="O59" i="127"/>
  <c r="Q59" i="127"/>
  <c r="B61" i="127"/>
  <c r="N61" i="127"/>
  <c r="O61" i="127"/>
  <c r="Q61" i="127"/>
  <c r="B64" i="127"/>
  <c r="N64" i="127"/>
  <c r="O64" i="127"/>
  <c r="Q64" i="127"/>
  <c r="B66" i="127"/>
  <c r="N66" i="127"/>
  <c r="O66" i="127"/>
  <c r="Q66" i="127"/>
  <c r="B68" i="127"/>
  <c r="N68" i="127"/>
  <c r="O68" i="127"/>
  <c r="Q68" i="127"/>
  <c r="B71" i="127"/>
  <c r="N71" i="127"/>
  <c r="O71" i="127"/>
  <c r="Q71" i="127"/>
  <c r="B74" i="127"/>
  <c r="N74" i="127"/>
  <c r="O74" i="127"/>
  <c r="Q74" i="127"/>
  <c r="B10" i="131"/>
  <c r="D10" i="131"/>
  <c r="F10" i="131"/>
  <c r="H10" i="131"/>
  <c r="J10" i="131"/>
  <c r="K10" i="131"/>
  <c r="L10" i="131"/>
  <c r="M10" i="131"/>
  <c r="N10" i="131"/>
  <c r="O10" i="131"/>
  <c r="P10" i="131"/>
  <c r="B11" i="131"/>
  <c r="D11" i="131"/>
  <c r="F11" i="131"/>
  <c r="H11" i="131"/>
  <c r="J11" i="131"/>
  <c r="K11" i="131"/>
  <c r="L11" i="131"/>
  <c r="M11" i="131"/>
  <c r="N11" i="131"/>
  <c r="O11" i="131"/>
  <c r="P11" i="131"/>
  <c r="B12" i="131"/>
  <c r="D12" i="131"/>
  <c r="F12" i="131"/>
  <c r="H12" i="131"/>
  <c r="J12" i="131"/>
  <c r="K12" i="131"/>
  <c r="L12" i="131"/>
  <c r="M12" i="131"/>
  <c r="N12" i="131"/>
  <c r="O12" i="131"/>
  <c r="P12" i="131"/>
  <c r="B13" i="131"/>
  <c r="D13" i="131"/>
  <c r="F13" i="131"/>
  <c r="H13" i="131"/>
  <c r="J13" i="131"/>
  <c r="K13" i="131"/>
  <c r="L13" i="131"/>
  <c r="M13" i="131"/>
  <c r="N13" i="131"/>
  <c r="O13" i="131"/>
  <c r="P13" i="131"/>
  <c r="B14" i="131"/>
  <c r="D14" i="131"/>
  <c r="F14" i="131"/>
  <c r="H14" i="131"/>
  <c r="J14" i="131"/>
  <c r="K14" i="131"/>
  <c r="L14" i="131"/>
  <c r="M14" i="131"/>
  <c r="N14" i="131"/>
  <c r="O14" i="131"/>
  <c r="P14" i="131"/>
  <c r="B15" i="131"/>
  <c r="D15" i="131"/>
  <c r="F15" i="131"/>
  <c r="H15" i="131"/>
  <c r="J15" i="131"/>
  <c r="K15" i="131"/>
  <c r="L15" i="131"/>
  <c r="M15" i="131"/>
  <c r="N15" i="131"/>
  <c r="O15" i="131"/>
  <c r="P15" i="131"/>
  <c r="B18" i="131"/>
  <c r="D18" i="131"/>
  <c r="F18" i="131"/>
  <c r="H18" i="131"/>
  <c r="J18" i="131"/>
  <c r="K18" i="131"/>
  <c r="L18" i="131"/>
  <c r="M18" i="131"/>
  <c r="N18" i="131"/>
  <c r="O18" i="131"/>
  <c r="P18" i="131"/>
  <c r="B19" i="131"/>
  <c r="D19" i="131"/>
  <c r="F19" i="131"/>
  <c r="H19" i="131"/>
  <c r="J19" i="131"/>
  <c r="K19" i="131"/>
  <c r="L19" i="131"/>
  <c r="M19" i="131"/>
  <c r="N19" i="131"/>
  <c r="O19" i="131"/>
  <c r="P19" i="131"/>
  <c r="B20" i="131"/>
  <c r="D20" i="131"/>
  <c r="F20" i="131"/>
  <c r="H20" i="131"/>
  <c r="J20" i="131"/>
  <c r="K20" i="131"/>
  <c r="L20" i="131"/>
  <c r="M20" i="131"/>
  <c r="N20" i="131"/>
  <c r="O20" i="131"/>
  <c r="P20" i="131"/>
  <c r="B21" i="131"/>
  <c r="D21" i="131"/>
  <c r="F21" i="131"/>
  <c r="H21" i="131"/>
  <c r="J21" i="131"/>
  <c r="K21" i="131"/>
  <c r="L21" i="131"/>
  <c r="M21" i="131"/>
  <c r="N21" i="131"/>
  <c r="O21" i="131"/>
  <c r="P21" i="131"/>
  <c r="B23" i="131"/>
  <c r="D23" i="131"/>
  <c r="F23" i="131"/>
  <c r="H23" i="131"/>
  <c r="J23" i="131"/>
  <c r="K23" i="131"/>
  <c r="L23" i="131"/>
  <c r="M23" i="131"/>
  <c r="N23" i="131"/>
  <c r="O23" i="131"/>
  <c r="P23" i="131"/>
  <c r="B25" i="131"/>
  <c r="D25" i="131"/>
  <c r="F25" i="131"/>
  <c r="H25" i="131"/>
  <c r="J25" i="131"/>
  <c r="K25" i="131"/>
  <c r="L25" i="131"/>
  <c r="M25" i="131"/>
  <c r="N25" i="131"/>
  <c r="O25" i="131"/>
  <c r="P25" i="131"/>
  <c r="B28" i="131"/>
  <c r="D28" i="131"/>
  <c r="F28" i="131"/>
  <c r="H28" i="131"/>
  <c r="J28" i="131"/>
  <c r="K28" i="131"/>
  <c r="L28" i="131"/>
  <c r="M28" i="131"/>
  <c r="N28" i="131"/>
  <c r="O28" i="131"/>
  <c r="P28" i="131"/>
  <c r="B31" i="131"/>
  <c r="D31" i="131"/>
  <c r="F31" i="131"/>
  <c r="H31" i="131"/>
  <c r="J31" i="131"/>
  <c r="K31" i="131"/>
  <c r="L31" i="131"/>
  <c r="M31" i="131"/>
  <c r="N31" i="131"/>
  <c r="O31" i="131"/>
  <c r="P31" i="131"/>
  <c r="B32" i="131"/>
  <c r="D32" i="131"/>
  <c r="F32" i="131"/>
  <c r="H32" i="131"/>
  <c r="J32" i="131"/>
  <c r="K32" i="131"/>
  <c r="L32" i="131"/>
  <c r="M32" i="131"/>
  <c r="N32" i="131"/>
  <c r="O32" i="131"/>
  <c r="P32" i="131"/>
  <c r="B33" i="131"/>
  <c r="D33" i="131"/>
  <c r="F33" i="131"/>
  <c r="H33" i="131"/>
  <c r="J33" i="131"/>
  <c r="K33" i="131"/>
  <c r="L33" i="131"/>
  <c r="M33" i="131"/>
  <c r="N33" i="131"/>
  <c r="O33" i="131"/>
  <c r="P33" i="131"/>
  <c r="B34" i="131"/>
  <c r="D34" i="131"/>
  <c r="F34" i="131"/>
  <c r="H34" i="131"/>
  <c r="J34" i="131"/>
  <c r="K34" i="131"/>
  <c r="L34" i="131"/>
  <c r="M34" i="131"/>
  <c r="N34" i="131"/>
  <c r="O34" i="131"/>
  <c r="P34" i="131"/>
  <c r="B35" i="131"/>
  <c r="D35" i="131"/>
  <c r="F35" i="131"/>
  <c r="H35" i="131"/>
  <c r="J35" i="131"/>
  <c r="K35" i="131"/>
  <c r="L35" i="131"/>
  <c r="M35" i="131"/>
  <c r="N35" i="131"/>
  <c r="O35" i="131"/>
  <c r="P35" i="131"/>
  <c r="B37" i="131"/>
  <c r="D37" i="131"/>
  <c r="F37" i="131"/>
  <c r="H37" i="131"/>
  <c r="J37" i="131"/>
  <c r="K37" i="131"/>
  <c r="L37" i="131"/>
  <c r="M37" i="131"/>
  <c r="N37" i="131"/>
  <c r="O37" i="131"/>
  <c r="P37" i="131"/>
  <c r="B39" i="131"/>
  <c r="D39" i="131"/>
  <c r="F39" i="131"/>
  <c r="H39" i="131"/>
  <c r="J39" i="131"/>
  <c r="K39" i="131"/>
  <c r="L39" i="131"/>
  <c r="M39" i="131"/>
  <c r="N39" i="131"/>
  <c r="O39" i="131"/>
  <c r="P39" i="131"/>
  <c r="B41" i="131"/>
  <c r="D41" i="131"/>
  <c r="F41" i="131"/>
  <c r="H41" i="131"/>
  <c r="J41" i="131"/>
  <c r="K41" i="131"/>
  <c r="L41" i="131"/>
  <c r="M41" i="131"/>
  <c r="N41" i="131"/>
  <c r="O41" i="131"/>
  <c r="P41" i="131"/>
  <c r="C50" i="131"/>
  <c r="D50" i="131"/>
  <c r="H50" i="131"/>
  <c r="L50" i="131"/>
  <c r="P50" i="131"/>
  <c r="R50" i="131"/>
  <c r="S50" i="131"/>
  <c r="T50" i="131"/>
  <c r="U50" i="131"/>
  <c r="C51" i="131"/>
  <c r="D51" i="131"/>
  <c r="H51" i="131"/>
  <c r="L51" i="131"/>
  <c r="P51" i="131"/>
  <c r="R51" i="131"/>
  <c r="S51" i="131"/>
  <c r="T51" i="131"/>
  <c r="U51" i="131"/>
  <c r="C52" i="131"/>
  <c r="D52" i="131"/>
  <c r="H52" i="131"/>
  <c r="L52" i="131"/>
  <c r="P52" i="131"/>
  <c r="R52" i="131"/>
  <c r="S52" i="131"/>
  <c r="T52" i="131"/>
  <c r="U52" i="131"/>
  <c r="B53" i="131"/>
  <c r="C53" i="131"/>
  <c r="D53" i="131"/>
  <c r="F53" i="131"/>
  <c r="H53" i="131"/>
  <c r="J53" i="131"/>
  <c r="L53" i="131"/>
  <c r="N53" i="131"/>
  <c r="P53" i="131"/>
  <c r="R53" i="131"/>
  <c r="S53" i="131"/>
  <c r="T53" i="131"/>
  <c r="U53" i="131"/>
  <c r="C54" i="131"/>
  <c r="D54" i="131"/>
  <c r="H54" i="131"/>
  <c r="L54" i="131"/>
  <c r="P54" i="131"/>
  <c r="R54" i="131"/>
  <c r="S54" i="131"/>
  <c r="T54" i="131"/>
  <c r="U54" i="131"/>
  <c r="B55" i="131"/>
  <c r="C55" i="131"/>
  <c r="D55" i="131"/>
  <c r="F55" i="131"/>
  <c r="H55" i="131"/>
  <c r="J55" i="131"/>
  <c r="L55" i="131"/>
  <c r="N55" i="131"/>
  <c r="P55" i="131"/>
  <c r="R55" i="131"/>
  <c r="S55" i="131"/>
  <c r="T55" i="131"/>
  <c r="U55" i="131"/>
  <c r="C58" i="131"/>
  <c r="D58" i="131"/>
  <c r="H58" i="131"/>
  <c r="L58" i="131"/>
  <c r="P58" i="131"/>
  <c r="R58" i="131"/>
  <c r="S58" i="131"/>
  <c r="T58" i="131"/>
  <c r="U58" i="131"/>
  <c r="C59" i="131"/>
  <c r="D59" i="131"/>
  <c r="H59" i="131"/>
  <c r="L59" i="131"/>
  <c r="P59" i="131"/>
  <c r="R59" i="131"/>
  <c r="S59" i="131"/>
  <c r="T59" i="131"/>
  <c r="U59" i="131"/>
  <c r="C60" i="131"/>
  <c r="D60" i="131"/>
  <c r="H60" i="131"/>
  <c r="L60" i="131"/>
  <c r="P60" i="131"/>
  <c r="R60" i="131"/>
  <c r="S60" i="131"/>
  <c r="T60" i="131"/>
  <c r="U60" i="131"/>
  <c r="B61" i="131"/>
  <c r="C61" i="131"/>
  <c r="D61" i="131"/>
  <c r="F61" i="131"/>
  <c r="H61" i="131"/>
  <c r="J61" i="131"/>
  <c r="L61" i="131"/>
  <c r="N61" i="131"/>
  <c r="P61" i="131"/>
  <c r="R61" i="131"/>
  <c r="S61" i="131"/>
  <c r="T61" i="131"/>
  <c r="U61" i="131"/>
  <c r="B63" i="131"/>
  <c r="C63" i="131"/>
  <c r="D63" i="131"/>
  <c r="F63" i="131"/>
  <c r="H63" i="131"/>
  <c r="J63" i="131"/>
  <c r="L63" i="131"/>
  <c r="N63" i="131"/>
  <c r="P63" i="131"/>
  <c r="R63" i="131"/>
  <c r="S63" i="131"/>
  <c r="T63" i="131"/>
  <c r="U63" i="131"/>
  <c r="C65" i="131"/>
  <c r="D65" i="131"/>
  <c r="H65" i="131"/>
  <c r="L65" i="131"/>
  <c r="P65" i="131"/>
  <c r="R65" i="131"/>
  <c r="S65" i="131"/>
  <c r="T65" i="131"/>
  <c r="U65" i="131"/>
  <c r="B68" i="131"/>
  <c r="C68" i="131"/>
  <c r="D68" i="131"/>
  <c r="F68" i="131"/>
  <c r="H68" i="131"/>
  <c r="J68" i="131"/>
  <c r="L68" i="131"/>
  <c r="N68" i="131"/>
  <c r="P68" i="131"/>
  <c r="R68" i="131"/>
  <c r="S68" i="131"/>
  <c r="T68" i="131"/>
  <c r="U68" i="131"/>
  <c r="C71" i="131"/>
  <c r="D71" i="131"/>
  <c r="H71" i="131"/>
  <c r="L71" i="131"/>
  <c r="P71" i="131"/>
  <c r="R71" i="131"/>
  <c r="S71" i="131"/>
  <c r="T71" i="131"/>
  <c r="U71" i="131"/>
  <c r="C72" i="131"/>
  <c r="D72" i="131"/>
  <c r="H72" i="131"/>
  <c r="L72" i="131"/>
  <c r="P72" i="131"/>
  <c r="R72" i="131"/>
  <c r="S72" i="131"/>
  <c r="T72" i="131"/>
  <c r="U72" i="131"/>
  <c r="C73" i="131"/>
  <c r="D73" i="131"/>
  <c r="H73" i="131"/>
  <c r="L73" i="131"/>
  <c r="P73" i="131"/>
  <c r="R73" i="131"/>
  <c r="S73" i="131"/>
  <c r="T73" i="131"/>
  <c r="U73" i="131"/>
  <c r="C74" i="131"/>
  <c r="D74" i="131"/>
  <c r="H74" i="131"/>
  <c r="L74" i="131"/>
  <c r="P74" i="131"/>
  <c r="R74" i="131"/>
  <c r="S74" i="131"/>
  <c r="T74" i="131"/>
  <c r="U74" i="131"/>
  <c r="B75" i="131"/>
  <c r="C75" i="131"/>
  <c r="D75" i="131"/>
  <c r="F75" i="131"/>
  <c r="H75" i="131"/>
  <c r="J75" i="131"/>
  <c r="L75" i="131"/>
  <c r="N75" i="131"/>
  <c r="P75" i="131"/>
  <c r="R75" i="131"/>
  <c r="S75" i="131"/>
  <c r="T75" i="131"/>
  <c r="U75" i="131"/>
  <c r="B77" i="131"/>
  <c r="C77" i="131"/>
  <c r="D77" i="131"/>
  <c r="F77" i="131"/>
  <c r="H77" i="131"/>
  <c r="J77" i="131"/>
  <c r="L77" i="131"/>
  <c r="N77" i="131"/>
  <c r="P77" i="131"/>
  <c r="R77" i="131"/>
  <c r="S77" i="131"/>
  <c r="T77" i="131"/>
  <c r="U77" i="131"/>
  <c r="C79" i="131"/>
  <c r="D79" i="131"/>
  <c r="H79" i="131"/>
  <c r="L79" i="131"/>
  <c r="P79" i="131"/>
  <c r="R79" i="131"/>
  <c r="S79" i="131"/>
  <c r="T79" i="131"/>
  <c r="U79" i="131"/>
  <c r="B81" i="131"/>
  <c r="C81" i="131"/>
  <c r="D81" i="131"/>
  <c r="F81" i="131"/>
  <c r="H81" i="131"/>
  <c r="J81" i="131"/>
  <c r="L81" i="131"/>
  <c r="N81" i="131"/>
  <c r="P81" i="131"/>
  <c r="R81" i="131"/>
  <c r="S81" i="131"/>
  <c r="T81" i="131"/>
  <c r="U81" i="131"/>
  <c r="B88" i="131"/>
  <c r="B89" i="131"/>
  <c r="B90" i="131"/>
  <c r="D90" i="131"/>
  <c r="F90" i="131"/>
  <c r="H90" i="131"/>
  <c r="B91" i="131"/>
  <c r="B92" i="131"/>
  <c r="D92" i="131"/>
  <c r="F92" i="131"/>
  <c r="H92" i="131"/>
  <c r="B95" i="131"/>
  <c r="B96" i="131"/>
  <c r="B97" i="131"/>
  <c r="B98" i="131"/>
  <c r="D98" i="131"/>
  <c r="F98" i="131"/>
  <c r="H98" i="131"/>
  <c r="B100" i="131"/>
  <c r="D100" i="131"/>
  <c r="F100" i="131"/>
  <c r="H100" i="131"/>
  <c r="B102" i="131"/>
  <c r="B105" i="131"/>
  <c r="D105" i="131"/>
  <c r="F105" i="131"/>
  <c r="H105" i="131"/>
  <c r="B108" i="131"/>
  <c r="B109" i="131"/>
  <c r="B110" i="131"/>
  <c r="B111" i="131"/>
  <c r="B112" i="131"/>
  <c r="D112" i="131"/>
  <c r="F112" i="131"/>
  <c r="H112" i="131"/>
  <c r="B114" i="131"/>
  <c r="D114" i="131"/>
  <c r="F114" i="131"/>
  <c r="H114" i="131"/>
  <c r="B116" i="131"/>
  <c r="B118" i="131"/>
  <c r="D118" i="131"/>
  <c r="F118" i="131"/>
  <c r="H118" i="131"/>
  <c r="I10" i="128"/>
  <c r="K10" i="128"/>
  <c r="M10" i="128"/>
  <c r="O10" i="128"/>
  <c r="P10" i="128"/>
  <c r="I11" i="128"/>
  <c r="K11" i="128"/>
  <c r="M11" i="128"/>
  <c r="O11" i="128"/>
  <c r="P11" i="128"/>
  <c r="I12" i="128"/>
  <c r="K12" i="128"/>
  <c r="M12" i="128"/>
  <c r="O12" i="128"/>
  <c r="P12" i="128"/>
  <c r="I13" i="128"/>
  <c r="K13" i="128"/>
  <c r="I14" i="128"/>
  <c r="K14" i="128"/>
  <c r="L14" i="128"/>
  <c r="M14" i="128"/>
  <c r="O14" i="128"/>
  <c r="P14" i="128"/>
  <c r="B15" i="128"/>
  <c r="D15" i="128"/>
  <c r="F15" i="128"/>
  <c r="H15" i="128"/>
  <c r="I15" i="128"/>
  <c r="J15" i="128"/>
  <c r="K15" i="128"/>
  <c r="L15" i="128"/>
  <c r="M15" i="128"/>
  <c r="N15" i="128"/>
  <c r="O15" i="128"/>
  <c r="P15" i="128"/>
  <c r="I17" i="128"/>
  <c r="K17" i="128"/>
  <c r="I18" i="128"/>
  <c r="K18" i="128"/>
  <c r="L18" i="128"/>
  <c r="M18" i="128"/>
  <c r="O18" i="128"/>
  <c r="P18" i="128"/>
  <c r="I19" i="128"/>
  <c r="K19" i="128"/>
  <c r="M19" i="128"/>
  <c r="O19" i="128"/>
  <c r="P19" i="128"/>
  <c r="I20" i="128"/>
  <c r="K20" i="128"/>
  <c r="M20" i="128"/>
  <c r="O20" i="128"/>
  <c r="P20" i="128"/>
  <c r="I21" i="128"/>
  <c r="K21" i="128"/>
  <c r="M21" i="128"/>
  <c r="O21" i="128"/>
  <c r="P21" i="128"/>
  <c r="B22" i="128"/>
  <c r="D22" i="128"/>
  <c r="F22" i="128"/>
  <c r="H22" i="128"/>
  <c r="I22" i="128"/>
  <c r="J22" i="128"/>
  <c r="K22" i="128"/>
  <c r="L22" i="128"/>
  <c r="M22" i="128"/>
  <c r="N22" i="128"/>
  <c r="O22" i="128"/>
  <c r="P22" i="128"/>
  <c r="I26" i="128"/>
  <c r="K26" i="128"/>
  <c r="M26" i="128"/>
  <c r="O26" i="128"/>
  <c r="P26" i="128"/>
  <c r="I27" i="128"/>
  <c r="K27" i="128"/>
  <c r="M27" i="128"/>
  <c r="O27" i="128"/>
  <c r="P27" i="128"/>
  <c r="I28" i="128"/>
  <c r="K28" i="128"/>
  <c r="M28" i="128"/>
  <c r="O28" i="128"/>
  <c r="P28" i="128"/>
  <c r="B29" i="128"/>
  <c r="D29" i="128"/>
  <c r="F29" i="128"/>
  <c r="H29" i="128"/>
  <c r="I29" i="128"/>
  <c r="J29" i="128"/>
  <c r="K29" i="128"/>
  <c r="L29" i="128"/>
  <c r="M29" i="128"/>
  <c r="N29" i="128"/>
  <c r="O29" i="128"/>
  <c r="P29" i="128"/>
  <c r="B32" i="128"/>
  <c r="D32" i="128"/>
  <c r="F32" i="128"/>
  <c r="H32" i="128"/>
  <c r="J32" i="128"/>
  <c r="L32" i="128"/>
  <c r="B33" i="128"/>
  <c r="D33" i="128"/>
  <c r="F33" i="128"/>
  <c r="H33" i="128"/>
  <c r="J33" i="128"/>
  <c r="L33" i="128"/>
  <c r="I34" i="128"/>
  <c r="K34" i="128"/>
  <c r="M34" i="128"/>
  <c r="O34" i="128"/>
  <c r="P34" i="128"/>
  <c r="B35" i="128"/>
  <c r="D35" i="128"/>
  <c r="F35" i="128"/>
  <c r="H35" i="128"/>
  <c r="I35" i="128"/>
  <c r="J35" i="128"/>
  <c r="K35" i="128"/>
  <c r="L35" i="128"/>
  <c r="M35" i="128"/>
  <c r="N35" i="128"/>
  <c r="O35" i="128"/>
  <c r="P35" i="128"/>
  <c r="D38" i="128"/>
  <c r="F38" i="128"/>
  <c r="H38" i="128"/>
  <c r="J38" i="128"/>
  <c r="L38" i="128"/>
  <c r="B39" i="128"/>
  <c r="D39" i="128"/>
  <c r="F39" i="128"/>
  <c r="H39" i="128"/>
  <c r="J39" i="128"/>
  <c r="L39" i="128"/>
  <c r="I40" i="128"/>
  <c r="K40" i="128"/>
  <c r="M40" i="128"/>
  <c r="O40" i="128"/>
  <c r="P40" i="128"/>
  <c r="B41" i="128"/>
  <c r="D41" i="128"/>
  <c r="F41" i="128"/>
  <c r="H41" i="128"/>
  <c r="I41" i="128"/>
  <c r="J41" i="128"/>
  <c r="K41" i="128"/>
  <c r="L41" i="128"/>
  <c r="M41" i="128"/>
  <c r="N41" i="128"/>
  <c r="O41" i="128"/>
  <c r="P41" i="128"/>
  <c r="I43" i="128"/>
  <c r="K43" i="128"/>
  <c r="M43" i="128"/>
  <c r="O43" i="128"/>
  <c r="P43" i="128"/>
  <c r="B44" i="128"/>
  <c r="D44" i="128"/>
  <c r="F44" i="128"/>
  <c r="H44" i="128"/>
  <c r="I44" i="128"/>
  <c r="J44" i="128"/>
  <c r="K44" i="128"/>
  <c r="L44" i="128"/>
  <c r="M44" i="128"/>
  <c r="N44" i="128"/>
  <c r="O44" i="128"/>
  <c r="P44" i="128"/>
  <c r="I47" i="128"/>
  <c r="K47" i="128"/>
  <c r="M47" i="128"/>
  <c r="O47" i="128"/>
  <c r="P47" i="128"/>
  <c r="I48" i="128"/>
  <c r="K48" i="128"/>
  <c r="M48" i="128"/>
  <c r="O48" i="128"/>
  <c r="P48" i="128"/>
  <c r="I49" i="128"/>
  <c r="K49" i="128"/>
  <c r="I50" i="128"/>
  <c r="K50" i="128"/>
  <c r="L50" i="128"/>
  <c r="M50" i="128"/>
  <c r="O50" i="128"/>
  <c r="P50" i="128"/>
  <c r="B51" i="128"/>
  <c r="D51" i="128"/>
  <c r="F51" i="128"/>
  <c r="H51" i="128"/>
  <c r="I51" i="128"/>
  <c r="J51" i="128"/>
  <c r="K51" i="128"/>
  <c r="L51" i="128"/>
  <c r="M51" i="128"/>
  <c r="N51" i="128"/>
  <c r="O51" i="128"/>
  <c r="P51" i="128"/>
  <c r="B52" i="128"/>
  <c r="D52" i="128"/>
  <c r="F52" i="128"/>
  <c r="H52" i="128"/>
  <c r="I52" i="128"/>
  <c r="J52" i="128"/>
  <c r="K52" i="128"/>
  <c r="L52" i="128"/>
  <c r="M52" i="128"/>
  <c r="N52" i="128"/>
  <c r="O52" i="128"/>
  <c r="P52" i="128"/>
  <c r="P56" i="128"/>
  <c r="P57" i="128"/>
  <c r="L58" i="128"/>
  <c r="P58" i="128"/>
  <c r="P60" i="128"/>
  <c r="P61" i="128"/>
  <c r="L62" i="128"/>
  <c r="B69" i="128"/>
  <c r="D69" i="128"/>
  <c r="F69" i="128"/>
  <c r="G69" i="128"/>
  <c r="H69" i="128"/>
  <c r="I69" i="128"/>
  <c r="J69" i="128"/>
  <c r="K69" i="128"/>
  <c r="L69" i="128"/>
  <c r="M69" i="128"/>
  <c r="O69" i="128"/>
  <c r="B70" i="128"/>
  <c r="B71" i="128"/>
  <c r="B72" i="128"/>
  <c r="B73" i="128"/>
  <c r="B76" i="128"/>
  <c r="B78" i="128"/>
  <c r="B80" i="128"/>
  <c r="D80" i="128"/>
  <c r="F80" i="128"/>
  <c r="G80" i="128"/>
  <c r="H80" i="128"/>
  <c r="I80" i="128"/>
  <c r="J80" i="128"/>
  <c r="K80" i="128"/>
  <c r="L80" i="128"/>
  <c r="M80" i="128"/>
  <c r="O80" i="128"/>
  <c r="B81" i="128"/>
  <c r="B84" i="128"/>
  <c r="D84" i="128"/>
  <c r="F84" i="128"/>
  <c r="G84" i="128"/>
  <c r="H84" i="128"/>
  <c r="I84" i="128"/>
  <c r="J84" i="128"/>
  <c r="K84" i="128"/>
  <c r="L84" i="128"/>
  <c r="M84" i="128"/>
  <c r="O84" i="128"/>
  <c r="B86" i="128"/>
  <c r="B87" i="128"/>
  <c r="B94" i="128"/>
  <c r="B95" i="128"/>
  <c r="B97" i="128"/>
  <c r="D97" i="128"/>
  <c r="F97" i="128"/>
  <c r="G97" i="128"/>
  <c r="H97" i="128"/>
  <c r="I97" i="128"/>
  <c r="J97" i="128"/>
  <c r="K97" i="128"/>
  <c r="L97" i="128"/>
  <c r="M97" i="128"/>
  <c r="O97" i="128"/>
  <c r="B98" i="128"/>
  <c r="B99" i="128"/>
  <c r="B101" i="128"/>
  <c r="B103" i="128"/>
  <c r="B107" i="128"/>
  <c r="D107" i="128"/>
  <c r="F107" i="128"/>
  <c r="G107" i="128"/>
  <c r="H107" i="128"/>
  <c r="I107" i="128"/>
  <c r="J107" i="128"/>
  <c r="K107" i="128"/>
  <c r="L107" i="128"/>
  <c r="M107" i="128"/>
  <c r="O107" i="128"/>
  <c r="B108" i="128"/>
  <c r="B111" i="128"/>
  <c r="B112" i="128"/>
  <c r="B113" i="128"/>
  <c r="B115" i="128"/>
  <c r="B117" i="128"/>
  <c r="D117" i="128"/>
  <c r="F117" i="128"/>
  <c r="G117" i="128"/>
  <c r="H117" i="128"/>
  <c r="I117" i="128"/>
  <c r="J117" i="128"/>
  <c r="K117" i="128"/>
  <c r="L117" i="128"/>
  <c r="M117" i="128"/>
  <c r="O117" i="128"/>
  <c r="B122" i="128"/>
  <c r="D122" i="128"/>
  <c r="F122" i="128"/>
  <c r="H122" i="128"/>
  <c r="B123" i="128"/>
  <c r="B124" i="128"/>
  <c r="B126" i="128"/>
  <c r="B128" i="128"/>
  <c r="B130" i="128"/>
  <c r="D130" i="128"/>
  <c r="F130" i="128"/>
  <c r="H130" i="128"/>
  <c r="B131" i="128"/>
  <c r="B132" i="128"/>
  <c r="B134" i="128"/>
  <c r="B136" i="128"/>
  <c r="B138" i="128"/>
  <c r="B146" i="128"/>
  <c r="D146" i="128"/>
  <c r="F146" i="128"/>
  <c r="H146" i="128"/>
  <c r="B147" i="128"/>
  <c r="B149" i="128"/>
  <c r="B151" i="128"/>
  <c r="B152" i="128"/>
  <c r="B153" i="128"/>
  <c r="B157" i="128"/>
  <c r="B159" i="128"/>
  <c r="B161" i="128"/>
  <c r="D161" i="128"/>
  <c r="F161" i="128"/>
  <c r="H161" i="128"/>
  <c r="B162" i="128"/>
  <c r="B163" i="128"/>
  <c r="B165" i="128"/>
  <c r="D165" i="128"/>
  <c r="F165" i="128"/>
  <c r="H165" i="128"/>
  <c r="B166" i="128"/>
  <c r="B167" i="128"/>
  <c r="B169" i="128"/>
  <c r="D169" i="128"/>
  <c r="F169" i="128"/>
  <c r="H169" i="128"/>
  <c r="B170" i="128"/>
  <c r="B173" i="128"/>
  <c r="D173" i="128"/>
  <c r="F173" i="128"/>
  <c r="G173" i="128"/>
  <c r="H173" i="128"/>
  <c r="I173" i="128"/>
  <c r="J173" i="128"/>
  <c r="K173" i="128"/>
  <c r="L173" i="128"/>
  <c r="M173" i="128"/>
  <c r="O173" i="128"/>
  <c r="B12" i="132"/>
  <c r="C12" i="132"/>
  <c r="D12" i="132"/>
  <c r="F12" i="132"/>
  <c r="G12" i="132"/>
  <c r="I12" i="132"/>
  <c r="K12" i="132"/>
  <c r="B13" i="132"/>
  <c r="C13" i="132"/>
  <c r="D13" i="132"/>
  <c r="F13" i="132"/>
  <c r="G13" i="132"/>
  <c r="B14" i="132"/>
  <c r="C14" i="132"/>
  <c r="D14" i="132"/>
  <c r="F14" i="132"/>
  <c r="G14" i="132"/>
  <c r="I14" i="132"/>
  <c r="B15" i="132"/>
  <c r="C15" i="132"/>
  <c r="D15" i="132"/>
  <c r="F15" i="132"/>
  <c r="G15" i="132"/>
  <c r="H15" i="132"/>
  <c r="I15" i="132"/>
  <c r="J15" i="132"/>
  <c r="K15" i="132"/>
  <c r="L15" i="132"/>
  <c r="B16" i="132"/>
  <c r="C16" i="132"/>
  <c r="D16" i="132"/>
  <c r="F16" i="132"/>
  <c r="G16" i="132"/>
  <c r="I16" i="132"/>
  <c r="K16" i="132"/>
  <c r="B17" i="132"/>
  <c r="C17" i="132"/>
  <c r="D17" i="132"/>
  <c r="F17" i="132"/>
  <c r="G17" i="132"/>
  <c r="H17" i="132"/>
  <c r="I17" i="132"/>
  <c r="J17" i="132"/>
  <c r="K17" i="132"/>
  <c r="L17" i="132"/>
  <c r="B20" i="132"/>
  <c r="C20" i="132"/>
  <c r="D20" i="132"/>
  <c r="F20" i="132"/>
  <c r="G20" i="132"/>
  <c r="I20" i="132"/>
  <c r="K20" i="132"/>
  <c r="B21" i="132"/>
  <c r="C21" i="132"/>
  <c r="D21" i="132"/>
  <c r="F21" i="132"/>
  <c r="G21" i="132"/>
  <c r="I21" i="132"/>
  <c r="K21" i="132"/>
  <c r="B22" i="132"/>
  <c r="C22" i="132"/>
  <c r="D22" i="132"/>
  <c r="F22" i="132"/>
  <c r="G22" i="132"/>
  <c r="I22" i="132"/>
  <c r="K22" i="132"/>
  <c r="B23" i="132"/>
  <c r="C23" i="132"/>
  <c r="D23" i="132"/>
  <c r="F23" i="132"/>
  <c r="G23" i="132"/>
  <c r="H23" i="132"/>
  <c r="I23" i="132"/>
  <c r="J23" i="132"/>
  <c r="K23" i="132"/>
  <c r="L23" i="132"/>
  <c r="B25" i="132"/>
  <c r="C25" i="132"/>
  <c r="D25" i="132"/>
  <c r="F25" i="132"/>
  <c r="G25" i="132"/>
  <c r="H25" i="132"/>
  <c r="I25" i="132"/>
  <c r="J25" i="132"/>
  <c r="K25" i="132"/>
  <c r="L25" i="132"/>
  <c r="B27" i="132"/>
  <c r="C27" i="132"/>
  <c r="D27" i="132"/>
  <c r="F27" i="132"/>
  <c r="G27" i="132"/>
  <c r="I27" i="132"/>
  <c r="K27" i="132"/>
  <c r="B30" i="132"/>
  <c r="C30" i="132"/>
  <c r="D30" i="132"/>
  <c r="F30" i="132"/>
  <c r="G30" i="132"/>
  <c r="H30" i="132"/>
  <c r="I30" i="132"/>
  <c r="J30" i="132"/>
  <c r="K30" i="132"/>
  <c r="L30" i="132"/>
  <c r="B33" i="132"/>
  <c r="C33" i="132"/>
  <c r="D33" i="132"/>
  <c r="F33" i="132"/>
  <c r="G33" i="132"/>
  <c r="I33" i="132"/>
  <c r="K33" i="132"/>
  <c r="B34" i="132"/>
  <c r="C34" i="132"/>
  <c r="D34" i="132"/>
  <c r="F34" i="132"/>
  <c r="G34" i="132"/>
  <c r="I34" i="132"/>
  <c r="K34" i="132"/>
  <c r="B35" i="132"/>
  <c r="C35" i="132"/>
  <c r="D35" i="132"/>
  <c r="F35" i="132"/>
  <c r="G35" i="132"/>
  <c r="I35" i="132"/>
  <c r="K35" i="132"/>
  <c r="B36" i="132"/>
  <c r="C36" i="132"/>
  <c r="D36" i="132"/>
  <c r="F36" i="132"/>
  <c r="G36" i="132"/>
  <c r="I36" i="132"/>
  <c r="K36" i="132"/>
  <c r="B37" i="132"/>
  <c r="C37" i="132"/>
  <c r="D37" i="132"/>
  <c r="F37" i="132"/>
  <c r="G37" i="132"/>
  <c r="H37" i="132"/>
  <c r="I37" i="132"/>
  <c r="J37" i="132"/>
  <c r="K37" i="132"/>
  <c r="L37" i="132"/>
  <c r="B39" i="132"/>
  <c r="C39" i="132"/>
  <c r="D39" i="132"/>
  <c r="F39" i="132"/>
  <c r="G39" i="132"/>
  <c r="H39" i="132"/>
  <c r="I39" i="132"/>
  <c r="J39" i="132"/>
  <c r="K39" i="132"/>
  <c r="L39" i="132"/>
  <c r="B41" i="132"/>
  <c r="C41" i="132"/>
  <c r="D41" i="132"/>
  <c r="F41" i="132"/>
  <c r="G41" i="132"/>
  <c r="I41" i="132"/>
  <c r="K41" i="132"/>
  <c r="B43" i="132"/>
  <c r="C43" i="132"/>
  <c r="D43" i="132"/>
  <c r="F43" i="132"/>
  <c r="G43" i="132"/>
  <c r="H43" i="132"/>
  <c r="I43" i="132"/>
  <c r="J43" i="132"/>
  <c r="K43" i="132"/>
  <c r="L43" i="132"/>
</calcChain>
</file>

<file path=xl/sharedStrings.xml><?xml version="1.0" encoding="utf-8"?>
<sst xmlns="http://schemas.openxmlformats.org/spreadsheetml/2006/main" count="20283" uniqueCount="881">
  <si>
    <t xml:space="preserve"> </t>
  </si>
  <si>
    <t>Banque de la République d’Haïti</t>
  </si>
  <si>
    <t>RAPPORT "STATISTIQUES" ET INDICATEURS FINANCIERS</t>
  </si>
  <si>
    <t>DONNEES FINANCIERES TRIMESTRIELLES</t>
  </si>
  <si>
    <t>DES ETABLISSEMENTS BANCAIRES</t>
  </si>
  <si>
    <t xml:space="preserve">      TRIM 1 2000</t>
  </si>
  <si>
    <t xml:space="preserve">  (1er Octobre au 31 Décembre 1999)</t>
  </si>
  <si>
    <t>NOTE AUX UTILISATEURS</t>
  </si>
  <si>
    <t>Ce rapport a été préparé par la Direction de la Supervision de la Banque de la République</t>
  </si>
  <si>
    <t xml:space="preserve">d'Haïti (BRH) à partir des informations périodiques soumises par les établissements </t>
  </si>
  <si>
    <t>bancaires.</t>
  </si>
  <si>
    <t>Ce rapport ne constitue pas une analyse de la performance financière des établissements</t>
  </si>
  <si>
    <t>bancaires effectuée par la BRH. Toute conclusion tirée de ce rapport n'engage que</t>
  </si>
  <si>
    <t>l'utilisateur et ne saurait en aucune manière être attribuée à la BRH.</t>
  </si>
  <si>
    <t>Ce rapport comporte les cinq sections suivantes :</t>
  </si>
  <si>
    <t>Section 1 :  Graphes et tableaux</t>
  </si>
  <si>
    <t>Section 2 :  Sommaire financier (sommaire consolidé de l'ensemble des banques)</t>
  </si>
  <si>
    <t>Section 3 :  Sommaire financier détaillé (sommaire détaillé banque par banque)</t>
  </si>
  <si>
    <t>Section 4 :  Statistiques par banque ( données financières et indicateurs financiers banque par banque)</t>
  </si>
  <si>
    <t>Section 5 :  Respect des normes prudentielles</t>
  </si>
  <si>
    <t>Les périodes TRIM 1 2000 et TRIM 1 1999 doivent être lues comme premier trimestre de l'exercice fiscal 1999-2000</t>
  </si>
  <si>
    <r>
      <t>(1er Octobre 1999 au 31 Décembre 1999</t>
    </r>
    <r>
      <rPr>
        <sz val="12"/>
        <rFont val="CG Times"/>
      </rPr>
      <t xml:space="preserve">) et premier trimestre de l'exercice fiscal 1998-1999 </t>
    </r>
    <r>
      <rPr>
        <sz val="10"/>
        <rFont val="CG Times"/>
        <family val="1"/>
      </rPr>
      <t xml:space="preserve">(1er Octobre 1998 au 31 Décembre </t>
    </r>
  </si>
  <si>
    <t>1998).</t>
  </si>
  <si>
    <t>Les périodes CUMUL 2000 et CUMUL 1999 doivent être lues respectivement comme période cumulative allant du</t>
  </si>
  <si>
    <t>1er octobre 1999 au 31 décembre 1999 et période cumulative allant du 1er octobre 1998 au 31 décembre 1998</t>
  </si>
  <si>
    <t xml:space="preserve">Le Ministère du Commerce et de l'Industrie, en date du 12 mars 1999, a approuvé les modifications de statut </t>
  </si>
  <si>
    <t>de la CapitalBank,la faisant passer de B.E.L. à banque commerciale. Des dispositions transitoires ont été adoptées</t>
  </si>
  <si>
    <t>à cette fin.</t>
  </si>
  <si>
    <t xml:space="preserve">La Sogebank a fait l'acquisition de l'actif net de la BIDC au cours du Trim 1 1999. Au cours du Trim 3 99, l'actif </t>
  </si>
  <si>
    <t>de la Sogebank inclut celui de la BIDC et de la BMH.</t>
  </si>
  <si>
    <t xml:space="preserve">La circulaire 83-2 relative à la concentration des risques de crédit a été remplacé par la circulaire 83-3 qui a été </t>
  </si>
  <si>
    <t>mise en vigueur le 31 décembre 1998.</t>
  </si>
  <si>
    <t xml:space="preserve">La circulaire 88 sur la suffisance des fonds propres a été émise en décembre 1998. Le premier rapport relatif  </t>
  </si>
  <si>
    <t>aux respects de cette norme sera présenté dans le rapport du trimestre prochain.</t>
  </si>
  <si>
    <t>TABLE DES MATIÈRES</t>
  </si>
  <si>
    <t xml:space="preserve">i </t>
  </si>
  <si>
    <t xml:space="preserve">SECTION 1 </t>
  </si>
  <si>
    <t>GRAPHES ET TABLEAUX</t>
  </si>
  <si>
    <t>Évolution du bilan</t>
  </si>
  <si>
    <t>Évolution des résultats</t>
  </si>
  <si>
    <t>Évolution de la distribution des dividendes</t>
  </si>
  <si>
    <t>Évolution du nombre d'employés</t>
  </si>
  <si>
    <t>Évolution du nombre de prêts</t>
  </si>
  <si>
    <t>Évolution du nombre de dépôts</t>
  </si>
  <si>
    <t>SECTION 2</t>
  </si>
  <si>
    <t>SOMMAIRE FINANCIER - SYSTÈME BANCAIRE</t>
  </si>
  <si>
    <t>Indicateurs financiers</t>
  </si>
  <si>
    <t>Parts de marché</t>
  </si>
  <si>
    <t>Bilan</t>
  </si>
  <si>
    <t xml:space="preserve">      Analyse des variations</t>
  </si>
  <si>
    <t xml:space="preserve">      Analyse de la composition</t>
  </si>
  <si>
    <t xml:space="preserve">      Devises et Gourdes</t>
  </si>
  <si>
    <t>Résultats</t>
  </si>
  <si>
    <t xml:space="preserve">      Analyse des variations trimestrielles</t>
  </si>
  <si>
    <t xml:space="preserve">      Analyse des variations annuelles</t>
  </si>
  <si>
    <t>SECTION 3</t>
  </si>
  <si>
    <t>SOMMAIRE FINANCIER DÉTAILLÉ - SYSTÈME BANCAIRE</t>
  </si>
  <si>
    <t>Faits saillants financiers</t>
  </si>
  <si>
    <t>Ratios financiers clés</t>
  </si>
  <si>
    <t>Bilan au 30 septembre 1999</t>
  </si>
  <si>
    <t xml:space="preserve">      Gourdes et devises</t>
  </si>
  <si>
    <t xml:space="preserve">      Devises seulement</t>
  </si>
  <si>
    <t xml:space="preserve">      Gourdes seulement</t>
  </si>
  <si>
    <t>Bilan au 30 juin 1999</t>
  </si>
  <si>
    <t>Bilan au 31 mars 1999</t>
  </si>
  <si>
    <t>Bilan au 31 décembre 1998</t>
  </si>
  <si>
    <t>Bilan au 30 septembre 1998</t>
  </si>
  <si>
    <t>Bilan au 30 septembre 1997</t>
  </si>
  <si>
    <t>Résultats (Trim. 4 1999 / Trim. 4 1998)</t>
  </si>
  <si>
    <t>Résultats (Cumul oct.-sept. 1999 / Cumul oct.-sept. 1998)</t>
  </si>
  <si>
    <t xml:space="preserve">SECTION 4 </t>
  </si>
  <si>
    <t>STATISTIQUES PAR BANQUE</t>
  </si>
  <si>
    <t>BICH (Banque Industrielle et Commerciale d'Haïti)</t>
  </si>
  <si>
    <t>BIDC (Banque Intercontinentale de Commerce)</t>
  </si>
  <si>
    <t>BMH ( Banque Métropolitaine d'Haïti)</t>
  </si>
  <si>
    <t>BNC (Banque Nationale de Crédit)</t>
  </si>
  <si>
    <t>BPH (Banque Populaire Haïtienne)</t>
  </si>
  <si>
    <t>BUH (Banque de l'Union Haïtienne)</t>
  </si>
  <si>
    <t>CAPITALBK (Capital Bank)</t>
  </si>
  <si>
    <t>CBNA ( Citibank N.A.)</t>
  </si>
  <si>
    <t>PROMOBK ( Banque de Promotion Commerciale et Industrielle)</t>
  </si>
  <si>
    <t>SCOTIA ( Scotia Bank)</t>
  </si>
  <si>
    <t>SOCABK ( Société Caraïbéenne de Banque)</t>
  </si>
  <si>
    <t>SOGEBK ( Société Générale Haïtienne de Banque)</t>
  </si>
  <si>
    <t>SOGEBL ( Société Générale Haïtienne de Banque d'Epargne et de Logement)</t>
  </si>
  <si>
    <t>UNIBK ( Unibank)</t>
  </si>
  <si>
    <t xml:space="preserve">SECTION 5 </t>
  </si>
  <si>
    <t>RESPECT DES NORMES PRUDENTIELLES</t>
  </si>
  <si>
    <t>Limite relative à la position nette de change des banques</t>
  </si>
  <si>
    <t>Propriété croisée du capital des banques</t>
  </si>
  <si>
    <t>Limites relatives à la concentration des risques de crédit</t>
  </si>
  <si>
    <t>Suffisance des fonds propres</t>
  </si>
  <si>
    <t>ANNEXE 1</t>
  </si>
  <si>
    <t>Information sur le calcul des ratios financiers clés</t>
  </si>
  <si>
    <t>SECTION 1</t>
  </si>
  <si>
    <t>SOMMAIRE FINANCIER EN GRAPHES</t>
  </si>
  <si>
    <t xml:space="preserve"> DIVIDENDES VERSÉS PAR LES DIFFÉRENTES BANQUES DU SYSTÈME BANCAIRE HAÏTIEN</t>
  </si>
  <si>
    <t>(En Milliers de Gourdes)</t>
  </si>
  <si>
    <t>BICH</t>
  </si>
  <si>
    <t>BIDC</t>
  </si>
  <si>
    <t>BNC</t>
  </si>
  <si>
    <t>BPH</t>
  </si>
  <si>
    <t>BUH</t>
  </si>
  <si>
    <t>PROMOBK</t>
  </si>
  <si>
    <t>SOCABK</t>
  </si>
  <si>
    <t>SOGEBK</t>
  </si>
  <si>
    <t>UNIBK</t>
  </si>
  <si>
    <t>CAPITALBK</t>
  </si>
  <si>
    <t>SOGEBL</t>
  </si>
  <si>
    <t>CBNA</t>
  </si>
  <si>
    <t>SCOTIA</t>
  </si>
  <si>
    <t>TOTAL</t>
  </si>
  <si>
    <t>buh</t>
  </si>
  <si>
    <t>SGBK</t>
  </si>
  <si>
    <t>SOGEBEL</t>
  </si>
  <si>
    <t>Sept. 1994</t>
  </si>
  <si>
    <t>N/A</t>
  </si>
  <si>
    <t>Sept. 1995</t>
  </si>
  <si>
    <t>*</t>
  </si>
  <si>
    <t>Sept. 1996</t>
  </si>
  <si>
    <t>Sept. 1997</t>
  </si>
  <si>
    <t>Sept. 1998</t>
  </si>
  <si>
    <t>N/A : Non Applicable</t>
  </si>
  <si>
    <t>- : dividendes non distribuées</t>
  </si>
  <si>
    <t>* Tenant compte des dividendes en actions</t>
  </si>
  <si>
    <t>NOMBRE D'EMPLOYÉS PAR BANQUE</t>
  </si>
  <si>
    <t>BMH</t>
  </si>
  <si>
    <t>BHD</t>
  </si>
  <si>
    <t>Déc. 1998</t>
  </si>
  <si>
    <t>Mars 1999</t>
  </si>
  <si>
    <t>Juin 1999</t>
  </si>
  <si>
    <t>Sept. 1999</t>
  </si>
  <si>
    <t>Déc. 1999</t>
  </si>
  <si>
    <t>NOMBRE DE PRÊTS PAR BANQUE</t>
  </si>
  <si>
    <t xml:space="preserve">BIDC </t>
  </si>
  <si>
    <t xml:space="preserve">BNC </t>
  </si>
  <si>
    <t xml:space="preserve">BUH </t>
  </si>
  <si>
    <t>Mars98</t>
  </si>
  <si>
    <t>Juin 98</t>
  </si>
  <si>
    <t>NOMBRE DE COMPTES DE DÉPÔTS PAR BANQUE</t>
  </si>
  <si>
    <t>(En unités)</t>
  </si>
  <si>
    <t xml:space="preserve">CAPITALBK </t>
  </si>
  <si>
    <t>À vue</t>
  </si>
  <si>
    <t>Épargne</t>
  </si>
  <si>
    <t>À Terme</t>
  </si>
  <si>
    <t>RÉPARTITION DES DÉPÔTS DANS LA REGION METROPOLITAINE</t>
  </si>
  <si>
    <t>En Milliers de Gourdes</t>
  </si>
  <si>
    <t xml:space="preserve">SOCABK </t>
  </si>
  <si>
    <t>À terme</t>
  </si>
  <si>
    <t>RÉPARTITION DES DÉPÔTS DANS LES VILLES DE PROVINCE</t>
  </si>
  <si>
    <t>SOGEBANK</t>
  </si>
  <si>
    <t>UNIBANK</t>
  </si>
  <si>
    <t>EVOLUTION  DU NOMBRE DE COMPTES  DE DÉPÔTS  PAR BANQUE</t>
  </si>
  <si>
    <t>AU COURS DE L'EXERCICE FISCAL 1998-1999</t>
  </si>
  <si>
    <t>TRIM 1 99</t>
  </si>
  <si>
    <t>TRIM 2 99</t>
  </si>
  <si>
    <t>VARIATION TRIM.2-TRIM.1</t>
  </si>
  <si>
    <t>TRIM 3 99</t>
  </si>
  <si>
    <t>VARIATION TRIM.3-TRIM.2</t>
  </si>
  <si>
    <t>TRIM 4 99</t>
  </si>
  <si>
    <t>VARIATION TRIM.4-TRIM.3</t>
  </si>
  <si>
    <t>EVOLUTION  DES  DEPOTS  DANS  LA REGION  METROPOLITAINE</t>
  </si>
  <si>
    <t>EVOLUTION  DES  DEPOTS  DANS  LES  VILLES  DE  PROVINCE</t>
  </si>
  <si>
    <t>SYSTÈME BANCAIRE</t>
  </si>
  <si>
    <t>SOMMAIRE FINANCIER</t>
  </si>
  <si>
    <t>INDICATEURS FINANCIERS</t>
  </si>
  <si>
    <t>Var. déc. 99</t>
  </si>
  <si>
    <t>SEPTEMBRE</t>
  </si>
  <si>
    <t>Déc. 99</t>
  </si>
  <si>
    <t>Var.</t>
  </si>
  <si>
    <t>Mars 00</t>
  </si>
  <si>
    <t>Juin 00</t>
  </si>
  <si>
    <t>Sept. 00</t>
  </si>
  <si>
    <t>/sept. 99</t>
  </si>
  <si>
    <t>1999</t>
  </si>
  <si>
    <t>1998</t>
  </si>
  <si>
    <t>1997</t>
  </si>
  <si>
    <t>1996</t>
  </si>
  <si>
    <t>FAITS SAILLANTS FINANCIERS</t>
  </si>
  <si>
    <t>(En milliers de gourdes)</t>
  </si>
  <si>
    <t xml:space="preserve">      Actif</t>
  </si>
  <si>
    <t xml:space="preserve">      Bons B.R.H.</t>
  </si>
  <si>
    <t xml:space="preserve">      Prêts</t>
  </si>
  <si>
    <t xml:space="preserve">      Dépôts</t>
  </si>
  <si>
    <t xml:space="preserve">      Avoir des Actionnaires</t>
  </si>
  <si>
    <t>2000</t>
  </si>
  <si>
    <t>TRIM 1</t>
  </si>
  <si>
    <t>TRIM 2</t>
  </si>
  <si>
    <t>TRIM 3</t>
  </si>
  <si>
    <t>TRIM 4</t>
  </si>
  <si>
    <t>CUMUL</t>
  </si>
  <si>
    <t>(oct. - déc. 99)</t>
  </si>
  <si>
    <t>(oct. - déc. 98)</t>
  </si>
  <si>
    <t>(janv. - mars 00)</t>
  </si>
  <si>
    <t>(janv. - mars 99)</t>
  </si>
  <si>
    <t>(avril - juin 00)</t>
  </si>
  <si>
    <t>(avril - juin 99)</t>
  </si>
  <si>
    <t>(juil. - sept. 00)</t>
  </si>
  <si>
    <t>(juil. - sept. 99)</t>
  </si>
  <si>
    <t>(oct.99 - déc. 99)</t>
  </si>
  <si>
    <t>(oct.98 - déc. 98)</t>
  </si>
  <si>
    <t xml:space="preserve">      Revenus nets d'intérêt</t>
  </si>
  <si>
    <t xml:space="preserve">      Autres revenus</t>
  </si>
  <si>
    <t xml:space="preserve">      Dot. à la provision pr créances dout.</t>
  </si>
  <si>
    <t xml:space="preserve">      Dépenses d'exploitation</t>
  </si>
  <si>
    <t xml:space="preserve">      Bénéfice net</t>
  </si>
  <si>
    <t>ANNÉE</t>
  </si>
  <si>
    <t>RATIOS FINANCIERS CLÉS</t>
  </si>
  <si>
    <t xml:space="preserve">(Données trimestrielles </t>
  </si>
  <si>
    <t>et cumulatives annualisées)</t>
  </si>
  <si>
    <t>Structure financière</t>
  </si>
  <si>
    <t xml:space="preserve">      Avoir des actionnaires</t>
  </si>
  <si>
    <t xml:space="preserve">      en % de l'actif</t>
  </si>
  <si>
    <t xml:space="preserve">      Dépôts en % de l'actif</t>
  </si>
  <si>
    <t>Qualité de l'actif</t>
  </si>
  <si>
    <t xml:space="preserve">      Prêts improductifs bruts</t>
  </si>
  <si>
    <t xml:space="preserve">      en % des prêts bruts</t>
  </si>
  <si>
    <t xml:space="preserve">      Provisions pour créances douteuses</t>
  </si>
  <si>
    <t xml:space="preserve">      en % des prêts improductifs bruts</t>
  </si>
  <si>
    <t xml:space="preserve">      Prêts improductifs nets</t>
  </si>
  <si>
    <t xml:space="preserve">      en % de l'avoir des actionnaires</t>
  </si>
  <si>
    <t>Rentabilité</t>
  </si>
  <si>
    <t xml:space="preserve">      ROA (rendement de l'actif)</t>
  </si>
  <si>
    <r>
      <t xml:space="preserve">      ROE ( </t>
    </r>
    <r>
      <rPr>
        <sz val="12"/>
        <rFont val="CG Times"/>
        <family val="1"/>
      </rPr>
      <t>rendement avoir des action.</t>
    </r>
    <r>
      <rPr>
        <sz val="9"/>
        <rFont val="CG Times"/>
        <family val="1"/>
      </rPr>
      <t>)</t>
    </r>
  </si>
  <si>
    <t xml:space="preserve">      Revenus nets d'intérêts</t>
  </si>
  <si>
    <t xml:space="preserve">      en % des revenus d'intérêt</t>
  </si>
  <si>
    <t xml:space="preserve">      Rendement moyen des prêts</t>
  </si>
  <si>
    <t xml:space="preserve">      Rémunération moyenne des dépôts</t>
  </si>
  <si>
    <t xml:space="preserve">      en % du produit net bancaire</t>
  </si>
  <si>
    <t xml:space="preserve">      (marge nette d'int.+autres revenus)</t>
  </si>
  <si>
    <t xml:space="preserve">      Productivité par employé ('000 gdes)</t>
  </si>
  <si>
    <r>
      <t xml:space="preserve">      </t>
    </r>
    <r>
      <rPr>
        <b/>
        <sz val="12"/>
        <rFont val="CG Times"/>
      </rPr>
      <t xml:space="preserve">Statistiques </t>
    </r>
  </si>
  <si>
    <t xml:space="preserve">          Actif devises en % actif total</t>
  </si>
  <si>
    <t xml:space="preserve">          Dépôts devises en % dépôts totaux</t>
  </si>
  <si>
    <t xml:space="preserve">          Nombre de succursales autorisées</t>
  </si>
  <si>
    <t>86</t>
  </si>
  <si>
    <t>90</t>
  </si>
  <si>
    <t>77</t>
  </si>
  <si>
    <t>58</t>
  </si>
  <si>
    <t>A partir du Trim 2 1998, les prêts improductifs désignent les prêts dont le principal ou les intérêts sont dus et impayés depuis 90 jours ou plus. Avant cette date, ce rapport considérait les prêts échus depuis plus de 15 jours.</t>
  </si>
  <si>
    <t>PARTS DE MARCHÉ</t>
  </si>
  <si>
    <t>(En milliers de gourdes et en pourcentage)</t>
  </si>
  <si>
    <t>AU 31 DÉCEMBRE 1999</t>
  </si>
  <si>
    <t>ACTIF</t>
  </si>
  <si>
    <t xml:space="preserve">PRÊTS BRUTS </t>
  </si>
  <si>
    <t>DÉPÔTS TOTAUX</t>
  </si>
  <si>
    <t>DÉPÔTS US</t>
  </si>
  <si>
    <t>Montant</t>
  </si>
  <si>
    <t>%</t>
  </si>
  <si>
    <t>Rang</t>
  </si>
  <si>
    <t xml:space="preserve">BHD </t>
  </si>
  <si>
    <t>AU 30 SEPTEMBRE 1999</t>
  </si>
  <si>
    <t>PRÊTS BRUTS</t>
  </si>
  <si>
    <t>CNBA</t>
  </si>
  <si>
    <t>AU 30 SEPTEMBRE 1998</t>
  </si>
  <si>
    <t>METRO</t>
  </si>
  <si>
    <t>Sept.99</t>
  </si>
  <si>
    <t>Sept. 98</t>
  </si>
  <si>
    <t>Sept. 97</t>
  </si>
  <si>
    <t>Sept. 96</t>
  </si>
  <si>
    <t>BILAN - ANALYSE DES VARIATIONS</t>
  </si>
  <si>
    <t xml:space="preserve"> 1998</t>
  </si>
  <si>
    <t xml:space="preserve"> 1997</t>
  </si>
  <si>
    <t xml:space="preserve"> 1996</t>
  </si>
  <si>
    <t xml:space="preserve">   Disponibilités</t>
  </si>
  <si>
    <t xml:space="preserve">         Encaisse</t>
  </si>
  <si>
    <t xml:space="preserve">         Avoirs à la BRH</t>
  </si>
  <si>
    <t xml:space="preserve">         Avoirs à l'étranger</t>
  </si>
  <si>
    <t xml:space="preserve">         Avoirs dans les banques locales</t>
  </si>
  <si>
    <t xml:space="preserve">         Autres liquidités</t>
  </si>
  <si>
    <t xml:space="preserve">   Bons B.R.H.</t>
  </si>
  <si>
    <t xml:space="preserve">   Autres Placements</t>
  </si>
  <si>
    <t xml:space="preserve">   Portefeuille net</t>
  </si>
  <si>
    <t xml:space="preserve">   Immobilisations</t>
  </si>
  <si>
    <t xml:space="preserve">   Autres actifs</t>
  </si>
  <si>
    <t xml:space="preserve">  </t>
  </si>
  <si>
    <t>PASSIF</t>
  </si>
  <si>
    <t xml:space="preserve">   Dépôts</t>
  </si>
  <si>
    <t xml:space="preserve">       À vue</t>
  </si>
  <si>
    <t xml:space="preserve">       Épargne</t>
  </si>
  <si>
    <t xml:space="preserve">       À terme</t>
  </si>
  <si>
    <t xml:space="preserve">   Obligations à vue</t>
  </si>
  <si>
    <t xml:space="preserve">      Banques locales</t>
  </si>
  <si>
    <t xml:space="preserve">      Banques à l'étranger</t>
  </si>
  <si>
    <t xml:space="preserve">      Autres</t>
  </si>
  <si>
    <t xml:space="preserve">   Obligations à terme</t>
  </si>
  <si>
    <t xml:space="preserve">      Banque à l'étranger</t>
  </si>
  <si>
    <t xml:space="preserve">   Autres passifs</t>
  </si>
  <si>
    <t>AVOIR DES ACTIONNAIRES</t>
  </si>
  <si>
    <t xml:space="preserve">   Capital versé</t>
  </si>
  <si>
    <t xml:space="preserve">   Réserves</t>
  </si>
  <si>
    <t xml:space="preserve">   Surplus d'apport </t>
  </si>
  <si>
    <t xml:space="preserve">   BNR</t>
  </si>
  <si>
    <t>Hors-bilan</t>
  </si>
  <si>
    <t xml:space="preserve">      Effets à l'encaissement</t>
  </si>
  <si>
    <t xml:space="preserve">      Crédit documentaire</t>
  </si>
  <si>
    <r>
      <t>1</t>
    </r>
    <r>
      <rPr>
        <sz val="12"/>
        <rFont val="CG Times"/>
      </rPr>
      <t xml:space="preserve">     Portefeuille brut</t>
    </r>
  </si>
  <si>
    <t xml:space="preserve">      Portefeuille de crédit improductif</t>
  </si>
  <si>
    <t>Sept. 99</t>
  </si>
  <si>
    <t>Juin 99</t>
  </si>
  <si>
    <t>BILAN - ANALYSE DE LA COMPOSITION</t>
  </si>
  <si>
    <t>Comp.</t>
  </si>
  <si>
    <t xml:space="preserve">   Surplus d'apport</t>
  </si>
  <si>
    <r>
      <t>1</t>
    </r>
    <r>
      <rPr>
        <sz val="12"/>
        <rFont val="CG Times"/>
      </rPr>
      <t xml:space="preserve">     Portefeuille brut</t>
    </r>
  </si>
  <si>
    <t xml:space="preserve">                                                                                                                                                                                                                                                               </t>
  </si>
  <si>
    <t>BILAN</t>
  </si>
  <si>
    <t>DEVISES ET GOURDES</t>
  </si>
  <si>
    <t>Décembre 99</t>
  </si>
  <si>
    <t>Septembre 99</t>
  </si>
  <si>
    <r>
      <t>Devises converties</t>
    </r>
    <r>
      <rPr>
        <b/>
        <vertAlign val="superscript"/>
        <sz val="8"/>
        <rFont val="CG Times"/>
        <family val="1"/>
      </rPr>
      <t xml:space="preserve"> *</t>
    </r>
  </si>
  <si>
    <t>Gourdes</t>
  </si>
  <si>
    <t>Total</t>
  </si>
  <si>
    <t>% devises/total</t>
  </si>
  <si>
    <t>Devises converties *</t>
  </si>
  <si>
    <r>
      <t xml:space="preserve">   Portefeuille net </t>
    </r>
    <r>
      <rPr>
        <sz val="10"/>
        <rFont val="CG Times"/>
        <family val="1"/>
      </rPr>
      <t xml:space="preserve"> </t>
    </r>
  </si>
  <si>
    <t xml:space="preserve">* converties au taux de 17.9688 à l'exception d'une banque qui a utilisé le  </t>
  </si>
  <si>
    <t xml:space="preserve">* converties au taux de 16.9411, à l'exception d'une banque qui a utilisé le </t>
  </si>
  <si>
    <t>taux de référence 17.977 Gdes</t>
  </si>
  <si>
    <t xml:space="preserve"> taux de référence de 16,931.</t>
  </si>
  <si>
    <t>HORS-BILAN</t>
  </si>
  <si>
    <t xml:space="preserve">      Portefeuille de crédit échu</t>
  </si>
  <si>
    <t>TRIM 1 00</t>
  </si>
  <si>
    <t>TRIM 2 00</t>
  </si>
  <si>
    <t>TRIM 3 00</t>
  </si>
  <si>
    <t>TRIM 4 00</t>
  </si>
  <si>
    <t>CUMUL 00</t>
  </si>
  <si>
    <t>CUMUL 99</t>
  </si>
  <si>
    <t>RÉSULTATS - ANALYSE DES VARIATIONS TRIMESTRIELLES</t>
  </si>
  <si>
    <t>REVENUS NETS D'INTÉRÊT</t>
  </si>
  <si>
    <t xml:space="preserve">      Revenus d'intérêt</t>
  </si>
  <si>
    <t xml:space="preserve">            Prêts</t>
  </si>
  <si>
    <t xml:space="preserve">            Intérêts sur Bons B.R.H.  *</t>
  </si>
  <si>
    <t xml:space="preserve">            Autres </t>
  </si>
  <si>
    <t xml:space="preserve">      Dépenses d'intérêt</t>
  </si>
  <si>
    <t>AUTRES REVENUS</t>
  </si>
  <si>
    <t xml:space="preserve">      Commissions</t>
  </si>
  <si>
    <t xml:space="preserve">      Gains sur change</t>
  </si>
  <si>
    <t>PRODUIT NET BANCAIRE</t>
  </si>
  <si>
    <t>Dotation à la provision pour créances douteuses</t>
  </si>
  <si>
    <t>BÉNÉFICE AVANT DÉPENSES D'EXPLOITATION</t>
  </si>
  <si>
    <t>ET IMPÔTS SUR LE REVENU</t>
  </si>
  <si>
    <t>DÉPENSES D'EXPLOITATION</t>
  </si>
  <si>
    <t xml:space="preserve">      Salaires et avantages sociaux</t>
  </si>
  <si>
    <t xml:space="preserve">      Frais de locaux</t>
  </si>
  <si>
    <t xml:space="preserve">      Amortissement</t>
  </si>
  <si>
    <t xml:space="preserve">      Autres dépenses d'exploitation</t>
  </si>
  <si>
    <t>BÉNÉFICE AVANT IMPÔTS SUR LE REVENU</t>
  </si>
  <si>
    <t>Impôts sur le revenu</t>
  </si>
  <si>
    <t xml:space="preserve">BÉNÉFICE NET </t>
  </si>
  <si>
    <t xml:space="preserve"> 2000</t>
  </si>
  <si>
    <t xml:space="preserve"> 1999</t>
  </si>
  <si>
    <t xml:space="preserve"> 2000 (oct.99-déc.99)</t>
  </si>
  <si>
    <t xml:space="preserve"> 1998 (oct.98-déc.98)</t>
  </si>
  <si>
    <t xml:space="preserve"> TRIM 1</t>
  </si>
  <si>
    <t xml:space="preserve">            Intérêts sur Bons B.R.H.</t>
  </si>
  <si>
    <t xml:space="preserve">   Marge nette en % Revenu d'intérêt</t>
  </si>
  <si>
    <t xml:space="preserve">   Frais d'exploitation en % Produit net bancaire</t>
  </si>
  <si>
    <t>RÉSULTATS - ANALYSE DES VARIATIONS ANNUELLES</t>
  </si>
  <si>
    <t xml:space="preserve">     CUMUL (Oct. - déc. )</t>
  </si>
  <si>
    <t>BÉNÉFICE NET</t>
  </si>
  <si>
    <t>SOMMAIRE FINANCIER DÉTAILLÉ</t>
  </si>
  <si>
    <t>UNIBNK</t>
  </si>
  <si>
    <t>SOUS-TOTAL</t>
  </si>
  <si>
    <t>VARIATION Déc. 99/Sept. 99</t>
  </si>
  <si>
    <t xml:space="preserve">     Bons B.R.H.</t>
  </si>
  <si>
    <t>RÉSULTATS</t>
  </si>
  <si>
    <t>TRIM  1 2000 (oct. - déc. 99)</t>
  </si>
  <si>
    <t xml:space="preserve">      Frais d'exploitation</t>
  </si>
  <si>
    <t xml:space="preserve">      Bénéfice net </t>
  </si>
  <si>
    <t>TRIM 1 1999 (oct. - déc. 98)</t>
  </si>
  <si>
    <t>VARIATION TRIM.1 00 / TRIM.1 99</t>
  </si>
  <si>
    <t>CUMUL 2000 (oct.99  - déc. 99)</t>
  </si>
  <si>
    <t>CUMUL 1999 (oct.98  - déc. 98)</t>
  </si>
  <si>
    <t>VARIATION CUMUL 99/ CUMUL 98</t>
  </si>
  <si>
    <t>REVENUS REPORTÉS</t>
  </si>
  <si>
    <t>ACCEPTATIONS EN CIRCULATION</t>
  </si>
  <si>
    <t>CAPITAL</t>
  </si>
  <si>
    <t xml:space="preserve">   Capital autorisé</t>
  </si>
  <si>
    <t xml:space="preserve">   Moins actions non émises</t>
  </si>
  <si>
    <t xml:space="preserve">   Profits non distribués</t>
  </si>
  <si>
    <t xml:space="preserve">   Profits et pertes</t>
  </si>
  <si>
    <t>RESERVES</t>
  </si>
  <si>
    <t xml:space="preserve">   Réserve légale</t>
  </si>
  <si>
    <t xml:space="preserve">   Autres réserves</t>
  </si>
  <si>
    <t>TOTAL DU PASSIF</t>
  </si>
  <si>
    <t>(Données trimestrielles et cumulatives annualisées)</t>
  </si>
  <si>
    <t>SGBEL</t>
  </si>
  <si>
    <t>STRUCTURE FINANCIÈRE</t>
  </si>
  <si>
    <t xml:space="preserve">      Avoirs des actionnaires</t>
  </si>
  <si>
    <t xml:space="preserve">              Au 31 décembre 1999</t>
  </si>
  <si>
    <t xml:space="preserve">              Au 30 septembre 1999</t>
  </si>
  <si>
    <t xml:space="preserve">    </t>
  </si>
  <si>
    <t>QUALITÉ DE L'ACTIF</t>
  </si>
  <si>
    <t xml:space="preserve">      en  % des prêts bruts</t>
  </si>
  <si>
    <t xml:space="preserve">      Provision pour créances douteuses</t>
  </si>
  <si>
    <t>RENTABILITÉ</t>
  </si>
  <si>
    <t xml:space="preserve">            TRIM 1 2000      (oct.99 - déc. 1999)</t>
  </si>
  <si>
    <t xml:space="preserve">            TRIM 1 1999      (oct.98 - déc. 1998)</t>
  </si>
  <si>
    <t xml:space="preserve">            CUMUL 2000    (oct.99  - déc. 1999)</t>
  </si>
  <si>
    <t xml:space="preserve">            CUMUL 1999    (oct.98 - déc. 1998)</t>
  </si>
  <si>
    <t xml:space="preserve">      ROE (rendement de l'avoir des actionn.)</t>
  </si>
  <si>
    <t xml:space="preserve">      (revenus nets d'intérêt + autres revenus)</t>
  </si>
  <si>
    <r>
      <t xml:space="preserve">       </t>
    </r>
    <r>
      <rPr>
        <b/>
        <sz val="10"/>
        <rFont val="CG Times"/>
      </rPr>
      <t>Productivité par employé ('000)</t>
    </r>
  </si>
  <si>
    <t>BILAN PAR BANQUE (DEVISES ET GOURDES)</t>
  </si>
  <si>
    <t>AU 31 DECEMBRE 1999</t>
  </si>
  <si>
    <t xml:space="preserve">BNC  </t>
  </si>
  <si>
    <t xml:space="preserve">   Portefeuille net </t>
  </si>
  <si>
    <t xml:space="preserve">   Effets à l'encaissement</t>
  </si>
  <si>
    <t xml:space="preserve">   Crédit documentaire</t>
  </si>
  <si>
    <t xml:space="preserve">   Autres</t>
  </si>
  <si>
    <t xml:space="preserve">   Portefeuille brut</t>
  </si>
  <si>
    <t xml:space="preserve">   Provisions pour créances douteuses</t>
  </si>
  <si>
    <t xml:space="preserve">   Portefeuille de crédit improductif</t>
  </si>
  <si>
    <t>Dépôts US convertis</t>
  </si>
  <si>
    <t>DISPONIBILITÉS</t>
  </si>
  <si>
    <t>BONS BRH</t>
  </si>
  <si>
    <t>PRÊTS NETS</t>
  </si>
  <si>
    <t>AVOIR DES ACTION.</t>
  </si>
  <si>
    <t xml:space="preserve">BILAN PAR BANQUE (GOURDES EXCLUANT LES DEVISES) </t>
  </si>
  <si>
    <t xml:space="preserve">BILAN PAR BANQUE (DEVISES CONVERTIES) </t>
  </si>
  <si>
    <t>Actif devises en % actif total</t>
  </si>
  <si>
    <t>Dépôts devises en % dépôts totaux</t>
  </si>
  <si>
    <t>BILAN PAR BANQUE</t>
  </si>
  <si>
    <t>AU 30 SEPTEMBRE 1997</t>
  </si>
  <si>
    <t>METROBK</t>
  </si>
  <si>
    <t>RÉSULTATS TRIMESTRIELS PAR BANQUE</t>
  </si>
  <si>
    <t>TRIM 1 - 2000 (octobre - décembre 99)</t>
  </si>
  <si>
    <t>BÉNÉFICE NET (PERTE NETTE)</t>
  </si>
  <si>
    <t>TRIM 1 - 1999 (octobre - décembre 98)</t>
  </si>
  <si>
    <t>marge nette en % revenus d'intérêts</t>
  </si>
  <si>
    <t>frais d'exploitation en % produit net bancaire</t>
  </si>
  <si>
    <t>REVENUS D'INTÉR.</t>
  </si>
  <si>
    <t>revnet%revint</t>
  </si>
  <si>
    <t>F.D'EXPL.%PNB</t>
  </si>
  <si>
    <t>frais d'expl.</t>
  </si>
  <si>
    <t>bénef.net</t>
  </si>
  <si>
    <t>RÉSULTATS CUMULATIFS PAR BANQUE</t>
  </si>
  <si>
    <t>CUMUL - 2000 (oct.99 - déc. 99)</t>
  </si>
  <si>
    <t>CUMUL - 1999 (oct.98 - déc. 98)</t>
  </si>
  <si>
    <t>-</t>
  </si>
  <si>
    <t>SECTION 4</t>
  </si>
  <si>
    <t>BANQUE INDUSTRIELLE ET COMMERCIALE D'HAÏTI (BICH)</t>
  </si>
  <si>
    <t>Var. Déc.99</t>
  </si>
  <si>
    <t>(oct.98 - déc.98)</t>
  </si>
  <si>
    <t>(juil. - sept.00)</t>
  </si>
  <si>
    <t>(oct.99 - sept. 00)</t>
  </si>
  <si>
    <t>(oct.98 - sept. 99)</t>
  </si>
  <si>
    <t xml:space="preserve">      Dot. à la prov. pr créances dout.</t>
  </si>
  <si>
    <t xml:space="preserve">      Bénéfice (perte) net</t>
  </si>
  <si>
    <t>(oct.99 -déc.99)</t>
  </si>
  <si>
    <t>(oct.98 -déc.98)</t>
  </si>
  <si>
    <r>
      <t xml:space="preserve">      ROE (</t>
    </r>
    <r>
      <rPr>
        <sz val="12"/>
        <rFont val="CG Times"/>
        <family val="1"/>
      </rPr>
      <t xml:space="preserve"> rendement avoir des action.</t>
    </r>
    <r>
      <rPr>
        <sz val="9"/>
        <rFont val="CG Times"/>
        <family val="1"/>
      </rPr>
      <t>)</t>
    </r>
  </si>
  <si>
    <t xml:space="preserve">      (revenus nets d'int.+autres revenus)</t>
  </si>
  <si>
    <t xml:space="preserve">      Productivité par employé ('000)</t>
  </si>
  <si>
    <t>ANALYSE DES VARIATIONS</t>
  </si>
  <si>
    <t>Var.Déc.99</t>
  </si>
  <si>
    <t xml:space="preserve">       A vue</t>
  </si>
  <si>
    <t>Décembre 96</t>
  </si>
  <si>
    <t>Mars 97</t>
  </si>
  <si>
    <t>Juin 97</t>
  </si>
  <si>
    <t>Septembre 97</t>
  </si>
  <si>
    <t>Billets et monnaies Gdes</t>
  </si>
  <si>
    <t>Devises étrangères</t>
  </si>
  <si>
    <t>Effets à recouv.immédiat</t>
  </si>
  <si>
    <t>Avoir à la Banque Centrale</t>
  </si>
  <si>
    <t>Bons B.R.H.</t>
  </si>
  <si>
    <t>Avoir dans les banques locales</t>
  </si>
  <si>
    <t>Avoir dans les banques étrangères</t>
  </si>
  <si>
    <t>Remises en transit sur le pays</t>
  </si>
  <si>
    <t>Remises en transit sur l'étranger</t>
  </si>
  <si>
    <t>PLACEMENTS</t>
  </si>
  <si>
    <t>Placements en titres</t>
  </si>
  <si>
    <t>Autres placements</t>
  </si>
  <si>
    <t>PORTEFEUILLE DE CRÉDIT</t>
  </si>
  <si>
    <t>Effets escomptés</t>
  </si>
  <si>
    <t>Prêts garantis</t>
  </si>
  <si>
    <t>Prêts sans garantie</t>
  </si>
  <si>
    <t>Prêts garanttis-Fonds spéciaux</t>
  </si>
  <si>
    <t>Avances s/lettres de crédit</t>
  </si>
  <si>
    <t>Vente à tempérament d'actifs</t>
  </si>
  <si>
    <t>Vente de biens adjugés</t>
  </si>
  <si>
    <t>Portefeuille négocié-Banque Centrale</t>
  </si>
  <si>
    <t>Portefeuille négocié- Banques Locales</t>
  </si>
  <si>
    <t>Portefeuille échu</t>
  </si>
  <si>
    <t>Provisions pr créances douteuses</t>
  </si>
  <si>
    <t>DIVERS DÉBITEURS</t>
  </si>
  <si>
    <t>Comptes à recevoir</t>
  </si>
  <si>
    <t>Intérêts à recevoir</t>
  </si>
  <si>
    <t>Provisions pr intérêts à recevoir</t>
  </si>
  <si>
    <t>Autres</t>
  </si>
  <si>
    <t>FRAIS PAYÉS D'AVANCE</t>
  </si>
  <si>
    <t>SIÈGE SOCIAL ET SUCCURSALES</t>
  </si>
  <si>
    <t>IMMOBILISATIONS</t>
  </si>
  <si>
    <t>Immobilisations d'exploitation</t>
  </si>
  <si>
    <t>Biens hors d'exploitation</t>
  </si>
  <si>
    <t>Ammortissements accumulés</t>
  </si>
  <si>
    <t>Dépôts de garantie</t>
  </si>
  <si>
    <t>DÉBITEURS PAR ACCEPTATION</t>
  </si>
  <si>
    <t>TOTAL DE L'ACTIF</t>
  </si>
  <si>
    <t>DÉPÔTS À VUE</t>
  </si>
  <si>
    <t xml:space="preserve">   Comptes courants</t>
  </si>
  <si>
    <t xml:space="preserve">   Chèques certifiés</t>
  </si>
  <si>
    <t>DÉPÔTS D'ÉPARGNE</t>
  </si>
  <si>
    <t>DÉPÔTS À TERME</t>
  </si>
  <si>
    <t>OBLIGATIONS À VUE</t>
  </si>
  <si>
    <t xml:space="preserve">   Chèques de direction</t>
  </si>
  <si>
    <t xml:space="preserve">   Lettres de crédit</t>
  </si>
  <si>
    <t xml:space="preserve">   Virements et transfert à payer</t>
  </si>
  <si>
    <t xml:space="preserve">   Fonds immobilisés</t>
  </si>
  <si>
    <t xml:space="preserve">   Dépôts à terme échus</t>
  </si>
  <si>
    <t xml:space="preserve">   Intérêts à payer</t>
  </si>
  <si>
    <t xml:space="preserve">   Dividendes déclarés à payer</t>
  </si>
  <si>
    <t xml:space="preserve">   Divers créditeurs</t>
  </si>
  <si>
    <t xml:space="preserve">   Dépôts non sujets à emploi</t>
  </si>
  <si>
    <t xml:space="preserve">   Emprunt de la banque centrale</t>
  </si>
  <si>
    <t xml:space="preserve">   Emprunt des banques locales</t>
  </si>
  <si>
    <t xml:space="preserve">   Emprunt des banques étrangères</t>
  </si>
  <si>
    <t>OBLIGATIONS À TERME</t>
  </si>
  <si>
    <t xml:space="preserve">   Emprunts de la BRH/Réescomptes</t>
  </si>
  <si>
    <t xml:space="preserve">   Emprunts garantis-fonds spéciaux</t>
  </si>
  <si>
    <t xml:space="preserve">   Emprunts des banques locales</t>
  </si>
  <si>
    <t xml:space="preserve">   Emprunts des institutions étrangères</t>
  </si>
  <si>
    <t xml:space="preserve">   Emprunts des particuliers</t>
  </si>
  <si>
    <t xml:space="preserve">   Fonds en administration</t>
  </si>
  <si>
    <t xml:space="preserve">   Provisions pour obligations diverses</t>
  </si>
  <si>
    <t>SIEGE SOCIAL ET SUCCURSALES</t>
  </si>
  <si>
    <t>ANALYSE DE LA COMPOSITION</t>
  </si>
  <si>
    <t>Mars 99</t>
  </si>
  <si>
    <t>Septembre 98</t>
  </si>
  <si>
    <t>* converties au taux de 18.0000</t>
  </si>
  <si>
    <t>* converties au taux de 16.9411</t>
  </si>
  <si>
    <t>ANALYSE DES VARIATIONS TRIMESTRIELLES</t>
  </si>
  <si>
    <t xml:space="preserve"> 1999 (oct.98-déc.98)</t>
  </si>
  <si>
    <t xml:space="preserve"> TRIM2</t>
  </si>
  <si>
    <t xml:space="preserve"> TRIM 3</t>
  </si>
  <si>
    <t xml:space="preserve"> TRIM 4</t>
  </si>
  <si>
    <t>MARGE NETTE D'INTÉRÊT</t>
  </si>
  <si>
    <t xml:space="preserve">            Autres (incluant intérêts sur Bons B.R.H.)</t>
  </si>
  <si>
    <t>Provisions pour créances douteuses</t>
  </si>
  <si>
    <t>BÉNÉFICE (PERTE) NET</t>
  </si>
  <si>
    <t>ANALYSE DES VARIATIONS ANNUELLES</t>
  </si>
  <si>
    <t>CUMUL (oct.- déc. )</t>
  </si>
  <si>
    <t>BANQUE HAÏTIENNE DE DÉVELOPPEMENT S.A.  (BHD)</t>
  </si>
  <si>
    <t>(oct.99 - déc.  99)</t>
  </si>
  <si>
    <t>(janv. - mars 00.)</t>
  </si>
  <si>
    <t>(oct.99 -déc 99)</t>
  </si>
  <si>
    <t>(oct.98 -déc. 98)</t>
  </si>
  <si>
    <r>
      <t xml:space="preserve">      ROE (</t>
    </r>
    <r>
      <rPr>
        <sz val="12"/>
        <rFont val="CG Times"/>
        <family val="1"/>
      </rPr>
      <t>rendement avoir des action.</t>
    </r>
    <r>
      <rPr>
        <sz val="9"/>
        <rFont val="CG Times"/>
        <family val="1"/>
      </rPr>
      <t>)</t>
    </r>
  </si>
  <si>
    <t>Décembre 97</t>
  </si>
  <si>
    <t>Mars 98</t>
  </si>
  <si>
    <t>Devises converties</t>
  </si>
  <si>
    <t>* converties au taux de 17.9300 Gdes</t>
  </si>
  <si>
    <t xml:space="preserve">             Prêts</t>
  </si>
  <si>
    <t xml:space="preserve">             Intérêts sur Bons B.R.H.</t>
  </si>
  <si>
    <t>BÉNÉFICE NET PERTE NETTE)</t>
  </si>
  <si>
    <t>Valeurs à régulariser</t>
  </si>
  <si>
    <t>CUMUL (oct.- déc.)</t>
  </si>
  <si>
    <t>*      Autres dépenses d'exploitation</t>
  </si>
  <si>
    <t>* Données différentes de celles figurant au rapport statistique du 1er trimestre de l'exercice 2000, car la BHD a envoyé des états financiers rectifiés par la suite.</t>
  </si>
  <si>
    <t>BANQUE INTERCONTINENTALE DE COMMERCE (BIDC)*</t>
  </si>
  <si>
    <t>Var. Déc. 99</t>
  </si>
  <si>
    <t>(oct.99 - déc. 99 )</t>
  </si>
  <si>
    <t xml:space="preserve">* Les données financières des années 1994 à 1996 correspondent à celles de la First National Bank of Boston. Les données financières des troisième et quatrième trimestres de 1997 incluent celles de la BMH. A compter du 1er octobre 1997, les données </t>
  </si>
  <si>
    <t>financières de cette banque excluent celles de la BMH.</t>
  </si>
  <si>
    <t xml:space="preserve">   L'actif net de cette banque a été acheté par la Sogebank au cours du Trim.1 1999.</t>
  </si>
  <si>
    <t>BANQUE INTERCONTINENTALE DE COMMERCE (BIDC)</t>
  </si>
  <si>
    <t>Var. mars 99</t>
  </si>
  <si>
    <t>Déc. 98</t>
  </si>
  <si>
    <t>/sept. 98</t>
  </si>
  <si>
    <t xml:space="preserve">* converties au taux de </t>
  </si>
  <si>
    <t xml:space="preserve"> 2000 (oct.99-déc99)</t>
  </si>
  <si>
    <t>CUMUL (oct.- déc)</t>
  </si>
  <si>
    <t xml:space="preserve">            Intérêts sur bons B.R.H.</t>
  </si>
  <si>
    <t>BANQUE MÉTROPOLITAINE D'HAÏTI (BMH) *</t>
  </si>
  <si>
    <t>(oct. - déc. 97)</t>
  </si>
  <si>
    <t>(janv. - mars 98)</t>
  </si>
  <si>
    <t>(avril - juin 98)</t>
  </si>
  <si>
    <t>(juil. - sept. 98)</t>
  </si>
  <si>
    <t>(oct.98 -mars 99)</t>
  </si>
  <si>
    <t>(oct.97 -juin 98)</t>
  </si>
  <si>
    <t>1995</t>
  </si>
  <si>
    <t xml:space="preserve">* L'actif net de cette banque a été acheté par la sogebank au cours du Trim 1 99. Au cours du Trim 3 99, l'actif de la Sogebank inclut celui de cette banque. </t>
  </si>
  <si>
    <t>BANQUE MÉTROPOLITAINE D'HAÏTI (BMH)*</t>
  </si>
  <si>
    <t>CUMUL (oct.- mars)</t>
  </si>
  <si>
    <t>BANQUE NATIONALE DE CRÉDIT (BNC)</t>
  </si>
  <si>
    <t xml:space="preserve">TRIM 2  </t>
  </si>
  <si>
    <t>(janv. - mar 99)</t>
  </si>
  <si>
    <t>(juil - sept. 99)</t>
  </si>
  <si>
    <t>(juil - sept. 00)</t>
  </si>
  <si>
    <t>( oct.98 -déc. 98)</t>
  </si>
  <si>
    <t xml:space="preserve">      Productivité par  employé ('000)</t>
  </si>
  <si>
    <t>Avance en comptes courants</t>
  </si>
  <si>
    <t>Déc.99</t>
  </si>
  <si>
    <t xml:space="preserve">* converties au taux de 17,9654 Gdes </t>
  </si>
  <si>
    <t>BANQUE NATIONALE DE CRÉDIT  (BNC)</t>
  </si>
  <si>
    <t>BANQUE POPULAIRE HAÏTIENNE (BPH)</t>
  </si>
  <si>
    <t xml:space="preserve">      Prêts Nets</t>
  </si>
  <si>
    <t xml:space="preserve">       à vue</t>
  </si>
  <si>
    <t xml:space="preserve">   Placements</t>
  </si>
  <si>
    <t>* converties au taux de 17,9654 Gdes</t>
  </si>
  <si>
    <t xml:space="preserve"> 2000 (oct.99- déc.99)</t>
  </si>
  <si>
    <t xml:space="preserve"> 1999 (oct.98- déc.98)</t>
  </si>
  <si>
    <t xml:space="preserve">            Autres (incluant intérêts sur bons B.R.H.)</t>
  </si>
  <si>
    <t>BANQUE DE L'UNION HAÏTIENNE (BUH)</t>
  </si>
  <si>
    <t>/sept.99</t>
  </si>
  <si>
    <t xml:space="preserve">(janv. - mars 00) </t>
  </si>
  <si>
    <t>Bons BRH</t>
  </si>
  <si>
    <t>Prêts sans garantis</t>
  </si>
  <si>
    <t>Prêts garantis-Fonds spéciaux</t>
  </si>
  <si>
    <t>REVENUS DIFFÉRÉS</t>
  </si>
  <si>
    <t xml:space="preserve">    Bons B.R.H.</t>
  </si>
  <si>
    <t xml:space="preserve">   Surplus d'apport *</t>
  </si>
  <si>
    <t>* converties au taux de 17.9688 Gdes</t>
  </si>
  <si>
    <t>CAPITAL BANK (CAPITALBK)</t>
  </si>
  <si>
    <t>(oct.97 - sept. 98)</t>
  </si>
  <si>
    <t>N.B.-Le Ministère du Commerce et de l'Industrie, en date du 12 mars 1999, a approuvé les modifications des statut de la CapitalBank, la faisant passer de B.E.L. à Banque Commerciale. Des dispositions transitoires ont été adoptées à cette fin.</t>
  </si>
  <si>
    <t xml:space="preserve"> Mars 98</t>
  </si>
  <si>
    <t>* converties au taux 17,9638 Gdes</t>
  </si>
  <si>
    <t>Dotation à la provisions pour créances douteuses</t>
  </si>
  <si>
    <t>CITIBANK N.A. (CBNA)</t>
  </si>
  <si>
    <t>* converties au taux de 17,977 Gdes</t>
  </si>
  <si>
    <t>* converties au taux de 16.931</t>
  </si>
  <si>
    <t xml:space="preserve"> 2000 (oct.99-déc. 99)</t>
  </si>
  <si>
    <t xml:space="preserve"> 1999 (oct.98-déc. 98)</t>
  </si>
  <si>
    <t xml:space="preserve"> (En milliers de gourdes)</t>
  </si>
  <si>
    <t xml:space="preserve">                               CUMUL (oct.- déc.)</t>
  </si>
  <si>
    <t xml:space="preserve">BANQUE DE PROMOTION COMMERCIALE ET INDUSTRIELLE (PROMOBK) </t>
  </si>
  <si>
    <t>(oct.99 -déc. 99)</t>
  </si>
  <si>
    <t>BANQUE DE PROMOTION COMMERCIALE ET INDUSTRIELLE (PROMOBK)</t>
  </si>
  <si>
    <t xml:space="preserve">   Prêts de la BRH/Réescomptes</t>
  </si>
  <si>
    <t xml:space="preserve">   Prêts garantis-fonds spéciaux</t>
  </si>
  <si>
    <t xml:space="preserve">   Prêts des banques locales</t>
  </si>
  <si>
    <t xml:space="preserve">   Prêts des institutions étrangères</t>
  </si>
  <si>
    <t xml:space="preserve">   Prêts des particuliers</t>
  </si>
  <si>
    <t>* converties au taux de 17,9688 Gdes</t>
  </si>
  <si>
    <t xml:space="preserve"> 1999 (oct.98-déc. 99)</t>
  </si>
  <si>
    <t>SCOTIA BANK (SCOTIA)</t>
  </si>
  <si>
    <t xml:space="preserve"> 2000(oct.99-déc. 99)</t>
  </si>
  <si>
    <t>SOCIÉTÉ CARAÏBÉENNE DE BANQUE (SOCABK)</t>
  </si>
  <si>
    <t xml:space="preserve">   Autres placements</t>
  </si>
  <si>
    <t xml:space="preserve">      Portefeuille brut</t>
  </si>
  <si>
    <t xml:space="preserve">         Avoir à l'étranger</t>
  </si>
  <si>
    <t xml:space="preserve">         Avoir dans les banques locales</t>
  </si>
  <si>
    <t>CUMUL (oct.-sept.)</t>
  </si>
  <si>
    <t>SOCIÉTÉ GÉNÉRALE HAÏTIENNE DE BANQUE (SOGEBK) *</t>
  </si>
  <si>
    <t xml:space="preserve">         * La Sogebank a fait l'acquisition de l'actif net de la BIDC au cours du Trim.1 1999.</t>
  </si>
  <si>
    <t>SOCIÉTÉ GÉNÉRALE HAÏTIENNE DE BANQUE (SOGEBK)</t>
  </si>
  <si>
    <t xml:space="preserve">   Réserves provisionnelles</t>
  </si>
  <si>
    <t xml:space="preserve">SOCIÉTÉ GÉNÉRALE HAÏTIENNE DE BANQUE (SOGEBK) </t>
  </si>
  <si>
    <t>CUMUL (oct.-déc.)</t>
  </si>
  <si>
    <t>SOCIÉTÉ GÉNÉRALE HAÏTIENNE DE BANQUE D'ÉPARGNE ET DE LOGEMENT (SOGEBL)</t>
  </si>
  <si>
    <t xml:space="preserve">Devises converties </t>
  </si>
  <si>
    <t>SOCIÉTÉ GÉNÉRALE HAÏTIENNE DE BANQUE D'ÉPARGNE ET DE LOGEMENT</t>
  </si>
  <si>
    <t>UNIBANK (UNIBK)</t>
  </si>
  <si>
    <t>Var. sept. 99</t>
  </si>
  <si>
    <t>Investissements</t>
  </si>
  <si>
    <t>Actifs Incorporels</t>
  </si>
  <si>
    <t xml:space="preserve">   Emprunt des Particuliers</t>
  </si>
  <si>
    <t xml:space="preserve">Dotation à la provision pour créances douteuses </t>
  </si>
  <si>
    <t>BÉNÉFICE NET  (PERTE NETTE)</t>
  </si>
  <si>
    <t xml:space="preserve"> 1999 (oct.98- déc. 98)</t>
  </si>
  <si>
    <t xml:space="preserve">           Prêts</t>
  </si>
  <si>
    <t xml:space="preserve">           Autres (incluant intérêts sur Bons B.R.H.)</t>
  </si>
  <si>
    <t>SECTION 5</t>
  </si>
  <si>
    <t xml:space="preserve">                                                                      LIMITE RELATIVE À LA POSITION NETTE DE CHANGE DES BANQUES </t>
  </si>
  <si>
    <t xml:space="preserve">                                                                      PROPRIÉTÉ CROISÉE DU CAPITAL DES BANQUES</t>
  </si>
  <si>
    <t xml:space="preserve">                                                                      LIMITES SUR LA CONCENTRATION DES RISQUES DE CRÉDIT</t>
  </si>
  <si>
    <t xml:space="preserve">                                                                      CLASSIFICATION ET PROVISIONNEMENT DES PRÊTS (sera présenté dans le rapport du Trim.4 1999)</t>
  </si>
  <si>
    <t xml:space="preserve">                                                                      SUFFISANCE DES FONDS PROPRES (sera présenté dans le rapport du trimestre prochain)</t>
  </si>
  <si>
    <t>Circulaire 81-2 - POSITION NETTE DE CHANGE DES BANQUES</t>
  </si>
  <si>
    <r>
      <t xml:space="preserve">Octobre </t>
    </r>
    <r>
      <rPr>
        <b/>
        <vertAlign val="superscript"/>
        <sz val="10"/>
        <rFont val="CG Times"/>
        <family val="1"/>
      </rPr>
      <t>1</t>
    </r>
  </si>
  <si>
    <r>
      <t xml:space="preserve">Nombre de jours de dépassement </t>
    </r>
    <r>
      <rPr>
        <b/>
        <vertAlign val="superscript"/>
        <sz val="9"/>
        <rFont val="CG Times"/>
        <family val="1"/>
      </rPr>
      <t>2</t>
    </r>
  </si>
  <si>
    <r>
      <t xml:space="preserve">Novembre </t>
    </r>
    <r>
      <rPr>
        <b/>
        <vertAlign val="superscript"/>
        <sz val="10"/>
        <rFont val="CG Times"/>
        <family val="1"/>
      </rPr>
      <t>1</t>
    </r>
  </si>
  <si>
    <r>
      <t>Nombre de jours de dépassement</t>
    </r>
    <r>
      <rPr>
        <b/>
        <vertAlign val="superscript"/>
        <sz val="9"/>
        <rFont val="CG Times"/>
        <family val="1"/>
      </rPr>
      <t xml:space="preserve"> </t>
    </r>
  </si>
  <si>
    <r>
      <t xml:space="preserve">Décembre </t>
    </r>
    <r>
      <rPr>
        <b/>
        <vertAlign val="superscript"/>
        <sz val="10"/>
        <rFont val="CG Times"/>
        <family val="1"/>
      </rPr>
      <t>1</t>
    </r>
  </si>
  <si>
    <t xml:space="preserve">Nombre de jours de dépassement </t>
  </si>
  <si>
    <r>
      <t xml:space="preserve">Juillet </t>
    </r>
    <r>
      <rPr>
        <b/>
        <vertAlign val="superscript"/>
        <sz val="10"/>
        <rFont val="CG Times"/>
        <family val="1"/>
      </rPr>
      <t>1</t>
    </r>
  </si>
  <si>
    <r>
      <t xml:space="preserve">Août </t>
    </r>
    <r>
      <rPr>
        <b/>
        <vertAlign val="superscript"/>
        <sz val="10"/>
        <rFont val="CG Times"/>
        <family val="1"/>
      </rPr>
      <t>1</t>
    </r>
  </si>
  <si>
    <r>
      <t xml:space="preserve">Septembre </t>
    </r>
    <r>
      <rPr>
        <b/>
        <vertAlign val="superscript"/>
        <sz val="10"/>
        <rFont val="CG Times"/>
        <family val="1"/>
      </rPr>
      <t>1</t>
    </r>
  </si>
  <si>
    <r>
      <t>1</t>
    </r>
    <r>
      <rPr>
        <b/>
        <sz val="12"/>
        <rFont val="CG Times"/>
      </rPr>
      <t xml:space="preserve"> Position de chaque banque le dernier jour du mois</t>
    </r>
  </si>
  <si>
    <r>
      <t>2</t>
    </r>
    <r>
      <rPr>
        <b/>
        <sz val="12"/>
        <rFont val="CG Times"/>
        <family val="1"/>
      </rPr>
      <t xml:space="preserve"> Les banques ayant dépassé la limite réglementaire de 40% ont été pénalisées selon les dispositions prévues à la circulaire. </t>
    </r>
  </si>
  <si>
    <t>CIRCULAIRE 82-2 - PROPRIÉTÉ CROISÉE DU CAPITAL DES BANQUES</t>
  </si>
  <si>
    <t>Actionnaires (individuels, apparentés ou groupes) détenant 5% et plus du capital des banques</t>
  </si>
  <si>
    <t>Actionnaires</t>
  </si>
  <si>
    <t>Franck CINÉ</t>
  </si>
  <si>
    <t>Claude GEORGES</t>
  </si>
  <si>
    <t>Joseph S. SAINT-LOUIS</t>
  </si>
  <si>
    <r>
      <t>Melissa Company S.A.</t>
    </r>
    <r>
      <rPr>
        <b/>
        <vertAlign val="superscript"/>
        <sz val="10"/>
        <rFont val="CG Times"/>
        <family val="1"/>
      </rPr>
      <t>1</t>
    </r>
  </si>
  <si>
    <t>BIDC S.A.</t>
  </si>
  <si>
    <t>Crédit Foncier Haïtien</t>
  </si>
  <si>
    <r>
      <t xml:space="preserve">Apparentés ZURAIK </t>
    </r>
    <r>
      <rPr>
        <b/>
        <vertAlign val="superscript"/>
        <sz val="10"/>
        <rFont val="CG Times"/>
        <family val="1"/>
      </rPr>
      <t>2</t>
    </r>
  </si>
  <si>
    <r>
      <t xml:space="preserve">Apparentés NASSA </t>
    </r>
    <r>
      <rPr>
        <b/>
        <vertAlign val="superscript"/>
        <sz val="10"/>
        <rFont val="CG Times"/>
        <family val="1"/>
      </rPr>
      <t>3</t>
    </r>
  </si>
  <si>
    <t>Jean AUDAIN</t>
  </si>
  <si>
    <t>Ralph Robert DELAIN</t>
  </si>
  <si>
    <t>Roger JAAR</t>
  </si>
  <si>
    <t>Gérard MOSCOSO</t>
  </si>
  <si>
    <t>Jean-Claude NADAL</t>
  </si>
  <si>
    <t>Gilbert BIGIO</t>
  </si>
  <si>
    <t>Nahoum ACRA</t>
  </si>
  <si>
    <t>Antoine ACRA</t>
  </si>
  <si>
    <t>Roland ACRA</t>
  </si>
  <si>
    <t>Grégory CHEVALLIER</t>
  </si>
  <si>
    <t>Groupement Français d'Assurance (GFA)</t>
  </si>
  <si>
    <t>Edouard BAUSSAN</t>
  </si>
  <si>
    <t>F. Carl BRAUN</t>
  </si>
  <si>
    <t>Adrien CASTERA</t>
  </si>
  <si>
    <r>
      <t xml:space="preserve">Groupe BRANDT </t>
    </r>
    <r>
      <rPr>
        <b/>
        <vertAlign val="superscript"/>
        <sz val="10"/>
        <rFont val="CG Times"/>
        <family val="1"/>
      </rPr>
      <t>4</t>
    </r>
  </si>
  <si>
    <r>
      <t>1</t>
    </r>
    <r>
      <rPr>
        <b/>
        <sz val="12"/>
        <rFont val="CG Times"/>
      </rPr>
      <t xml:space="preserve">  Melissa Company S.A. : 3.39%   ; Charles BEAULIEU : 1.67%  ; Famille BEAULIEU : 0.34% </t>
    </r>
  </si>
  <si>
    <r>
      <t>2</t>
    </r>
    <r>
      <rPr>
        <b/>
        <sz val="12"/>
        <rFont val="CG Times"/>
      </rPr>
      <t xml:space="preserve">  Electro Refri S.A. : 2.78%   ; Samy ZURAIK :   6.68%</t>
    </r>
  </si>
  <si>
    <r>
      <t>3</t>
    </r>
    <r>
      <rPr>
        <b/>
        <sz val="11"/>
        <rFont val="CG Times"/>
        <family val="1"/>
      </rPr>
      <t xml:space="preserve">  Carole BAKER : 0.53%;   Lucien BARRAU : 8.11%;   Dupuy Mérovée Pierre Co.: 1.17%;   Fritz DUPUY: 8.44%;   Bernard ROY: 8.53%;   Roy &amp; Associés: 0.02%;   Patrick VORBE: 0.09%</t>
    </r>
  </si>
  <si>
    <r>
      <t xml:space="preserve">4   </t>
    </r>
    <r>
      <rPr>
        <b/>
        <sz val="10"/>
        <rFont val="CG Times"/>
        <family val="1"/>
      </rPr>
      <t xml:space="preserve">Oswald J BRANDT II : 7.98%; Fritz Patrick BRANDT : 8,00%; Jean Paul Grégory BRANDT : 7,97%; </t>
    </r>
    <r>
      <rPr>
        <b/>
        <sz val="11"/>
        <rFont val="CG Times"/>
      </rPr>
      <t xml:space="preserve">Bianca Brandt RUSSO : 3.33%; Vanessa Brandt RUSSO : 2.27%; </t>
    </r>
  </si>
  <si>
    <t>CIRCULAIRE 83-3 - LIMITES RELATIVES À LA CONCENTRATION DES RISQUES DE CRÉDIT</t>
  </si>
  <si>
    <t>RISQUES APPARENTES</t>
  </si>
  <si>
    <t>Limite individuelle</t>
  </si>
  <si>
    <t>Tout établissement bancaire est tenu de respecter en tout temps un rapport maximum de 10% entre l'ensemble des risques de crédit</t>
  </si>
  <si>
    <t>qu'il encourt du fait de ses opérations avec un Risque Apparenté (à l'établissement bancaire) et le montant de ses fonds propres</t>
  </si>
  <si>
    <t>rélgementaires.</t>
  </si>
  <si>
    <t xml:space="preserve">Les banques doivent respecter une limite transitoire de 20% à compter du 31 décembre 1998 et la limite réglementaire de 10% </t>
  </si>
  <si>
    <t>à partir du 30 septembre 2000.</t>
  </si>
  <si>
    <t>Limite cumulative</t>
  </si>
  <si>
    <t>Tout établissement bancaire est tenu de respecter en tout temps un rapport maximum de 200% entre le cumul des risques de crédit</t>
  </si>
  <si>
    <t>qu'il encourt du fait de ses opérations avec un Risque Apparenté (à l'établissement bancaire) et le montant de ses fonds propres.</t>
  </si>
  <si>
    <t xml:space="preserve">Les banques doivent respecter une limite transitoire de 300% à compter du 31 décembre 1998 et la limite réglementaire de 200% </t>
  </si>
  <si>
    <t>LIMITE INDIVIDUELLE EN FONCTION DES FONDS PROPRES RÉGLEMENTAIRES</t>
  </si>
  <si>
    <r>
      <t xml:space="preserve">10% et moins </t>
    </r>
    <r>
      <rPr>
        <b/>
        <sz val="11"/>
        <rFont val="Arial"/>
        <family val="2"/>
      </rPr>
      <t>(des fonds propres)</t>
    </r>
  </si>
  <si>
    <r>
      <t xml:space="preserve"> 10% </t>
    </r>
    <r>
      <rPr>
        <b/>
        <vertAlign val="superscript"/>
        <sz val="16"/>
        <rFont val="Arial"/>
        <family val="2"/>
      </rPr>
      <t>+</t>
    </r>
    <r>
      <rPr>
        <b/>
        <sz val="14"/>
        <rFont val="Arial"/>
        <family val="2"/>
      </rPr>
      <t xml:space="preserve"> et 20%</t>
    </r>
  </si>
  <si>
    <t xml:space="preserve"> plus de 20%</t>
  </si>
  <si>
    <t>Distribution des risques apparentés</t>
  </si>
  <si>
    <t>Nombre</t>
  </si>
  <si>
    <t>Encours</t>
  </si>
  <si>
    <t>% de l'encours</t>
  </si>
  <si>
    <t>emprunteurs</t>
  </si>
  <si>
    <t>(en gourdes)</t>
  </si>
  <si>
    <t>10% et moins</t>
  </si>
  <si>
    <r>
      <t xml:space="preserve">10% </t>
    </r>
    <r>
      <rPr>
        <b/>
        <vertAlign val="superscript"/>
        <sz val="16"/>
        <rFont val="Arial"/>
        <family val="2"/>
      </rPr>
      <t>+</t>
    </r>
    <r>
      <rPr>
        <b/>
        <sz val="10"/>
        <rFont val="Arial"/>
        <family val="2"/>
      </rPr>
      <t xml:space="preserve"> et 20%</t>
    </r>
  </si>
  <si>
    <t>+ de 20%</t>
  </si>
  <si>
    <t>(individu ou groupe)</t>
  </si>
  <si>
    <t>SCOTIABK</t>
  </si>
  <si>
    <t>LIMITE CUMULATIVE EN FONCTION DES FONDS PROPRES RÉGLEMENTAIRES</t>
  </si>
  <si>
    <t>Total Risques</t>
  </si>
  <si>
    <t>Fonds</t>
  </si>
  <si>
    <t>Apparentés</t>
  </si>
  <si>
    <t>Propres</t>
  </si>
  <si>
    <t>(gourdes)</t>
  </si>
  <si>
    <t>(a)</t>
  </si>
  <si>
    <t>(b)</t>
  </si>
  <si>
    <t>(a) / (b)</t>
  </si>
  <si>
    <t xml:space="preserve">La circulaire 83-2 relative à la concentration des risques de crédit a été remplacée par la circulaire 83-3 qui a été mise en vigueur le 31 décembre 1998. Les banques dépassant les limites réglementaires au 31 mars 1999 seront pénalisées.  </t>
  </si>
  <si>
    <t>RISQUES NON APPARENTES</t>
  </si>
  <si>
    <t>Limite</t>
  </si>
  <si>
    <t>Tout établissement bancaire est tenu de respecter en tout temps un rapport maximum de 20% entre l'ensemble des risques de crédit</t>
  </si>
  <si>
    <t>qu'il encourt du fait de ses opérations avec un Risque Non Apparenté (à l'établissement bancaire) et le montant de ses fonds propres</t>
  </si>
  <si>
    <t>réglementaires.</t>
  </si>
  <si>
    <t xml:space="preserve">Les banques doivent respecter une limite transitoire de 30% à compter du 31 décembre 1998 et la limite réglementaire de 20% </t>
  </si>
  <si>
    <r>
      <t>5% et 20%</t>
    </r>
    <r>
      <rPr>
        <b/>
        <sz val="11"/>
        <rFont val="Arial"/>
        <family val="2"/>
      </rPr>
      <t xml:space="preserve"> (des fonds propres)</t>
    </r>
  </si>
  <si>
    <r>
      <t xml:space="preserve"> 20% </t>
    </r>
    <r>
      <rPr>
        <b/>
        <vertAlign val="superscript"/>
        <sz val="16"/>
        <rFont val="Arial"/>
        <family val="2"/>
      </rPr>
      <t>+</t>
    </r>
    <r>
      <rPr>
        <b/>
        <sz val="14"/>
        <rFont val="Arial"/>
        <family val="2"/>
      </rPr>
      <t xml:space="preserve"> et 30%</t>
    </r>
  </si>
  <si>
    <t xml:space="preserve"> plus de 30%</t>
  </si>
  <si>
    <t>Distribution des risques non apparentés de 5% et plus</t>
  </si>
  <si>
    <t>5% et 20%</t>
  </si>
  <si>
    <r>
      <t xml:space="preserve">20% </t>
    </r>
    <r>
      <rPr>
        <b/>
        <sz val="16"/>
        <rFont val="Arial"/>
        <family val="2"/>
      </rPr>
      <t>+</t>
    </r>
    <r>
      <rPr>
        <b/>
        <sz val="11"/>
        <rFont val="Arial"/>
        <family val="2"/>
      </rPr>
      <t xml:space="preserve"> et 30%</t>
    </r>
  </si>
  <si>
    <t>+ de 30%</t>
  </si>
  <si>
    <t>MÉCANISME TRANSITOIRE POUR LES BANQUES ÉTRANGÈRES</t>
  </si>
  <si>
    <t>1M et - 5M</t>
  </si>
  <si>
    <t>5M et -10M</t>
  </si>
  <si>
    <t>10M et -25M</t>
  </si>
  <si>
    <t>25M et -50M</t>
  </si>
  <si>
    <t>50M et -75M</t>
  </si>
  <si>
    <t>75M et -100M</t>
  </si>
  <si>
    <t>100M et -125M</t>
  </si>
  <si>
    <t>125M et -150M</t>
  </si>
  <si>
    <t>RISQUES PAR SECTEUR D'ACTIVITÉ</t>
  </si>
  <si>
    <t>Sous réserve de l'article 18 de la Loi du 28 août 1984 portant sur la création et le fonctionnement des banques d'épargne et de logement,</t>
  </si>
  <si>
    <t>l'ensemble des risques de crédit à l'égard des secteurs d'activité définis dans la circulaire ne peut excéder 25% de l'ensemble des risques</t>
  </si>
  <si>
    <t>de crédit de l'établissement bancaire.</t>
  </si>
  <si>
    <t xml:space="preserve">Par exception, la limite de 25 % s’applique à chacune des activités comprises dans les secteurs d'activité "commerce de gros" et "commerce  </t>
  </si>
  <si>
    <t>de détail'.</t>
  </si>
  <si>
    <t>LIMITE SECTORIELLE EN POURCENTAGE DES RISQUES DE CRÉDIT TOTAUX</t>
  </si>
  <si>
    <t>Code Secteur</t>
  </si>
  <si>
    <t>Secteurs d'activités</t>
  </si>
  <si>
    <t>Ressources naturelles</t>
  </si>
  <si>
    <t>Industrie alimentaire</t>
  </si>
  <si>
    <t>Industrie des boissons</t>
  </si>
  <si>
    <t>Industrie du bois</t>
  </si>
  <si>
    <t>Industrie chimique</t>
  </si>
  <si>
    <t>Industrie du textile</t>
  </si>
  <si>
    <t>Industrie pharmacie</t>
  </si>
  <si>
    <t>Imprimerie, édition</t>
  </si>
  <si>
    <t>Sidérurgie, aciérie</t>
  </si>
  <si>
    <t>Industrie de la fabrication</t>
  </si>
  <si>
    <t>Autres industries</t>
  </si>
  <si>
    <t>Production et distribution de l'électricité</t>
  </si>
  <si>
    <t>Production et distribution de gaz</t>
  </si>
  <si>
    <t>Traitement et distribution de l'eau</t>
  </si>
  <si>
    <t>Entrep/ batiment et corps/ métiers corresp.</t>
  </si>
  <si>
    <t xml:space="preserve">Commerce de gros(1) </t>
  </si>
  <si>
    <t xml:space="preserve">Commerce de détail(2) </t>
  </si>
  <si>
    <t>Rest/débits/boissons, casinos/activités/loterie</t>
  </si>
  <si>
    <t>Hotels,motels et pensions</t>
  </si>
  <si>
    <t>Transport</t>
  </si>
  <si>
    <t>Immobilier résidentiel</t>
  </si>
  <si>
    <t>Immobilier commercial</t>
  </si>
  <si>
    <t>Télécommunications</t>
  </si>
  <si>
    <t>Services financiers</t>
  </si>
  <si>
    <t>Services professionnels</t>
  </si>
  <si>
    <t>Services médicaux</t>
  </si>
  <si>
    <t>Services d'agence ou de représentation</t>
  </si>
  <si>
    <t>Services d'enseignement</t>
  </si>
  <si>
    <t>Autres services</t>
  </si>
  <si>
    <t>Crédit à la consommation</t>
  </si>
  <si>
    <t xml:space="preserve">(1) Commerce de gros </t>
  </si>
  <si>
    <t>Import-export</t>
  </si>
  <si>
    <t>Produits pétroliers</t>
  </si>
  <si>
    <t>Produits pharmaceutiques</t>
  </si>
  <si>
    <t>Produits alimentaires</t>
  </si>
  <si>
    <t>Appareils électroménagers électron.,équipe.inform.</t>
  </si>
  <si>
    <t>Matériaux de construction</t>
  </si>
  <si>
    <t>S-Total</t>
  </si>
  <si>
    <t xml:space="preserve">(2) Commerce de détail </t>
  </si>
  <si>
    <t xml:space="preserve">Produits pétroliers </t>
  </si>
  <si>
    <t>Véhicules automobiles</t>
  </si>
  <si>
    <t>Librairie ,papeterie</t>
  </si>
  <si>
    <t xml:space="preserve">Appareils électro- ménagers électroni.équip. inform. </t>
  </si>
  <si>
    <t>CIRCULAIRE 88 - SUFFISANCE DES FONDS PROPRES</t>
  </si>
  <si>
    <t>Ratio actif/fonds propres</t>
  </si>
  <si>
    <t>2.0</t>
  </si>
  <si>
    <t>Ratio des fonds propres sur actif  à risques</t>
  </si>
  <si>
    <t>INFORMATION SUR LE CALCUL DES RATIOS FINANCIERS CLÉS</t>
  </si>
  <si>
    <t>RATIOS FINANCIERS</t>
  </si>
  <si>
    <t xml:space="preserve">          Avoir des actionnaires</t>
  </si>
  <si>
    <t xml:space="preserve">  Avoir des actionnaires                  x 100%</t>
  </si>
  <si>
    <t xml:space="preserve">          en % de l'actif</t>
  </si>
  <si>
    <t xml:space="preserve">               Actif total </t>
  </si>
  <si>
    <t xml:space="preserve">          Dépôts en % de l'actif</t>
  </si>
  <si>
    <t xml:space="preserve">       Dépôts totaux                    x 100%</t>
  </si>
  <si>
    <t xml:space="preserve">           Actif total </t>
  </si>
  <si>
    <t xml:space="preserve">          Prêts improductifs bruts</t>
  </si>
  <si>
    <r>
      <t xml:space="preserve">         Prêts improductifs            </t>
    </r>
    <r>
      <rPr>
        <sz val="12"/>
        <rFont val="CG Times"/>
      </rPr>
      <t xml:space="preserve"> x 100%</t>
    </r>
  </si>
  <si>
    <t xml:space="preserve">          en % des prêts bruts</t>
  </si>
  <si>
    <t xml:space="preserve">                Prêts bruts    </t>
  </si>
  <si>
    <t xml:space="preserve">   </t>
  </si>
  <si>
    <r>
      <t xml:space="preserve">          </t>
    </r>
    <r>
      <rPr>
        <b/>
        <sz val="12"/>
        <rFont val="CG Times"/>
      </rPr>
      <t>Provision pour créances douteuses</t>
    </r>
  </si>
  <si>
    <t xml:space="preserve">   Provision pour créances douteuses                     x 100%</t>
  </si>
  <si>
    <r>
      <t xml:space="preserve">          </t>
    </r>
    <r>
      <rPr>
        <b/>
        <sz val="12"/>
        <rFont val="CG Times"/>
      </rPr>
      <t>en % des prêts improductifs bruts</t>
    </r>
  </si>
  <si>
    <t xml:space="preserve">          Prêts improductifs bruts  </t>
  </si>
  <si>
    <r>
      <t xml:space="preserve">          </t>
    </r>
    <r>
      <rPr>
        <b/>
        <sz val="12"/>
        <rFont val="CG Times"/>
      </rPr>
      <t>Prêts improductifs nets</t>
    </r>
  </si>
  <si>
    <t xml:space="preserve">         Prêts improductifs nets          x 100%          </t>
  </si>
  <si>
    <t xml:space="preserve">          en % de l'avoir des actionnaires</t>
  </si>
  <si>
    <t xml:space="preserve">         Avoir des actionnaires </t>
  </si>
  <si>
    <t xml:space="preserve">          ROA (rendement de l'actif)</t>
  </si>
  <si>
    <r>
      <t xml:space="preserve">  Bénéfice net de la période </t>
    </r>
    <r>
      <rPr>
        <vertAlign val="superscript"/>
        <sz val="12"/>
        <rFont val="CG Times"/>
        <family val="1"/>
      </rPr>
      <t>1</t>
    </r>
    <r>
      <rPr>
        <u/>
        <sz val="12"/>
        <rFont val="CG Times"/>
        <family val="1"/>
      </rPr>
      <t xml:space="preserve">            </t>
    </r>
    <r>
      <rPr>
        <sz val="12"/>
        <rFont val="CG Times"/>
        <family val="1"/>
      </rPr>
      <t xml:space="preserve">  x 100%  </t>
    </r>
    <r>
      <rPr>
        <vertAlign val="superscript"/>
        <sz val="12"/>
        <rFont val="CG Times"/>
        <family val="1"/>
      </rPr>
      <t xml:space="preserve">2 </t>
    </r>
    <r>
      <rPr>
        <sz val="12"/>
        <rFont val="CG Times"/>
        <family val="1"/>
      </rPr>
      <t xml:space="preserve">      </t>
    </r>
  </si>
  <si>
    <t xml:space="preserve"> (Actif de la fin de la période +</t>
  </si>
  <si>
    <t xml:space="preserve"> actif total du début de la période)/2</t>
  </si>
  <si>
    <t xml:space="preserve">          ROE ( rendement de l'avoir</t>
  </si>
  <si>
    <r>
      <t xml:space="preserve">            Bénéfice net de la période                   </t>
    </r>
    <r>
      <rPr>
        <sz val="12"/>
        <rFont val="CG Times"/>
      </rPr>
      <t xml:space="preserve">   x 100% </t>
    </r>
    <r>
      <rPr>
        <vertAlign val="superscript"/>
        <sz val="12"/>
        <rFont val="CG Times"/>
        <family val="1"/>
      </rPr>
      <t>2</t>
    </r>
  </si>
  <si>
    <t xml:space="preserve">          des actionnaires)</t>
  </si>
  <si>
    <t>(Avoir des actionnaires de la fin de la période +</t>
  </si>
  <si>
    <t>avoir des actionnaires du début de la période)/2</t>
  </si>
  <si>
    <t>(Revenus d'intérêt totaux de la période -</t>
  </si>
  <si>
    <t xml:space="preserve">          Revenus nets d'intérêt</t>
  </si>
  <si>
    <r>
      <t xml:space="preserve">dépenses d'intérêt totales de la période)       </t>
    </r>
    <r>
      <rPr>
        <sz val="12"/>
        <rFont val="CG Times"/>
      </rPr>
      <t xml:space="preserve">    x 100%</t>
    </r>
  </si>
  <si>
    <t xml:space="preserve">          en % des revenus d'intérêt</t>
  </si>
  <si>
    <t>Revenus d'intérêts totaux de la période</t>
  </si>
  <si>
    <t xml:space="preserve">          Rendement moyen des prêts</t>
  </si>
  <si>
    <r>
      <t xml:space="preserve">Revenus d'intérêt sur les prêts de la période         </t>
    </r>
    <r>
      <rPr>
        <sz val="12"/>
        <rFont val="CG Times"/>
      </rPr>
      <t xml:space="preserve">   x 100% </t>
    </r>
    <r>
      <rPr>
        <vertAlign val="superscript"/>
        <sz val="12"/>
        <rFont val="CG Times"/>
        <family val="1"/>
      </rPr>
      <t>2</t>
    </r>
  </si>
  <si>
    <t xml:space="preserve">((Prêts bruts du début de la période + prêts bruts  </t>
  </si>
  <si>
    <t xml:space="preserve">                  de la fin de la période))/2</t>
  </si>
  <si>
    <t xml:space="preserve">          Rémunération moyenne des dépôts</t>
  </si>
  <si>
    <r>
      <t xml:space="preserve">Dépenses d'intérêts de la période       </t>
    </r>
    <r>
      <rPr>
        <sz val="12"/>
        <rFont val="CG Times"/>
      </rPr>
      <t xml:space="preserve">  x 100% </t>
    </r>
    <r>
      <rPr>
        <vertAlign val="superscript"/>
        <sz val="12"/>
        <rFont val="CG Times"/>
        <family val="1"/>
      </rPr>
      <t>2</t>
    </r>
  </si>
  <si>
    <t>(Dépôts totaux du début de la période +</t>
  </si>
  <si>
    <t>dépôts totaux de la fin de la période)/2</t>
  </si>
  <si>
    <t xml:space="preserve">          Dépenses d'exploitation</t>
  </si>
  <si>
    <t xml:space="preserve">          en % du produit net bancaire</t>
  </si>
  <si>
    <r>
      <t xml:space="preserve">Dépenses d'exploitation de la période    </t>
    </r>
    <r>
      <rPr>
        <sz val="12"/>
        <rFont val="CG Times"/>
      </rPr>
      <t xml:space="preserve">    x 100%</t>
    </r>
  </si>
  <si>
    <t xml:space="preserve">          (revenus nets d'intérêts + autres revenus)</t>
  </si>
  <si>
    <t xml:space="preserve">    Produit net bancaire de la période</t>
  </si>
  <si>
    <t xml:space="preserve">          Rentabilité par employé</t>
  </si>
  <si>
    <r>
      <t xml:space="preserve">   </t>
    </r>
    <r>
      <rPr>
        <u/>
        <sz val="12"/>
        <rFont val="CG Times"/>
        <family val="1"/>
      </rPr>
      <t xml:space="preserve">Produit net bancaire de la période               </t>
    </r>
    <r>
      <rPr>
        <sz val="12"/>
        <rFont val="CG Times"/>
        <family val="1"/>
      </rPr>
      <t xml:space="preserve">   x 100% </t>
    </r>
    <r>
      <rPr>
        <vertAlign val="superscript"/>
        <sz val="12"/>
        <rFont val="CG Times"/>
        <family val="1"/>
      </rPr>
      <t>2</t>
    </r>
  </si>
  <si>
    <t xml:space="preserve">          (Produit net bancaire par employé)</t>
  </si>
  <si>
    <t xml:space="preserve"> (Nombre d'employés du début de la période +</t>
  </si>
  <si>
    <t xml:space="preserve"> nombre d'employés de la fin de la période)/2</t>
  </si>
  <si>
    <r>
      <t xml:space="preserve">           1</t>
    </r>
    <r>
      <rPr>
        <sz val="12"/>
        <rFont val="CG Times"/>
        <family val="1"/>
      </rPr>
      <t xml:space="preserve"> </t>
    </r>
    <r>
      <rPr>
        <sz val="10"/>
        <rFont val="CG Times"/>
        <family val="1"/>
      </rPr>
      <t>Période signifie : trimestre, cumul ou année selon qu'il s'agisse du calcul d'un ratio trimestriel, cumulatif ou annuel.</t>
    </r>
  </si>
</sst>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_(* #,##0.0_);_(* \(#,##0.0\);_(* &quot;-&quot;??_);_(@_)"/>
    <numFmt numFmtId="165" formatCode="0.0%"/>
    <numFmt numFmtId="166" formatCode="_(* #,##0.000_);_(* \(#,##0.000\);_(* &quot;-&quot;??_);_(@_)"/>
    <numFmt numFmtId="167" formatCode="_(* #,##0.0000_);_(* \(#,##0.0000\);_(* &quot;-&quot;??_);_(@_)"/>
    <numFmt numFmtId="168" formatCode="_(* #,##0_);_(* \(#,##0\);_(* &quot;-&quot;??_);_(@_)"/>
  </numFmts>
  <fonts count="60">
    <font>
      <sz val="12"/>
      <name val="CG Times"/>
    </font>
    <font>
      <b/>
      <sz val="12"/>
      <name val="CG Times"/>
    </font>
    <font>
      <b/>
      <i/>
      <sz val="12"/>
      <name val="CG Times"/>
    </font>
    <font>
      <sz val="12"/>
      <name val="CG Times"/>
    </font>
    <font>
      <sz val="10"/>
      <name val="CG Times"/>
      <family val="1"/>
    </font>
    <font>
      <u val="singleAccounting"/>
      <sz val="12"/>
      <name val="CG Times"/>
      <family val="1"/>
    </font>
    <font>
      <sz val="9"/>
      <name val="CG Times"/>
      <family val="1"/>
    </font>
    <font>
      <u val="singleAccounting"/>
      <sz val="10"/>
      <name val="CG Times"/>
      <family val="1"/>
    </font>
    <font>
      <b/>
      <sz val="10"/>
      <name val="CG Times"/>
      <family val="1"/>
    </font>
    <font>
      <b/>
      <sz val="10"/>
      <name val="CG Times"/>
    </font>
    <font>
      <sz val="12"/>
      <name val="CG Times"/>
      <family val="1"/>
    </font>
    <font>
      <b/>
      <sz val="12"/>
      <name val="CG Times"/>
      <family val="1"/>
    </font>
    <font>
      <sz val="11"/>
      <name val="CG Times"/>
      <family val="1"/>
    </font>
    <font>
      <b/>
      <u val="singleAccounting"/>
      <sz val="12"/>
      <name val="CG Times"/>
      <family val="1"/>
    </font>
    <font>
      <b/>
      <vertAlign val="superscript"/>
      <sz val="10"/>
      <name val="CG Times"/>
      <family val="1"/>
    </font>
    <font>
      <b/>
      <vertAlign val="superscript"/>
      <sz val="12"/>
      <name val="CG Times"/>
    </font>
    <font>
      <b/>
      <vertAlign val="superscript"/>
      <sz val="10"/>
      <name val="CG Times"/>
    </font>
    <font>
      <vertAlign val="superscript"/>
      <sz val="12"/>
      <name val="CG Times"/>
    </font>
    <font>
      <b/>
      <sz val="11"/>
      <name val="CG Times"/>
      <family val="1"/>
    </font>
    <font>
      <b/>
      <sz val="14"/>
      <name val="CG Times"/>
      <family val="1"/>
    </font>
    <font>
      <sz val="14"/>
      <name val="CG Times"/>
      <family val="1"/>
    </font>
    <font>
      <b/>
      <sz val="14"/>
      <name val="CG Times"/>
    </font>
    <font>
      <b/>
      <vertAlign val="superscript"/>
      <sz val="8"/>
      <name val="CG Times"/>
      <family val="1"/>
    </font>
    <font>
      <b/>
      <sz val="16"/>
      <name val="CG Times"/>
      <family val="1"/>
    </font>
    <font>
      <sz val="14"/>
      <name val="CG Times"/>
    </font>
    <font>
      <b/>
      <sz val="11"/>
      <color indexed="9"/>
      <name val="CG Times"/>
      <family val="1"/>
    </font>
    <font>
      <sz val="10"/>
      <name val="Arial"/>
    </font>
    <font>
      <sz val="14"/>
      <name val="Arial"/>
      <family val="2"/>
    </font>
    <font>
      <b/>
      <sz val="24"/>
      <name val="Arial"/>
    </font>
    <font>
      <sz val="24"/>
      <name val="Arial"/>
      <family val="2"/>
    </font>
    <font>
      <b/>
      <sz val="24"/>
      <name val="Arial"/>
      <family val="2"/>
    </font>
    <font>
      <b/>
      <sz val="14"/>
      <name val="Arial"/>
      <family val="2"/>
    </font>
    <font>
      <b/>
      <sz val="12"/>
      <name val="Arial"/>
      <family val="2"/>
    </font>
    <font>
      <b/>
      <u/>
      <sz val="12"/>
      <name val="Arial"/>
      <family val="2"/>
    </font>
    <font>
      <sz val="8"/>
      <name val="Arial"/>
      <family val="2"/>
    </font>
    <font>
      <sz val="12"/>
      <name val="Arial"/>
      <family val="2"/>
    </font>
    <font>
      <b/>
      <sz val="11"/>
      <name val="Arial"/>
      <family val="2"/>
    </font>
    <font>
      <b/>
      <sz val="14"/>
      <name val="Arial"/>
    </font>
    <font>
      <sz val="11"/>
      <name val="Arial"/>
      <family val="2"/>
    </font>
    <font>
      <b/>
      <sz val="8"/>
      <name val="Arial"/>
    </font>
    <font>
      <b/>
      <sz val="10"/>
      <name val="Arial"/>
      <family val="2"/>
    </font>
    <font>
      <b/>
      <sz val="10"/>
      <name val="Arial"/>
    </font>
    <font>
      <b/>
      <sz val="8"/>
      <name val="Arial"/>
      <family val="2"/>
    </font>
    <font>
      <sz val="13"/>
      <name val="Arial"/>
      <family val="2"/>
    </font>
    <font>
      <b/>
      <sz val="12"/>
      <name val="Arial"/>
    </font>
    <font>
      <b/>
      <u/>
      <sz val="12"/>
      <name val="CG Times"/>
      <family val="1"/>
    </font>
    <font>
      <b/>
      <sz val="18"/>
      <name val="CG Times"/>
      <family val="1"/>
    </font>
    <font>
      <b/>
      <sz val="9"/>
      <name val="CG Times"/>
    </font>
    <font>
      <b/>
      <vertAlign val="superscript"/>
      <sz val="9"/>
      <name val="CG Times"/>
      <family val="1"/>
    </font>
    <font>
      <b/>
      <vertAlign val="superscript"/>
      <sz val="16"/>
      <name val="Arial"/>
      <family val="2"/>
    </font>
    <font>
      <b/>
      <sz val="16"/>
      <name val="Arial"/>
      <family val="2"/>
    </font>
    <font>
      <b/>
      <sz val="16"/>
      <color indexed="9"/>
      <name val="CG Times"/>
      <family val="1"/>
    </font>
    <font>
      <b/>
      <sz val="22"/>
      <color indexed="9"/>
      <name val="CG Times"/>
      <family val="1"/>
    </font>
    <font>
      <b/>
      <sz val="20"/>
      <color indexed="9"/>
      <name val="CG Times"/>
      <family val="1"/>
    </font>
    <font>
      <vertAlign val="superscript"/>
      <sz val="12"/>
      <name val="CG Times"/>
      <family val="1"/>
    </font>
    <font>
      <u/>
      <sz val="12"/>
      <name val="CG Times"/>
      <family val="1"/>
    </font>
    <font>
      <b/>
      <sz val="18"/>
      <color indexed="9"/>
      <name val="CG Times"/>
      <family val="1"/>
    </font>
    <font>
      <b/>
      <sz val="11"/>
      <name val="CG Times"/>
    </font>
    <font>
      <b/>
      <sz val="18"/>
      <name val="Arial"/>
      <family val="2"/>
    </font>
    <font>
      <b/>
      <sz val="9"/>
      <name val="CG Times"/>
      <family val="1"/>
    </font>
  </fonts>
  <fills count="4">
    <fill>
      <patternFill patternType="none"/>
    </fill>
    <fill>
      <patternFill patternType="gray125"/>
    </fill>
    <fill>
      <patternFill patternType="solid">
        <fgColor indexed="8"/>
        <bgColor indexed="64"/>
      </patternFill>
    </fill>
    <fill>
      <patternFill patternType="solid">
        <fgColor indexed="22"/>
        <bgColor indexed="64"/>
      </patternFill>
    </fill>
  </fills>
  <borders count="117">
    <border>
      <left/>
      <right/>
      <top/>
      <bottom/>
      <diagonal/>
    </border>
    <border>
      <left/>
      <right/>
      <top/>
      <bottom style="medium">
        <color indexed="64"/>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top/>
      <bottom/>
      <diagonal/>
    </border>
    <border>
      <left/>
      <right/>
      <top/>
      <bottom style="thin">
        <color indexed="64"/>
      </bottom>
      <diagonal/>
    </border>
    <border>
      <left/>
      <right style="thick">
        <color indexed="64"/>
      </right>
      <top/>
      <bottom/>
      <diagonal/>
    </border>
    <border>
      <left style="thick">
        <color indexed="64"/>
      </left>
      <right/>
      <top/>
      <bottom/>
      <diagonal/>
    </border>
    <border>
      <left style="thick">
        <color indexed="64"/>
      </left>
      <right/>
      <top/>
      <bottom style="thick">
        <color indexed="64"/>
      </bottom>
      <diagonal/>
    </border>
    <border>
      <left/>
      <right/>
      <top/>
      <bottom style="thick">
        <color indexed="64"/>
      </bottom>
      <diagonal/>
    </border>
    <border>
      <left style="medium">
        <color indexed="64"/>
      </left>
      <right style="medium">
        <color indexed="64"/>
      </right>
      <top/>
      <bottom style="thick">
        <color indexed="64"/>
      </bottom>
      <diagonal/>
    </border>
    <border>
      <left/>
      <right style="thick">
        <color indexed="64"/>
      </right>
      <top/>
      <bottom style="thick">
        <color indexed="64"/>
      </bottom>
      <diagonal/>
    </border>
    <border>
      <left/>
      <right/>
      <top style="thick">
        <color indexed="64"/>
      </top>
      <bottom/>
      <diagonal/>
    </border>
    <border>
      <left/>
      <right style="thick">
        <color indexed="64"/>
      </right>
      <top style="thick">
        <color indexed="64"/>
      </top>
      <bottom/>
      <diagonal/>
    </border>
    <border>
      <left style="medium">
        <color indexed="64"/>
      </left>
      <right style="thick">
        <color indexed="64"/>
      </right>
      <top style="thick">
        <color indexed="64"/>
      </top>
      <bottom/>
      <diagonal/>
    </border>
    <border>
      <left style="medium">
        <color indexed="64"/>
      </left>
      <right style="thick">
        <color indexed="64"/>
      </right>
      <top/>
      <bottom/>
      <diagonal/>
    </border>
    <border>
      <left style="medium">
        <color indexed="64"/>
      </left>
      <right style="thick">
        <color indexed="64"/>
      </right>
      <top/>
      <bottom style="thick">
        <color indexed="64"/>
      </bottom>
      <diagonal/>
    </border>
    <border>
      <left style="medium">
        <color indexed="64"/>
      </left>
      <right style="medium">
        <color indexed="64"/>
      </right>
      <top style="thick">
        <color indexed="64"/>
      </top>
      <bottom/>
      <diagonal/>
    </border>
    <border>
      <left/>
      <right style="thick">
        <color indexed="64"/>
      </right>
      <top/>
      <bottom style="medium">
        <color indexed="64"/>
      </bottom>
      <diagonal/>
    </border>
    <border>
      <left style="thick">
        <color indexed="64"/>
      </left>
      <right style="thick">
        <color indexed="64"/>
      </right>
      <top/>
      <bottom style="thin">
        <color indexed="64"/>
      </bottom>
      <diagonal/>
    </border>
    <border>
      <left style="thick">
        <color indexed="64"/>
      </left>
      <right/>
      <top style="thick">
        <color indexed="64"/>
      </top>
      <bottom/>
      <diagonal/>
    </border>
    <border>
      <left style="medium">
        <color indexed="64"/>
      </left>
      <right style="medium">
        <color indexed="64"/>
      </right>
      <top/>
      <bottom style="thin">
        <color indexed="64"/>
      </bottom>
      <diagonal/>
    </border>
    <border>
      <left/>
      <right style="thin">
        <color indexed="64"/>
      </right>
      <top/>
      <bottom/>
      <diagonal/>
    </border>
    <border>
      <left/>
      <right style="thin">
        <color indexed="64"/>
      </right>
      <top/>
      <bottom style="double">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right style="thin">
        <color indexed="64"/>
      </right>
      <top style="double">
        <color indexed="64"/>
      </top>
      <bottom style="thin">
        <color indexed="64"/>
      </bottom>
      <diagonal/>
    </border>
    <border>
      <left/>
      <right style="double">
        <color indexed="64"/>
      </right>
      <top style="double">
        <color indexed="64"/>
      </top>
      <bottom style="thin">
        <color indexed="64"/>
      </bottom>
      <diagonal/>
    </border>
    <border>
      <left style="medium">
        <color indexed="64"/>
      </left>
      <right/>
      <top/>
      <bottom style="medium">
        <color indexed="64"/>
      </bottom>
      <diagonal/>
    </border>
    <border>
      <left style="thin">
        <color indexed="64"/>
      </left>
      <right style="double">
        <color indexed="64"/>
      </right>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bottom/>
      <diagonal/>
    </border>
    <border>
      <left style="thin">
        <color indexed="64"/>
      </left>
      <right/>
      <top/>
      <bottom/>
      <diagonal/>
    </border>
    <border>
      <left style="thin">
        <color indexed="64"/>
      </left>
      <right/>
      <top style="medium">
        <color indexed="64"/>
      </top>
      <bottom style="double">
        <color indexed="64"/>
      </bottom>
      <diagonal/>
    </border>
    <border>
      <left/>
      <right style="thin">
        <color indexed="64"/>
      </right>
      <top style="medium">
        <color indexed="64"/>
      </top>
      <bottom style="double">
        <color indexed="64"/>
      </bottom>
      <diagonal/>
    </border>
    <border>
      <left/>
      <right/>
      <top style="medium">
        <color indexed="64"/>
      </top>
      <bottom style="double">
        <color indexed="64"/>
      </bottom>
      <diagonal/>
    </border>
    <border>
      <left/>
      <right style="thick">
        <color indexed="64"/>
      </right>
      <top style="medium">
        <color indexed="64"/>
      </top>
      <bottom style="double">
        <color indexed="64"/>
      </bottom>
      <diagonal/>
    </border>
    <border>
      <left/>
      <right style="medium">
        <color indexed="64"/>
      </right>
      <top style="medium">
        <color indexed="64"/>
      </top>
      <bottom style="double">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medium">
        <color indexed="64"/>
      </right>
      <top/>
      <bottom style="thin">
        <color indexed="64"/>
      </bottom>
      <diagonal/>
    </border>
    <border>
      <left/>
      <right style="thin">
        <color indexed="64"/>
      </right>
      <top/>
      <bottom style="medium">
        <color indexed="64"/>
      </bottom>
      <diagonal/>
    </border>
    <border>
      <left style="medium">
        <color indexed="64"/>
      </left>
      <right/>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hair">
        <color indexed="64"/>
      </right>
      <top/>
      <bottom/>
      <diagonal/>
    </border>
    <border>
      <left/>
      <right style="hair">
        <color indexed="64"/>
      </right>
      <top/>
      <bottom style="medium">
        <color indexed="64"/>
      </bottom>
      <diagonal/>
    </border>
    <border>
      <left/>
      <right style="hair">
        <color indexed="64"/>
      </right>
      <top/>
      <bottom style="hair">
        <color indexed="64"/>
      </bottom>
      <diagonal/>
    </border>
    <border>
      <left/>
      <right style="medium">
        <color indexed="64"/>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style="thick">
        <color indexed="64"/>
      </right>
      <top style="thin">
        <color indexed="64"/>
      </top>
      <bottom/>
      <diagonal/>
    </border>
    <border>
      <left/>
      <right style="medium">
        <color indexed="64"/>
      </right>
      <top style="thin">
        <color indexed="64"/>
      </top>
      <bottom/>
      <diagonal/>
    </border>
    <border>
      <left style="thin">
        <color indexed="64"/>
      </left>
      <right/>
      <top/>
      <bottom style="thin">
        <color indexed="64"/>
      </bottom>
      <diagonal/>
    </border>
    <border>
      <left/>
      <right style="thick">
        <color indexed="64"/>
      </right>
      <top/>
      <bottom style="thin">
        <color indexed="64"/>
      </bottom>
      <diagonal/>
    </border>
    <border>
      <left style="thin">
        <color indexed="64"/>
      </left>
      <right/>
      <top/>
      <bottom style="medium">
        <color indexed="64"/>
      </bottom>
      <diagonal/>
    </border>
    <border>
      <left style="thick">
        <color indexed="64"/>
      </left>
      <right style="medium">
        <color indexed="64"/>
      </right>
      <top/>
      <bottom style="thin">
        <color indexed="64"/>
      </bottom>
      <diagonal/>
    </border>
    <border>
      <left/>
      <right style="thick">
        <color indexed="64"/>
      </right>
      <top style="thin">
        <color indexed="64"/>
      </top>
      <bottom style="thin">
        <color indexed="64"/>
      </bottom>
      <diagonal/>
    </border>
    <border>
      <left/>
      <right style="hair">
        <color indexed="64"/>
      </right>
      <top/>
      <bottom style="thin">
        <color indexed="64"/>
      </bottom>
      <diagonal/>
    </border>
    <border>
      <left style="double">
        <color indexed="64"/>
      </left>
      <right/>
      <top/>
      <bottom style="thin">
        <color indexed="64"/>
      </bottom>
      <diagonal/>
    </border>
    <border>
      <left style="thin">
        <color indexed="64"/>
      </left>
      <right style="thin">
        <color indexed="64"/>
      </right>
      <top/>
      <bottom style="medium">
        <color indexed="64"/>
      </bottom>
      <diagonal/>
    </border>
    <border>
      <left style="thin">
        <color indexed="64"/>
      </left>
      <right style="hair">
        <color indexed="64"/>
      </right>
      <top/>
      <bottom style="thin">
        <color indexed="64"/>
      </bottom>
      <diagonal/>
    </border>
    <border>
      <left style="thin">
        <color indexed="64"/>
      </left>
      <right style="hair">
        <color indexed="64"/>
      </right>
      <top/>
      <bottom style="hair">
        <color indexed="64"/>
      </bottom>
      <diagonal/>
    </border>
    <border>
      <left style="thin">
        <color indexed="64"/>
      </left>
      <right style="thin">
        <color indexed="64"/>
      </right>
      <top style="medium">
        <color indexed="64"/>
      </top>
      <bottom style="double">
        <color indexed="64"/>
      </bottom>
      <diagonal/>
    </border>
    <border>
      <left style="thin">
        <color indexed="64"/>
      </left>
      <right style="thin">
        <color indexed="64"/>
      </right>
      <top style="thin">
        <color indexed="64"/>
      </top>
      <bottom/>
      <diagonal/>
    </border>
    <border>
      <left style="medium">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top style="medium">
        <color indexed="64"/>
      </top>
      <bottom style="double">
        <color indexed="64"/>
      </bottom>
      <diagonal/>
    </border>
    <border>
      <left style="medium">
        <color indexed="64"/>
      </left>
      <right style="medium">
        <color indexed="64"/>
      </right>
      <top style="thin">
        <color indexed="64"/>
      </top>
      <bottom style="thin">
        <color indexed="64"/>
      </bottom>
      <diagonal/>
    </border>
    <border>
      <left style="thin">
        <color indexed="64"/>
      </left>
      <right/>
      <top/>
      <bottom style="double">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double">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ck">
        <color indexed="64"/>
      </left>
      <right style="medium">
        <color indexed="64"/>
      </right>
      <top/>
      <bottom style="medium">
        <color indexed="64"/>
      </bottom>
      <diagonal/>
    </border>
    <border>
      <left style="medium">
        <color indexed="64"/>
      </left>
      <right/>
      <top style="thin">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thick">
        <color indexed="64"/>
      </left>
      <right/>
      <top/>
      <bottom style="thin">
        <color indexed="64"/>
      </bottom>
      <diagonal/>
    </border>
    <border>
      <left style="thick">
        <color indexed="64"/>
      </left>
      <right style="thick">
        <color indexed="64"/>
      </right>
      <top style="thin">
        <color indexed="64"/>
      </top>
      <bottom style="medium">
        <color indexed="64"/>
      </bottom>
      <diagonal/>
    </border>
    <border>
      <left style="thick">
        <color indexed="64"/>
      </left>
      <right style="thick">
        <color indexed="64"/>
      </right>
      <top style="thin">
        <color indexed="64"/>
      </top>
      <bottom/>
      <diagonal/>
    </border>
    <border>
      <left style="thick">
        <color indexed="64"/>
      </left>
      <right style="thick">
        <color indexed="64"/>
      </right>
      <top style="medium">
        <color indexed="64"/>
      </top>
      <bottom/>
      <diagonal/>
    </border>
    <border>
      <left style="thick">
        <color indexed="64"/>
      </left>
      <right/>
      <top/>
      <bottom style="medium">
        <color indexed="64"/>
      </bottom>
      <diagonal/>
    </border>
    <border>
      <left style="double">
        <color indexed="64"/>
      </left>
      <right/>
      <top style="thin">
        <color indexed="64"/>
      </top>
      <bottom/>
      <diagonal/>
    </border>
    <border>
      <left style="thin">
        <color indexed="64"/>
      </left>
      <right/>
      <top style="thin">
        <color indexed="64"/>
      </top>
      <bottom style="medium">
        <color indexed="64"/>
      </bottom>
      <diagonal/>
    </border>
    <border>
      <left/>
      <right style="medium">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right/>
      <top style="hair">
        <color indexed="64"/>
      </top>
      <bottom style="hair">
        <color indexed="64"/>
      </bottom>
      <diagonal/>
    </border>
  </borders>
  <cellStyleXfs count="7">
    <xf numFmtId="0" fontId="0" fillId="0" borderId="0"/>
    <xf numFmtId="43" fontId="3" fillId="0" borderId="0" applyFont="0" applyFill="0" applyBorder="0" applyAlignment="0" applyProtection="0"/>
    <xf numFmtId="0" fontId="26" fillId="0" borderId="0"/>
    <xf numFmtId="0" fontId="3" fillId="0" borderId="0"/>
    <xf numFmtId="0" fontId="26" fillId="0" borderId="0"/>
    <xf numFmtId="0" fontId="26" fillId="0" borderId="0"/>
    <xf numFmtId="9" fontId="3" fillId="0" borderId="0" applyFont="0" applyFill="0" applyBorder="0" applyAlignment="0" applyProtection="0"/>
  </cellStyleXfs>
  <cellXfs count="1210">
    <xf numFmtId="0" fontId="0" fillId="0" borderId="0" xfId="0"/>
    <xf numFmtId="0" fontId="4" fillId="0" borderId="0" xfId="0" applyFont="1"/>
    <xf numFmtId="0" fontId="1" fillId="0" borderId="0" xfId="0" applyFont="1"/>
    <xf numFmtId="164" fontId="0" fillId="0" borderId="0" xfId="1" applyNumberFormat="1" applyFont="1"/>
    <xf numFmtId="164" fontId="1" fillId="0" borderId="0" xfId="1" applyNumberFormat="1" applyFont="1"/>
    <xf numFmtId="164" fontId="0" fillId="0" borderId="0" xfId="1" quotePrefix="1" applyNumberFormat="1" applyFont="1" applyAlignment="1">
      <alignment horizontal="center"/>
    </xf>
    <xf numFmtId="164" fontId="5" fillId="0" borderId="0" xfId="1" applyNumberFormat="1" applyFont="1"/>
    <xf numFmtId="0" fontId="5" fillId="0" borderId="0" xfId="0" applyFont="1"/>
    <xf numFmtId="164" fontId="0" fillId="0" borderId="0" xfId="1" applyNumberFormat="1" applyFont="1" applyAlignment="1">
      <alignment horizontal="center"/>
    </xf>
    <xf numFmtId="0" fontId="0" fillId="0" borderId="0" xfId="0" applyAlignment="1">
      <alignment horizontal="center"/>
    </xf>
    <xf numFmtId="9" fontId="0" fillId="0" borderId="0" xfId="6" applyFont="1"/>
    <xf numFmtId="9" fontId="1" fillId="0" borderId="0" xfId="6" applyFont="1"/>
    <xf numFmtId="164" fontId="3" fillId="0" borderId="0" xfId="1" applyNumberFormat="1"/>
    <xf numFmtId="9" fontId="3" fillId="0" borderId="0" xfId="6"/>
    <xf numFmtId="164" fontId="3" fillId="0" borderId="0" xfId="1" applyNumberFormat="1" applyAlignment="1">
      <alignment horizontal="center"/>
    </xf>
    <xf numFmtId="10" fontId="3" fillId="0" borderId="0" xfId="6" applyNumberFormat="1" applyFont="1"/>
    <xf numFmtId="164" fontId="3" fillId="0" borderId="0" xfId="1" applyNumberFormat="1" applyFont="1"/>
    <xf numFmtId="164" fontId="3" fillId="0" borderId="0" xfId="1" quotePrefix="1" applyNumberFormat="1" applyFont="1" applyAlignment="1">
      <alignment horizontal="center"/>
    </xf>
    <xf numFmtId="0" fontId="1" fillId="0" borderId="0" xfId="0" applyFont="1" applyAlignment="1">
      <alignment horizontal="center"/>
    </xf>
    <xf numFmtId="0" fontId="0" fillId="0" borderId="1" xfId="0" applyBorder="1"/>
    <xf numFmtId="0" fontId="0" fillId="0" borderId="0" xfId="0" applyBorder="1"/>
    <xf numFmtId="166" fontId="0" fillId="0" borderId="0" xfId="1" applyNumberFormat="1" applyFont="1"/>
    <xf numFmtId="166" fontId="1" fillId="0" borderId="0" xfId="1" applyNumberFormat="1" applyFont="1" applyAlignment="1">
      <alignment horizontal="center"/>
    </xf>
    <xf numFmtId="166" fontId="0" fillId="0" borderId="0" xfId="1" applyNumberFormat="1" applyFont="1" applyAlignment="1">
      <alignment horizontal="center"/>
    </xf>
    <xf numFmtId="166" fontId="0" fillId="0" borderId="1" xfId="1" applyNumberFormat="1" applyFont="1" applyBorder="1"/>
    <xf numFmtId="166" fontId="0" fillId="0" borderId="0" xfId="1" applyNumberFormat="1" applyFont="1" applyBorder="1"/>
    <xf numFmtId="166" fontId="1" fillId="0" borderId="0" xfId="1" applyNumberFormat="1" applyFont="1" applyAlignment="1">
      <alignment horizontal="center" wrapText="1"/>
    </xf>
    <xf numFmtId="166" fontId="3" fillId="0" borderId="0" xfId="1" applyNumberFormat="1"/>
    <xf numFmtId="166" fontId="3" fillId="0" borderId="0" xfId="1" applyNumberFormat="1" applyAlignment="1">
      <alignment horizontal="center"/>
    </xf>
    <xf numFmtId="166" fontId="3" fillId="0" borderId="0" xfId="1" applyNumberFormat="1" applyFont="1"/>
    <xf numFmtId="166" fontId="3" fillId="0" borderId="1" xfId="1" applyNumberFormat="1" applyBorder="1"/>
    <xf numFmtId="166" fontId="3" fillId="0" borderId="1" xfId="1" applyNumberFormat="1" applyFont="1" applyBorder="1"/>
    <xf numFmtId="166" fontId="3" fillId="0" borderId="0" xfId="1" applyNumberFormat="1" applyBorder="1"/>
    <xf numFmtId="166" fontId="3" fillId="0" borderId="0" xfId="1" quotePrefix="1" applyNumberFormat="1" applyAlignment="1">
      <alignment horizontal="center"/>
    </xf>
    <xf numFmtId="0" fontId="0" fillId="0" borderId="0" xfId="0" applyAlignment="1">
      <alignment horizontal="centerContinuous"/>
    </xf>
    <xf numFmtId="164" fontId="0" fillId="0" borderId="0" xfId="1" applyNumberFormat="1" applyFont="1" applyAlignment="1">
      <alignment horizontal="centerContinuous"/>
    </xf>
    <xf numFmtId="9" fontId="0" fillId="0" borderId="0" xfId="6" applyFont="1" applyAlignment="1">
      <alignment horizontal="centerContinuous"/>
    </xf>
    <xf numFmtId="164" fontId="3" fillId="0" borderId="0" xfId="1" applyNumberFormat="1" applyAlignment="1">
      <alignment horizontal="centerContinuous"/>
    </xf>
    <xf numFmtId="9" fontId="3" fillId="0" borderId="0" xfId="6" applyAlignment="1">
      <alignment horizontal="centerContinuous"/>
    </xf>
    <xf numFmtId="166" fontId="0" fillId="0" borderId="0" xfId="1" applyNumberFormat="1" applyFont="1" applyAlignment="1">
      <alignment horizontal="centerContinuous"/>
    </xf>
    <xf numFmtId="166" fontId="3" fillId="0" borderId="0" xfId="1" applyNumberFormat="1" applyAlignment="1">
      <alignment horizontal="centerContinuous"/>
    </xf>
    <xf numFmtId="43" fontId="0" fillId="0" borderId="0" xfId="1" applyFont="1"/>
    <xf numFmtId="43" fontId="1" fillId="0" borderId="0" xfId="1" applyFont="1"/>
    <xf numFmtId="43" fontId="3" fillId="0" borderId="0" xfId="1"/>
    <xf numFmtId="43" fontId="3" fillId="0" borderId="0" xfId="1" applyFont="1"/>
    <xf numFmtId="165" fontId="0" fillId="0" borderId="0" xfId="6" applyNumberFormat="1" applyFont="1"/>
    <xf numFmtId="165" fontId="3" fillId="0" borderId="0" xfId="6" applyNumberFormat="1"/>
    <xf numFmtId="165" fontId="3" fillId="0" borderId="0" xfId="6" applyNumberFormat="1" applyFont="1"/>
    <xf numFmtId="0" fontId="1" fillId="0" borderId="0" xfId="0" quotePrefix="1" applyFont="1" applyAlignment="1">
      <alignment horizontal="center"/>
    </xf>
    <xf numFmtId="43" fontId="0" fillId="0" borderId="0" xfId="1" applyFont="1" applyAlignment="1">
      <alignment horizontal="center"/>
    </xf>
    <xf numFmtId="43" fontId="1" fillId="0" borderId="0" xfId="1" applyFont="1" applyAlignment="1">
      <alignment horizontal="center"/>
    </xf>
    <xf numFmtId="43" fontId="1" fillId="0" borderId="0" xfId="1" quotePrefix="1" applyFont="1" applyAlignment="1">
      <alignment horizontal="center"/>
    </xf>
    <xf numFmtId="43" fontId="0" fillId="0" borderId="0" xfId="1" applyNumberFormat="1" applyFont="1"/>
    <xf numFmtId="43" fontId="0" fillId="0" borderId="1" xfId="1" applyNumberFormat="1" applyFont="1" applyBorder="1"/>
    <xf numFmtId="43" fontId="0" fillId="0" borderId="0" xfId="1" applyNumberFormat="1" applyFont="1" applyBorder="1"/>
    <xf numFmtId="43" fontId="1" fillId="0" borderId="0" xfId="1" applyNumberFormat="1" applyFont="1" applyAlignment="1">
      <alignment horizontal="center" wrapText="1"/>
    </xf>
    <xf numFmtId="10" fontId="0" fillId="0" borderId="0" xfId="6" applyNumberFormat="1" applyFont="1" applyAlignment="1">
      <alignment horizontal="center"/>
    </xf>
    <xf numFmtId="43" fontId="3" fillId="0" borderId="0" xfId="1" applyAlignment="1">
      <alignment horizontal="center"/>
    </xf>
    <xf numFmtId="10" fontId="3" fillId="0" borderId="0" xfId="6" applyNumberFormat="1" applyFont="1" applyAlignment="1">
      <alignment horizontal="center"/>
    </xf>
    <xf numFmtId="10" fontId="3" fillId="0" borderId="0" xfId="6" applyNumberFormat="1" applyAlignment="1">
      <alignment horizontal="center"/>
    </xf>
    <xf numFmtId="164" fontId="4" fillId="0" borderId="0" xfId="1" applyNumberFormat="1" applyFont="1"/>
    <xf numFmtId="9" fontId="4" fillId="0" borderId="0" xfId="6" applyFont="1"/>
    <xf numFmtId="164" fontId="4" fillId="0" borderId="0" xfId="1" applyNumberFormat="1" applyFont="1" applyAlignment="1">
      <alignment horizontal="center"/>
    </xf>
    <xf numFmtId="0" fontId="4" fillId="0" borderId="0" xfId="0" applyFont="1" applyAlignment="1">
      <alignment horizontal="center"/>
    </xf>
    <xf numFmtId="164" fontId="7" fillId="0" borderId="0" xfId="1" applyNumberFormat="1" applyFont="1"/>
    <xf numFmtId="164" fontId="8" fillId="0" borderId="0" xfId="1" applyNumberFormat="1" applyFont="1"/>
    <xf numFmtId="0" fontId="7" fillId="0" borderId="0" xfId="0" applyFont="1"/>
    <xf numFmtId="9" fontId="8" fillId="0" borderId="0" xfId="6" applyFont="1"/>
    <xf numFmtId="164" fontId="9" fillId="0" borderId="0" xfId="1" applyNumberFormat="1" applyFont="1"/>
    <xf numFmtId="166" fontId="4" fillId="0" borderId="0" xfId="1" applyNumberFormat="1" applyFont="1"/>
    <xf numFmtId="0" fontId="4" fillId="0" borderId="1" xfId="0" applyFont="1" applyBorder="1"/>
    <xf numFmtId="166" fontId="4" fillId="0" borderId="1" xfId="1" applyNumberFormat="1" applyFont="1" applyBorder="1"/>
    <xf numFmtId="0" fontId="4" fillId="0" borderId="0" xfId="0" applyFont="1" applyBorder="1"/>
    <xf numFmtId="166" fontId="4" fillId="0" borderId="0" xfId="1" applyNumberFormat="1" applyFont="1" applyBorder="1"/>
    <xf numFmtId="164" fontId="4" fillId="0" borderId="1" xfId="1" applyNumberFormat="1" applyFont="1" applyBorder="1"/>
    <xf numFmtId="168" fontId="4" fillId="0" borderId="0" xfId="1" applyNumberFormat="1" applyFont="1"/>
    <xf numFmtId="164" fontId="3" fillId="0" borderId="1" xfId="1" applyNumberFormat="1" applyBorder="1"/>
    <xf numFmtId="164" fontId="3" fillId="0" borderId="1" xfId="1" applyNumberFormat="1" applyFont="1" applyBorder="1"/>
    <xf numFmtId="164" fontId="3" fillId="0" borderId="0" xfId="1" applyNumberFormat="1" applyBorder="1"/>
    <xf numFmtId="164" fontId="1" fillId="0" borderId="0" xfId="1" applyNumberFormat="1" applyFont="1" applyAlignment="1">
      <alignment horizontal="center" wrapText="1"/>
    </xf>
    <xf numFmtId="164" fontId="1" fillId="0" borderId="0" xfId="1" applyNumberFormat="1" applyFont="1" applyAlignment="1">
      <alignment horizontal="center"/>
    </xf>
    <xf numFmtId="164" fontId="1" fillId="0" borderId="0" xfId="1" quotePrefix="1" applyNumberFormat="1" applyFont="1" applyAlignment="1">
      <alignment horizontal="center"/>
    </xf>
    <xf numFmtId="164" fontId="0" fillId="0" borderId="0" xfId="6" applyNumberFormat="1" applyFont="1"/>
    <xf numFmtId="0" fontId="4" fillId="0" borderId="2" xfId="0" applyFont="1" applyFill="1" applyBorder="1"/>
    <xf numFmtId="164" fontId="4" fillId="0" borderId="2" xfId="1" applyNumberFormat="1" applyFont="1" applyFill="1" applyBorder="1"/>
    <xf numFmtId="9" fontId="4" fillId="0" borderId="2" xfId="6" applyFont="1" applyFill="1" applyBorder="1"/>
    <xf numFmtId="164" fontId="4" fillId="0" borderId="0" xfId="1" applyNumberFormat="1" applyFont="1" applyFill="1" applyBorder="1"/>
    <xf numFmtId="0" fontId="9" fillId="0" borderId="0" xfId="0" applyFont="1"/>
    <xf numFmtId="164" fontId="10" fillId="0" borderId="0" xfId="1" applyNumberFormat="1" applyFont="1"/>
    <xf numFmtId="43" fontId="10" fillId="0" borderId="0" xfId="1" applyFont="1"/>
    <xf numFmtId="164" fontId="11" fillId="0" borderId="2" xfId="1" applyNumberFormat="1" applyFont="1" applyFill="1" applyBorder="1"/>
    <xf numFmtId="164" fontId="11" fillId="0" borderId="0" xfId="1" applyNumberFormat="1" applyFont="1"/>
    <xf numFmtId="164" fontId="10" fillId="0" borderId="0" xfId="1" applyNumberFormat="1" applyFont="1" applyBorder="1"/>
    <xf numFmtId="43" fontId="10" fillId="0" borderId="0" xfId="1" applyFont="1" applyBorder="1"/>
    <xf numFmtId="164" fontId="11" fillId="0" borderId="0" xfId="1" applyNumberFormat="1" applyFont="1" applyFill="1" applyBorder="1"/>
    <xf numFmtId="164" fontId="11" fillId="0" borderId="0" xfId="1" applyNumberFormat="1" applyFont="1" applyBorder="1"/>
    <xf numFmtId="164" fontId="11" fillId="0" borderId="1" xfId="1" applyNumberFormat="1" applyFont="1" applyBorder="1"/>
    <xf numFmtId="164" fontId="11" fillId="0" borderId="3" xfId="1" applyNumberFormat="1" applyFont="1" applyFill="1" applyBorder="1"/>
    <xf numFmtId="43" fontId="10" fillId="0" borderId="1" xfId="1" applyFont="1" applyBorder="1"/>
    <xf numFmtId="164" fontId="10" fillId="0" borderId="1" xfId="1" applyNumberFormat="1" applyFont="1" applyBorder="1"/>
    <xf numFmtId="10" fontId="10" fillId="0" borderId="0" xfId="6" applyNumberFormat="1" applyFont="1"/>
    <xf numFmtId="9" fontId="10" fillId="0" borderId="0" xfId="6" applyFont="1"/>
    <xf numFmtId="0" fontId="10" fillId="0" borderId="0" xfId="0" applyFont="1"/>
    <xf numFmtId="9" fontId="11" fillId="0" borderId="0" xfId="6" applyFont="1"/>
    <xf numFmtId="165" fontId="10" fillId="0" borderId="0" xfId="6" applyNumberFormat="1" applyFont="1"/>
    <xf numFmtId="166" fontId="10" fillId="0" borderId="0" xfId="1" applyNumberFormat="1" applyFont="1"/>
    <xf numFmtId="165" fontId="11" fillId="0" borderId="0" xfId="6" applyNumberFormat="1" applyFont="1"/>
    <xf numFmtId="166" fontId="11" fillId="0" borderId="0" xfId="1" applyNumberFormat="1" applyFont="1"/>
    <xf numFmtId="164" fontId="11" fillId="0" borderId="0" xfId="1" applyNumberFormat="1" applyFont="1" applyAlignment="1"/>
    <xf numFmtId="164" fontId="1" fillId="0" borderId="0" xfId="6" applyNumberFormat="1" applyFont="1"/>
    <xf numFmtId="168" fontId="10" fillId="0" borderId="0" xfId="1" applyNumberFormat="1" applyFont="1"/>
    <xf numFmtId="0" fontId="10" fillId="0" borderId="0" xfId="0" applyFont="1" applyBorder="1"/>
    <xf numFmtId="165" fontId="1" fillId="0" borderId="0" xfId="6" applyNumberFormat="1" applyFont="1"/>
    <xf numFmtId="165" fontId="12" fillId="0" borderId="0" xfId="6" applyNumberFormat="1" applyFont="1"/>
    <xf numFmtId="0" fontId="1" fillId="0" borderId="0" xfId="0" applyFont="1" applyAlignment="1">
      <alignment horizontal="centerContinuous"/>
    </xf>
    <xf numFmtId="9" fontId="3" fillId="0" borderId="0" xfId="6" applyFont="1"/>
    <xf numFmtId="165" fontId="4" fillId="0" borderId="0" xfId="6" applyNumberFormat="1" applyFont="1"/>
    <xf numFmtId="164" fontId="1" fillId="0" borderId="2" xfId="1" applyNumberFormat="1" applyFont="1" applyFill="1" applyBorder="1"/>
    <xf numFmtId="164" fontId="1" fillId="0" borderId="0" xfId="1" applyNumberFormat="1" applyFont="1" applyFill="1" applyBorder="1"/>
    <xf numFmtId="164" fontId="1" fillId="0" borderId="3" xfId="1" applyNumberFormat="1" applyFont="1" applyFill="1" applyBorder="1"/>
    <xf numFmtId="165" fontId="9" fillId="0" borderId="0" xfId="6" applyNumberFormat="1" applyFont="1"/>
    <xf numFmtId="164" fontId="0" fillId="0" borderId="0" xfId="0" applyNumberFormat="1"/>
    <xf numFmtId="0" fontId="15" fillId="0" borderId="0" xfId="0" applyFont="1"/>
    <xf numFmtId="164" fontId="1" fillId="0" borderId="0" xfId="1" applyNumberFormat="1" applyFont="1" applyAlignment="1">
      <alignment horizontal="centerContinuous"/>
    </xf>
    <xf numFmtId="9" fontId="3" fillId="0" borderId="0" xfId="6" applyFont="1" applyBorder="1" applyAlignment="1">
      <alignment horizontal="center"/>
    </xf>
    <xf numFmtId="164" fontId="3" fillId="0" borderId="0" xfId="1" applyNumberFormat="1" applyFont="1" applyBorder="1" applyAlignment="1">
      <alignment horizontal="center"/>
    </xf>
    <xf numFmtId="0" fontId="0" fillId="0" borderId="4" xfId="0" applyBorder="1"/>
    <xf numFmtId="9" fontId="3" fillId="0" borderId="0" xfId="6" applyBorder="1"/>
    <xf numFmtId="164" fontId="3" fillId="0" borderId="5" xfId="1" applyNumberFormat="1" applyBorder="1"/>
    <xf numFmtId="164" fontId="10" fillId="0" borderId="4" xfId="1" applyNumberFormat="1" applyFont="1" applyBorder="1"/>
    <xf numFmtId="164" fontId="5" fillId="0" borderId="4" xfId="1" applyNumberFormat="1" applyFont="1" applyBorder="1"/>
    <xf numFmtId="43" fontId="5" fillId="0" borderId="0" xfId="1" applyFont="1" applyBorder="1"/>
    <xf numFmtId="164" fontId="11" fillId="0" borderId="4" xfId="1" applyNumberFormat="1" applyFont="1" applyBorder="1"/>
    <xf numFmtId="164" fontId="11" fillId="0" borderId="6" xfId="1" applyNumberFormat="1" applyFont="1" applyBorder="1"/>
    <xf numFmtId="164" fontId="11" fillId="0" borderId="7" xfId="1" applyNumberFormat="1" applyFont="1" applyBorder="1"/>
    <xf numFmtId="164" fontId="3" fillId="0" borderId="4" xfId="1" applyNumberFormat="1" applyBorder="1"/>
    <xf numFmtId="43" fontId="10" fillId="0" borderId="5" xfId="1" applyFont="1" applyBorder="1"/>
    <xf numFmtId="164" fontId="5" fillId="0" borderId="0" xfId="1" applyNumberFormat="1" applyFont="1" applyBorder="1"/>
    <xf numFmtId="43" fontId="3" fillId="0" borderId="4" xfId="1" applyBorder="1"/>
    <xf numFmtId="164" fontId="1" fillId="0" borderId="2" xfId="6" applyNumberFormat="1" applyFont="1" applyFill="1" applyBorder="1"/>
    <xf numFmtId="164" fontId="3" fillId="0" borderId="4" xfId="1" applyNumberFormat="1" applyFont="1" applyBorder="1"/>
    <xf numFmtId="164" fontId="3" fillId="0" borderId="0" xfId="1" applyNumberFormat="1" applyFont="1" applyBorder="1"/>
    <xf numFmtId="10" fontId="0" fillId="0" borderId="0" xfId="6" applyNumberFormat="1" applyFont="1"/>
    <xf numFmtId="164" fontId="3" fillId="0" borderId="0" xfId="1" applyNumberFormat="1" applyFont="1" applyFill="1"/>
    <xf numFmtId="164" fontId="2" fillId="0" borderId="0" xfId="1" applyNumberFormat="1" applyFont="1"/>
    <xf numFmtId="165" fontId="2" fillId="0" borderId="0" xfId="6" applyNumberFormat="1" applyFont="1"/>
    <xf numFmtId="166" fontId="1" fillId="0" borderId="0" xfId="1" applyNumberFormat="1" applyFont="1"/>
    <xf numFmtId="166" fontId="2" fillId="0" borderId="0" xfId="1" applyNumberFormat="1" applyFont="1"/>
    <xf numFmtId="43" fontId="5" fillId="0" borderId="0" xfId="1" applyNumberFormat="1" applyFont="1"/>
    <xf numFmtId="10" fontId="3" fillId="0" borderId="0" xfId="6" applyNumberFormat="1"/>
    <xf numFmtId="164" fontId="9" fillId="0" borderId="1" xfId="1" applyNumberFormat="1" applyFont="1" applyBorder="1" applyAlignment="1">
      <alignment horizontal="center"/>
    </xf>
    <xf numFmtId="9" fontId="9" fillId="0" borderId="1" xfId="6" applyFont="1" applyBorder="1" applyAlignment="1">
      <alignment horizontal="center"/>
    </xf>
    <xf numFmtId="0" fontId="9" fillId="0" borderId="0" xfId="0" applyFont="1" applyBorder="1"/>
    <xf numFmtId="0" fontId="4" fillId="0" borderId="8" xfId="0" applyFont="1" applyFill="1" applyBorder="1"/>
    <xf numFmtId="165" fontId="11" fillId="0" borderId="8" xfId="6" applyNumberFormat="1" applyFont="1" applyFill="1" applyBorder="1"/>
    <xf numFmtId="165" fontId="10" fillId="0" borderId="8" xfId="6" applyNumberFormat="1" applyFont="1" applyFill="1" applyBorder="1"/>
    <xf numFmtId="164" fontId="9" fillId="0" borderId="9" xfId="1" applyNumberFormat="1" applyFont="1" applyBorder="1" applyAlignment="1">
      <alignment horizontal="center"/>
    </xf>
    <xf numFmtId="164" fontId="4" fillId="0" borderId="8" xfId="1" applyNumberFormat="1" applyFont="1" applyBorder="1" applyAlignment="1">
      <alignment horizontal="center"/>
    </xf>
    <xf numFmtId="165" fontId="11" fillId="0" borderId="8" xfId="6" applyNumberFormat="1" applyFont="1" applyBorder="1"/>
    <xf numFmtId="164" fontId="4" fillId="0" borderId="0" xfId="1" applyNumberFormat="1" applyFont="1" applyBorder="1"/>
    <xf numFmtId="0" fontId="9" fillId="0" borderId="10" xfId="0" applyFont="1" applyBorder="1"/>
    <xf numFmtId="0" fontId="4" fillId="0" borderId="11" xfId="0" applyFont="1" applyBorder="1"/>
    <xf numFmtId="0" fontId="9" fillId="0" borderId="1" xfId="0" applyFont="1" applyBorder="1"/>
    <xf numFmtId="9" fontId="9" fillId="0" borderId="9" xfId="6" applyFont="1" applyFill="1" applyBorder="1" applyAlignment="1">
      <alignment horizontal="center"/>
    </xf>
    <xf numFmtId="164" fontId="9" fillId="0" borderId="9" xfId="1" applyNumberFormat="1" applyFont="1" applyFill="1" applyBorder="1" applyAlignment="1">
      <alignment horizontal="center"/>
    </xf>
    <xf numFmtId="10" fontId="11" fillId="0" borderId="8" xfId="6" applyNumberFormat="1" applyFont="1" applyFill="1" applyBorder="1" applyAlignment="1">
      <alignment horizontal="right"/>
    </xf>
    <xf numFmtId="10" fontId="1" fillId="0" borderId="8" xfId="6" applyNumberFormat="1" applyFont="1" applyFill="1" applyBorder="1" applyAlignment="1">
      <alignment horizontal="right"/>
    </xf>
    <xf numFmtId="10" fontId="11" fillId="0" borderId="8" xfId="6" applyNumberFormat="1" applyFont="1" applyBorder="1" applyAlignment="1">
      <alignment horizontal="right"/>
    </xf>
    <xf numFmtId="10" fontId="11" fillId="0" borderId="9" xfId="6" applyNumberFormat="1" applyFont="1" applyFill="1" applyBorder="1" applyAlignment="1">
      <alignment horizontal="right"/>
    </xf>
    <xf numFmtId="10" fontId="1" fillId="0" borderId="9" xfId="6" applyNumberFormat="1" applyFont="1" applyFill="1" applyBorder="1" applyAlignment="1">
      <alignment horizontal="right"/>
    </xf>
    <xf numFmtId="10" fontId="11" fillId="0" borderId="9" xfId="6" applyNumberFormat="1" applyFont="1" applyBorder="1" applyAlignment="1">
      <alignment horizontal="right"/>
    </xf>
    <xf numFmtId="10" fontId="1" fillId="0" borderId="8" xfId="6" applyNumberFormat="1" applyFont="1" applyBorder="1" applyAlignment="1">
      <alignment horizontal="right"/>
    </xf>
    <xf numFmtId="10" fontId="10" fillId="0" borderId="8" xfId="6" applyNumberFormat="1" applyFont="1" applyBorder="1" applyAlignment="1">
      <alignment horizontal="right"/>
    </xf>
    <xf numFmtId="0" fontId="1" fillId="0" borderId="1" xfId="0" quotePrefix="1" applyFont="1"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centerContinuous"/>
    </xf>
    <xf numFmtId="0" fontId="0" fillId="0" borderId="1" xfId="0" applyBorder="1" applyAlignment="1">
      <alignment horizontal="centerContinuous"/>
    </xf>
    <xf numFmtId="17" fontId="1" fillId="0" borderId="1" xfId="0" quotePrefix="1" applyNumberFormat="1" applyFont="1" applyBorder="1" applyAlignment="1">
      <alignment horizontal="center"/>
    </xf>
    <xf numFmtId="43" fontId="13" fillId="0" borderId="1" xfId="1" applyFont="1" applyBorder="1" applyAlignment="1">
      <alignment horizontal="center"/>
    </xf>
    <xf numFmtId="43" fontId="11" fillId="0" borderId="1" xfId="1" applyFont="1" applyBorder="1" applyAlignment="1">
      <alignment horizontal="center"/>
    </xf>
    <xf numFmtId="43" fontId="11" fillId="0" borderId="0" xfId="1" applyFont="1" applyAlignment="1">
      <alignment horizontal="center"/>
    </xf>
    <xf numFmtId="43" fontId="8" fillId="0" borderId="1" xfId="1" applyFont="1" applyBorder="1" applyAlignment="1">
      <alignment horizontal="center"/>
    </xf>
    <xf numFmtId="43" fontId="1" fillId="0" borderId="10" xfId="1" quotePrefix="1" applyFont="1" applyBorder="1" applyAlignment="1">
      <alignment horizontal="center"/>
    </xf>
    <xf numFmtId="0" fontId="11" fillId="0" borderId="0" xfId="0" applyFont="1"/>
    <xf numFmtId="0" fontId="11" fillId="0" borderId="0" xfId="0" applyFont="1" applyAlignment="1">
      <alignment horizontal="left"/>
    </xf>
    <xf numFmtId="0" fontId="1" fillId="0" borderId="0" xfId="0" applyFont="1" applyAlignment="1">
      <alignment horizontal="left"/>
    </xf>
    <xf numFmtId="0" fontId="8" fillId="0" borderId="0" xfId="0" applyFont="1" applyAlignment="1">
      <alignment horizontal="left"/>
    </xf>
    <xf numFmtId="43" fontId="3" fillId="0" borderId="1" xfId="1" applyBorder="1"/>
    <xf numFmtId="0" fontId="0" fillId="0" borderId="1" xfId="0" applyBorder="1" applyAlignment="1">
      <alignment horizontal="center"/>
    </xf>
    <xf numFmtId="10" fontId="0" fillId="0" borderId="1" xfId="6" applyNumberFormat="1" applyFont="1" applyBorder="1" applyAlignment="1">
      <alignment horizontal="center"/>
    </xf>
    <xf numFmtId="164" fontId="4" fillId="0" borderId="8" xfId="1" applyNumberFormat="1" applyFont="1" applyFill="1" applyBorder="1"/>
    <xf numFmtId="164" fontId="11" fillId="0" borderId="8" xfId="1" applyNumberFormat="1" applyFont="1" applyFill="1" applyBorder="1"/>
    <xf numFmtId="164" fontId="11" fillId="0" borderId="9" xfId="1" applyNumberFormat="1" applyFont="1" applyFill="1" applyBorder="1"/>
    <xf numFmtId="10" fontId="1" fillId="0" borderId="8" xfId="6" applyNumberFormat="1" applyFont="1" applyBorder="1"/>
    <xf numFmtId="165" fontId="1" fillId="0" borderId="8" xfId="6" applyNumberFormat="1" applyFont="1" applyBorder="1"/>
    <xf numFmtId="0" fontId="10" fillId="0" borderId="8" xfId="0" applyFont="1" applyBorder="1"/>
    <xf numFmtId="9" fontId="4" fillId="0" borderId="8" xfId="6" applyFont="1" applyFill="1" applyBorder="1"/>
    <xf numFmtId="164" fontId="1" fillId="0" borderId="8" xfId="1" applyNumberFormat="1" applyFont="1" applyFill="1" applyBorder="1"/>
    <xf numFmtId="164" fontId="1" fillId="0" borderId="9" xfId="1" applyNumberFormat="1" applyFont="1" applyFill="1" applyBorder="1"/>
    <xf numFmtId="164" fontId="1" fillId="0" borderId="8" xfId="1" applyNumberFormat="1" applyFont="1" applyBorder="1"/>
    <xf numFmtId="164" fontId="1" fillId="0" borderId="8" xfId="6" applyNumberFormat="1" applyFont="1" applyFill="1" applyBorder="1"/>
    <xf numFmtId="164" fontId="10" fillId="0" borderId="8" xfId="1" applyNumberFormat="1" applyFont="1" applyFill="1" applyBorder="1"/>
    <xf numFmtId="164" fontId="4" fillId="0" borderId="8" xfId="1" applyNumberFormat="1" applyFont="1" applyFill="1" applyBorder="1" applyAlignment="1">
      <alignment horizontal="center"/>
    </xf>
    <xf numFmtId="43" fontId="1" fillId="0" borderId="8" xfId="1" applyFont="1" applyFill="1" applyBorder="1"/>
    <xf numFmtId="166" fontId="4" fillId="0" borderId="8" xfId="1" applyNumberFormat="1" applyFont="1" applyFill="1" applyBorder="1"/>
    <xf numFmtId="166" fontId="8" fillId="0" borderId="8" xfId="1" applyNumberFormat="1" applyFont="1" applyFill="1" applyBorder="1"/>
    <xf numFmtId="164" fontId="9" fillId="0" borderId="8" xfId="1" applyNumberFormat="1" applyFont="1" applyFill="1" applyBorder="1"/>
    <xf numFmtId="164" fontId="8" fillId="0" borderId="8" xfId="1" applyNumberFormat="1" applyFont="1" applyFill="1" applyBorder="1"/>
    <xf numFmtId="43" fontId="12" fillId="0" borderId="0" xfId="1" applyFont="1"/>
    <xf numFmtId="0" fontId="3" fillId="0" borderId="0" xfId="0" applyFont="1"/>
    <xf numFmtId="43" fontId="3" fillId="0" borderId="0" xfId="1" applyBorder="1"/>
    <xf numFmtId="0" fontId="10" fillId="0" borderId="0" xfId="0" applyFont="1" applyAlignment="1">
      <alignment horizontal="center"/>
    </xf>
    <xf numFmtId="43" fontId="0" fillId="0" borderId="1" xfId="1" applyFont="1" applyBorder="1"/>
    <xf numFmtId="43" fontId="0" fillId="0" borderId="0" xfId="1" applyFont="1" applyBorder="1"/>
    <xf numFmtId="0" fontId="1" fillId="0" borderId="1" xfId="0" applyFont="1" applyBorder="1" applyAlignment="1">
      <alignment horizontal="right"/>
    </xf>
    <xf numFmtId="9" fontId="3" fillId="0" borderId="0" xfId="6" applyFill="1" applyAlignment="1">
      <alignment horizontal="centerContinuous"/>
    </xf>
    <xf numFmtId="164" fontId="3" fillId="0" borderId="0" xfId="1" applyNumberFormat="1" applyFill="1" applyAlignment="1">
      <alignment horizontal="centerContinuous"/>
    </xf>
    <xf numFmtId="9" fontId="3" fillId="0" borderId="0" xfId="6" applyFill="1" applyBorder="1" applyAlignment="1">
      <alignment horizontal="centerContinuous"/>
    </xf>
    <xf numFmtId="164" fontId="3" fillId="0" borderId="0" xfId="1" applyNumberFormat="1" applyFill="1" applyBorder="1" applyAlignment="1">
      <alignment horizontal="centerContinuous"/>
    </xf>
    <xf numFmtId="164" fontId="3" fillId="0" borderId="0" xfId="1" quotePrefix="1" applyNumberFormat="1" applyFont="1" applyBorder="1" applyAlignment="1">
      <alignment horizontal="center"/>
    </xf>
    <xf numFmtId="0" fontId="0" fillId="0" borderId="0" xfId="0" applyBorder="1" applyAlignment="1">
      <alignment horizontal="center"/>
    </xf>
    <xf numFmtId="164" fontId="10" fillId="0" borderId="12" xfId="1" applyNumberFormat="1" applyFont="1" applyBorder="1"/>
    <xf numFmtId="0" fontId="17" fillId="0" borderId="0" xfId="0" applyFont="1"/>
    <xf numFmtId="164" fontId="1" fillId="0" borderId="1" xfId="1" applyNumberFormat="1" applyFont="1" applyBorder="1" applyAlignment="1">
      <alignment horizontal="center"/>
    </xf>
    <xf numFmtId="9" fontId="1" fillId="0" borderId="1" xfId="6" applyFont="1" applyBorder="1" applyAlignment="1">
      <alignment horizontal="center"/>
    </xf>
    <xf numFmtId="164" fontId="1" fillId="0" borderId="1" xfId="1" quotePrefix="1" applyNumberFormat="1" applyFont="1" applyBorder="1" applyAlignment="1">
      <alignment horizontal="center"/>
    </xf>
    <xf numFmtId="0" fontId="1" fillId="0" borderId="10" xfId="0" applyFont="1" applyBorder="1" applyAlignment="1">
      <alignment horizontal="center"/>
    </xf>
    <xf numFmtId="9" fontId="1" fillId="0" borderId="10" xfId="6" applyFont="1" applyBorder="1" applyAlignment="1">
      <alignment horizontal="center"/>
    </xf>
    <xf numFmtId="164" fontId="1" fillId="0" borderId="10" xfId="1" quotePrefix="1" applyNumberFormat="1" applyFont="1" applyBorder="1" applyAlignment="1">
      <alignment horizontal="center"/>
    </xf>
    <xf numFmtId="9" fontId="18" fillId="0" borderId="1" xfId="6" applyFont="1" applyBorder="1" applyAlignment="1">
      <alignment horizontal="center"/>
    </xf>
    <xf numFmtId="9" fontId="1" fillId="0" borderId="0" xfId="6" applyFont="1" applyAlignment="1">
      <alignment horizontal="centerContinuous"/>
    </xf>
    <xf numFmtId="165" fontId="3" fillId="0" borderId="1" xfId="6" applyNumberFormat="1" applyFont="1" applyBorder="1"/>
    <xf numFmtId="43" fontId="3" fillId="0" borderId="1" xfId="1" applyFont="1" applyBorder="1"/>
    <xf numFmtId="164" fontId="1" fillId="0" borderId="0" xfId="1" applyNumberFormat="1" applyFont="1" applyBorder="1" applyAlignment="1">
      <alignment horizontal="center"/>
    </xf>
    <xf numFmtId="9" fontId="1" fillId="0" borderId="0" xfId="6" applyFont="1" applyBorder="1" applyAlignment="1">
      <alignment horizontal="center"/>
    </xf>
    <xf numFmtId="164" fontId="1" fillId="0" borderId="0" xfId="1" quotePrefix="1" applyNumberFormat="1" applyFont="1" applyBorder="1" applyAlignment="1">
      <alignment horizontal="center"/>
    </xf>
    <xf numFmtId="165" fontId="3" fillId="0" borderId="12" xfId="6" applyNumberFormat="1" applyFont="1" applyBorder="1"/>
    <xf numFmtId="166" fontId="1" fillId="0" borderId="10" xfId="1" applyNumberFormat="1" applyFont="1" applyBorder="1" applyAlignment="1">
      <alignment horizontal="center"/>
    </xf>
    <xf numFmtId="164" fontId="3" fillId="0" borderId="0" xfId="1" applyNumberFormat="1" applyFont="1" applyFill="1" applyAlignment="1">
      <alignment horizontal="centerContinuous"/>
    </xf>
    <xf numFmtId="164" fontId="3" fillId="0" borderId="0" xfId="1" applyNumberFormat="1" applyFont="1" applyFill="1" applyBorder="1" applyAlignment="1">
      <alignment horizontal="centerContinuous"/>
    </xf>
    <xf numFmtId="164" fontId="3" fillId="0" borderId="12" xfId="1" applyNumberFormat="1" applyBorder="1"/>
    <xf numFmtId="166" fontId="1" fillId="0" borderId="0" xfId="1" quotePrefix="1" applyNumberFormat="1" applyFont="1" applyAlignment="1">
      <alignment horizontal="center"/>
    </xf>
    <xf numFmtId="164" fontId="1" fillId="0" borderId="0" xfId="1" quotePrefix="1" applyNumberFormat="1" applyFont="1" applyFill="1" applyBorder="1" applyAlignment="1">
      <alignment horizontal="centerContinuous"/>
    </xf>
    <xf numFmtId="166" fontId="1" fillId="0" borderId="1" xfId="1" applyNumberFormat="1" applyFont="1" applyBorder="1" applyAlignment="1">
      <alignment horizontal="center" wrapText="1"/>
    </xf>
    <xf numFmtId="166" fontId="3" fillId="0" borderId="1" xfId="1" applyNumberFormat="1" applyFont="1" applyBorder="1" applyAlignment="1">
      <alignment horizontal="center"/>
    </xf>
    <xf numFmtId="166" fontId="1" fillId="0" borderId="1" xfId="1" applyNumberFormat="1" applyFont="1" applyBorder="1" applyAlignment="1">
      <alignment horizontal="center"/>
    </xf>
    <xf numFmtId="0" fontId="1" fillId="0" borderId="0" xfId="0" applyFont="1" applyAlignment="1"/>
    <xf numFmtId="0" fontId="1" fillId="0" borderId="10" xfId="0" quotePrefix="1" applyFont="1" applyBorder="1" applyAlignment="1">
      <alignment horizontal="center"/>
    </xf>
    <xf numFmtId="164" fontId="3" fillId="0" borderId="12" xfId="1" applyNumberFormat="1" applyFont="1" applyBorder="1"/>
    <xf numFmtId="164" fontId="1" fillId="0" borderId="12" xfId="1" applyNumberFormat="1" applyFont="1" applyBorder="1"/>
    <xf numFmtId="9" fontId="4" fillId="0" borderId="0" xfId="6" applyFont="1" applyBorder="1"/>
    <xf numFmtId="164" fontId="4" fillId="0" borderId="13" xfId="1" applyNumberFormat="1" applyFont="1" applyBorder="1"/>
    <xf numFmtId="0" fontId="4" fillId="0" borderId="14" xfId="0" applyFont="1" applyBorder="1"/>
    <xf numFmtId="164" fontId="11" fillId="0" borderId="13" xfId="1" applyNumberFormat="1" applyFont="1" applyBorder="1"/>
    <xf numFmtId="10" fontId="10" fillId="0" borderId="0" xfId="6" applyNumberFormat="1" applyFont="1" applyBorder="1"/>
    <xf numFmtId="10" fontId="1" fillId="0" borderId="13" xfId="6" applyNumberFormat="1" applyFont="1" applyBorder="1"/>
    <xf numFmtId="0" fontId="4" fillId="0" borderId="15" xfId="0" applyFont="1" applyBorder="1"/>
    <xf numFmtId="10" fontId="10" fillId="0" borderId="16" xfId="6" applyNumberFormat="1" applyFont="1" applyBorder="1"/>
    <xf numFmtId="10" fontId="1" fillId="0" borderId="17" xfId="6" applyNumberFormat="1" applyFont="1" applyBorder="1"/>
    <xf numFmtId="10" fontId="1" fillId="0" borderId="18" xfId="6" applyNumberFormat="1" applyFont="1" applyBorder="1"/>
    <xf numFmtId="0" fontId="11" fillId="0" borderId="14" xfId="0" applyFont="1" applyBorder="1"/>
    <xf numFmtId="10" fontId="1" fillId="0" borderId="0" xfId="6" applyNumberFormat="1" applyFont="1" applyBorder="1"/>
    <xf numFmtId="165" fontId="10" fillId="0" borderId="0" xfId="6" applyNumberFormat="1" applyFont="1" applyBorder="1"/>
    <xf numFmtId="164" fontId="10" fillId="0" borderId="19" xfId="1" applyNumberFormat="1" applyFont="1" applyBorder="1"/>
    <xf numFmtId="43" fontId="10" fillId="0" borderId="19" xfId="1" applyFont="1" applyBorder="1"/>
    <xf numFmtId="164" fontId="11" fillId="0" borderId="20" xfId="1" applyNumberFormat="1" applyFont="1" applyBorder="1"/>
    <xf numFmtId="165" fontId="1" fillId="0" borderId="13" xfId="6" applyNumberFormat="1" applyFont="1" applyBorder="1"/>
    <xf numFmtId="165" fontId="10" fillId="0" borderId="16" xfId="6" applyNumberFormat="1" applyFont="1" applyBorder="1"/>
    <xf numFmtId="165" fontId="1" fillId="0" borderId="18" xfId="6" applyNumberFormat="1" applyFont="1" applyBorder="1"/>
    <xf numFmtId="164" fontId="11" fillId="0" borderId="21" xfId="1" applyNumberFormat="1" applyFont="1" applyBorder="1"/>
    <xf numFmtId="164" fontId="11" fillId="0" borderId="22" xfId="1" applyNumberFormat="1" applyFont="1" applyBorder="1"/>
    <xf numFmtId="165" fontId="1" fillId="0" borderId="22" xfId="6" applyNumberFormat="1" applyFont="1" applyBorder="1"/>
    <xf numFmtId="165" fontId="1" fillId="0" borderId="23" xfId="6" applyNumberFormat="1" applyFont="1" applyBorder="1"/>
    <xf numFmtId="164" fontId="11" fillId="0" borderId="24" xfId="1" applyNumberFormat="1" applyFont="1" applyFill="1" applyBorder="1"/>
    <xf numFmtId="165" fontId="1" fillId="0" borderId="17" xfId="6" applyNumberFormat="1" applyFont="1" applyBorder="1"/>
    <xf numFmtId="164" fontId="9" fillId="0" borderId="25" xfId="1" applyNumberFormat="1" applyFont="1" applyBorder="1" applyAlignment="1">
      <alignment horizontal="center"/>
    </xf>
    <xf numFmtId="164" fontId="9" fillId="0" borderId="0" xfId="1" applyNumberFormat="1" applyFont="1" applyBorder="1" applyAlignment="1">
      <alignment horizontal="center"/>
    </xf>
    <xf numFmtId="9" fontId="9" fillId="0" borderId="0" xfId="6" applyFont="1" applyBorder="1" applyAlignment="1">
      <alignment horizontal="center"/>
    </xf>
    <xf numFmtId="0" fontId="4" fillId="0" borderId="19" xfId="0" applyFont="1" applyBorder="1"/>
    <xf numFmtId="0" fontId="4" fillId="0" borderId="24" xfId="0" applyFont="1" applyFill="1" applyBorder="1"/>
    <xf numFmtId="164" fontId="4" fillId="0" borderId="20" xfId="1" applyNumberFormat="1" applyFont="1" applyBorder="1" applyAlignment="1">
      <alignment horizontal="center"/>
    </xf>
    <xf numFmtId="164" fontId="1" fillId="0" borderId="24" xfId="1" applyNumberFormat="1" applyFont="1" applyFill="1" applyBorder="1"/>
    <xf numFmtId="0" fontId="0" fillId="0" borderId="14" xfId="0" applyBorder="1"/>
    <xf numFmtId="164" fontId="10" fillId="0" borderId="13" xfId="1" applyNumberFormat="1" applyFont="1" applyBorder="1"/>
    <xf numFmtId="0" fontId="18" fillId="0" borderId="14" xfId="0" applyFont="1" applyBorder="1"/>
    <xf numFmtId="164" fontId="9" fillId="0" borderId="0" xfId="1" applyNumberFormat="1" applyFont="1" applyFill="1" applyBorder="1" applyAlignment="1">
      <alignment horizontal="center"/>
    </xf>
    <xf numFmtId="164" fontId="11" fillId="0" borderId="26" xfId="1" applyNumberFormat="1" applyFont="1" applyFill="1" applyBorder="1"/>
    <xf numFmtId="164" fontId="11" fillId="0" borderId="26" xfId="6" applyNumberFormat="1" applyFont="1" applyFill="1" applyBorder="1"/>
    <xf numFmtId="164" fontId="11" fillId="0" borderId="12" xfId="1" applyNumberFormat="1" applyFont="1" applyBorder="1"/>
    <xf numFmtId="164" fontId="11" fillId="0" borderId="3" xfId="6" applyNumberFormat="1" applyFont="1" applyFill="1" applyBorder="1"/>
    <xf numFmtId="0" fontId="19" fillId="0" borderId="27" xfId="0" applyFont="1" applyBorder="1"/>
    <xf numFmtId="43" fontId="4" fillId="0" borderId="14" xfId="1" applyFont="1" applyBorder="1"/>
    <xf numFmtId="43" fontId="3" fillId="0" borderId="0" xfId="1" applyFont="1" applyBorder="1"/>
    <xf numFmtId="43" fontId="3" fillId="0" borderId="8" xfId="1" applyFont="1" applyBorder="1"/>
    <xf numFmtId="43" fontId="4" fillId="0" borderId="0" xfId="1" applyFont="1"/>
    <xf numFmtId="43" fontId="10" fillId="0" borderId="12" xfId="1" applyFont="1" applyBorder="1"/>
    <xf numFmtId="164" fontId="1" fillId="0" borderId="3" xfId="6" applyNumberFormat="1" applyFont="1" applyFill="1" applyBorder="1"/>
    <xf numFmtId="164" fontId="9" fillId="0" borderId="3" xfId="1" applyNumberFormat="1" applyFont="1" applyFill="1" applyBorder="1" applyAlignment="1">
      <alignment horizontal="center"/>
    </xf>
    <xf numFmtId="9" fontId="9" fillId="0" borderId="3" xfId="6" applyFont="1" applyFill="1" applyBorder="1" applyAlignment="1">
      <alignment horizontal="center"/>
    </xf>
    <xf numFmtId="164" fontId="1" fillId="0" borderId="0" xfId="6" applyNumberFormat="1" applyFont="1" applyFill="1" applyBorder="1"/>
    <xf numFmtId="164" fontId="11" fillId="0" borderId="28" xfId="1" applyNumberFormat="1" applyFont="1" applyFill="1" applyBorder="1"/>
    <xf numFmtId="164" fontId="11" fillId="0" borderId="28" xfId="6" applyNumberFormat="1" applyFont="1" applyFill="1" applyBorder="1"/>
    <xf numFmtId="164" fontId="11" fillId="0" borderId="9" xfId="6" applyNumberFormat="1" applyFont="1" applyFill="1" applyBorder="1"/>
    <xf numFmtId="164" fontId="10" fillId="0" borderId="0" xfId="1" applyNumberFormat="1" applyFont="1" applyFill="1" applyBorder="1"/>
    <xf numFmtId="164" fontId="1" fillId="0" borderId="9" xfId="6" applyNumberFormat="1" applyFont="1" applyFill="1" applyBorder="1"/>
    <xf numFmtId="165" fontId="3" fillId="0" borderId="0" xfId="6" applyNumberFormat="1" applyFont="1" applyBorder="1"/>
    <xf numFmtId="164" fontId="9" fillId="0" borderId="12" xfId="1" applyNumberFormat="1" applyFont="1" applyBorder="1" applyAlignment="1">
      <alignment horizontal="center"/>
    </xf>
    <xf numFmtId="9" fontId="9" fillId="0" borderId="12" xfId="6" applyFont="1" applyBorder="1" applyAlignment="1">
      <alignment horizontal="center"/>
    </xf>
    <xf numFmtId="164" fontId="9" fillId="0" borderId="28" xfId="1" applyNumberFormat="1" applyFont="1" applyFill="1" applyBorder="1" applyAlignment="1">
      <alignment horizontal="center"/>
    </xf>
    <xf numFmtId="164" fontId="1" fillId="0" borderId="28" xfId="1" applyNumberFormat="1" applyFont="1" applyFill="1" applyBorder="1"/>
    <xf numFmtId="164" fontId="10" fillId="0" borderId="0" xfId="6" applyNumberFormat="1" applyFont="1" applyFill="1" applyBorder="1"/>
    <xf numFmtId="0" fontId="0" fillId="0" borderId="0" xfId="0" applyFill="1" applyBorder="1"/>
    <xf numFmtId="164" fontId="9" fillId="0" borderId="0" xfId="1" applyNumberFormat="1" applyFont="1" applyFill="1" applyBorder="1"/>
    <xf numFmtId="9" fontId="9" fillId="0" borderId="0" xfId="6" applyFont="1" applyFill="1" applyBorder="1"/>
    <xf numFmtId="9" fontId="4" fillId="0" borderId="0" xfId="6" applyFont="1" applyFill="1" applyBorder="1"/>
    <xf numFmtId="164" fontId="8" fillId="0" borderId="0" xfId="1" applyNumberFormat="1" applyFont="1" applyBorder="1" applyAlignment="1">
      <alignment horizontal="center"/>
    </xf>
    <xf numFmtId="9" fontId="8" fillId="0" borderId="0" xfId="6" applyFont="1" applyBorder="1" applyAlignment="1">
      <alignment horizontal="center"/>
    </xf>
    <xf numFmtId="164" fontId="8" fillId="0" borderId="8" xfId="1" applyNumberFormat="1" applyFont="1" applyFill="1" applyBorder="1" applyAlignment="1">
      <alignment horizontal="center"/>
    </xf>
    <xf numFmtId="9" fontId="8" fillId="0" borderId="8" xfId="6" applyFont="1" applyFill="1" applyBorder="1" applyAlignment="1">
      <alignment horizontal="center"/>
    </xf>
    <xf numFmtId="0" fontId="12" fillId="0" borderId="0" xfId="0" applyFont="1"/>
    <xf numFmtId="166" fontId="3" fillId="0" borderId="0" xfId="1" applyNumberFormat="1" applyAlignment="1"/>
    <xf numFmtId="164" fontId="0" fillId="0" borderId="0" xfId="1" applyNumberFormat="1" applyFont="1" applyBorder="1" applyAlignment="1">
      <alignment horizontal="center"/>
    </xf>
    <xf numFmtId="9" fontId="0" fillId="0" borderId="0" xfId="6" applyFont="1" applyBorder="1" applyAlignment="1">
      <alignment horizontal="center"/>
    </xf>
    <xf numFmtId="164" fontId="0" fillId="0" borderId="0" xfId="1" quotePrefix="1" applyNumberFormat="1" applyFont="1" applyBorder="1" applyAlignment="1">
      <alignment horizontal="center"/>
    </xf>
    <xf numFmtId="164" fontId="0" fillId="0" borderId="1" xfId="1" applyNumberFormat="1" applyFont="1" applyBorder="1"/>
    <xf numFmtId="43" fontId="1" fillId="0" borderId="1" xfId="1" applyFont="1" applyBorder="1" applyAlignment="1">
      <alignment horizontal="center"/>
    </xf>
    <xf numFmtId="43" fontId="18" fillId="0" borderId="1" xfId="1" applyFont="1" applyBorder="1" applyAlignment="1">
      <alignment horizontal="center"/>
    </xf>
    <xf numFmtId="164" fontId="18" fillId="0" borderId="1" xfId="1" applyNumberFormat="1" applyFont="1" applyBorder="1" applyAlignment="1">
      <alignment horizontal="center"/>
    </xf>
    <xf numFmtId="165" fontId="10" fillId="0" borderId="12" xfId="6" applyNumberFormat="1" applyFont="1" applyBorder="1"/>
    <xf numFmtId="165" fontId="10" fillId="0" borderId="1" xfId="6" applyNumberFormat="1" applyFont="1" applyBorder="1"/>
    <xf numFmtId="164" fontId="0" fillId="0" borderId="1" xfId="1" applyNumberFormat="1" applyFont="1" applyBorder="1" applyAlignment="1">
      <alignment horizontal="centerContinuous"/>
    </xf>
    <xf numFmtId="9" fontId="0" fillId="0" borderId="1" xfId="6" applyFont="1" applyBorder="1" applyAlignment="1">
      <alignment horizontal="centerContinuous"/>
    </xf>
    <xf numFmtId="9" fontId="3" fillId="0" borderId="0" xfId="6" applyFont="1" applyFill="1" applyAlignment="1">
      <alignment horizontal="centerContinuous"/>
    </xf>
    <xf numFmtId="166" fontId="1" fillId="0" borderId="0" xfId="1" quotePrefix="1" applyNumberFormat="1" applyFont="1" applyFill="1" applyAlignment="1">
      <alignment horizontal="centerContinuous"/>
    </xf>
    <xf numFmtId="166" fontId="10" fillId="0" borderId="12" xfId="1" applyNumberFormat="1" applyFont="1" applyBorder="1"/>
    <xf numFmtId="43" fontId="1" fillId="0" borderId="1" xfId="1" applyNumberFormat="1" applyFont="1" applyBorder="1" applyAlignment="1">
      <alignment horizontal="center" wrapText="1"/>
    </xf>
    <xf numFmtId="164" fontId="3" fillId="0" borderId="0" xfId="1" applyNumberFormat="1" applyFont="1" applyAlignment="1"/>
    <xf numFmtId="164" fontId="3" fillId="0" borderId="12" xfId="1" applyNumberFormat="1" applyFont="1" applyBorder="1" applyAlignment="1"/>
    <xf numFmtId="164" fontId="20" fillId="0" borderId="0" xfId="1" applyNumberFormat="1" applyFont="1"/>
    <xf numFmtId="168" fontId="20" fillId="0" borderId="0" xfId="1" applyNumberFormat="1" applyFont="1"/>
    <xf numFmtId="164" fontId="19" fillId="0" borderId="8" xfId="1" applyNumberFormat="1" applyFont="1" applyFill="1" applyBorder="1"/>
    <xf numFmtId="164" fontId="20" fillId="0" borderId="12" xfId="1" applyNumberFormat="1" applyFont="1" applyBorder="1"/>
    <xf numFmtId="168" fontId="20" fillId="0" borderId="12" xfId="1" applyNumberFormat="1" applyFont="1" applyBorder="1"/>
    <xf numFmtId="164" fontId="19" fillId="0" borderId="28" xfId="1" applyNumberFormat="1" applyFont="1" applyFill="1" applyBorder="1"/>
    <xf numFmtId="164" fontId="19" fillId="0" borderId="0" xfId="1" applyNumberFormat="1" applyFont="1"/>
    <xf numFmtId="164" fontId="20" fillId="0" borderId="0" xfId="1" applyNumberFormat="1" applyFont="1" applyBorder="1"/>
    <xf numFmtId="168" fontId="20" fillId="0" borderId="0" xfId="1" applyNumberFormat="1" applyFont="1" applyBorder="1"/>
    <xf numFmtId="164" fontId="20" fillId="0" borderId="1" xfId="1" applyNumberFormat="1" applyFont="1" applyBorder="1"/>
    <xf numFmtId="168" fontId="20" fillId="0" borderId="1" xfId="1" applyNumberFormat="1" applyFont="1" applyBorder="1"/>
    <xf numFmtId="164" fontId="19" fillId="0" borderId="9" xfId="1" applyNumberFormat="1" applyFont="1" applyFill="1" applyBorder="1"/>
    <xf numFmtId="164" fontId="18" fillId="0" borderId="9" xfId="1" applyNumberFormat="1" applyFont="1" applyFill="1" applyBorder="1" applyAlignment="1">
      <alignment horizontal="center"/>
    </xf>
    <xf numFmtId="9" fontId="18" fillId="0" borderId="9" xfId="6" applyFont="1" applyFill="1" applyBorder="1" applyAlignment="1">
      <alignment horizontal="center"/>
    </xf>
    <xf numFmtId="168" fontId="1" fillId="0" borderId="0" xfId="1" quotePrefix="1" applyNumberFormat="1" applyFont="1" applyAlignment="1">
      <alignment horizontal="center"/>
    </xf>
    <xf numFmtId="10" fontId="3" fillId="0" borderId="0" xfId="6" applyNumberFormat="1" applyAlignment="1">
      <alignment horizontal="right"/>
    </xf>
    <xf numFmtId="10" fontId="0" fillId="0" borderId="1" xfId="6" applyNumberFormat="1" applyFont="1" applyBorder="1"/>
    <xf numFmtId="43" fontId="18" fillId="0" borderId="0" xfId="1" applyFont="1" applyBorder="1" applyAlignment="1">
      <alignment horizontal="center"/>
    </xf>
    <xf numFmtId="43" fontId="1" fillId="0" borderId="0" xfId="1" quotePrefix="1" applyFont="1" applyBorder="1" applyAlignment="1">
      <alignment horizontal="center"/>
    </xf>
    <xf numFmtId="167" fontId="3" fillId="0" borderId="0" xfId="1" applyNumberFormat="1" applyAlignment="1">
      <alignment horizontal="center"/>
    </xf>
    <xf numFmtId="167" fontId="0" fillId="0" borderId="0" xfId="1" applyNumberFormat="1" applyFont="1" applyAlignment="1">
      <alignment horizontal="center"/>
    </xf>
    <xf numFmtId="10" fontId="3" fillId="0" borderId="0" xfId="1" applyNumberFormat="1" applyAlignment="1">
      <alignment horizontal="center"/>
    </xf>
    <xf numFmtId="10" fontId="12" fillId="0" borderId="0" xfId="6" applyNumberFormat="1" applyFont="1" applyAlignment="1">
      <alignment horizontal="center"/>
    </xf>
    <xf numFmtId="165" fontId="3" fillId="0" borderId="1" xfId="6" applyNumberFormat="1" applyBorder="1"/>
    <xf numFmtId="10" fontId="3" fillId="0" borderId="0" xfId="1" applyNumberFormat="1" applyFont="1" applyAlignment="1">
      <alignment horizontal="center"/>
    </xf>
    <xf numFmtId="10" fontId="10" fillId="0" borderId="0" xfId="6" applyNumberFormat="1" applyFont="1" applyAlignment="1">
      <alignment horizontal="center"/>
    </xf>
    <xf numFmtId="43" fontId="3" fillId="0" borderId="0" xfId="1" applyFont="1" applyAlignment="1">
      <alignment horizontal="center"/>
    </xf>
    <xf numFmtId="164" fontId="3" fillId="0" borderId="29" xfId="1" applyNumberFormat="1" applyBorder="1"/>
    <xf numFmtId="164" fontId="10" fillId="0" borderId="29" xfId="1" applyNumberFormat="1" applyFont="1" applyBorder="1"/>
    <xf numFmtId="164" fontId="5" fillId="0" borderId="29" xfId="1" applyNumberFormat="1" applyFont="1" applyBorder="1"/>
    <xf numFmtId="164" fontId="1" fillId="0" borderId="29" xfId="1" applyNumberFormat="1" applyFont="1" applyBorder="1"/>
    <xf numFmtId="164" fontId="1" fillId="0" borderId="30" xfId="1" applyNumberFormat="1" applyFont="1" applyBorder="1"/>
    <xf numFmtId="43" fontId="3" fillId="0" borderId="29" xfId="1" applyFont="1" applyBorder="1"/>
    <xf numFmtId="43" fontId="10" fillId="0" borderId="29" xfId="1" applyFont="1" applyBorder="1"/>
    <xf numFmtId="9" fontId="3" fillId="0" borderId="5" xfId="6" applyFont="1" applyBorder="1"/>
    <xf numFmtId="10" fontId="10" fillId="0" borderId="5" xfId="6" applyNumberFormat="1" applyFont="1" applyBorder="1"/>
    <xf numFmtId="10" fontId="10" fillId="0" borderId="31" xfId="6" applyNumberFormat="1" applyFont="1" applyBorder="1"/>
    <xf numFmtId="10" fontId="3" fillId="0" borderId="5" xfId="6" applyNumberFormat="1" applyBorder="1"/>
    <xf numFmtId="43" fontId="3" fillId="0" borderId="5" xfId="1" applyBorder="1"/>
    <xf numFmtId="164" fontId="1" fillId="0" borderId="0" xfId="1" quotePrefix="1" applyNumberFormat="1" applyFont="1" applyFill="1" applyAlignment="1">
      <alignment horizontal="centerContinuous"/>
    </xf>
    <xf numFmtId="166" fontId="3" fillId="0" borderId="0" xfId="1" applyNumberFormat="1" applyFill="1"/>
    <xf numFmtId="166" fontId="3" fillId="0" borderId="12" xfId="1" applyNumberFormat="1" applyBorder="1"/>
    <xf numFmtId="165" fontId="3" fillId="0" borderId="0" xfId="6" applyNumberFormat="1" applyBorder="1"/>
    <xf numFmtId="9" fontId="3" fillId="0" borderId="32" xfId="6" applyFont="1" applyBorder="1"/>
    <xf numFmtId="10" fontId="10" fillId="0" borderId="32" xfId="6" applyNumberFormat="1" applyFont="1" applyBorder="1"/>
    <xf numFmtId="43" fontId="10" fillId="0" borderId="32" xfId="1" applyFont="1" applyBorder="1"/>
    <xf numFmtId="164" fontId="1" fillId="0" borderId="0" xfId="1" applyNumberFormat="1" applyFont="1" applyBorder="1"/>
    <xf numFmtId="164" fontId="1" fillId="0" borderId="7" xfId="1" applyNumberFormat="1" applyFont="1" applyBorder="1"/>
    <xf numFmtId="9" fontId="3" fillId="0" borderId="0" xfId="6" quotePrefix="1" applyFont="1" applyBorder="1" applyAlignment="1">
      <alignment horizontal="center"/>
    </xf>
    <xf numFmtId="10" fontId="10" fillId="0" borderId="12" xfId="6" applyNumberFormat="1" applyFont="1" applyBorder="1"/>
    <xf numFmtId="10" fontId="3" fillId="0" borderId="1" xfId="6" applyNumberFormat="1" applyFont="1" applyBorder="1"/>
    <xf numFmtId="43" fontId="3" fillId="0" borderId="12" xfId="1" applyBorder="1"/>
    <xf numFmtId="164" fontId="1" fillId="0" borderId="1" xfId="1" applyNumberFormat="1" applyFont="1" applyBorder="1" applyAlignment="1">
      <alignment horizontal="center" wrapText="1"/>
    </xf>
    <xf numFmtId="43" fontId="10" fillId="0" borderId="31" xfId="1" applyFont="1" applyBorder="1"/>
    <xf numFmtId="43" fontId="1" fillId="0" borderId="12" xfId="1" applyFont="1" applyBorder="1"/>
    <xf numFmtId="168" fontId="10" fillId="0" borderId="29" xfId="1" applyNumberFormat="1" applyFont="1" applyBorder="1"/>
    <xf numFmtId="43" fontId="5" fillId="0" borderId="29" xfId="1" applyFont="1" applyBorder="1"/>
    <xf numFmtId="164" fontId="3" fillId="0" borderId="4" xfId="1" applyNumberFormat="1" applyFont="1" applyBorder="1" applyAlignment="1">
      <alignment horizontal="center"/>
    </xf>
    <xf numFmtId="164" fontId="3" fillId="0" borderId="29" xfId="1" applyNumberFormat="1" applyFont="1" applyBorder="1" applyAlignment="1">
      <alignment horizontal="center"/>
    </xf>
    <xf numFmtId="9" fontId="3" fillId="0" borderId="5" xfId="6" quotePrefix="1" applyFont="1" applyBorder="1" applyAlignment="1">
      <alignment horizontal="center"/>
    </xf>
    <xf numFmtId="9" fontId="3" fillId="0" borderId="29" xfId="6" applyFont="1" applyBorder="1" applyAlignment="1">
      <alignment horizontal="center"/>
    </xf>
    <xf numFmtId="9" fontId="1" fillId="0" borderId="0" xfId="6" applyFont="1" applyFill="1" applyAlignment="1">
      <alignment horizontal="centerContinuous"/>
    </xf>
    <xf numFmtId="164" fontId="1" fillId="0" borderId="0" xfId="1" applyNumberFormat="1" applyFont="1" applyFill="1" applyAlignment="1">
      <alignment horizontal="centerContinuous"/>
    </xf>
    <xf numFmtId="166" fontId="1" fillId="0" borderId="0" xfId="1" applyNumberFormat="1" applyFont="1" applyFill="1"/>
    <xf numFmtId="164" fontId="1" fillId="0" borderId="33" xfId="1" applyNumberFormat="1" applyFont="1" applyBorder="1" applyAlignment="1">
      <alignment horizontal="center"/>
    </xf>
    <xf numFmtId="9" fontId="1" fillId="0" borderId="34" xfId="6" applyFont="1" applyBorder="1" applyAlignment="1">
      <alignment horizontal="center"/>
    </xf>
    <xf numFmtId="164" fontId="1" fillId="0" borderId="34" xfId="1" applyNumberFormat="1" applyFont="1" applyBorder="1" applyAlignment="1">
      <alignment horizontal="center"/>
    </xf>
    <xf numFmtId="9" fontId="1" fillId="0" borderId="35" xfId="6" quotePrefix="1" applyFont="1" applyBorder="1" applyAlignment="1">
      <alignment horizontal="center"/>
    </xf>
    <xf numFmtId="9" fontId="1" fillId="0" borderId="36" xfId="6" applyFont="1" applyBorder="1" applyAlignment="1">
      <alignment horizontal="center"/>
    </xf>
    <xf numFmtId="9" fontId="1" fillId="0" borderId="37" xfId="6" quotePrefix="1" applyFont="1" applyBorder="1" applyAlignment="1">
      <alignment horizontal="center"/>
    </xf>
    <xf numFmtId="164" fontId="1" fillId="0" borderId="36" xfId="1" applyNumberFormat="1" applyFont="1" applyBorder="1" applyAlignment="1">
      <alignment horizontal="center"/>
    </xf>
    <xf numFmtId="0" fontId="3" fillId="0" borderId="0" xfId="0" applyFont="1" applyAlignment="1">
      <alignment horizontal="centerContinuous"/>
    </xf>
    <xf numFmtId="9" fontId="3" fillId="0" borderId="7" xfId="6" applyFont="1" applyBorder="1" applyAlignment="1">
      <alignment horizontal="centerContinuous"/>
    </xf>
    <xf numFmtId="0" fontId="9" fillId="0" borderId="0" xfId="0" applyFont="1" applyAlignment="1"/>
    <xf numFmtId="166" fontId="3" fillId="0" borderId="0" xfId="1" applyNumberFormat="1" applyFill="1" applyAlignment="1">
      <alignment horizontal="centerContinuous"/>
    </xf>
    <xf numFmtId="166" fontId="1" fillId="0" borderId="0" xfId="1" applyNumberFormat="1" applyFont="1" applyFill="1" applyAlignment="1">
      <alignment horizontal="centerContinuous"/>
    </xf>
    <xf numFmtId="164" fontId="1" fillId="0" borderId="10" xfId="1" applyNumberFormat="1" applyFont="1" applyBorder="1" applyAlignment="1">
      <alignment horizontal="center"/>
    </xf>
    <xf numFmtId="164" fontId="3" fillId="0" borderId="29" xfId="1" applyNumberFormat="1" applyFont="1" applyBorder="1"/>
    <xf numFmtId="43" fontId="1" fillId="0" borderId="0" xfId="1" quotePrefix="1" applyNumberFormat="1" applyFont="1" applyAlignment="1">
      <alignment horizontal="center"/>
    </xf>
    <xf numFmtId="164" fontId="1" fillId="0" borderId="37" xfId="1" quotePrefix="1" applyNumberFormat="1" applyFont="1" applyBorder="1" applyAlignment="1">
      <alignment horizontal="center"/>
    </xf>
    <xf numFmtId="165" fontId="3" fillId="0" borderId="11" xfId="6" applyNumberFormat="1" applyBorder="1"/>
    <xf numFmtId="10" fontId="3" fillId="0" borderId="11" xfId="6" applyNumberFormat="1" applyBorder="1" applyAlignment="1">
      <alignment horizontal="right"/>
    </xf>
    <xf numFmtId="10" fontId="3" fillId="0" borderId="38" xfId="6" applyNumberFormat="1" applyBorder="1" applyAlignment="1">
      <alignment horizontal="right"/>
    </xf>
    <xf numFmtId="10" fontId="3" fillId="0" borderId="1" xfId="6" applyNumberFormat="1" applyBorder="1" applyAlignment="1">
      <alignment horizontal="right"/>
    </xf>
    <xf numFmtId="10" fontId="3" fillId="0" borderId="0" xfId="6" applyNumberFormat="1" applyBorder="1" applyAlignment="1">
      <alignment horizontal="right"/>
    </xf>
    <xf numFmtId="10" fontId="3" fillId="0" borderId="0" xfId="6" applyNumberFormat="1" applyFont="1" applyBorder="1" applyAlignment="1">
      <alignment horizontal="right"/>
    </xf>
    <xf numFmtId="43" fontId="3" fillId="0" borderId="11" xfId="1" applyBorder="1" applyAlignment="1">
      <alignment horizontal="right"/>
    </xf>
    <xf numFmtId="164" fontId="21" fillId="0" borderId="8" xfId="1" applyNumberFormat="1" applyFont="1" applyFill="1" applyBorder="1"/>
    <xf numFmtId="10" fontId="10" fillId="0" borderId="1" xfId="6" applyNumberFormat="1" applyFont="1" applyBorder="1"/>
    <xf numFmtId="164" fontId="3" fillId="0" borderId="0" xfId="1" applyNumberFormat="1" applyFont="1" applyAlignment="1">
      <alignment horizontal="center"/>
    </xf>
    <xf numFmtId="165" fontId="10" fillId="0" borderId="5" xfId="6" applyNumberFormat="1" applyFont="1" applyBorder="1"/>
    <xf numFmtId="164" fontId="1" fillId="0" borderId="0" xfId="1" quotePrefix="1" applyNumberFormat="1" applyFont="1" applyAlignment="1">
      <alignment horizontal="centerContinuous"/>
    </xf>
    <xf numFmtId="10" fontId="1" fillId="0" borderId="31" xfId="6" applyNumberFormat="1" applyFont="1" applyBorder="1"/>
    <xf numFmtId="10" fontId="1" fillId="0" borderId="5" xfId="6" applyNumberFormat="1" applyFont="1" applyBorder="1"/>
    <xf numFmtId="10" fontId="1" fillId="0" borderId="32" xfId="6" applyNumberFormat="1" applyFont="1" applyBorder="1"/>
    <xf numFmtId="10" fontId="1" fillId="0" borderId="39" xfId="6" applyNumberFormat="1" applyFont="1" applyBorder="1"/>
    <xf numFmtId="43" fontId="12" fillId="0" borderId="0" xfId="1" applyFont="1" applyAlignment="1">
      <alignment horizontal="center"/>
    </xf>
    <xf numFmtId="0" fontId="1" fillId="0" borderId="1" xfId="0" quotePrefix="1" applyFont="1" applyBorder="1" applyAlignment="1">
      <alignment horizontal="centerContinuous"/>
    </xf>
    <xf numFmtId="165" fontId="0" fillId="0" borderId="0" xfId="0" applyNumberFormat="1"/>
    <xf numFmtId="0" fontId="1" fillId="0" borderId="0" xfId="0" applyFont="1" applyBorder="1" applyAlignment="1">
      <alignment horizontal="centerContinuous"/>
    </xf>
    <xf numFmtId="10" fontId="11" fillId="0" borderId="0" xfId="6" applyNumberFormat="1" applyFont="1" applyFill="1" applyBorder="1" applyAlignment="1">
      <alignment horizontal="right"/>
    </xf>
    <xf numFmtId="10" fontId="1" fillId="0" borderId="0" xfId="6" applyNumberFormat="1" applyFont="1" applyFill="1" applyBorder="1" applyAlignment="1">
      <alignment horizontal="right"/>
    </xf>
    <xf numFmtId="43" fontId="3" fillId="0" borderId="11" xfId="6" applyNumberFormat="1" applyBorder="1" applyAlignment="1">
      <alignment horizontal="right"/>
    </xf>
    <xf numFmtId="43" fontId="3" fillId="0" borderId="0" xfId="6" applyNumberFormat="1" applyBorder="1" applyAlignment="1">
      <alignment horizontal="right"/>
    </xf>
    <xf numFmtId="43" fontId="3" fillId="0" borderId="38" xfId="6" applyNumberFormat="1" applyBorder="1" applyAlignment="1">
      <alignment horizontal="right"/>
    </xf>
    <xf numFmtId="43" fontId="3" fillId="0" borderId="0" xfId="6" applyNumberFormat="1" applyAlignment="1">
      <alignment horizontal="right"/>
    </xf>
    <xf numFmtId="43" fontId="3" fillId="0" borderId="1" xfId="6" applyNumberFormat="1" applyBorder="1" applyAlignment="1">
      <alignment horizontal="right"/>
    </xf>
    <xf numFmtId="9" fontId="8" fillId="0" borderId="1" xfId="6" quotePrefix="1" applyFont="1" applyBorder="1" applyAlignment="1">
      <alignment horizontal="center"/>
    </xf>
    <xf numFmtId="43" fontId="0" fillId="0" borderId="0" xfId="1" applyFont="1" applyAlignment="1">
      <alignment vertical="center" wrapText="1"/>
    </xf>
    <xf numFmtId="164" fontId="3" fillId="0" borderId="0" xfId="1" applyNumberFormat="1" applyAlignment="1"/>
    <xf numFmtId="9" fontId="8" fillId="0" borderId="1" xfId="6" applyFont="1" applyBorder="1" applyAlignment="1">
      <alignment horizontal="center"/>
    </xf>
    <xf numFmtId="43" fontId="3" fillId="0" borderId="0" xfId="1" applyFont="1" applyAlignment="1"/>
    <xf numFmtId="43" fontId="1" fillId="0" borderId="8" xfId="1" applyFont="1" applyFill="1" applyBorder="1" applyAlignment="1">
      <alignment horizontal="right"/>
    </xf>
    <xf numFmtId="43" fontId="1" fillId="0" borderId="9" xfId="1" applyFont="1" applyFill="1" applyBorder="1" applyAlignment="1">
      <alignment horizontal="right"/>
    </xf>
    <xf numFmtId="43" fontId="1" fillId="0" borderId="8" xfId="6" applyNumberFormat="1" applyFont="1" applyBorder="1" applyAlignment="1">
      <alignment horizontal="right"/>
    </xf>
    <xf numFmtId="43" fontId="11" fillId="0" borderId="8" xfId="1" applyFont="1" applyBorder="1" applyAlignment="1">
      <alignment horizontal="right"/>
    </xf>
    <xf numFmtId="2" fontId="1" fillId="0" borderId="8" xfId="0" applyNumberFormat="1" applyFont="1" applyBorder="1"/>
    <xf numFmtId="2" fontId="1" fillId="0" borderId="9" xfId="0" applyNumberFormat="1" applyFont="1" applyBorder="1"/>
    <xf numFmtId="0" fontId="1" fillId="0" borderId="40" xfId="0" applyFont="1" applyBorder="1"/>
    <xf numFmtId="0" fontId="1" fillId="0" borderId="41" xfId="0" applyFont="1" applyBorder="1"/>
    <xf numFmtId="0" fontId="1" fillId="0" borderId="11" xfId="0" applyFont="1" applyBorder="1"/>
    <xf numFmtId="0" fontId="1" fillId="0" borderId="0" xfId="0" applyFont="1" applyBorder="1"/>
    <xf numFmtId="0" fontId="1" fillId="0" borderId="0" xfId="0" applyFont="1" applyBorder="1" applyAlignment="1">
      <alignment horizontal="center"/>
    </xf>
    <xf numFmtId="0" fontId="1" fillId="0" borderId="42" xfId="0" applyFont="1" applyBorder="1"/>
    <xf numFmtId="0" fontId="10" fillId="0" borderId="11" xfId="0" applyFont="1" applyBorder="1" applyAlignment="1">
      <alignment horizontal="center"/>
    </xf>
    <xf numFmtId="0" fontId="1" fillId="0" borderId="29" xfId="0" applyFont="1" applyBorder="1" applyAlignment="1">
      <alignment horizontal="center"/>
    </xf>
    <xf numFmtId="0" fontId="0" fillId="0" borderId="29" xfId="0" applyBorder="1"/>
    <xf numFmtId="0" fontId="1" fillId="0" borderId="13" xfId="0" applyFont="1" applyBorder="1" applyAlignment="1">
      <alignment horizontal="center"/>
    </xf>
    <xf numFmtId="0" fontId="0" fillId="0" borderId="13" xfId="0" applyBorder="1"/>
    <xf numFmtId="0" fontId="1" fillId="0" borderId="43" xfId="0" applyFont="1" applyBorder="1" applyAlignment="1">
      <alignment horizontal="center"/>
    </xf>
    <xf numFmtId="0" fontId="0" fillId="0" borderId="43" xfId="0" applyBorder="1"/>
    <xf numFmtId="0" fontId="11" fillId="0" borderId="11" xfId="0" applyFont="1" applyBorder="1" applyAlignment="1">
      <alignment horizontal="centerContinuous"/>
    </xf>
    <xf numFmtId="0" fontId="0" fillId="0" borderId="0" xfId="0" applyBorder="1" applyAlignment="1">
      <alignment horizontal="centerContinuous"/>
    </xf>
    <xf numFmtId="17" fontId="11" fillId="0" borderId="11" xfId="0" quotePrefix="1" applyNumberFormat="1" applyFont="1" applyBorder="1" applyAlignment="1">
      <alignment horizontal="centerContinuous"/>
    </xf>
    <xf numFmtId="0" fontId="1" fillId="0" borderId="44" xfId="0" applyFont="1" applyBorder="1" applyAlignment="1">
      <alignment horizontal="centerContinuous"/>
    </xf>
    <xf numFmtId="0" fontId="1" fillId="0" borderId="45" xfId="0" applyFont="1" applyBorder="1" applyAlignment="1">
      <alignment horizontal="centerContinuous"/>
    </xf>
    <xf numFmtId="0" fontId="1" fillId="0" borderId="46" xfId="0" applyFont="1" applyBorder="1" applyAlignment="1">
      <alignment horizontal="centerContinuous"/>
    </xf>
    <xf numFmtId="0" fontId="1" fillId="0" borderId="47" xfId="0" applyFont="1" applyBorder="1" applyAlignment="1">
      <alignment horizontal="center"/>
    </xf>
    <xf numFmtId="0" fontId="1" fillId="0" borderId="48" xfId="0" applyFont="1" applyBorder="1" applyAlignment="1">
      <alignment horizontal="center"/>
    </xf>
    <xf numFmtId="0" fontId="0" fillId="0" borderId="49" xfId="0" applyBorder="1"/>
    <xf numFmtId="0" fontId="0" fillId="0" borderId="50" xfId="0" applyBorder="1" applyAlignment="1">
      <alignment horizontal="centerContinuous"/>
    </xf>
    <xf numFmtId="0" fontId="0" fillId="0" borderId="49" xfId="0" applyBorder="1" applyAlignment="1">
      <alignment horizontal="centerContinuous"/>
    </xf>
    <xf numFmtId="43" fontId="0" fillId="0" borderId="50" xfId="1" applyFont="1" applyBorder="1" applyAlignment="1">
      <alignment horizontal="centerContinuous"/>
    </xf>
    <xf numFmtId="0" fontId="23" fillId="0" borderId="0" xfId="0" applyFont="1" applyAlignment="1">
      <alignment horizontal="centerContinuous"/>
    </xf>
    <xf numFmtId="168" fontId="1" fillId="0" borderId="51" xfId="1" applyNumberFormat="1" applyFont="1" applyBorder="1"/>
    <xf numFmtId="165" fontId="22" fillId="0" borderId="0" xfId="0" applyNumberFormat="1" applyFont="1"/>
    <xf numFmtId="0" fontId="22" fillId="0" borderId="0" xfId="0" applyFont="1"/>
    <xf numFmtId="43" fontId="0" fillId="0" borderId="50" xfId="1" applyFont="1" applyBorder="1"/>
    <xf numFmtId="43" fontId="0" fillId="0" borderId="50" xfId="1" applyFont="1" applyBorder="1" applyAlignment="1"/>
    <xf numFmtId="43" fontId="0" fillId="0" borderId="52" xfId="1" applyFont="1" applyBorder="1"/>
    <xf numFmtId="43" fontId="0" fillId="0" borderId="49" xfId="1" applyFont="1" applyBorder="1"/>
    <xf numFmtId="43" fontId="0" fillId="0" borderId="43" xfId="1" applyFont="1" applyBorder="1"/>
    <xf numFmtId="43" fontId="0" fillId="0" borderId="29" xfId="1" applyFont="1" applyBorder="1"/>
    <xf numFmtId="43" fontId="0" fillId="0" borderId="13" xfId="1" applyFont="1" applyBorder="1"/>
    <xf numFmtId="0" fontId="0" fillId="0" borderId="0" xfId="0" applyFill="1"/>
    <xf numFmtId="43" fontId="0" fillId="0" borderId="50" xfId="1" applyFont="1" applyBorder="1" applyAlignment="1">
      <alignment horizontal="center"/>
    </xf>
    <xf numFmtId="9" fontId="0" fillId="0" borderId="0" xfId="6" applyFont="1" applyBorder="1" applyAlignment="1">
      <alignment horizontal="centerContinuous"/>
    </xf>
    <xf numFmtId="43" fontId="0" fillId="0" borderId="49" xfId="1" applyFont="1" applyBorder="1" applyAlignment="1">
      <alignment horizontal="centerContinuous"/>
    </xf>
    <xf numFmtId="43" fontId="0" fillId="0" borderId="12" xfId="1" applyFont="1" applyBorder="1"/>
    <xf numFmtId="43" fontId="0" fillId="0" borderId="12" xfId="1" applyFont="1" applyBorder="1" applyAlignment="1">
      <alignment horizontal="centerContinuous"/>
    </xf>
    <xf numFmtId="0" fontId="1" fillId="0" borderId="53" xfId="0" applyFont="1" applyBorder="1" applyAlignment="1">
      <alignment horizontal="center"/>
    </xf>
    <xf numFmtId="0" fontId="1" fillId="0" borderId="28" xfId="0" applyFont="1" applyBorder="1"/>
    <xf numFmtId="164" fontId="0" fillId="0" borderId="28" xfId="1" applyNumberFormat="1" applyFont="1" applyBorder="1"/>
    <xf numFmtId="164" fontId="0" fillId="0" borderId="28" xfId="0" applyNumberFormat="1" applyBorder="1"/>
    <xf numFmtId="43" fontId="0" fillId="0" borderId="1" xfId="1" applyFont="1" applyBorder="1" applyAlignment="1">
      <alignment horizontal="centerContinuous"/>
    </xf>
    <xf numFmtId="0" fontId="11" fillId="0" borderId="11" xfId="0" applyFont="1" applyBorder="1" applyAlignment="1">
      <alignment horizontal="center" vertical="center"/>
    </xf>
    <xf numFmtId="0" fontId="10" fillId="0" borderId="11" xfId="0" applyFont="1" applyBorder="1" applyAlignment="1">
      <alignment horizontal="center" vertical="center"/>
    </xf>
    <xf numFmtId="0" fontId="11" fillId="0" borderId="38" xfId="0" applyFont="1" applyBorder="1" applyAlignment="1">
      <alignment horizontal="center" vertical="center"/>
    </xf>
    <xf numFmtId="9" fontId="8" fillId="0" borderId="0" xfId="6" applyFont="1" applyAlignment="1">
      <alignment horizontal="center"/>
    </xf>
    <xf numFmtId="164" fontId="1" fillId="0" borderId="1" xfId="1" applyNumberFormat="1" applyFont="1" applyBorder="1" applyAlignment="1">
      <alignment horizontal="centerContinuous"/>
    </xf>
    <xf numFmtId="9" fontId="1" fillId="0" borderId="1" xfId="6" applyFont="1" applyBorder="1" applyAlignment="1">
      <alignment horizontal="centerContinuous"/>
    </xf>
    <xf numFmtId="164" fontId="21" fillId="0" borderId="0" xfId="1" applyNumberFormat="1" applyFont="1"/>
    <xf numFmtId="164" fontId="24" fillId="0" borderId="0" xfId="1" applyNumberFormat="1" applyFont="1"/>
    <xf numFmtId="164" fontId="25" fillId="0" borderId="0" xfId="1" applyNumberFormat="1" applyFont="1" applyBorder="1" applyAlignment="1">
      <alignment horizontal="center"/>
    </xf>
    <xf numFmtId="0" fontId="0" fillId="0" borderId="29" xfId="0" applyBorder="1" applyAlignment="1">
      <alignment horizontal="centerContinuous"/>
    </xf>
    <xf numFmtId="0" fontId="0" fillId="0" borderId="13" xfId="0" applyBorder="1" applyAlignment="1">
      <alignment horizontal="center"/>
    </xf>
    <xf numFmtId="168" fontId="1" fillId="0" borderId="42" xfId="1" applyNumberFormat="1" applyFont="1" applyBorder="1"/>
    <xf numFmtId="0" fontId="0" fillId="0" borderId="54" xfId="0" applyBorder="1" applyAlignment="1">
      <alignment horizontal="centerContinuous"/>
    </xf>
    <xf numFmtId="0" fontId="0" fillId="0" borderId="43" xfId="0" applyBorder="1" applyAlignment="1">
      <alignment horizontal="centerContinuous"/>
    </xf>
    <xf numFmtId="0" fontId="1" fillId="0" borderId="46" xfId="0" applyFont="1" applyBorder="1" applyAlignment="1">
      <alignment horizontal="center"/>
    </xf>
    <xf numFmtId="0" fontId="0" fillId="0" borderId="55" xfId="0" applyBorder="1" applyAlignment="1">
      <alignment horizontal="centerContinuous"/>
    </xf>
    <xf numFmtId="10" fontId="1" fillId="0" borderId="49" xfId="1" applyNumberFormat="1" applyFont="1" applyBorder="1" applyAlignment="1">
      <alignment horizontal="centerContinuous"/>
    </xf>
    <xf numFmtId="0" fontId="0" fillId="0" borderId="56" xfId="0" applyBorder="1" applyAlignment="1"/>
    <xf numFmtId="10" fontId="1" fillId="0" borderId="54" xfId="0" applyNumberFormat="1" applyFont="1" applyBorder="1" applyAlignment="1">
      <alignment horizontal="center"/>
    </xf>
    <xf numFmtId="10" fontId="1" fillId="0" borderId="54" xfId="1" applyNumberFormat="1" applyFont="1" applyBorder="1" applyAlignment="1">
      <alignment horizontal="centerContinuous"/>
    </xf>
    <xf numFmtId="0" fontId="0" fillId="0" borderId="57" xfId="0" applyBorder="1"/>
    <xf numFmtId="10" fontId="1" fillId="0" borderId="29" xfId="0" applyNumberFormat="1" applyFont="1" applyBorder="1" applyAlignment="1">
      <alignment horizontal="center"/>
    </xf>
    <xf numFmtId="10" fontId="1" fillId="0" borderId="49" xfId="0" applyNumberFormat="1" applyFont="1" applyBorder="1" applyAlignment="1">
      <alignment horizontal="centerContinuous"/>
    </xf>
    <xf numFmtId="10" fontId="1" fillId="0" borderId="49" xfId="0" applyNumberFormat="1" applyFont="1" applyBorder="1" applyAlignment="1">
      <alignment horizontal="center"/>
    </xf>
    <xf numFmtId="0" fontId="0" fillId="0" borderId="54" xfId="0" applyBorder="1" applyAlignment="1"/>
    <xf numFmtId="10" fontId="1" fillId="0" borderId="56" xfId="0" applyNumberFormat="1" applyFont="1" applyBorder="1" applyAlignment="1">
      <alignment horizontal="center"/>
    </xf>
    <xf numFmtId="0" fontId="0" fillId="0" borderId="49" xfId="0" applyBorder="1" applyAlignment="1"/>
    <xf numFmtId="0" fontId="1" fillId="0" borderId="48" xfId="0" applyFont="1" applyBorder="1" applyAlignment="1">
      <alignment horizontal="centerContinuous"/>
    </xf>
    <xf numFmtId="0" fontId="0" fillId="0" borderId="51" xfId="0" applyBorder="1" applyAlignment="1">
      <alignment horizontal="centerContinuous"/>
    </xf>
    <xf numFmtId="0" fontId="0" fillId="0" borderId="58" xfId="0" applyBorder="1" applyAlignment="1">
      <alignment horizontal="centerContinuous"/>
    </xf>
    <xf numFmtId="0" fontId="0" fillId="0" borderId="42" xfId="0" applyBorder="1"/>
    <xf numFmtId="10" fontId="1" fillId="0" borderId="58" xfId="0" applyNumberFormat="1" applyFont="1" applyBorder="1" applyAlignment="1">
      <alignment horizontal="center"/>
    </xf>
    <xf numFmtId="0" fontId="0" fillId="0" borderId="59" xfId="0" applyBorder="1" applyAlignment="1">
      <alignment horizontal="centerContinuous"/>
    </xf>
    <xf numFmtId="0" fontId="11" fillId="0" borderId="60" xfId="0" applyFont="1" applyBorder="1" applyAlignment="1"/>
    <xf numFmtId="0" fontId="0" fillId="0" borderId="12" xfId="0" applyBorder="1" applyAlignment="1"/>
    <xf numFmtId="0" fontId="1" fillId="0" borderId="60" xfId="0" applyFont="1" applyBorder="1" applyAlignment="1"/>
    <xf numFmtId="0" fontId="1" fillId="0" borderId="61" xfId="0" applyFont="1" applyBorder="1" applyAlignment="1">
      <alignment horizontal="centerContinuous"/>
    </xf>
    <xf numFmtId="0" fontId="1" fillId="0" borderId="10" xfId="0" applyFont="1" applyBorder="1" applyAlignment="1">
      <alignment horizontal="centerContinuous"/>
    </xf>
    <xf numFmtId="10" fontId="1" fillId="0" borderId="62" xfId="6" applyNumberFormat="1" applyFont="1" applyBorder="1" applyAlignment="1">
      <alignment horizontal="center"/>
    </xf>
    <xf numFmtId="10" fontId="1" fillId="0" borderId="63" xfId="6" applyNumberFormat="1" applyFont="1" applyBorder="1" applyAlignment="1">
      <alignment horizontal="center"/>
    </xf>
    <xf numFmtId="0" fontId="14" fillId="0" borderId="0" xfId="0" applyFont="1" applyAlignment="1">
      <alignment horizontal="left"/>
    </xf>
    <xf numFmtId="0" fontId="14" fillId="0" borderId="0" xfId="0" applyFont="1"/>
    <xf numFmtId="43" fontId="3" fillId="0" borderId="12" xfId="1" applyFont="1" applyBorder="1"/>
    <xf numFmtId="43" fontId="0" fillId="0" borderId="0" xfId="1" applyNumberFormat="1" applyFont="1" applyAlignment="1">
      <alignment horizontal="center"/>
    </xf>
    <xf numFmtId="166" fontId="10" fillId="0" borderId="0" xfId="1" applyNumberFormat="1" applyFont="1" applyBorder="1"/>
    <xf numFmtId="165" fontId="1" fillId="0" borderId="5" xfId="6" applyNumberFormat="1" applyFont="1" applyBorder="1"/>
    <xf numFmtId="165" fontId="1" fillId="0" borderId="31" xfId="6" applyNumberFormat="1" applyFont="1" applyBorder="1"/>
    <xf numFmtId="0" fontId="0" fillId="0" borderId="45" xfId="0" applyBorder="1" applyAlignment="1">
      <alignment horizontal="centerContinuous"/>
    </xf>
    <xf numFmtId="0" fontId="0" fillId="0" borderId="0" xfId="0" applyBorder="1" applyAlignment="1"/>
    <xf numFmtId="0" fontId="1" fillId="0" borderId="54" xfId="0" applyFont="1" applyBorder="1" applyAlignment="1">
      <alignment horizontal="center"/>
    </xf>
    <xf numFmtId="0" fontId="0" fillId="0" borderId="54" xfId="0" applyBorder="1"/>
    <xf numFmtId="0" fontId="1" fillId="0" borderId="0" xfId="3" applyFont="1" applyAlignment="1">
      <alignment horizontal="centerContinuous"/>
    </xf>
    <xf numFmtId="0" fontId="3" fillId="0" borderId="0" xfId="3"/>
    <xf numFmtId="0" fontId="4" fillId="0" borderId="0" xfId="3" applyFont="1"/>
    <xf numFmtId="0" fontId="9" fillId="0" borderId="0" xfId="3" applyFont="1"/>
    <xf numFmtId="0" fontId="1" fillId="0" borderId="0" xfId="3" applyFont="1"/>
    <xf numFmtId="0" fontId="4" fillId="0" borderId="2" xfId="3" applyFont="1" applyFill="1" applyBorder="1"/>
    <xf numFmtId="0" fontId="4" fillId="0" borderId="0" xfId="3" applyFont="1" applyAlignment="1">
      <alignment horizontal="center"/>
    </xf>
    <xf numFmtId="0" fontId="7" fillId="0" borderId="0" xfId="3" applyFont="1"/>
    <xf numFmtId="0" fontId="11" fillId="0" borderId="0" xfId="3" applyFont="1"/>
    <xf numFmtId="0" fontId="1" fillId="0" borderId="0" xfId="3" applyFont="1" applyAlignment="1">
      <alignment horizontal="left"/>
    </xf>
    <xf numFmtId="0" fontId="10" fillId="0" borderId="0" xfId="3" applyFont="1"/>
    <xf numFmtId="166" fontId="3" fillId="0" borderId="0" xfId="1" quotePrefix="1" applyNumberFormat="1" applyFont="1" applyAlignment="1">
      <alignment horizontal="center"/>
    </xf>
    <xf numFmtId="166" fontId="0" fillId="0" borderId="0" xfId="1" quotePrefix="1" applyNumberFormat="1" applyFont="1" applyAlignment="1">
      <alignment horizontal="center"/>
    </xf>
    <xf numFmtId="43" fontId="0" fillId="0" borderId="0" xfId="1" quotePrefix="1" applyNumberFormat="1" applyFont="1" applyAlignment="1">
      <alignment horizontal="center"/>
    </xf>
    <xf numFmtId="43" fontId="10" fillId="0" borderId="4" xfId="1" applyFont="1" applyBorder="1"/>
    <xf numFmtId="0" fontId="3" fillId="0" borderId="0" xfId="3" applyAlignment="1">
      <alignment horizontal="centerContinuous"/>
    </xf>
    <xf numFmtId="164" fontId="3" fillId="0" borderId="0" xfId="3" applyNumberFormat="1"/>
    <xf numFmtId="0" fontId="3" fillId="0" borderId="0" xfId="3" applyFont="1" applyAlignment="1">
      <alignment horizontal="center"/>
    </xf>
    <xf numFmtId="166" fontId="1" fillId="0" borderId="0" xfId="1" applyNumberFormat="1" applyFont="1" applyAlignment="1">
      <alignment horizontal="centerContinuous"/>
    </xf>
    <xf numFmtId="166" fontId="3" fillId="0" borderId="0" xfId="1" applyNumberFormat="1" applyFont="1" applyAlignment="1">
      <alignment horizontal="center"/>
    </xf>
    <xf numFmtId="10" fontId="3" fillId="0" borderId="0" xfId="6" applyNumberFormat="1" applyFont="1" applyAlignment="1">
      <alignment horizontal="right"/>
    </xf>
    <xf numFmtId="0" fontId="1" fillId="0" borderId="58" xfId="0" applyFont="1" applyBorder="1"/>
    <xf numFmtId="0" fontId="27" fillId="0" borderId="0" xfId="2" applyFont="1"/>
    <xf numFmtId="0" fontId="26" fillId="0" borderId="0" xfId="2"/>
    <xf numFmtId="0" fontId="28" fillId="0" borderId="0" xfId="2" applyFont="1" applyAlignment="1">
      <alignment horizontal="centerContinuous"/>
    </xf>
    <xf numFmtId="0" fontId="27" fillId="0" borderId="0" xfId="2" applyFont="1" applyAlignment="1">
      <alignment horizontal="centerContinuous"/>
    </xf>
    <xf numFmtId="0" fontId="26" fillId="0" borderId="0" xfId="2" applyAlignment="1">
      <alignment horizontal="centerContinuous"/>
    </xf>
    <xf numFmtId="0" fontId="29" fillId="0" borderId="0" xfId="2" applyFont="1" applyAlignment="1">
      <alignment horizontal="centerContinuous"/>
    </xf>
    <xf numFmtId="0" fontId="30" fillId="0" borderId="0" xfId="2" applyFont="1" applyAlignment="1">
      <alignment horizontal="centerContinuous"/>
    </xf>
    <xf numFmtId="0" fontId="31" fillId="0" borderId="0" xfId="2" applyFont="1" applyAlignment="1">
      <alignment horizontal="centerContinuous"/>
    </xf>
    <xf numFmtId="0" fontId="32" fillId="0" borderId="0" xfId="2" applyFont="1" applyAlignment="1">
      <alignment horizontal="centerContinuous"/>
    </xf>
    <xf numFmtId="0" fontId="31" fillId="0" borderId="40" xfId="2" applyFont="1" applyBorder="1" applyAlignment="1">
      <alignment horizontal="centerContinuous"/>
    </xf>
    <xf numFmtId="0" fontId="27" fillId="0" borderId="41" xfId="2" applyFont="1" applyBorder="1" applyAlignment="1">
      <alignment horizontal="centerContinuous"/>
    </xf>
    <xf numFmtId="0" fontId="27" fillId="0" borderId="64" xfId="2" applyFont="1" applyBorder="1" applyAlignment="1">
      <alignment horizontal="centerContinuous"/>
    </xf>
    <xf numFmtId="0" fontId="33" fillId="0" borderId="11" xfId="2" applyFont="1" applyBorder="1"/>
    <xf numFmtId="0" fontId="34" fillId="0" borderId="0" xfId="2" applyFont="1" applyBorder="1"/>
    <xf numFmtId="0" fontId="34" fillId="0" borderId="42" xfId="2" applyFont="1" applyBorder="1"/>
    <xf numFmtId="0" fontId="35" fillId="0" borderId="11" xfId="2" applyFont="1" applyBorder="1"/>
    <xf numFmtId="0" fontId="35" fillId="0" borderId="38" xfId="2" applyFont="1" applyBorder="1"/>
    <xf numFmtId="0" fontId="35" fillId="0" borderId="1" xfId="2" applyFont="1" applyBorder="1"/>
    <xf numFmtId="0" fontId="34" fillId="0" borderId="1" xfId="2" applyFont="1" applyBorder="1"/>
    <xf numFmtId="0" fontId="34" fillId="0" borderId="65" xfId="2" applyFont="1" applyBorder="1"/>
    <xf numFmtId="0" fontId="35" fillId="0" borderId="0" xfId="2" applyFont="1" applyBorder="1"/>
    <xf numFmtId="0" fontId="31" fillId="0" borderId="0" xfId="2" applyFont="1" applyAlignment="1">
      <alignment horizontal="left"/>
    </xf>
    <xf numFmtId="0" fontId="27" fillId="0" borderId="42" xfId="2" applyFont="1" applyBorder="1"/>
    <xf numFmtId="0" fontId="31" fillId="0" borderId="12" xfId="2" applyFont="1" applyBorder="1" applyAlignment="1">
      <alignment horizontal="centerContinuous"/>
    </xf>
    <xf numFmtId="0" fontId="27" fillId="0" borderId="58" xfId="2" applyFont="1" applyBorder="1" applyAlignment="1">
      <alignment horizontal="centerContinuous"/>
    </xf>
    <xf numFmtId="0" fontId="31" fillId="0" borderId="12" xfId="2" quotePrefix="1" applyFont="1" applyBorder="1" applyAlignment="1">
      <alignment horizontal="centerContinuous"/>
    </xf>
    <xf numFmtId="0" fontId="27" fillId="0" borderId="12" xfId="2" applyFont="1" applyBorder="1" applyAlignment="1">
      <alignment horizontal="centerContinuous"/>
    </xf>
    <xf numFmtId="0" fontId="37" fillId="0" borderId="12" xfId="2" applyFont="1" applyBorder="1" applyAlignment="1">
      <alignment horizontal="centerContinuous"/>
    </xf>
    <xf numFmtId="0" fontId="26" fillId="0" borderId="12" xfId="2" applyBorder="1" applyAlignment="1">
      <alignment horizontal="centerContinuous"/>
    </xf>
    <xf numFmtId="0" fontId="35" fillId="0" borderId="42" xfId="2" applyFont="1" applyBorder="1"/>
    <xf numFmtId="0" fontId="32" fillId="0" borderId="66" xfId="2" applyFont="1" applyBorder="1" applyAlignment="1">
      <alignment horizontal="center"/>
    </xf>
    <xf numFmtId="0" fontId="32" fillId="0" borderId="42" xfId="2" applyFont="1" applyBorder="1" applyAlignment="1">
      <alignment horizontal="center"/>
    </xf>
    <xf numFmtId="0" fontId="32" fillId="0" borderId="0" xfId="2" applyFont="1" applyAlignment="1">
      <alignment horizontal="center"/>
    </xf>
    <xf numFmtId="0" fontId="36" fillId="0" borderId="66" xfId="2" applyFont="1" applyBorder="1" applyAlignment="1">
      <alignment horizontal="center"/>
    </xf>
    <xf numFmtId="0" fontId="35" fillId="0" borderId="0" xfId="2" applyFont="1"/>
    <xf numFmtId="0" fontId="38" fillId="0" borderId="42" xfId="2" applyFont="1" applyBorder="1"/>
    <xf numFmtId="0" fontId="36" fillId="0" borderId="42" xfId="2" applyFont="1" applyBorder="1" applyAlignment="1">
      <alignment horizontal="center"/>
    </xf>
    <xf numFmtId="0" fontId="36" fillId="0" borderId="0" xfId="2" applyFont="1" applyBorder="1" applyAlignment="1">
      <alignment horizontal="center"/>
    </xf>
    <xf numFmtId="0" fontId="39" fillId="0" borderId="0" xfId="2" applyFont="1" applyAlignment="1">
      <alignment horizontal="center"/>
    </xf>
    <xf numFmtId="0" fontId="40" fillId="0" borderId="66" xfId="2" quotePrefix="1" applyFont="1" applyBorder="1" applyAlignment="1">
      <alignment horizontal="center"/>
    </xf>
    <xf numFmtId="0" fontId="41" fillId="0" borderId="0" xfId="2" applyFont="1" applyAlignment="1">
      <alignment horizontal="center"/>
    </xf>
    <xf numFmtId="0" fontId="34" fillId="0" borderId="67" xfId="2" applyFont="1" applyBorder="1" applyAlignment="1">
      <alignment horizontal="center"/>
    </xf>
    <xf numFmtId="0" fontId="42" fillId="0" borderId="65" xfId="2" applyFont="1" applyBorder="1" applyAlignment="1">
      <alignment horizontal="center"/>
    </xf>
    <xf numFmtId="0" fontId="42" fillId="0" borderId="1" xfId="2" applyFont="1" applyBorder="1" applyAlignment="1">
      <alignment horizontal="center"/>
    </xf>
    <xf numFmtId="0" fontId="42" fillId="0" borderId="0" xfId="2" applyFont="1" applyAlignment="1">
      <alignment horizontal="center"/>
    </xf>
    <xf numFmtId="0" fontId="42" fillId="0" borderId="67" xfId="2" applyFont="1" applyBorder="1" applyAlignment="1">
      <alignment horizontal="center"/>
    </xf>
    <xf numFmtId="0" fontId="34" fillId="0" borderId="67" xfId="2" applyFont="1" applyBorder="1"/>
    <xf numFmtId="0" fontId="26" fillId="0" borderId="67" xfId="2" applyBorder="1"/>
    <xf numFmtId="0" fontId="26" fillId="0" borderId="1" xfId="2" applyBorder="1"/>
    <xf numFmtId="0" fontId="31" fillId="0" borderId="42" xfId="2" applyFont="1" applyBorder="1"/>
    <xf numFmtId="3" fontId="43" fillId="0" borderId="68" xfId="2" applyNumberFormat="1" applyFont="1" applyBorder="1"/>
    <xf numFmtId="3" fontId="43" fillId="0" borderId="69" xfId="2" applyNumberFormat="1" applyFont="1" applyBorder="1"/>
    <xf numFmtId="3" fontId="43" fillId="0" borderId="70" xfId="2" applyNumberFormat="1" applyFont="1" applyBorder="1"/>
    <xf numFmtId="0" fontId="43" fillId="0" borderId="0" xfId="2" applyFont="1"/>
    <xf numFmtId="165" fontId="43" fillId="0" borderId="68" xfId="2" applyNumberFormat="1" applyFont="1" applyBorder="1"/>
    <xf numFmtId="165" fontId="35" fillId="0" borderId="70" xfId="2" applyNumberFormat="1" applyFont="1" applyBorder="1"/>
    <xf numFmtId="0" fontId="26" fillId="0" borderId="0" xfId="2" applyFont="1"/>
    <xf numFmtId="3" fontId="43" fillId="0" borderId="0" xfId="2" applyNumberFormat="1" applyFont="1" applyBorder="1"/>
    <xf numFmtId="3" fontId="26" fillId="0" borderId="0" xfId="2" applyNumberFormat="1" applyFont="1"/>
    <xf numFmtId="0" fontId="26" fillId="0" borderId="42" xfId="2" applyBorder="1"/>
    <xf numFmtId="0" fontId="44" fillId="0" borderId="66" xfId="2" applyFont="1" applyBorder="1" applyAlignment="1">
      <alignment horizontal="center"/>
    </xf>
    <xf numFmtId="0" fontId="32" fillId="0" borderId="0" xfId="2" applyFont="1" applyBorder="1" applyAlignment="1">
      <alignment horizontal="center"/>
    </xf>
    <xf numFmtId="0" fontId="35" fillId="0" borderId="66" xfId="2" applyFont="1" applyBorder="1" applyAlignment="1">
      <alignment horizontal="center"/>
    </xf>
    <xf numFmtId="0" fontId="35" fillId="0" borderId="67" xfId="2" applyFont="1" applyBorder="1" applyAlignment="1">
      <alignment horizontal="center"/>
    </xf>
    <xf numFmtId="0" fontId="35" fillId="0" borderId="1" xfId="2" applyFont="1" applyBorder="1" applyAlignment="1">
      <alignment horizontal="center"/>
    </xf>
    <xf numFmtId="3" fontId="35" fillId="0" borderId="68" xfId="2" applyNumberFormat="1" applyFont="1" applyBorder="1"/>
    <xf numFmtId="3" fontId="26" fillId="0" borderId="0" xfId="2" applyNumberFormat="1"/>
    <xf numFmtId="0" fontId="27" fillId="0" borderId="0" xfId="4" applyFont="1"/>
    <xf numFmtId="0" fontId="26" fillId="0" borderId="0" xfId="4"/>
    <xf numFmtId="0" fontId="28" fillId="0" borderId="0" xfId="4" applyFont="1" applyAlignment="1">
      <alignment horizontal="centerContinuous"/>
    </xf>
    <xf numFmtId="0" fontId="26" fillId="0" borderId="0" xfId="4" applyAlignment="1">
      <alignment horizontal="centerContinuous"/>
    </xf>
    <xf numFmtId="0" fontId="27" fillId="0" borderId="0" xfId="4" applyFont="1" applyAlignment="1">
      <alignment horizontal="centerContinuous"/>
    </xf>
    <xf numFmtId="0" fontId="29" fillId="0" borderId="0" xfId="4" applyFont="1" applyAlignment="1">
      <alignment horizontal="left"/>
    </xf>
    <xf numFmtId="0" fontId="30" fillId="0" borderId="0" xfId="4" applyFont="1" applyAlignment="1">
      <alignment horizontal="centerContinuous"/>
    </xf>
    <xf numFmtId="0" fontId="31" fillId="0" borderId="0" xfId="4" applyFont="1" applyAlignment="1">
      <alignment horizontal="centerContinuous"/>
    </xf>
    <xf numFmtId="0" fontId="32" fillId="0" borderId="0" xfId="4" applyFont="1" applyAlignment="1">
      <alignment horizontal="centerContinuous"/>
    </xf>
    <xf numFmtId="0" fontId="31" fillId="0" borderId="40" xfId="4" applyFont="1" applyBorder="1" applyAlignment="1">
      <alignment horizontal="centerContinuous"/>
    </xf>
    <xf numFmtId="0" fontId="26" fillId="0" borderId="41" xfId="4" applyBorder="1"/>
    <xf numFmtId="0" fontId="27" fillId="0" borderId="41" xfId="4" applyFont="1" applyBorder="1" applyAlignment="1">
      <alignment horizontal="centerContinuous"/>
    </xf>
    <xf numFmtId="0" fontId="27" fillId="0" borderId="0" xfId="4" applyFont="1" applyBorder="1" applyAlignment="1">
      <alignment horizontal="centerContinuous"/>
    </xf>
    <xf numFmtId="0" fontId="33" fillId="0" borderId="11" xfId="4" applyFont="1" applyBorder="1"/>
    <xf numFmtId="0" fontId="34" fillId="0" borderId="0" xfId="4" applyFont="1" applyBorder="1"/>
    <xf numFmtId="0" fontId="34" fillId="0" borderId="42" xfId="4" applyFont="1" applyBorder="1"/>
    <xf numFmtId="0" fontId="35" fillId="0" borderId="11" xfId="4" applyFont="1" applyBorder="1"/>
    <xf numFmtId="0" fontId="35" fillId="0" borderId="38" xfId="4" applyFont="1" applyBorder="1"/>
    <xf numFmtId="0" fontId="34" fillId="0" borderId="1" xfId="4" applyFont="1" applyBorder="1"/>
    <xf numFmtId="0" fontId="35" fillId="0" borderId="0" xfId="4" applyFont="1" applyBorder="1"/>
    <xf numFmtId="0" fontId="31" fillId="0" borderId="0" xfId="4" applyFont="1" applyAlignment="1">
      <alignment horizontal="left"/>
    </xf>
    <xf numFmtId="0" fontId="27" fillId="0" borderId="42" xfId="4" applyFont="1" applyBorder="1"/>
    <xf numFmtId="0" fontId="31" fillId="0" borderId="12" xfId="4" applyFont="1" applyBorder="1" applyAlignment="1">
      <alignment horizontal="centerContinuous"/>
    </xf>
    <xf numFmtId="0" fontId="27" fillId="0" borderId="58" xfId="4" applyFont="1" applyBorder="1" applyAlignment="1">
      <alignment horizontal="centerContinuous"/>
    </xf>
    <xf numFmtId="0" fontId="31" fillId="0" borderId="12" xfId="4" quotePrefix="1" applyFont="1" applyBorder="1" applyAlignment="1">
      <alignment horizontal="centerContinuous"/>
    </xf>
    <xf numFmtId="0" fontId="27" fillId="0" borderId="12" xfId="4" applyFont="1" applyBorder="1" applyAlignment="1">
      <alignment horizontal="centerContinuous"/>
    </xf>
    <xf numFmtId="0" fontId="37" fillId="0" borderId="12" xfId="4" applyFont="1" applyBorder="1" applyAlignment="1">
      <alignment horizontal="centerContinuous"/>
    </xf>
    <xf numFmtId="0" fontId="26" fillId="0" borderId="12" xfId="4" applyBorder="1" applyAlignment="1">
      <alignment horizontal="centerContinuous"/>
    </xf>
    <xf numFmtId="0" fontId="35" fillId="0" borderId="42" xfId="4" applyFont="1" applyBorder="1"/>
    <xf numFmtId="0" fontId="32" fillId="0" borderId="66" xfId="4" applyFont="1" applyBorder="1" applyAlignment="1">
      <alignment horizontal="center"/>
    </xf>
    <xf numFmtId="0" fontId="32" fillId="0" borderId="42" xfId="4" applyFont="1" applyBorder="1" applyAlignment="1">
      <alignment horizontal="center"/>
    </xf>
    <xf numFmtId="0" fontId="32" fillId="0" borderId="0" xfId="4" applyFont="1" applyAlignment="1">
      <alignment horizontal="center"/>
    </xf>
    <xf numFmtId="0" fontId="36" fillId="0" borderId="66" xfId="4" applyFont="1" applyBorder="1" applyAlignment="1">
      <alignment horizontal="center"/>
    </xf>
    <xf numFmtId="0" fontId="35" fillId="0" borderId="0" xfId="4" applyFont="1"/>
    <xf numFmtId="0" fontId="38" fillId="0" borderId="42" xfId="4" applyFont="1" applyBorder="1"/>
    <xf numFmtId="0" fontId="36" fillId="0" borderId="42" xfId="4" applyFont="1" applyBorder="1" applyAlignment="1">
      <alignment horizontal="center"/>
    </xf>
    <xf numFmtId="0" fontId="36" fillId="0" borderId="0" xfId="4" applyFont="1" applyBorder="1" applyAlignment="1">
      <alignment horizontal="center"/>
    </xf>
    <xf numFmtId="0" fontId="39" fillId="0" borderId="0" xfId="4" applyFont="1" applyAlignment="1">
      <alignment horizontal="center"/>
    </xf>
    <xf numFmtId="0" fontId="36" fillId="0" borderId="66" xfId="4" quotePrefix="1" applyFont="1" applyBorder="1" applyAlignment="1">
      <alignment horizontal="center"/>
    </xf>
    <xf numFmtId="0" fontId="41" fillId="0" borderId="0" xfId="4" applyFont="1" applyAlignment="1">
      <alignment horizontal="center"/>
    </xf>
    <xf numFmtId="0" fontId="34" fillId="0" borderId="67" xfId="4" applyFont="1" applyBorder="1" applyAlignment="1">
      <alignment horizontal="center"/>
    </xf>
    <xf numFmtId="0" fontId="42" fillId="0" borderId="65" xfId="4" applyFont="1" applyBorder="1" applyAlignment="1">
      <alignment horizontal="center"/>
    </xf>
    <xf numFmtId="0" fontId="42" fillId="0" borderId="1" xfId="4" applyFont="1" applyBorder="1" applyAlignment="1">
      <alignment horizontal="center"/>
    </xf>
    <xf numFmtId="0" fontId="42" fillId="0" borderId="0" xfId="4" applyFont="1" applyAlignment="1">
      <alignment horizontal="center"/>
    </xf>
    <xf numFmtId="0" fontId="42" fillId="0" borderId="67" xfId="4" applyFont="1" applyBorder="1" applyAlignment="1">
      <alignment horizontal="center"/>
    </xf>
    <xf numFmtId="0" fontId="34" fillId="0" borderId="67" xfId="4" applyFont="1" applyBorder="1"/>
    <xf numFmtId="0" fontId="26" fillId="0" borderId="67" xfId="4" applyBorder="1"/>
    <xf numFmtId="0" fontId="26" fillId="0" borderId="1" xfId="4" applyBorder="1"/>
    <xf numFmtId="0" fontId="31" fillId="0" borderId="42" xfId="4" applyFont="1" applyBorder="1"/>
    <xf numFmtId="3" fontId="43" fillId="0" borderId="68" xfId="4" applyNumberFormat="1" applyFont="1" applyBorder="1"/>
    <xf numFmtId="3" fontId="43" fillId="0" borderId="69" xfId="4" applyNumberFormat="1" applyFont="1" applyBorder="1"/>
    <xf numFmtId="0" fontId="43" fillId="0" borderId="0" xfId="4" applyFont="1"/>
    <xf numFmtId="165" fontId="43" fillId="0" borderId="68" xfId="4" applyNumberFormat="1" applyFont="1" applyBorder="1"/>
    <xf numFmtId="165" fontId="35" fillId="0" borderId="70" xfId="4" applyNumberFormat="1" applyFont="1" applyBorder="1"/>
    <xf numFmtId="165" fontId="26" fillId="0" borderId="0" xfId="4" applyNumberFormat="1" applyFont="1"/>
    <xf numFmtId="0" fontId="26" fillId="0" borderId="0" xfId="4" applyFont="1"/>
    <xf numFmtId="3" fontId="43" fillId="0" borderId="0" xfId="4" applyNumberFormat="1" applyFont="1" applyBorder="1"/>
    <xf numFmtId="3" fontId="26" fillId="0" borderId="0" xfId="4" applyNumberFormat="1" applyFont="1"/>
    <xf numFmtId="0" fontId="26" fillId="0" borderId="42" xfId="4" applyBorder="1"/>
    <xf numFmtId="0" fontId="27" fillId="0" borderId="54" xfId="4" applyFont="1" applyBorder="1" applyAlignment="1">
      <alignment horizontal="centerContinuous"/>
    </xf>
    <xf numFmtId="0" fontId="32" fillId="0" borderId="29" xfId="4" applyFont="1" applyBorder="1" applyAlignment="1">
      <alignment horizontal="center"/>
    </xf>
    <xf numFmtId="0" fontId="32" fillId="0" borderId="0" xfId="4" applyFont="1" applyBorder="1" applyAlignment="1">
      <alignment horizontal="center"/>
    </xf>
    <xf numFmtId="0" fontId="36" fillId="0" borderId="29" xfId="4" applyFont="1" applyBorder="1" applyAlignment="1">
      <alignment horizontal="center"/>
    </xf>
    <xf numFmtId="0" fontId="42" fillId="0" borderId="59" xfId="4" applyFont="1" applyBorder="1" applyAlignment="1">
      <alignment horizontal="center"/>
    </xf>
    <xf numFmtId="0" fontId="31" fillId="0" borderId="42" xfId="4" applyFont="1" applyBorder="1" applyAlignment="1">
      <alignment horizontal="right"/>
    </xf>
    <xf numFmtId="0" fontId="31" fillId="0" borderId="0" xfId="4" applyFont="1" applyBorder="1"/>
    <xf numFmtId="3" fontId="35" fillId="0" borderId="0" xfId="4" applyNumberFormat="1" applyFont="1" applyBorder="1"/>
    <xf numFmtId="165" fontId="35" fillId="0" borderId="0" xfId="4" applyNumberFormat="1" applyFont="1" applyBorder="1"/>
    <xf numFmtId="0" fontId="26" fillId="0" borderId="0" xfId="4" applyBorder="1"/>
    <xf numFmtId="3" fontId="26" fillId="0" borderId="0" xfId="4" applyNumberFormat="1"/>
    <xf numFmtId="0" fontId="27" fillId="0" borderId="0" xfId="5" applyFont="1"/>
    <xf numFmtId="0" fontId="26" fillId="0" borderId="0" xfId="5"/>
    <xf numFmtId="0" fontId="28" fillId="0" borderId="0" xfId="5" applyFont="1" applyAlignment="1">
      <alignment horizontal="centerContinuous"/>
    </xf>
    <xf numFmtId="0" fontId="31" fillId="0" borderId="0" xfId="5" applyFont="1" applyAlignment="1">
      <alignment horizontal="centerContinuous"/>
    </xf>
    <xf numFmtId="0" fontId="27" fillId="0" borderId="0" xfId="5" applyFont="1" applyAlignment="1">
      <alignment horizontal="centerContinuous"/>
    </xf>
    <xf numFmtId="0" fontId="26" fillId="0" borderId="0" xfId="5" applyAlignment="1">
      <alignment horizontal="centerContinuous"/>
    </xf>
    <xf numFmtId="0" fontId="29" fillId="0" borderId="0" xfId="5" applyFont="1" applyAlignment="1">
      <alignment horizontal="centerContinuous"/>
    </xf>
    <xf numFmtId="0" fontId="30" fillId="0" borderId="0" xfId="5" applyFont="1" applyAlignment="1">
      <alignment horizontal="centerContinuous"/>
    </xf>
    <xf numFmtId="0" fontId="32" fillId="0" borderId="0" xfId="5" applyFont="1" applyAlignment="1">
      <alignment horizontal="centerContinuous"/>
    </xf>
    <xf numFmtId="0" fontId="31" fillId="0" borderId="40" xfId="5" applyFont="1" applyBorder="1" applyAlignment="1">
      <alignment horizontal="centerContinuous"/>
    </xf>
    <xf numFmtId="0" fontId="26" fillId="0" borderId="41" xfId="5" applyBorder="1"/>
    <xf numFmtId="0" fontId="27" fillId="0" borderId="41" xfId="5" applyFont="1" applyBorder="1" applyAlignment="1">
      <alignment horizontal="centerContinuous"/>
    </xf>
    <xf numFmtId="0" fontId="26" fillId="0" borderId="64" xfId="5" applyBorder="1"/>
    <xf numFmtId="0" fontId="33" fillId="0" borderId="11" xfId="5" applyFont="1" applyBorder="1"/>
    <xf numFmtId="0" fontId="34" fillId="0" borderId="0" xfId="5" applyFont="1" applyBorder="1"/>
    <xf numFmtId="0" fontId="27" fillId="0" borderId="0" xfId="5" applyFont="1" applyBorder="1" applyAlignment="1">
      <alignment horizontal="centerContinuous"/>
    </xf>
    <xf numFmtId="0" fontId="26" fillId="0" borderId="42" xfId="5" applyBorder="1"/>
    <xf numFmtId="0" fontId="38" fillId="0" borderId="11" xfId="5" applyFont="1" applyBorder="1"/>
    <xf numFmtId="0" fontId="26" fillId="0" borderId="38" xfId="5" applyBorder="1"/>
    <xf numFmtId="0" fontId="34" fillId="0" borderId="1" xfId="5" applyFont="1" applyBorder="1"/>
    <xf numFmtId="0" fontId="27" fillId="0" borderId="1" xfId="5" applyFont="1" applyBorder="1" applyAlignment="1">
      <alignment horizontal="centerContinuous"/>
    </xf>
    <xf numFmtId="0" fontId="26" fillId="0" borderId="1" xfId="5" applyBorder="1"/>
    <xf numFmtId="0" fontId="26" fillId="0" borderId="65" xfId="5" applyBorder="1"/>
    <xf numFmtId="0" fontId="35" fillId="0" borderId="0" xfId="5" applyFont="1" applyBorder="1"/>
    <xf numFmtId="0" fontId="26" fillId="0" borderId="0" xfId="5" applyBorder="1"/>
    <xf numFmtId="0" fontId="31" fillId="0" borderId="0" xfId="5" applyFont="1" applyAlignment="1">
      <alignment horizontal="left"/>
    </xf>
    <xf numFmtId="0" fontId="27" fillId="0" borderId="0" xfId="5" applyFont="1" applyBorder="1"/>
    <xf numFmtId="0" fontId="32" fillId="0" borderId="59" xfId="5" applyFont="1" applyBorder="1"/>
    <xf numFmtId="0" fontId="32" fillId="0" borderId="1" xfId="5" applyFont="1" applyBorder="1" applyAlignment="1">
      <alignment horizontal="center"/>
    </xf>
    <xf numFmtId="0" fontId="35" fillId="0" borderId="59" xfId="5" applyFont="1" applyBorder="1" applyAlignment="1">
      <alignment horizontal="centerContinuous"/>
    </xf>
    <xf numFmtId="0" fontId="32" fillId="0" borderId="59" xfId="5" applyFont="1" applyBorder="1" applyAlignment="1">
      <alignment horizontal="center"/>
    </xf>
    <xf numFmtId="0" fontId="35" fillId="0" borderId="71" xfId="5" applyFont="1" applyBorder="1" applyAlignment="1">
      <alignment horizontal="center"/>
    </xf>
    <xf numFmtId="0" fontId="35" fillId="0" borderId="70" xfId="5" applyFont="1" applyBorder="1"/>
    <xf numFmtId="0" fontId="32" fillId="0" borderId="71" xfId="5" applyFont="1" applyBorder="1" applyAlignment="1">
      <alignment horizontal="center"/>
    </xf>
    <xf numFmtId="10" fontId="35" fillId="0" borderId="71" xfId="6" quotePrefix="1" applyNumberFormat="1" applyFont="1" applyBorder="1" applyAlignment="1">
      <alignment horizontal="center"/>
    </xf>
    <xf numFmtId="10" fontId="35" fillId="0" borderId="71" xfId="6" quotePrefix="1" applyNumberFormat="1" applyFont="1" applyBorder="1" applyAlignment="1"/>
    <xf numFmtId="10" fontId="35" fillId="0" borderId="71" xfId="6" quotePrefix="1" applyNumberFormat="1" applyFont="1" applyBorder="1" applyAlignment="1">
      <alignment horizontal="right"/>
    </xf>
    <xf numFmtId="10" fontId="44" fillId="0" borderId="70" xfId="6" quotePrefix="1" applyNumberFormat="1" applyFont="1" applyBorder="1" applyAlignment="1">
      <alignment horizontal="right"/>
    </xf>
    <xf numFmtId="0" fontId="35" fillId="0" borderId="0" xfId="5" applyFont="1" applyBorder="1" applyAlignment="1">
      <alignment horizontal="right"/>
    </xf>
    <xf numFmtId="10" fontId="35" fillId="0" borderId="71" xfId="6" applyNumberFormat="1" applyFont="1" applyBorder="1"/>
    <xf numFmtId="10" fontId="35" fillId="0" borderId="71" xfId="6" applyNumberFormat="1" applyFont="1" applyBorder="1" applyAlignment="1"/>
    <xf numFmtId="10" fontId="35" fillId="0" borderId="71" xfId="6" applyNumberFormat="1" applyFont="1" applyBorder="1" applyAlignment="1">
      <alignment horizontal="right"/>
    </xf>
    <xf numFmtId="3" fontId="35" fillId="0" borderId="71" xfId="5" applyNumberFormat="1" applyFont="1" applyBorder="1"/>
    <xf numFmtId="0" fontId="26" fillId="0" borderId="0" xfId="5" applyFont="1" applyBorder="1"/>
    <xf numFmtId="10" fontId="35" fillId="0" borderId="71" xfId="1" applyNumberFormat="1" applyFont="1" applyBorder="1" applyAlignment="1">
      <alignment horizontal="right"/>
    </xf>
    <xf numFmtId="43" fontId="35" fillId="0" borderId="71" xfId="1" applyFont="1" applyBorder="1"/>
    <xf numFmtId="10" fontId="35" fillId="0" borderId="0" xfId="5" applyNumberFormat="1" applyFont="1" applyBorder="1" applyAlignment="1">
      <alignment horizontal="right"/>
    </xf>
    <xf numFmtId="10" fontId="35" fillId="0" borderId="0" xfId="5" applyNumberFormat="1" applyFont="1" applyBorder="1"/>
    <xf numFmtId="10" fontId="26" fillId="0" borderId="0" xfId="5" applyNumberFormat="1" applyFont="1" applyBorder="1"/>
    <xf numFmtId="10" fontId="26" fillId="0" borderId="0" xfId="5" applyNumberFormat="1" applyBorder="1"/>
    <xf numFmtId="0" fontId="35" fillId="0" borderId="71" xfId="5" applyFont="1" applyBorder="1"/>
    <xf numFmtId="0" fontId="35" fillId="0" borderId="71" xfId="5" applyFont="1" applyBorder="1" applyAlignment="1">
      <alignment horizontal="centerContinuous"/>
    </xf>
    <xf numFmtId="0" fontId="35" fillId="0" borderId="59" xfId="5" applyFont="1" applyBorder="1" applyAlignment="1">
      <alignment horizontal="center"/>
    </xf>
    <xf numFmtId="0" fontId="35" fillId="0" borderId="1" xfId="5" applyFont="1" applyBorder="1"/>
    <xf numFmtId="3" fontId="35" fillId="0" borderId="59" xfId="5" applyNumberFormat="1" applyFont="1" applyBorder="1"/>
    <xf numFmtId="10" fontId="35" fillId="0" borderId="59" xfId="6" quotePrefix="1" applyNumberFormat="1" applyFont="1" applyBorder="1" applyAlignment="1">
      <alignment horizontal="center"/>
    </xf>
    <xf numFmtId="10" fontId="35" fillId="0" borderId="59" xfId="6" applyNumberFormat="1" applyFont="1" applyBorder="1"/>
    <xf numFmtId="10" fontId="35" fillId="0" borderId="59" xfId="6" applyNumberFormat="1" applyFont="1" applyBorder="1" applyAlignment="1">
      <alignment horizontal="right"/>
    </xf>
    <xf numFmtId="10" fontId="44" fillId="0" borderId="1" xfId="6" quotePrefix="1" applyNumberFormat="1" applyFont="1" applyBorder="1" applyAlignment="1">
      <alignment horizontal="right"/>
    </xf>
    <xf numFmtId="0" fontId="35" fillId="0" borderId="29" xfId="5" applyFont="1" applyBorder="1"/>
    <xf numFmtId="0" fontId="44" fillId="0" borderId="0" xfId="5" applyFont="1" applyAlignment="1">
      <alignment horizontal="right"/>
    </xf>
    <xf numFmtId="10" fontId="35" fillId="0" borderId="29" xfId="6" quotePrefix="1" applyNumberFormat="1" applyFont="1" applyBorder="1" applyAlignment="1">
      <alignment horizontal="center"/>
    </xf>
    <xf numFmtId="10" fontId="32" fillId="0" borderId="29" xfId="5" applyNumberFormat="1" applyFont="1" applyBorder="1"/>
    <xf numFmtId="10" fontId="32" fillId="0" borderId="29" xfId="5" applyNumberFormat="1" applyFont="1" applyBorder="1" applyAlignment="1">
      <alignment horizontal="right"/>
    </xf>
    <xf numFmtId="0" fontId="35" fillId="0" borderId="0" xfId="5" applyFont="1"/>
    <xf numFmtId="3" fontId="35" fillId="0" borderId="0" xfId="5" applyNumberFormat="1" applyFont="1" applyBorder="1"/>
    <xf numFmtId="0" fontId="35" fillId="0" borderId="0" xfId="5" applyFont="1" applyAlignment="1">
      <alignment horizontal="right"/>
    </xf>
    <xf numFmtId="0" fontId="44" fillId="0" borderId="1" xfId="5" applyFont="1" applyBorder="1"/>
    <xf numFmtId="3" fontId="35" fillId="0" borderId="1" xfId="5" applyNumberFormat="1" applyFont="1" applyBorder="1"/>
    <xf numFmtId="0" fontId="35" fillId="0" borderId="1" xfId="5" applyFont="1" applyBorder="1" applyAlignment="1">
      <alignment horizontal="right"/>
    </xf>
    <xf numFmtId="3" fontId="35" fillId="0" borderId="29" xfId="5" applyNumberFormat="1" applyFont="1" applyBorder="1"/>
    <xf numFmtId="10" fontId="35" fillId="0" borderId="29" xfId="6" applyNumberFormat="1" applyFont="1" applyBorder="1" applyAlignment="1">
      <alignment horizontal="right"/>
    </xf>
    <xf numFmtId="10" fontId="44" fillId="0" borderId="0" xfId="6" quotePrefix="1" applyNumberFormat="1" applyFont="1" applyAlignment="1">
      <alignment horizontal="right"/>
    </xf>
    <xf numFmtId="10" fontId="35" fillId="0" borderId="29" xfId="6" quotePrefix="1" applyNumberFormat="1" applyFont="1" applyBorder="1" applyAlignment="1">
      <alignment horizontal="right"/>
    </xf>
    <xf numFmtId="0" fontId="35" fillId="0" borderId="59" xfId="5" applyFont="1" applyBorder="1"/>
    <xf numFmtId="10" fontId="44" fillId="0" borderId="29" xfId="5" applyNumberFormat="1" applyFont="1" applyBorder="1" applyAlignment="1">
      <alignment horizontal="right"/>
    </xf>
    <xf numFmtId="10" fontId="44" fillId="0" borderId="0" xfId="5" applyNumberFormat="1" applyFont="1" applyAlignment="1">
      <alignment horizontal="right"/>
    </xf>
    <xf numFmtId="10" fontId="35" fillId="0" borderId="0" xfId="6" quotePrefix="1" applyNumberFormat="1" applyFont="1" applyBorder="1" applyAlignment="1">
      <alignment horizontal="center"/>
    </xf>
    <xf numFmtId="10" fontId="44" fillId="0" borderId="0" xfId="5" applyNumberFormat="1" applyFont="1" applyBorder="1" applyAlignment="1">
      <alignment horizontal="right"/>
    </xf>
    <xf numFmtId="10" fontId="35" fillId="0" borderId="0" xfId="5" applyNumberFormat="1" applyFont="1"/>
    <xf numFmtId="10" fontId="35" fillId="0" borderId="29" xfId="6" applyNumberFormat="1" applyFont="1" applyBorder="1" applyAlignment="1"/>
    <xf numFmtId="10" fontId="35" fillId="0" borderId="29" xfId="6" quotePrefix="1" applyNumberFormat="1" applyFont="1" applyBorder="1" applyAlignment="1"/>
    <xf numFmtId="10" fontId="35" fillId="0" borderId="59" xfId="6" applyNumberFormat="1" applyFont="1" applyBorder="1" applyAlignment="1"/>
    <xf numFmtId="0" fontId="46" fillId="0" borderId="0" xfId="0" applyFont="1" applyAlignment="1">
      <alignment horizontal="centerContinuous"/>
    </xf>
    <xf numFmtId="0" fontId="0" fillId="0" borderId="0" xfId="0" applyAlignment="1"/>
    <xf numFmtId="0" fontId="47" fillId="0" borderId="0" xfId="0" applyFont="1" applyAlignment="1">
      <alignment horizontal="center" wrapText="1"/>
    </xf>
    <xf numFmtId="10" fontId="0" fillId="0" borderId="0" xfId="0" applyNumberFormat="1"/>
    <xf numFmtId="0" fontId="0" fillId="0" borderId="56" xfId="0" applyBorder="1" applyAlignment="1">
      <alignment horizontal="centerContinuous"/>
    </xf>
    <xf numFmtId="10" fontId="1" fillId="0" borderId="54" xfId="1" applyNumberFormat="1" applyFont="1" applyBorder="1" applyAlignment="1">
      <alignment horizontal="center"/>
    </xf>
    <xf numFmtId="0" fontId="0" fillId="0" borderId="56" xfId="0" applyBorder="1"/>
    <xf numFmtId="0" fontId="0" fillId="0" borderId="58" xfId="0" applyBorder="1"/>
    <xf numFmtId="0" fontId="0" fillId="0" borderId="0" xfId="0" quotePrefix="1" applyAlignment="1">
      <alignment horizontal="center"/>
    </xf>
    <xf numFmtId="0" fontId="47" fillId="0" borderId="29" xfId="0" applyFont="1" applyBorder="1" applyAlignment="1">
      <alignment horizontal="center" wrapText="1"/>
    </xf>
    <xf numFmtId="0" fontId="1" fillId="0" borderId="29" xfId="0" quotePrefix="1" applyFont="1" applyBorder="1" applyAlignment="1">
      <alignment horizontal="center"/>
    </xf>
    <xf numFmtId="43" fontId="1" fillId="0" borderId="29" xfId="1" applyFont="1" applyBorder="1"/>
    <xf numFmtId="43" fontId="1" fillId="0" borderId="29" xfId="1" applyNumberFormat="1" applyFont="1" applyBorder="1"/>
    <xf numFmtId="168" fontId="3" fillId="0" borderId="29" xfId="1" quotePrefix="1" applyNumberFormat="1" applyFont="1" applyBorder="1" applyAlignment="1">
      <alignment horizontal="center"/>
    </xf>
    <xf numFmtId="168" fontId="3" fillId="0" borderId="0" xfId="1" quotePrefix="1" applyNumberFormat="1" applyFont="1" applyAlignment="1">
      <alignment horizontal="center"/>
    </xf>
    <xf numFmtId="0" fontId="27" fillId="0" borderId="11" xfId="5" applyFont="1" applyBorder="1"/>
    <xf numFmtId="0" fontId="0" fillId="2" borderId="0" xfId="0" applyFill="1" applyAlignment="1">
      <alignment horizontal="centerContinuous"/>
    </xf>
    <xf numFmtId="0" fontId="51" fillId="2" borderId="0" xfId="0" applyFont="1" applyFill="1" applyAlignment="1">
      <alignment horizontal="centerContinuous"/>
    </xf>
    <xf numFmtId="0" fontId="0" fillId="0" borderId="0" xfId="0" applyProtection="1"/>
    <xf numFmtId="0" fontId="8" fillId="0" borderId="0" xfId="0" applyFont="1"/>
    <xf numFmtId="49" fontId="0" fillId="0" borderId="0" xfId="0" applyNumberFormat="1"/>
    <xf numFmtId="0" fontId="52" fillId="2" borderId="0" xfId="0" applyFont="1" applyFill="1" applyAlignment="1">
      <alignment horizontal="centerContinuous"/>
    </xf>
    <xf numFmtId="0" fontId="53" fillId="2" borderId="0" xfId="0" applyFont="1" applyFill="1" applyAlignment="1">
      <alignment horizontal="centerContinuous"/>
    </xf>
    <xf numFmtId="0" fontId="45" fillId="0" borderId="0" xfId="0" applyFont="1"/>
    <xf numFmtId="0" fontId="55" fillId="0" borderId="0" xfId="0" applyFont="1"/>
    <xf numFmtId="0" fontId="0" fillId="0" borderId="12" xfId="0" applyBorder="1"/>
    <xf numFmtId="0" fontId="56" fillId="2" borderId="11" xfId="0" applyFont="1" applyFill="1" applyBorder="1" applyAlignment="1">
      <alignment horizontal="centerContinuous"/>
    </xf>
    <xf numFmtId="0" fontId="0" fillId="2" borderId="0" xfId="0" applyFill="1" applyBorder="1" applyAlignment="1">
      <alignment horizontal="centerContinuous"/>
    </xf>
    <xf numFmtId="0" fontId="0" fillId="2" borderId="42" xfId="0" applyFill="1" applyBorder="1" applyAlignment="1">
      <alignment horizontal="centerContinuous"/>
    </xf>
    <xf numFmtId="0" fontId="0" fillId="3" borderId="40" xfId="0" applyFill="1" applyBorder="1"/>
    <xf numFmtId="0" fontId="0" fillId="3" borderId="41" xfId="0" applyFill="1" applyBorder="1"/>
    <xf numFmtId="0" fontId="0" fillId="3" borderId="64" xfId="0" applyFill="1" applyBorder="1"/>
    <xf numFmtId="0" fontId="0" fillId="3" borderId="11" xfId="0" applyFill="1" applyBorder="1"/>
    <xf numFmtId="0" fontId="0" fillId="3" borderId="0" xfId="0" applyFill="1" applyBorder="1"/>
    <xf numFmtId="0" fontId="0" fillId="3" borderId="42" xfId="0" applyFill="1" applyBorder="1"/>
    <xf numFmtId="0" fontId="0" fillId="3" borderId="11" xfId="0" applyFill="1" applyBorder="1" applyAlignment="1">
      <alignment horizontal="centerContinuous"/>
    </xf>
    <xf numFmtId="0" fontId="0" fillId="3" borderId="0" xfId="0" applyFill="1" applyBorder="1" applyAlignment="1">
      <alignment horizontal="centerContinuous"/>
    </xf>
    <xf numFmtId="0" fontId="0" fillId="3" borderId="42" xfId="0" applyFill="1" applyBorder="1" applyAlignment="1">
      <alignment horizontal="centerContinuous"/>
    </xf>
    <xf numFmtId="0" fontId="1" fillId="3" borderId="11" xfId="0" applyFont="1" applyFill="1" applyBorder="1" applyAlignment="1">
      <alignment horizontal="centerContinuous"/>
    </xf>
    <xf numFmtId="0" fontId="1" fillId="3" borderId="0" xfId="0" applyFont="1" applyFill="1" applyBorder="1" applyAlignment="1">
      <alignment horizontal="centerContinuous"/>
    </xf>
    <xf numFmtId="0" fontId="1" fillId="3" borderId="42" xfId="0" applyFont="1" applyFill="1" applyBorder="1" applyAlignment="1">
      <alignment horizontal="centerContinuous"/>
    </xf>
    <xf numFmtId="0" fontId="23" fillId="3" borderId="0" xfId="0" applyFont="1" applyFill="1" applyBorder="1" applyAlignment="1"/>
    <xf numFmtId="0" fontId="0" fillId="3" borderId="38" xfId="0" applyFill="1" applyBorder="1"/>
    <xf numFmtId="0" fontId="0" fillId="3" borderId="1" xfId="0" applyFill="1" applyBorder="1"/>
    <xf numFmtId="0" fontId="1" fillId="3" borderId="1" xfId="0" applyFont="1" applyFill="1" applyBorder="1" applyAlignment="1"/>
    <xf numFmtId="0" fontId="0" fillId="3" borderId="65" xfId="0" applyFill="1" applyBorder="1"/>
    <xf numFmtId="0" fontId="0" fillId="0" borderId="0" xfId="0" applyFill="1" applyBorder="1" applyAlignment="1">
      <alignment horizontal="centerContinuous"/>
    </xf>
    <xf numFmtId="0" fontId="0" fillId="3" borderId="0" xfId="0" applyFill="1"/>
    <xf numFmtId="0" fontId="0" fillId="3" borderId="0" xfId="0" applyFill="1" applyAlignment="1">
      <alignment horizontal="centerContinuous"/>
    </xf>
    <xf numFmtId="0" fontId="23" fillId="3" borderId="0" xfId="0" applyFont="1" applyFill="1" applyAlignment="1">
      <alignment horizontal="centerContinuous"/>
    </xf>
    <xf numFmtId="0" fontId="1" fillId="3" borderId="0" xfId="0" applyFont="1" applyFill="1" applyAlignment="1"/>
    <xf numFmtId="0" fontId="0" fillId="3" borderId="0" xfId="0" applyFill="1" applyAlignment="1"/>
    <xf numFmtId="0" fontId="0" fillId="0" borderId="0" xfId="0" applyAlignment="1">
      <alignment horizontal="right"/>
    </xf>
    <xf numFmtId="0" fontId="19" fillId="3" borderId="11" xfId="0" applyFont="1" applyFill="1" applyBorder="1" applyAlignment="1">
      <alignment horizontal="centerContinuous"/>
    </xf>
    <xf numFmtId="0" fontId="1" fillId="0" borderId="11" xfId="0" applyFont="1" applyBorder="1" applyAlignment="1">
      <alignment horizontal="centerContinuous"/>
    </xf>
    <xf numFmtId="0" fontId="0" fillId="0" borderId="29" xfId="0" applyBorder="1" applyAlignment="1">
      <alignment horizontal="center"/>
    </xf>
    <xf numFmtId="43" fontId="35" fillId="0" borderId="71" xfId="1" quotePrefix="1" applyFont="1" applyBorder="1" applyAlignment="1">
      <alignment horizontal="center"/>
    </xf>
    <xf numFmtId="43" fontId="35" fillId="0" borderId="71" xfId="1" applyFont="1" applyBorder="1" applyAlignment="1">
      <alignment horizontal="right"/>
    </xf>
    <xf numFmtId="43" fontId="35" fillId="0" borderId="71" xfId="1" quotePrefix="1" applyFont="1" applyBorder="1" applyAlignment="1">
      <alignment horizontal="right"/>
    </xf>
    <xf numFmtId="43" fontId="35" fillId="0" borderId="29" xfId="1" quotePrefix="1" applyFont="1" applyBorder="1" applyAlignment="1"/>
    <xf numFmtId="168" fontId="0" fillId="0" borderId="0" xfId="1" applyNumberFormat="1" applyFont="1"/>
    <xf numFmtId="43" fontId="43" fillId="0" borderId="68" xfId="1" applyFont="1" applyBorder="1"/>
    <xf numFmtId="0" fontId="0" fillId="0" borderId="72" xfId="0" applyBorder="1" applyAlignment="1">
      <alignment horizontal="centerContinuous"/>
    </xf>
    <xf numFmtId="0" fontId="0" fillId="0" borderId="73" xfId="0" applyBorder="1" applyAlignment="1">
      <alignment horizontal="centerContinuous"/>
    </xf>
    <xf numFmtId="0" fontId="0" fillId="0" borderId="74" xfId="0" applyBorder="1" applyAlignment="1">
      <alignment horizontal="centerContinuous"/>
    </xf>
    <xf numFmtId="0" fontId="0" fillId="0" borderId="74" xfId="0" applyBorder="1" applyAlignment="1"/>
    <xf numFmtId="43" fontId="0" fillId="0" borderId="29" xfId="1" applyFont="1" applyBorder="1" applyAlignment="1"/>
    <xf numFmtId="43" fontId="0" fillId="0" borderId="74" xfId="1" applyFont="1" applyBorder="1" applyAlignment="1">
      <alignment horizontal="centerContinuous"/>
    </xf>
    <xf numFmtId="0" fontId="0" fillId="0" borderId="75" xfId="0" applyBorder="1" applyAlignment="1">
      <alignment horizontal="center"/>
    </xf>
    <xf numFmtId="168" fontId="1" fillId="0" borderId="76" xfId="1" applyNumberFormat="1" applyFont="1" applyBorder="1"/>
    <xf numFmtId="0" fontId="0" fillId="0" borderId="73" xfId="0" applyBorder="1" applyAlignment="1"/>
    <xf numFmtId="0" fontId="0" fillId="0" borderId="77" xfId="0" applyBorder="1"/>
    <xf numFmtId="0" fontId="0" fillId="0" borderId="78" xfId="0" applyBorder="1"/>
    <xf numFmtId="0" fontId="0" fillId="0" borderId="13" xfId="0" applyBorder="1" applyAlignment="1">
      <alignment horizontal="centerContinuous"/>
    </xf>
    <xf numFmtId="168" fontId="0" fillId="0" borderId="54" xfId="1" applyNumberFormat="1" applyFont="1" applyBorder="1" applyAlignment="1">
      <alignment horizontal="centerContinuous"/>
    </xf>
    <xf numFmtId="0" fontId="10" fillId="0" borderId="38" xfId="0" applyFont="1" applyBorder="1" applyAlignment="1">
      <alignment horizontal="center"/>
    </xf>
    <xf numFmtId="0" fontId="0" fillId="0" borderId="79" xfId="0" applyBorder="1"/>
    <xf numFmtId="0" fontId="0" fillId="0" borderId="59" xfId="0" applyBorder="1"/>
    <xf numFmtId="0" fontId="0" fillId="0" borderId="25" xfId="0" applyBorder="1"/>
    <xf numFmtId="0" fontId="1" fillId="0" borderId="65" xfId="0" applyFont="1" applyBorder="1"/>
    <xf numFmtId="0" fontId="1" fillId="0" borderId="45" xfId="0" applyFont="1" applyBorder="1" applyAlignment="1">
      <alignment horizontal="center"/>
    </xf>
    <xf numFmtId="0" fontId="11" fillId="0" borderId="60" xfId="0" applyFont="1" applyBorder="1" applyAlignment="1">
      <alignment horizontal="centerContinuous"/>
    </xf>
    <xf numFmtId="0" fontId="0" fillId="0" borderId="12" xfId="0" applyBorder="1" applyAlignment="1">
      <alignment horizontal="centerContinuous"/>
    </xf>
    <xf numFmtId="168" fontId="0" fillId="0" borderId="12" xfId="1" applyNumberFormat="1" applyFont="1" applyBorder="1" applyAlignment="1">
      <alignment horizontal="center"/>
    </xf>
    <xf numFmtId="168" fontId="1" fillId="0" borderId="80" xfId="1" applyNumberFormat="1" applyFont="1" applyBorder="1"/>
    <xf numFmtId="43" fontId="3" fillId="0" borderId="0" xfId="1" applyBorder="1" applyAlignment="1">
      <alignment horizontal="right"/>
    </xf>
    <xf numFmtId="0" fontId="3" fillId="0" borderId="0" xfId="3" applyFont="1"/>
    <xf numFmtId="43" fontId="9" fillId="0" borderId="0" xfId="1" applyFont="1"/>
    <xf numFmtId="168" fontId="0" fillId="0" borderId="29" xfId="1" applyNumberFormat="1" applyFont="1" applyBorder="1" applyAlignment="1">
      <alignment horizontal="centerContinuous"/>
    </xf>
    <xf numFmtId="168" fontId="0" fillId="0" borderId="74" xfId="1" applyNumberFormat="1" applyFont="1" applyBorder="1" applyAlignment="1"/>
    <xf numFmtId="168" fontId="0" fillId="0" borderId="74" xfId="1" quotePrefix="1" applyNumberFormat="1" applyFont="1" applyBorder="1" applyAlignment="1"/>
    <xf numFmtId="0" fontId="0" fillId="0" borderId="56" xfId="0" applyBorder="1" applyAlignment="1">
      <alignment horizontal="center"/>
    </xf>
    <xf numFmtId="0" fontId="0" fillId="0" borderId="77" xfId="0" applyBorder="1" applyAlignment="1">
      <alignment horizontal="centerContinuous"/>
    </xf>
    <xf numFmtId="0" fontId="0" fillId="0" borderId="77" xfId="0" applyBorder="1" applyAlignment="1"/>
    <xf numFmtId="168" fontId="0" fillId="0" borderId="77" xfId="1" applyNumberFormat="1" applyFont="1" applyBorder="1" applyAlignment="1"/>
    <xf numFmtId="168" fontId="0" fillId="0" borderId="77" xfId="1" quotePrefix="1" applyNumberFormat="1" applyFont="1" applyBorder="1" applyAlignment="1"/>
    <xf numFmtId="43" fontId="35" fillId="0" borderId="29" xfId="1" quotePrefix="1" applyFont="1" applyBorder="1" applyAlignment="1">
      <alignment horizontal="center"/>
    </xf>
    <xf numFmtId="43" fontId="35" fillId="0" borderId="71" xfId="1" quotePrefix="1" applyFont="1" applyBorder="1" applyAlignment="1"/>
    <xf numFmtId="17" fontId="11" fillId="0" borderId="43" xfId="0" quotePrefix="1" applyNumberFormat="1" applyFont="1" applyBorder="1" applyAlignment="1">
      <alignment horizontal="centerContinuous"/>
    </xf>
    <xf numFmtId="168" fontId="0" fillId="0" borderId="12" xfId="1" applyNumberFormat="1" applyFont="1" applyBorder="1" applyAlignment="1"/>
    <xf numFmtId="168" fontId="0" fillId="0" borderId="50" xfId="1" applyNumberFormat="1" applyFont="1" applyBorder="1" applyAlignment="1">
      <alignment horizontal="center"/>
    </xf>
    <xf numFmtId="168" fontId="0" fillId="0" borderId="81" xfId="1" applyNumberFormat="1" applyFont="1" applyBorder="1" applyAlignment="1"/>
    <xf numFmtId="168" fontId="0" fillId="0" borderId="78" xfId="1" applyNumberFormat="1" applyFont="1" applyBorder="1" applyAlignment="1"/>
    <xf numFmtId="168" fontId="0" fillId="0" borderId="49" xfId="1" applyNumberFormat="1" applyFont="1" applyBorder="1" applyAlignment="1">
      <alignment horizontal="center"/>
    </xf>
    <xf numFmtId="168" fontId="0" fillId="0" borderId="54" xfId="1" applyNumberFormat="1" applyFont="1" applyBorder="1" applyAlignment="1">
      <alignment horizontal="center"/>
    </xf>
    <xf numFmtId="43" fontId="43" fillId="0" borderId="69" xfId="1" applyFont="1" applyBorder="1"/>
    <xf numFmtId="168" fontId="43" fillId="0" borderId="68" xfId="1" applyNumberFormat="1" applyFont="1" applyBorder="1"/>
    <xf numFmtId="168" fontId="43" fillId="0" borderId="69" xfId="1" applyNumberFormat="1" applyFont="1" applyBorder="1"/>
    <xf numFmtId="43" fontId="35" fillId="0" borderId="68" xfId="1" applyFont="1" applyBorder="1"/>
    <xf numFmtId="43" fontId="35" fillId="0" borderId="82" xfId="1" applyFont="1" applyBorder="1"/>
    <xf numFmtId="43" fontId="35" fillId="0" borderId="70" xfId="1" applyFont="1" applyBorder="1"/>
    <xf numFmtId="43" fontId="35" fillId="0" borderId="12" xfId="1" applyFont="1" applyBorder="1"/>
    <xf numFmtId="0" fontId="0" fillId="0" borderId="12" xfId="0" applyBorder="1" applyAlignment="1">
      <alignment horizontal="center"/>
    </xf>
    <xf numFmtId="0" fontId="4" fillId="0" borderId="42" xfId="0" applyFont="1" applyBorder="1"/>
    <xf numFmtId="168" fontId="0" fillId="0" borderId="50" xfId="1" applyNumberFormat="1" applyFont="1" applyBorder="1" applyAlignment="1"/>
    <xf numFmtId="0" fontId="10" fillId="0" borderId="12" xfId="0" applyFont="1" applyBorder="1"/>
    <xf numFmtId="166" fontId="10" fillId="0" borderId="0" xfId="1" applyNumberFormat="1" applyFont="1" applyAlignment="1">
      <alignment horizontal="center"/>
    </xf>
    <xf numFmtId="168" fontId="0" fillId="0" borderId="0" xfId="1" applyNumberFormat="1" applyFont="1" applyBorder="1" applyAlignment="1"/>
    <xf numFmtId="0" fontId="0" fillId="0" borderId="43" xfId="0" applyBorder="1" applyAlignment="1">
      <alignment horizontal="center"/>
    </xf>
    <xf numFmtId="168" fontId="0" fillId="0" borderId="29" xfId="1" applyNumberFormat="1" applyFont="1" applyBorder="1" applyAlignment="1">
      <alignment horizontal="center"/>
    </xf>
    <xf numFmtId="168" fontId="0" fillId="0" borderId="0" xfId="1" applyNumberFormat="1" applyFont="1" applyBorder="1" applyAlignment="1">
      <alignment horizontal="center"/>
    </xf>
    <xf numFmtId="168" fontId="0" fillId="0" borderId="13" xfId="1" applyNumberFormat="1" applyFont="1" applyBorder="1" applyAlignment="1"/>
    <xf numFmtId="168" fontId="1" fillId="0" borderId="0" xfId="1" applyNumberFormat="1" applyFont="1"/>
    <xf numFmtId="0" fontId="1" fillId="0" borderId="12" xfId="0" applyFont="1" applyBorder="1" applyAlignment="1">
      <alignment horizontal="center"/>
    </xf>
    <xf numFmtId="164" fontId="10" fillId="0" borderId="83" xfId="1" applyNumberFormat="1" applyFont="1" applyBorder="1"/>
    <xf numFmtId="168" fontId="0" fillId="0" borderId="0" xfId="1" quotePrefix="1" applyNumberFormat="1" applyFont="1" applyAlignment="1">
      <alignment horizontal="center"/>
    </xf>
    <xf numFmtId="164" fontId="3" fillId="0" borderId="0" xfId="6" applyNumberFormat="1" applyFont="1"/>
    <xf numFmtId="43" fontId="35" fillId="0" borderId="29" xfId="1" quotePrefix="1" applyFont="1" applyBorder="1" applyAlignment="1">
      <alignment horizontal="right"/>
    </xf>
    <xf numFmtId="43" fontId="35" fillId="0" borderId="29" xfId="1" applyFont="1" applyBorder="1" applyAlignment="1">
      <alignment horizontal="right"/>
    </xf>
    <xf numFmtId="43" fontId="44" fillId="0" borderId="0" xfId="1" quotePrefix="1" applyFont="1" applyAlignment="1">
      <alignment horizontal="right"/>
    </xf>
    <xf numFmtId="43" fontId="1" fillId="0" borderId="49" xfId="1" applyFont="1" applyBorder="1" applyAlignment="1">
      <alignment horizontal="centerContinuous"/>
    </xf>
    <xf numFmtId="43" fontId="0" fillId="0" borderId="84" xfId="1" applyFont="1" applyBorder="1"/>
    <xf numFmtId="43" fontId="0" fillId="0" borderId="59" xfId="1" applyFont="1" applyBorder="1"/>
    <xf numFmtId="43" fontId="0" fillId="0" borderId="59" xfId="1" applyFont="1" applyBorder="1" applyAlignment="1">
      <alignment horizontal="centerContinuous"/>
    </xf>
    <xf numFmtId="43" fontId="4" fillId="0" borderId="59" xfId="1" applyFont="1" applyBorder="1" applyAlignment="1">
      <alignment horizontal="centerContinuous"/>
    </xf>
    <xf numFmtId="164" fontId="1" fillId="0" borderId="0" xfId="0" applyNumberFormat="1" applyFont="1"/>
    <xf numFmtId="2" fontId="0" fillId="0" borderId="0" xfId="0" applyNumberFormat="1"/>
    <xf numFmtId="43" fontId="44" fillId="0" borderId="70" xfId="1" quotePrefix="1" applyFont="1" applyBorder="1" applyAlignment="1">
      <alignment horizontal="right"/>
    </xf>
    <xf numFmtId="43" fontId="35" fillId="0" borderId="59" xfId="1" quotePrefix="1" applyFont="1" applyBorder="1" applyAlignment="1">
      <alignment horizontal="center"/>
    </xf>
    <xf numFmtId="43" fontId="8" fillId="0" borderId="1" xfId="1" applyFont="1" applyBorder="1" applyAlignment="1">
      <alignment horizontal="centerContinuous"/>
    </xf>
    <xf numFmtId="43" fontId="0" fillId="0" borderId="1" xfId="1" applyFont="1" applyBorder="1" applyAlignment="1"/>
    <xf numFmtId="43" fontId="0" fillId="0" borderId="79" xfId="1" applyFont="1" applyBorder="1"/>
    <xf numFmtId="0" fontId="54" fillId="0" borderId="0" xfId="0" applyFont="1"/>
    <xf numFmtId="43" fontId="0" fillId="0" borderId="0" xfId="1" quotePrefix="1" applyFont="1" applyAlignment="1">
      <alignment horizontal="center"/>
    </xf>
    <xf numFmtId="164" fontId="10" fillId="0" borderId="54" xfId="1" applyNumberFormat="1" applyFont="1" applyBorder="1"/>
    <xf numFmtId="10" fontId="4" fillId="0" borderId="0" xfId="6" applyNumberFormat="1" applyFont="1" applyAlignment="1">
      <alignment horizontal="center"/>
    </xf>
    <xf numFmtId="165" fontId="18" fillId="0" borderId="0" xfId="6" applyNumberFormat="1" applyFont="1"/>
    <xf numFmtId="165" fontId="6" fillId="0" borderId="0" xfId="6" applyNumberFormat="1" applyFont="1"/>
    <xf numFmtId="0" fontId="0" fillId="0" borderId="52" xfId="0" applyBorder="1" applyAlignment="1">
      <alignment horizontal="center"/>
    </xf>
    <xf numFmtId="0" fontId="0" fillId="0" borderId="50" xfId="0" applyBorder="1" applyAlignment="1">
      <alignment horizontal="center"/>
    </xf>
    <xf numFmtId="43" fontId="3" fillId="0" borderId="0" xfId="1" applyNumberFormat="1" applyFont="1" applyAlignment="1">
      <alignment horizontal="center"/>
    </xf>
    <xf numFmtId="43" fontId="3" fillId="0" borderId="0" xfId="1" applyNumberFormat="1" applyAlignment="1">
      <alignment horizontal="center"/>
    </xf>
    <xf numFmtId="10" fontId="3" fillId="0" borderId="5" xfId="6" applyNumberFormat="1" applyFont="1" applyBorder="1"/>
    <xf numFmtId="43" fontId="35" fillId="0" borderId="85" xfId="1" applyFont="1" applyBorder="1"/>
    <xf numFmtId="43" fontId="35" fillId="0" borderId="86" xfId="1" applyFont="1" applyBorder="1"/>
    <xf numFmtId="168" fontId="1" fillId="0" borderId="29" xfId="1" applyNumberFormat="1" applyFont="1" applyBorder="1"/>
    <xf numFmtId="43" fontId="0" fillId="0" borderId="1" xfId="1" applyFont="1" applyBorder="1" applyAlignment="1">
      <alignment horizontal="center"/>
    </xf>
    <xf numFmtId="43" fontId="3" fillId="0" borderId="1" xfId="1" applyNumberFormat="1" applyFont="1" applyBorder="1" applyAlignment="1">
      <alignment horizontal="center"/>
    </xf>
    <xf numFmtId="43" fontId="3" fillId="0" borderId="1" xfId="1" applyBorder="1" applyAlignment="1">
      <alignment horizontal="center"/>
    </xf>
    <xf numFmtId="10" fontId="0" fillId="0" borderId="0" xfId="6" applyNumberFormat="1" applyFont="1" applyBorder="1"/>
    <xf numFmtId="43" fontId="0" fillId="0" borderId="0" xfId="1" applyFont="1" applyBorder="1" applyAlignment="1">
      <alignment horizontal="center"/>
    </xf>
    <xf numFmtId="10" fontId="0" fillId="0" borderId="0" xfId="6" applyNumberFormat="1" applyFont="1" applyBorder="1" applyAlignment="1">
      <alignment horizontal="center"/>
    </xf>
    <xf numFmtId="43" fontId="3" fillId="0" borderId="0" xfId="1" applyNumberFormat="1" applyFont="1" applyBorder="1" applyAlignment="1">
      <alignment horizontal="center"/>
    </xf>
    <xf numFmtId="43" fontId="3" fillId="0" borderId="0" xfId="1" applyBorder="1" applyAlignment="1">
      <alignment horizontal="center"/>
    </xf>
    <xf numFmtId="0" fontId="20" fillId="0" borderId="0" xfId="0" applyFont="1"/>
    <xf numFmtId="0" fontId="32" fillId="0" borderId="0" xfId="2" applyFont="1"/>
    <xf numFmtId="0" fontId="44" fillId="0" borderId="0" xfId="2" applyFont="1"/>
    <xf numFmtId="0" fontId="44" fillId="0" borderId="0" xfId="4" applyFont="1"/>
    <xf numFmtId="0" fontId="0" fillId="0" borderId="0" xfId="0" quotePrefix="1"/>
    <xf numFmtId="0" fontId="16" fillId="0" borderId="0" xfId="0" applyFont="1"/>
    <xf numFmtId="0" fontId="11" fillId="0" borderId="0" xfId="0" applyFont="1" applyAlignment="1">
      <alignment horizontal="centerContinuous"/>
    </xf>
    <xf numFmtId="0" fontId="10" fillId="0" borderId="0" xfId="0" applyFont="1" applyAlignment="1">
      <alignment horizontal="centerContinuous"/>
    </xf>
    <xf numFmtId="0" fontId="11" fillId="0" borderId="87" xfId="0" applyFont="1" applyBorder="1" applyAlignment="1">
      <alignment horizontal="centerContinuous"/>
    </xf>
    <xf numFmtId="0" fontId="11" fillId="0" borderId="45" xfId="0" applyFont="1" applyBorder="1" applyAlignment="1">
      <alignment horizontal="centerContinuous"/>
    </xf>
    <xf numFmtId="0" fontId="11" fillId="0" borderId="45" xfId="0" applyFont="1" applyBorder="1" applyAlignment="1">
      <alignment horizontal="center"/>
    </xf>
    <xf numFmtId="0" fontId="11" fillId="0" borderId="48" xfId="0" applyFont="1" applyBorder="1" applyAlignment="1">
      <alignment horizontal="center"/>
    </xf>
    <xf numFmtId="168" fontId="10" fillId="0" borderId="88" xfId="1" applyNumberFormat="1" applyFont="1" applyBorder="1" applyAlignment="1">
      <alignment horizontal="centerContinuous"/>
    </xf>
    <xf numFmtId="168" fontId="10" fillId="0" borderId="73" xfId="1" applyNumberFormat="1" applyFont="1" applyBorder="1" applyAlignment="1">
      <alignment horizontal="center"/>
    </xf>
    <xf numFmtId="168" fontId="10" fillId="0" borderId="73" xfId="1" applyNumberFormat="1" applyFont="1" applyBorder="1" applyAlignment="1"/>
    <xf numFmtId="168" fontId="10" fillId="0" borderId="73" xfId="1" applyNumberFormat="1" applyFont="1" applyBorder="1" applyAlignment="1">
      <alignment horizontal="centerContinuous"/>
    </xf>
    <xf numFmtId="168" fontId="11" fillId="0" borderId="76" xfId="1" applyNumberFormat="1" applyFont="1" applyBorder="1"/>
    <xf numFmtId="0" fontId="11" fillId="0" borderId="38" xfId="0" applyFont="1" applyBorder="1" applyAlignment="1">
      <alignment horizontal="centerContinuous"/>
    </xf>
    <xf numFmtId="168" fontId="11" fillId="0" borderId="84" xfId="1" applyNumberFormat="1" applyFont="1" applyBorder="1" applyAlignment="1">
      <alignment horizontal="center"/>
    </xf>
    <xf numFmtId="0" fontId="11" fillId="0" borderId="48" xfId="0" applyFont="1" applyBorder="1" applyAlignment="1">
      <alignment horizontal="centerContinuous"/>
    </xf>
    <xf numFmtId="0" fontId="11" fillId="0" borderId="46" xfId="0" applyFont="1" applyBorder="1" applyAlignment="1">
      <alignment horizontal="centerContinuous"/>
    </xf>
    <xf numFmtId="164" fontId="10" fillId="0" borderId="43" xfId="1" applyNumberFormat="1" applyFont="1" applyBorder="1"/>
    <xf numFmtId="168" fontId="11" fillId="0" borderId="89" xfId="1" applyNumberFormat="1" applyFont="1" applyBorder="1"/>
    <xf numFmtId="164" fontId="10" fillId="0" borderId="77" xfId="1" applyNumberFormat="1" applyFont="1" applyBorder="1"/>
    <xf numFmtId="164" fontId="10" fillId="0" borderId="56" xfId="1" applyNumberFormat="1" applyFont="1" applyBorder="1"/>
    <xf numFmtId="0" fontId="11" fillId="0" borderId="79" xfId="0" applyFont="1" applyBorder="1" applyAlignment="1">
      <alignment horizontal="center"/>
    </xf>
    <xf numFmtId="164" fontId="11" fillId="0" borderId="79" xfId="1" applyNumberFormat="1" applyFont="1" applyBorder="1"/>
    <xf numFmtId="164" fontId="11" fillId="0" borderId="84" xfId="1" applyNumberFormat="1" applyFont="1" applyBorder="1"/>
    <xf numFmtId="43" fontId="10" fillId="0" borderId="90" xfId="1" applyFont="1" applyBorder="1"/>
    <xf numFmtId="43" fontId="10" fillId="0" borderId="58" xfId="1" applyFont="1" applyBorder="1"/>
    <xf numFmtId="0" fontId="10" fillId="0" borderId="1" xfId="0" applyFont="1" applyBorder="1" applyAlignment="1">
      <alignment horizontal="center"/>
    </xf>
    <xf numFmtId="0" fontId="11" fillId="0" borderId="0" xfId="0" applyFont="1" applyAlignment="1">
      <alignment horizontal="center"/>
    </xf>
    <xf numFmtId="0" fontId="10" fillId="0" borderId="0" xfId="0" applyFont="1" applyBorder="1" applyAlignment="1">
      <alignment horizontal="center"/>
    </xf>
    <xf numFmtId="166" fontId="8" fillId="0" borderId="0" xfId="1" quotePrefix="1" applyNumberFormat="1" applyFont="1" applyAlignment="1">
      <alignment horizontal="center"/>
    </xf>
    <xf numFmtId="43" fontId="3" fillId="0" borderId="0" xfId="6" applyNumberFormat="1" applyAlignment="1">
      <alignment horizontal="center"/>
    </xf>
    <xf numFmtId="10" fontId="0" fillId="0" borderId="0" xfId="1" applyNumberFormat="1" applyFont="1" applyAlignment="1">
      <alignment horizontal="center"/>
    </xf>
    <xf numFmtId="168" fontId="0" fillId="0" borderId="12" xfId="1" quotePrefix="1" applyNumberFormat="1" applyFont="1" applyBorder="1" applyAlignment="1"/>
    <xf numFmtId="0" fontId="0" fillId="0" borderId="78" xfId="0" applyBorder="1" applyAlignment="1">
      <alignment horizontal="center"/>
    </xf>
    <xf numFmtId="168" fontId="1" fillId="0" borderId="58" xfId="1" applyNumberFormat="1" applyFont="1" applyBorder="1"/>
    <xf numFmtId="43" fontId="0" fillId="0" borderId="77" xfId="1" applyFont="1" applyBorder="1" applyAlignment="1">
      <alignment horizontal="center"/>
    </xf>
    <xf numFmtId="43" fontId="10" fillId="0" borderId="55" xfId="1" applyFont="1" applyBorder="1" applyAlignment="1">
      <alignment horizontal="centerContinuous"/>
    </xf>
    <xf numFmtId="168" fontId="10" fillId="0" borderId="49" xfId="1" applyNumberFormat="1" applyFont="1" applyBorder="1" applyAlignment="1">
      <alignment horizontal="center"/>
    </xf>
    <xf numFmtId="168" fontId="10" fillId="0" borderId="49" xfId="1" applyNumberFormat="1" applyFont="1" applyBorder="1" applyAlignment="1"/>
    <xf numFmtId="168" fontId="10" fillId="0" borderId="49" xfId="1" applyNumberFormat="1" applyFont="1" applyBorder="1" applyAlignment="1">
      <alignment horizontal="centerContinuous"/>
    </xf>
    <xf numFmtId="168" fontId="11" fillId="0" borderId="51" xfId="1" applyNumberFormat="1" applyFont="1" applyBorder="1"/>
    <xf numFmtId="0" fontId="11" fillId="0" borderId="44" xfId="0" applyFont="1" applyBorder="1"/>
    <xf numFmtId="0" fontId="11" fillId="0" borderId="91" xfId="0" applyFont="1" applyBorder="1"/>
    <xf numFmtId="0" fontId="11" fillId="0" borderId="77" xfId="0" applyFont="1" applyBorder="1" applyAlignment="1">
      <alignment horizontal="center"/>
    </xf>
    <xf numFmtId="164" fontId="10" fillId="0" borderId="77" xfId="1" applyNumberFormat="1" applyFont="1" applyBorder="1" applyAlignment="1">
      <alignment horizontal="center"/>
    </xf>
    <xf numFmtId="168" fontId="11" fillId="0" borderId="92" xfId="1" applyNumberFormat="1" applyFont="1" applyBorder="1"/>
    <xf numFmtId="43" fontId="10" fillId="0" borderId="77" xfId="1" applyFont="1" applyBorder="1"/>
    <xf numFmtId="164" fontId="10" fillId="0" borderId="58" xfId="1" applyNumberFormat="1" applyFont="1" applyBorder="1"/>
    <xf numFmtId="0" fontId="11" fillId="0" borderId="93" xfId="0" applyFont="1" applyBorder="1"/>
    <xf numFmtId="168" fontId="1" fillId="0" borderId="94" xfId="1" applyNumberFormat="1" applyFont="1" applyBorder="1"/>
    <xf numFmtId="164" fontId="1" fillId="0" borderId="94" xfId="1" applyNumberFormat="1" applyFont="1" applyBorder="1"/>
    <xf numFmtId="168" fontId="11" fillId="0" borderId="9" xfId="1" applyNumberFormat="1" applyFont="1" applyBorder="1" applyAlignment="1">
      <alignment horizontal="center"/>
    </xf>
    <xf numFmtId="0" fontId="11" fillId="0" borderId="95" xfId="0" applyFont="1" applyBorder="1" applyAlignment="1">
      <alignment horizontal="center"/>
    </xf>
    <xf numFmtId="168" fontId="10" fillId="0" borderId="76" xfId="1" applyNumberFormat="1" applyFont="1" applyBorder="1" applyAlignment="1"/>
    <xf numFmtId="168" fontId="10" fillId="0" borderId="76" xfId="1" applyNumberFormat="1" applyFont="1" applyBorder="1" applyAlignment="1">
      <alignment horizontal="center"/>
    </xf>
    <xf numFmtId="168" fontId="10" fillId="0" borderId="51" xfId="1" applyNumberFormat="1" applyFont="1" applyBorder="1" applyAlignment="1">
      <alignment horizontal="center"/>
    </xf>
    <xf numFmtId="0" fontId="30" fillId="0" borderId="0" xfId="0" applyFont="1" applyAlignment="1">
      <alignment horizontal="centerContinuous"/>
    </xf>
    <xf numFmtId="0" fontId="58" fillId="0" borderId="0" xfId="0" applyFont="1" applyAlignment="1">
      <alignment horizontal="centerContinuous"/>
    </xf>
    <xf numFmtId="0" fontId="9" fillId="0" borderId="0" xfId="0" applyFont="1" applyAlignment="1">
      <alignment horizontal="center"/>
    </xf>
    <xf numFmtId="164" fontId="3" fillId="0" borderId="0" xfId="1" applyNumberFormat="1" applyFont="1" applyFill="1" applyBorder="1"/>
    <xf numFmtId="164" fontId="10" fillId="0" borderId="0" xfId="1" quotePrefix="1" applyNumberFormat="1" applyFont="1" applyAlignment="1">
      <alignment horizontal="center"/>
    </xf>
    <xf numFmtId="164" fontId="10" fillId="0" borderId="0" xfId="1" applyNumberFormat="1" applyFont="1" applyAlignment="1">
      <alignment horizontal="center"/>
    </xf>
    <xf numFmtId="164" fontId="11" fillId="0" borderId="8" xfId="1" applyNumberFormat="1" applyFont="1" applyFill="1" applyBorder="1" applyAlignment="1">
      <alignment horizontal="center"/>
    </xf>
    <xf numFmtId="164" fontId="1" fillId="0" borderId="8" xfId="6" applyNumberFormat="1" applyFont="1" applyFill="1" applyBorder="1" applyAlignment="1">
      <alignment horizontal="center"/>
    </xf>
    <xf numFmtId="164" fontId="1" fillId="0" borderId="8" xfId="1" applyNumberFormat="1" applyFont="1" applyFill="1" applyBorder="1" applyAlignment="1">
      <alignment horizontal="center"/>
    </xf>
    <xf numFmtId="43" fontId="0" fillId="0" borderId="96" xfId="1" applyFont="1" applyBorder="1" applyAlignment="1">
      <alignment horizontal="centerContinuous"/>
    </xf>
    <xf numFmtId="43" fontId="1" fillId="0" borderId="97" xfId="1" applyFont="1" applyBorder="1" applyAlignment="1">
      <alignment horizontal="centerContinuous"/>
    </xf>
    <xf numFmtId="164" fontId="0" fillId="0" borderId="9" xfId="1" applyNumberFormat="1" applyFont="1" applyBorder="1"/>
    <xf numFmtId="43" fontId="0" fillId="0" borderId="56" xfId="1" applyFont="1" applyBorder="1"/>
    <xf numFmtId="43" fontId="0" fillId="0" borderId="54" xfId="1" applyFont="1" applyBorder="1"/>
    <xf numFmtId="43" fontId="0" fillId="0" borderId="54" xfId="1" applyFont="1" applyBorder="1" applyAlignment="1">
      <alignment horizontal="centerContinuous"/>
    </xf>
    <xf numFmtId="0" fontId="0" fillId="0" borderId="59" xfId="0" applyBorder="1" applyAlignment="1"/>
    <xf numFmtId="43" fontId="0" fillId="0" borderId="79" xfId="1" applyFont="1" applyBorder="1" applyAlignment="1"/>
    <xf numFmtId="43" fontId="0" fillId="0" borderId="54" xfId="1" applyFont="1" applyBorder="1" applyAlignment="1"/>
    <xf numFmtId="43" fontId="0" fillId="0" borderId="12" xfId="1" applyFont="1" applyBorder="1" applyAlignment="1"/>
    <xf numFmtId="43" fontId="1" fillId="0" borderId="54" xfId="1" applyFont="1" applyBorder="1" applyAlignment="1"/>
    <xf numFmtId="43" fontId="35" fillId="0" borderId="59" xfId="1" applyFont="1" applyBorder="1" applyAlignment="1">
      <alignment horizontal="right"/>
    </xf>
    <xf numFmtId="10" fontId="44" fillId="0" borderId="29" xfId="6" applyNumberFormat="1" applyFont="1" applyBorder="1" applyAlignment="1">
      <alignment horizontal="right"/>
    </xf>
    <xf numFmtId="165" fontId="35" fillId="0" borderId="70" xfId="6" applyNumberFormat="1" applyFont="1" applyBorder="1"/>
    <xf numFmtId="43" fontId="1" fillId="0" borderId="5" xfId="1" applyFont="1" applyBorder="1"/>
    <xf numFmtId="10" fontId="10" fillId="0" borderId="0" xfId="6" applyNumberFormat="1" applyFont="1" applyBorder="1" applyAlignment="1">
      <alignment horizontal="center"/>
    </xf>
    <xf numFmtId="168" fontId="10" fillId="0" borderId="0" xfId="0" applyNumberFormat="1" applyFont="1"/>
    <xf numFmtId="10" fontId="1" fillId="0" borderId="0" xfId="6" applyNumberFormat="1" applyFont="1" applyBorder="1" applyAlignment="1">
      <alignment horizontal="center"/>
    </xf>
    <xf numFmtId="164" fontId="8" fillId="0" borderId="0" xfId="1" quotePrefix="1" applyNumberFormat="1" applyFont="1" applyAlignment="1">
      <alignment horizontal="center"/>
    </xf>
    <xf numFmtId="168" fontId="0" fillId="0" borderId="0" xfId="1" quotePrefix="1" applyNumberFormat="1" applyFont="1" applyBorder="1" applyAlignment="1"/>
    <xf numFmtId="0" fontId="0" fillId="0" borderId="29" xfId="0" applyBorder="1" applyAlignment="1"/>
    <xf numFmtId="0" fontId="0" fillId="0" borderId="98" xfId="0" applyBorder="1"/>
    <xf numFmtId="43" fontId="0" fillId="0" borderId="43" xfId="1" applyFont="1" applyBorder="1" applyAlignment="1">
      <alignment horizontal="center"/>
    </xf>
    <xf numFmtId="0" fontId="11" fillId="0" borderId="99" xfId="0" applyFont="1" applyBorder="1" applyAlignment="1">
      <alignment horizontal="centerContinuous"/>
    </xf>
    <xf numFmtId="168" fontId="0" fillId="0" borderId="12" xfId="1" applyNumberFormat="1" applyFont="1" applyBorder="1" applyAlignment="1">
      <alignment horizontal="centerContinuous"/>
    </xf>
    <xf numFmtId="43" fontId="10" fillId="0" borderId="16" xfId="1" applyFont="1" applyBorder="1"/>
    <xf numFmtId="165" fontId="43" fillId="0" borderId="68" xfId="6" applyNumberFormat="1" applyFont="1" applyBorder="1"/>
    <xf numFmtId="10" fontId="35" fillId="0" borderId="59" xfId="6" quotePrefix="1" applyNumberFormat="1" applyFont="1" applyBorder="1" applyAlignment="1"/>
    <xf numFmtId="43" fontId="1" fillId="0" borderId="31" xfId="1" applyFont="1" applyBorder="1"/>
    <xf numFmtId="164" fontId="10" fillId="0" borderId="58" xfId="1" applyNumberFormat="1" applyFont="1" applyBorder="1" applyAlignment="1">
      <alignment horizontal="center"/>
    </xf>
    <xf numFmtId="10" fontId="1" fillId="0" borderId="8" xfId="6" applyNumberFormat="1" applyFont="1" applyFill="1" applyBorder="1"/>
    <xf numFmtId="10" fontId="1" fillId="0" borderId="17" xfId="6" applyNumberFormat="1" applyFont="1" applyFill="1" applyBorder="1"/>
    <xf numFmtId="10" fontId="1" fillId="0" borderId="0" xfId="6" applyNumberFormat="1" applyFont="1" applyFill="1" applyBorder="1"/>
    <xf numFmtId="165" fontId="1" fillId="0" borderId="8" xfId="6" applyNumberFormat="1" applyFont="1" applyFill="1" applyBorder="1"/>
    <xf numFmtId="165" fontId="1" fillId="0" borderId="17" xfId="6" applyNumberFormat="1" applyFont="1" applyFill="1" applyBorder="1"/>
    <xf numFmtId="0" fontId="1" fillId="0" borderId="8" xfId="0" applyFont="1" applyFill="1" applyBorder="1"/>
    <xf numFmtId="164" fontId="1" fillId="0" borderId="26" xfId="1" applyNumberFormat="1" applyFont="1" applyFill="1" applyBorder="1"/>
    <xf numFmtId="164" fontId="1" fillId="0" borderId="0" xfId="1" applyNumberFormat="1" applyFont="1" applyFill="1"/>
    <xf numFmtId="164" fontId="9" fillId="0" borderId="0" xfId="1" applyNumberFormat="1" applyFont="1" applyFill="1"/>
    <xf numFmtId="0" fontId="1" fillId="0" borderId="0" xfId="3" applyFont="1" applyFill="1"/>
    <xf numFmtId="9" fontId="3" fillId="0" borderId="0" xfId="6" applyAlignment="1">
      <alignment horizontal="center"/>
    </xf>
    <xf numFmtId="0" fontId="9" fillId="0" borderId="8" xfId="0" applyFont="1" applyFill="1" applyBorder="1"/>
    <xf numFmtId="0" fontId="0" fillId="0" borderId="8" xfId="0" applyFill="1" applyBorder="1"/>
    <xf numFmtId="164" fontId="1" fillId="0" borderId="8" xfId="0" applyNumberFormat="1" applyFont="1" applyFill="1" applyBorder="1"/>
    <xf numFmtId="0" fontId="1" fillId="0" borderId="0" xfId="0" applyFont="1" applyFill="1" applyBorder="1"/>
    <xf numFmtId="164" fontId="1" fillId="0" borderId="28" xfId="0" applyNumberFormat="1" applyFont="1" applyFill="1" applyBorder="1"/>
    <xf numFmtId="164" fontId="1" fillId="0" borderId="28" xfId="6" applyNumberFormat="1" applyFont="1" applyFill="1" applyBorder="1"/>
    <xf numFmtId="17" fontId="11" fillId="0" borderId="11" xfId="0" applyNumberFormat="1" applyFont="1" applyBorder="1" applyAlignment="1">
      <alignment horizontal="centerContinuous"/>
    </xf>
    <xf numFmtId="0" fontId="0" fillId="0" borderId="38" xfId="0" applyBorder="1"/>
    <xf numFmtId="165" fontId="8" fillId="0" borderId="0" xfId="6" applyNumberFormat="1" applyFont="1"/>
    <xf numFmtId="43" fontId="0" fillId="0" borderId="0" xfId="1" applyFont="1" applyBorder="1" applyAlignment="1">
      <alignment horizontal="centerContinuous"/>
    </xf>
    <xf numFmtId="168" fontId="0" fillId="0" borderId="0" xfId="1" applyNumberFormat="1" applyFont="1" applyBorder="1" applyAlignment="1">
      <alignment horizontal="centerContinuous"/>
    </xf>
    <xf numFmtId="168" fontId="1" fillId="0" borderId="100" xfId="1" applyNumberFormat="1" applyFont="1" applyBorder="1"/>
    <xf numFmtId="165" fontId="10" fillId="0" borderId="11" xfId="6" applyNumberFormat="1" applyFont="1" applyFill="1" applyBorder="1"/>
    <xf numFmtId="168" fontId="10" fillId="0" borderId="55" xfId="1" applyNumberFormat="1" applyFont="1" applyBorder="1" applyAlignment="1">
      <alignment horizontal="center"/>
    </xf>
    <xf numFmtId="0" fontId="11" fillId="0" borderId="0" xfId="0" applyFont="1" applyAlignment="1"/>
    <xf numFmtId="168" fontId="10" fillId="0" borderId="55" xfId="1" applyNumberFormat="1" applyFont="1" applyBorder="1" applyAlignment="1">
      <alignment horizontal="centerContinuous"/>
    </xf>
    <xf numFmtId="0" fontId="8" fillId="0" borderId="45" xfId="0" applyFont="1" applyBorder="1" applyAlignment="1">
      <alignment horizontal="center" vertical="justify"/>
    </xf>
    <xf numFmtId="168" fontId="11" fillId="0" borderId="101" xfId="1" applyNumberFormat="1" applyFont="1" applyBorder="1" applyAlignment="1">
      <alignment horizontal="centerContinuous"/>
    </xf>
    <xf numFmtId="168" fontId="0" fillId="0" borderId="43" xfId="1" applyNumberFormat="1" applyFont="1" applyBorder="1" applyAlignment="1">
      <alignment horizontal="center"/>
    </xf>
    <xf numFmtId="43" fontId="35" fillId="0" borderId="29" xfId="1" applyFont="1" applyBorder="1" applyAlignment="1"/>
    <xf numFmtId="164" fontId="10" fillId="0" borderId="78" xfId="1" applyNumberFormat="1" applyFont="1" applyBorder="1"/>
    <xf numFmtId="164" fontId="10" fillId="0" borderId="25" xfId="1" applyNumberFormat="1" applyFont="1" applyBorder="1"/>
    <xf numFmtId="164" fontId="10" fillId="0" borderId="65" xfId="1" applyNumberFormat="1" applyFont="1" applyBorder="1"/>
    <xf numFmtId="165" fontId="59" fillId="0" borderId="0" xfId="6" applyNumberFormat="1" applyFont="1"/>
    <xf numFmtId="9" fontId="10" fillId="0" borderId="12" xfId="6" applyFont="1" applyBorder="1"/>
    <xf numFmtId="9" fontId="10" fillId="0" borderId="1" xfId="6" applyFont="1" applyBorder="1"/>
    <xf numFmtId="9" fontId="3" fillId="0" borderId="1" xfId="6" applyFont="1" applyBorder="1"/>
    <xf numFmtId="43" fontId="18" fillId="0" borderId="0" xfId="1" applyFont="1"/>
    <xf numFmtId="164" fontId="3" fillId="0" borderId="0" xfId="1" applyNumberFormat="1" applyAlignment="1">
      <alignment horizontal="left"/>
    </xf>
    <xf numFmtId="43" fontId="1" fillId="0" borderId="0" xfId="1" applyFont="1" applyBorder="1"/>
    <xf numFmtId="164" fontId="12" fillId="0" borderId="0" xfId="1" applyNumberFormat="1" applyFont="1" applyAlignment="1">
      <alignment horizontal="center"/>
    </xf>
    <xf numFmtId="0" fontId="12" fillId="0" borderId="0" xfId="0" quotePrefix="1" applyFont="1"/>
    <xf numFmtId="165" fontId="3" fillId="0" borderId="96" xfId="6" applyNumberFormat="1" applyFont="1" applyBorder="1"/>
    <xf numFmtId="43" fontId="11" fillId="0" borderId="0" xfId="1" applyFont="1"/>
    <xf numFmtId="43" fontId="3" fillId="0" borderId="96" xfId="1" applyFont="1" applyBorder="1"/>
    <xf numFmtId="43" fontId="10" fillId="0" borderId="0" xfId="1" applyFont="1" applyAlignment="1">
      <alignment horizontal="center"/>
    </xf>
    <xf numFmtId="164" fontId="18" fillId="0" borderId="1" xfId="1" applyNumberFormat="1" applyFont="1" applyFill="1" applyBorder="1" applyAlignment="1">
      <alignment horizontal="center"/>
    </xf>
    <xf numFmtId="164" fontId="8" fillId="0" borderId="0" xfId="1" applyNumberFormat="1" applyFont="1" applyFill="1" applyBorder="1" applyAlignment="1">
      <alignment horizontal="center"/>
    </xf>
    <xf numFmtId="166" fontId="4" fillId="0" borderId="0" xfId="1" applyNumberFormat="1" applyFont="1" applyFill="1" applyBorder="1"/>
    <xf numFmtId="164" fontId="19" fillId="0" borderId="0" xfId="1" applyNumberFormat="1" applyFont="1" applyFill="1" applyBorder="1"/>
    <xf numFmtId="164" fontId="19" fillId="0" borderId="12" xfId="1" applyNumberFormat="1" applyFont="1" applyFill="1" applyBorder="1"/>
    <xf numFmtId="164" fontId="19" fillId="0" borderId="1" xfId="1" applyNumberFormat="1" applyFont="1" applyFill="1" applyBorder="1"/>
    <xf numFmtId="164" fontId="20" fillId="0" borderId="0" xfId="1" applyNumberFormat="1" applyFont="1" applyFill="1" applyBorder="1"/>
    <xf numFmtId="164" fontId="20" fillId="0" borderId="60" xfId="1" applyNumberFormat="1" applyFont="1" applyFill="1" applyBorder="1"/>
    <xf numFmtId="164" fontId="20" fillId="0" borderId="58" xfId="1" applyNumberFormat="1" applyFont="1" applyBorder="1"/>
    <xf numFmtId="164" fontId="19" fillId="0" borderId="8" xfId="1" applyNumberFormat="1" applyFont="1" applyBorder="1"/>
    <xf numFmtId="164" fontId="19" fillId="0" borderId="102" xfId="1" applyNumberFormat="1" applyFont="1" applyBorder="1"/>
    <xf numFmtId="164" fontId="9" fillId="0" borderId="1" xfId="1" applyNumberFormat="1" applyFont="1" applyFill="1" applyBorder="1" applyAlignment="1">
      <alignment horizontal="center"/>
    </xf>
    <xf numFmtId="0" fontId="4" fillId="0" borderId="19" xfId="0" applyFont="1" applyFill="1" applyBorder="1"/>
    <xf numFmtId="164" fontId="11" fillId="0" borderId="19" xfId="1" applyNumberFormat="1" applyFont="1" applyFill="1" applyBorder="1"/>
    <xf numFmtId="165" fontId="1" fillId="0" borderId="0" xfId="6" applyNumberFormat="1" applyFont="1" applyBorder="1"/>
    <xf numFmtId="0" fontId="4" fillId="0" borderId="0" xfId="3" applyFont="1" applyFill="1" applyBorder="1"/>
    <xf numFmtId="164" fontId="9" fillId="0" borderId="12" xfId="1" applyNumberFormat="1" applyFont="1" applyFill="1" applyBorder="1" applyAlignment="1">
      <alignment horizontal="center"/>
    </xf>
    <xf numFmtId="0" fontId="4" fillId="0" borderId="0" xfId="0" applyFont="1" applyFill="1" applyBorder="1"/>
    <xf numFmtId="164" fontId="10" fillId="0" borderId="9" xfId="1" applyNumberFormat="1" applyFont="1" applyBorder="1"/>
    <xf numFmtId="164" fontId="11" fillId="0" borderId="8" xfId="1" applyNumberFormat="1" applyFont="1" applyBorder="1"/>
    <xf numFmtId="164" fontId="10" fillId="0" borderId="8" xfId="1" applyNumberFormat="1" applyFont="1" applyBorder="1"/>
    <xf numFmtId="164" fontId="10" fillId="0" borderId="60" xfId="1" applyNumberFormat="1" applyFont="1" applyFill="1" applyBorder="1"/>
    <xf numFmtId="164" fontId="10" fillId="0" borderId="38" xfId="1" applyNumberFormat="1" applyFont="1" applyFill="1" applyBorder="1"/>
    <xf numFmtId="164" fontId="11" fillId="0" borderId="103" xfId="1" applyNumberFormat="1" applyFont="1" applyBorder="1"/>
    <xf numFmtId="164" fontId="11" fillId="0" borderId="89" xfId="1" applyNumberFormat="1" applyFont="1" applyBorder="1"/>
    <xf numFmtId="164" fontId="11" fillId="0" borderId="60" xfId="1" applyNumberFormat="1" applyFont="1" applyFill="1" applyBorder="1"/>
    <xf numFmtId="164" fontId="10" fillId="0" borderId="104" xfId="1" applyNumberFormat="1" applyFont="1" applyFill="1" applyBorder="1"/>
    <xf numFmtId="164" fontId="11" fillId="0" borderId="105" xfId="1" applyNumberFormat="1" applyFont="1" applyBorder="1"/>
    <xf numFmtId="164" fontId="10" fillId="0" borderId="106" xfId="1" applyNumberFormat="1" applyFont="1" applyBorder="1"/>
    <xf numFmtId="164" fontId="11" fillId="0" borderId="106" xfId="1" applyNumberFormat="1" applyFont="1" applyBorder="1"/>
    <xf numFmtId="164" fontId="11" fillId="0" borderId="107" xfId="1" applyNumberFormat="1" applyFont="1" applyBorder="1"/>
    <xf numFmtId="164" fontId="10" fillId="0" borderId="108" xfId="1" applyNumberFormat="1" applyFont="1" applyFill="1" applyBorder="1"/>
    <xf numFmtId="164" fontId="11" fillId="0" borderId="104" xfId="1" applyNumberFormat="1" applyFont="1" applyBorder="1"/>
    <xf numFmtId="164" fontId="11" fillId="0" borderId="108" xfId="1" applyNumberFormat="1" applyFont="1" applyBorder="1"/>
    <xf numFmtId="165" fontId="11" fillId="0" borderId="0" xfId="6" applyNumberFormat="1" applyFont="1" applyFill="1" applyBorder="1"/>
    <xf numFmtId="10" fontId="11" fillId="0" borderId="1" xfId="6" applyNumberFormat="1" applyFont="1" applyFill="1" applyBorder="1" applyAlignment="1">
      <alignment horizontal="right"/>
    </xf>
    <xf numFmtId="10" fontId="1" fillId="0" borderId="0" xfId="6" applyNumberFormat="1" applyFont="1" applyBorder="1" applyAlignment="1">
      <alignment horizontal="right"/>
    </xf>
    <xf numFmtId="10" fontId="10" fillId="0" borderId="0" xfId="6" applyNumberFormat="1" applyFont="1" applyBorder="1" applyAlignment="1">
      <alignment horizontal="right"/>
    </xf>
    <xf numFmtId="10" fontId="10" fillId="0" borderId="0" xfId="6" applyNumberFormat="1" applyFont="1" applyFill="1" applyBorder="1" applyAlignment="1">
      <alignment horizontal="right"/>
    </xf>
    <xf numFmtId="43" fontId="11" fillId="0" borderId="0" xfId="1" applyFont="1" applyFill="1" applyBorder="1" applyAlignment="1">
      <alignment horizontal="right"/>
    </xf>
    <xf numFmtId="43" fontId="11" fillId="0" borderId="0" xfId="1" applyFont="1" applyBorder="1" applyAlignment="1">
      <alignment horizontal="right"/>
    </xf>
    <xf numFmtId="43" fontId="10" fillId="0" borderId="0" xfId="6" applyNumberFormat="1" applyFont="1" applyBorder="1" applyAlignment="1">
      <alignment horizontal="right"/>
    </xf>
    <xf numFmtId="43" fontId="10" fillId="0" borderId="0" xfId="1" applyFont="1" applyFill="1" applyBorder="1" applyAlignment="1">
      <alignment horizontal="right"/>
    </xf>
    <xf numFmtId="43" fontId="10" fillId="0" borderId="1" xfId="1" applyFont="1" applyFill="1" applyBorder="1" applyAlignment="1">
      <alignment horizontal="right"/>
    </xf>
    <xf numFmtId="43" fontId="10" fillId="0" borderId="0" xfId="1" applyFont="1" applyFill="1" applyBorder="1"/>
    <xf numFmtId="10" fontId="11" fillId="0" borderId="42" xfId="6" applyNumberFormat="1" applyFont="1" applyBorder="1"/>
    <xf numFmtId="10" fontId="11" fillId="0" borderId="8" xfId="6" applyNumberFormat="1" applyFont="1" applyBorder="1"/>
    <xf numFmtId="164" fontId="10" fillId="0" borderId="109" xfId="1" applyNumberFormat="1" applyFont="1" applyBorder="1"/>
    <xf numFmtId="164" fontId="3" fillId="0" borderId="0" xfId="3" applyNumberFormat="1" applyFont="1"/>
    <xf numFmtId="0" fontId="11" fillId="0" borderId="0" xfId="3" applyFont="1" applyAlignment="1">
      <alignment horizontal="centerContinuous"/>
    </xf>
    <xf numFmtId="43" fontId="0" fillId="0" borderId="110" xfId="1" applyFont="1" applyBorder="1" applyAlignment="1">
      <alignment horizontal="centerContinuous"/>
    </xf>
    <xf numFmtId="43" fontId="0" fillId="0" borderId="97" xfId="1" applyFont="1" applyBorder="1" applyAlignment="1">
      <alignment horizontal="centerContinuous"/>
    </xf>
    <xf numFmtId="10" fontId="8" fillId="0" borderId="0" xfId="6" applyNumberFormat="1" applyFont="1" applyAlignment="1">
      <alignment horizontal="center"/>
    </xf>
    <xf numFmtId="43" fontId="10" fillId="0" borderId="0" xfId="1" applyFont="1" applyBorder="1" applyAlignment="1">
      <alignment horizontal="right"/>
    </xf>
    <xf numFmtId="43" fontId="43" fillId="0" borderId="70" xfId="1" applyFont="1" applyBorder="1"/>
    <xf numFmtId="0" fontId="31" fillId="0" borderId="0" xfId="2" applyFont="1" applyBorder="1"/>
    <xf numFmtId="3" fontId="43" fillId="0" borderId="111" xfId="2" applyNumberFormat="1" applyFont="1" applyBorder="1"/>
    <xf numFmtId="43" fontId="43" fillId="0" borderId="111" xfId="1" applyFont="1" applyBorder="1"/>
    <xf numFmtId="165" fontId="43" fillId="0" borderId="112" xfId="2" applyNumberFormat="1" applyFont="1" applyBorder="1"/>
    <xf numFmtId="43" fontId="43" fillId="0" borderId="113" xfId="1" applyFont="1" applyBorder="1"/>
    <xf numFmtId="165" fontId="35" fillId="0" borderId="113" xfId="2" applyNumberFormat="1" applyFont="1" applyBorder="1"/>
    <xf numFmtId="165" fontId="35" fillId="0" borderId="114" xfId="2" applyNumberFormat="1" applyFont="1" applyBorder="1"/>
    <xf numFmtId="3" fontId="43" fillId="0" borderId="115" xfId="2" applyNumberFormat="1" applyFont="1" applyBorder="1"/>
    <xf numFmtId="43" fontId="43" fillId="0" borderId="115" xfId="1" applyFont="1" applyBorder="1"/>
    <xf numFmtId="3" fontId="35" fillId="0" borderId="115" xfId="2" applyNumberFormat="1" applyFont="1" applyBorder="1"/>
    <xf numFmtId="3" fontId="35" fillId="0" borderId="112" xfId="2" applyNumberFormat="1" applyFont="1" applyBorder="1"/>
    <xf numFmtId="165" fontId="35" fillId="0" borderId="116" xfId="2" applyNumberFormat="1" applyFont="1" applyBorder="1"/>
    <xf numFmtId="3" fontId="35" fillId="0" borderId="113" xfId="2" applyNumberFormat="1" applyFont="1" applyBorder="1"/>
    <xf numFmtId="3" fontId="43" fillId="0" borderId="111" xfId="4" applyNumberFormat="1" applyFont="1" applyBorder="1"/>
    <xf numFmtId="168" fontId="43" fillId="0" borderId="111" xfId="1" applyNumberFormat="1" applyFont="1" applyBorder="1"/>
    <xf numFmtId="165" fontId="43" fillId="0" borderId="112" xfId="4" applyNumberFormat="1" applyFont="1" applyBorder="1"/>
    <xf numFmtId="165" fontId="43" fillId="0" borderId="113" xfId="4" applyNumberFormat="1" applyFont="1" applyBorder="1"/>
    <xf numFmtId="165" fontId="35" fillId="0" borderId="113" xfId="4" applyNumberFormat="1" applyFont="1" applyBorder="1"/>
    <xf numFmtId="3" fontId="43" fillId="0" borderId="115" xfId="4" applyNumberFormat="1" applyFont="1" applyBorder="1"/>
    <xf numFmtId="168" fontId="43" fillId="0" borderId="115" xfId="1" applyNumberFormat="1" applyFont="1" applyBorder="1"/>
    <xf numFmtId="165" fontId="43" fillId="0" borderId="113" xfId="6" applyNumberFormat="1" applyFont="1" applyBorder="1"/>
    <xf numFmtId="43" fontId="35" fillId="0" borderId="66" xfId="1" applyFont="1" applyBorder="1"/>
    <xf numFmtId="43" fontId="35" fillId="0" borderId="0" xfId="1" applyFont="1" applyBorder="1"/>
    <xf numFmtId="10" fontId="44" fillId="0" borderId="70" xfId="6" applyNumberFormat="1" applyFont="1" applyBorder="1" applyAlignment="1">
      <alignment horizontal="right"/>
    </xf>
    <xf numFmtId="10" fontId="35" fillId="0" borderId="59" xfId="6" quotePrefix="1" applyNumberFormat="1" applyFont="1" applyBorder="1" applyAlignment="1">
      <alignment horizontal="right"/>
    </xf>
    <xf numFmtId="43" fontId="10" fillId="0" borderId="0" xfId="1" applyFont="1" applyBorder="1" applyAlignment="1">
      <alignment horizontal="center"/>
    </xf>
    <xf numFmtId="0" fontId="11" fillId="0" borderId="87" xfId="0" applyFont="1" applyBorder="1" applyAlignment="1">
      <alignment horizontal="center"/>
    </xf>
    <xf numFmtId="0" fontId="1" fillId="0" borderId="87" xfId="0" applyFont="1" applyBorder="1" applyAlignment="1">
      <alignment horizontal="center"/>
    </xf>
    <xf numFmtId="0" fontId="1" fillId="0" borderId="57" xfId="0" applyFont="1" applyBorder="1" applyAlignment="1">
      <alignment horizontal="center"/>
    </xf>
    <xf numFmtId="0" fontId="0" fillId="0" borderId="57" xfId="0" applyBorder="1" applyAlignment="1">
      <alignment horizontal="centerContinuous"/>
    </xf>
    <xf numFmtId="0" fontId="0" fillId="0" borderId="84" xfId="0" applyBorder="1"/>
    <xf numFmtId="43" fontId="0" fillId="0" borderId="88" xfId="1" applyFont="1" applyBorder="1" applyAlignment="1">
      <alignment horizontal="center"/>
    </xf>
    <xf numFmtId="43" fontId="0" fillId="0" borderId="57" xfId="1" applyFont="1" applyBorder="1"/>
    <xf numFmtId="43" fontId="0" fillId="0" borderId="57" xfId="1" applyFont="1" applyBorder="1" applyAlignment="1">
      <alignment horizontal="center"/>
    </xf>
    <xf numFmtId="43" fontId="0" fillId="0" borderId="56" xfId="1" applyFont="1" applyBorder="1" applyAlignment="1">
      <alignment horizontal="centerContinuous"/>
    </xf>
    <xf numFmtId="43" fontId="0" fillId="0" borderId="56" xfId="1" applyFont="1" applyBorder="1" applyAlignment="1">
      <alignment horizontal="center"/>
    </xf>
    <xf numFmtId="43" fontId="0" fillId="0" borderId="57" xfId="1" applyFont="1" applyBorder="1" applyAlignment="1">
      <alignment horizontal="centerContinuous"/>
    </xf>
    <xf numFmtId="168" fontId="0" fillId="0" borderId="56" xfId="1" applyNumberFormat="1" applyFont="1" applyBorder="1" applyAlignment="1">
      <alignment horizontal="center"/>
    </xf>
    <xf numFmtId="168" fontId="0" fillId="0" borderId="57" xfId="1" applyNumberFormat="1" applyFont="1" applyBorder="1" applyAlignment="1"/>
    <xf numFmtId="43" fontId="0" fillId="0" borderId="55" xfId="1" applyFont="1" applyBorder="1" applyAlignment="1">
      <alignment horizontal="center"/>
    </xf>
    <xf numFmtId="10" fontId="11" fillId="0" borderId="5" xfId="6" applyNumberFormat="1" applyFont="1" applyBorder="1"/>
    <xf numFmtId="168" fontId="43" fillId="0" borderId="70" xfId="1" applyNumberFormat="1" applyFont="1" applyBorder="1"/>
    <xf numFmtId="168" fontId="35" fillId="0" borderId="68" xfId="1" applyNumberFormat="1" applyFont="1" applyBorder="1"/>
    <xf numFmtId="10" fontId="35" fillId="0" borderId="29" xfId="6" applyNumberFormat="1" applyFont="1" applyBorder="1" applyAlignment="1">
      <alignment horizontal="center"/>
    </xf>
    <xf numFmtId="10" fontId="11" fillId="0" borderId="8" xfId="6" applyNumberFormat="1" applyFont="1" applyFill="1" applyBorder="1"/>
    <xf numFmtId="0" fontId="21" fillId="0" borderId="0" xfId="0" applyFont="1"/>
    <xf numFmtId="0" fontId="11" fillId="0" borderId="46" xfId="0" applyFont="1" applyBorder="1" applyAlignment="1">
      <alignment horizontal="center"/>
    </xf>
    <xf numFmtId="165" fontId="10" fillId="0" borderId="0" xfId="6" applyNumberFormat="1" applyFont="1" applyBorder="1" applyAlignment="1">
      <alignment horizontal="center"/>
    </xf>
    <xf numFmtId="0" fontId="11" fillId="0" borderId="0" xfId="0" quotePrefix="1" applyFont="1"/>
  </cellXfs>
  <cellStyles count="7">
    <cellStyle name="Comma" xfId="1" builtinId="3"/>
    <cellStyle name="Normal" xfId="0" builtinId="0"/>
    <cellStyle name="Normal_Apparentés" xfId="2"/>
    <cellStyle name="Normal_bilsysbandéc.97_1" xfId="3"/>
    <cellStyle name="Normal_Non apparentés" xfId="4"/>
    <cellStyle name="Normal_Secteur d'activité" xfId="5"/>
    <cellStyle name="Percent" xfId="6"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ACTIF TOTAL - SECTEUR BANCAIRE
(en milliers de gourdes)
</a:t>
            </a:r>
          </a:p>
        </c:rich>
      </c:tx>
      <c:layout>
        <c:manualLayout>
          <c:xMode val="edge"/>
          <c:yMode val="edge"/>
          <c:x val="0.37808065448728218"/>
          <c:y val="2.8355413696440158E-2"/>
        </c:manualLayout>
      </c:layout>
      <c:overlay val="0"/>
      <c:spPr>
        <a:noFill/>
        <a:ln w="25400">
          <a:noFill/>
        </a:ln>
      </c:spPr>
    </c:title>
    <c:autoTitleDeleted val="0"/>
    <c:plotArea>
      <c:layout>
        <c:manualLayout>
          <c:layoutTarget val="inner"/>
          <c:xMode val="edge"/>
          <c:yMode val="edge"/>
          <c:x val="0.2665371337809142"/>
          <c:y val="0.31758063340012976"/>
          <c:w val="0.51232198463971346"/>
          <c:h val="0.49905528105734681"/>
        </c:manualLayout>
      </c:layout>
      <c:barChart>
        <c:barDir val="col"/>
        <c:grouping val="clustered"/>
        <c:varyColors val="0"/>
        <c:ser>
          <c:idx val="0"/>
          <c:order val="0"/>
          <c:spPr>
            <a:solidFill>
              <a:srgbClr val="000000"/>
            </a:solidFill>
            <a:ln w="12700">
              <a:solidFill>
                <a:srgbClr val="000000"/>
              </a:solidFill>
              <a:prstDash val="solid"/>
            </a:ln>
          </c:spPr>
          <c:invertIfNegative val="0"/>
          <c:dLbls>
            <c:spPr>
              <a:noFill/>
              <a:ln w="25400">
                <a:noFill/>
              </a:ln>
            </c:spPr>
            <c:txPr>
              <a:bodyPr rot="-5400000" vert="horz"/>
              <a:lstStyle/>
              <a:p>
                <a:pPr algn="ctr">
                  <a:defRPr sz="900" b="0"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(somfinbilsys!$P$1,somfinbilsys!$N$1,somfinbilsys!$L$1,somfinbilsys!$J$1,somfinbilsys!$B$7)</c:f>
              <c:strCache>
                <c:ptCount val="5"/>
                <c:pt idx="0">
                  <c:v>Sept. 96</c:v>
                </c:pt>
                <c:pt idx="1">
                  <c:v>Sept. 97</c:v>
                </c:pt>
                <c:pt idx="2">
                  <c:v>Sept. 98</c:v>
                </c:pt>
                <c:pt idx="3">
                  <c:v>Sept.99</c:v>
                </c:pt>
                <c:pt idx="4">
                  <c:v>Déc. 99</c:v>
                </c:pt>
              </c:strCache>
            </c:strRef>
          </c:cat>
          <c:val>
            <c:numRef>
              <c:f>(somfinbilsys!$P$22,somfinbilsys!$N$22,somfinbilsys!$L$22,somfinbilsys!$J$22,somfinbilsys!$B$22)</c:f>
              <c:numCache>
                <c:formatCode>_(* #,##0.0_);_(* \(#,##0.0\);_(* "-"??_);_(@_)</c:formatCode>
                <c:ptCount val="5"/>
                <c:pt idx="0">
                  <c:v>13100447.09849</c:v>
                </c:pt>
                <c:pt idx="1">
                  <c:v>15617165.357000003</c:v>
                </c:pt>
                <c:pt idx="2">
                  <c:v>18210437.699999999</c:v>
                </c:pt>
                <c:pt idx="3">
                  <c:v>21097182.400000002</c:v>
                </c:pt>
                <c:pt idx="4">
                  <c:v>22211842.699999999</c:v>
                </c:pt>
              </c:numCache>
            </c:numRef>
          </c:val>
        </c:ser>
        <c:dLbls>
          <c:showLegendKey val="0"/>
          <c:showVal val="1"/>
          <c:showCatName val="0"/>
          <c:showSerName val="0"/>
          <c:showPercent val="0"/>
          <c:showBubbleSize val="0"/>
        </c:dLbls>
        <c:gapWidth val="150"/>
        <c:axId val="253084800"/>
        <c:axId val="253086336"/>
      </c:barChart>
      <c:catAx>
        <c:axId val="25308480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253086336"/>
        <c:crosses val="autoZero"/>
        <c:auto val="0"/>
        <c:lblAlgn val="ctr"/>
        <c:lblOffset val="100"/>
        <c:tickLblSkip val="1"/>
        <c:tickMarkSkip val="1"/>
        <c:noMultiLvlLbl val="0"/>
      </c:catAx>
      <c:valAx>
        <c:axId val="253086336"/>
        <c:scaling>
          <c:orientation val="minMax"/>
        </c:scaling>
        <c:delete val="0"/>
        <c:axPos val="l"/>
        <c:numFmt formatCode="_(* #,##0.0_);_(* \(#,##0.0\);_(* &quot;-&quot;??_);_(@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253084800"/>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CG Times"/>
          <a:ea typeface="CG Times"/>
          <a:cs typeface="CG Times"/>
        </a:defRPr>
      </a:pPr>
      <a:endParaRPr lang="en-US"/>
    </a:p>
  </c:txPr>
  <c:printSettings>
    <c:headerFooter alignWithMargins="0">
      <c:oddHeader>&amp;A</c:oddHeader>
      <c:oddFooter>Page &amp;P</c:oddFooter>
    </c:headerFooter>
    <c:pageMargins b="1" l="0.75" r="0.75" t="1" header="0.5" footer="0.5"/>
    <c:pageSetup orientation="landscape" horizontalDpi="-4"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ACTIF PAR BANQUE - AU 31 DÉCEMBRE 1999
(en milliers de gourdes)</a:t>
            </a:r>
          </a:p>
        </c:rich>
      </c:tx>
      <c:layout>
        <c:manualLayout>
          <c:xMode val="edge"/>
          <c:yMode val="edge"/>
          <c:x val="0.35022764263754536"/>
          <c:y val="2.9411791105195085E-2"/>
        </c:manualLayout>
      </c:layout>
      <c:overlay val="0"/>
      <c:spPr>
        <a:noFill/>
        <a:ln w="25400">
          <a:noFill/>
        </a:ln>
      </c:spPr>
    </c:title>
    <c:autoTitleDeleted val="0"/>
    <c:plotArea>
      <c:layout>
        <c:manualLayout>
          <c:layoutTarget val="inner"/>
          <c:xMode val="edge"/>
          <c:yMode val="edge"/>
          <c:x val="0.32878513390463437"/>
          <c:y val="0.48345631629164421"/>
          <c:w val="0.40090993600624392"/>
          <c:h val="0.38602975825568547"/>
        </c:manualLayout>
      </c:layout>
      <c:barChart>
        <c:barDir val="col"/>
        <c:grouping val="clustered"/>
        <c:varyColors val="0"/>
        <c:ser>
          <c:idx val="0"/>
          <c:order val="0"/>
          <c:spPr>
            <a:solidFill>
              <a:srgbClr val="000000"/>
            </a:solidFill>
            <a:ln w="12700">
              <a:solidFill>
                <a:srgbClr val="000000"/>
              </a:solidFill>
              <a:prstDash val="solid"/>
            </a:ln>
          </c:spPr>
          <c:invertIfNegative val="0"/>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partdemarc.!$A$11:$A$23</c:f>
              <c:strCache>
                <c:ptCount val="13"/>
                <c:pt idx="0">
                  <c:v>SOGEBK</c:v>
                </c:pt>
                <c:pt idx="1">
                  <c:v>UNIBK</c:v>
                </c:pt>
                <c:pt idx="2">
                  <c:v>SOCABK</c:v>
                </c:pt>
                <c:pt idx="3">
                  <c:v>BUH</c:v>
                </c:pt>
                <c:pt idx="4">
                  <c:v>BNC</c:v>
                </c:pt>
                <c:pt idx="5">
                  <c:v>CBNA</c:v>
                </c:pt>
                <c:pt idx="6">
                  <c:v>PROMOBK</c:v>
                </c:pt>
                <c:pt idx="7">
                  <c:v>CAPITALBK</c:v>
                </c:pt>
                <c:pt idx="8">
                  <c:v>SCOTIA</c:v>
                </c:pt>
                <c:pt idx="9">
                  <c:v>BPH</c:v>
                </c:pt>
                <c:pt idx="10">
                  <c:v>SOGEBL</c:v>
                </c:pt>
                <c:pt idx="11">
                  <c:v>BHD </c:v>
                </c:pt>
                <c:pt idx="12">
                  <c:v>BICH</c:v>
                </c:pt>
              </c:strCache>
            </c:strRef>
          </c:cat>
          <c:val>
            <c:numRef>
              <c:f>partdemarc.!$B$11:$B$23</c:f>
              <c:numCache>
                <c:formatCode>_(* #,##0.0_);_(* \(#,##0.0\);_(* "-"??_);_(@_)</c:formatCode>
                <c:ptCount val="13"/>
                <c:pt idx="0">
                  <c:v>5401096</c:v>
                </c:pt>
                <c:pt idx="1">
                  <c:v>3742086.6999999997</c:v>
                </c:pt>
                <c:pt idx="2">
                  <c:v>2520617.6999999997</c:v>
                </c:pt>
                <c:pt idx="3">
                  <c:v>2115184</c:v>
                </c:pt>
                <c:pt idx="4">
                  <c:v>1812734</c:v>
                </c:pt>
                <c:pt idx="5">
                  <c:v>1606782</c:v>
                </c:pt>
                <c:pt idx="6">
                  <c:v>1567981</c:v>
                </c:pt>
                <c:pt idx="7">
                  <c:v>1113063</c:v>
                </c:pt>
                <c:pt idx="8">
                  <c:v>957538</c:v>
                </c:pt>
                <c:pt idx="9">
                  <c:v>800349.7</c:v>
                </c:pt>
                <c:pt idx="10">
                  <c:v>534932.6</c:v>
                </c:pt>
                <c:pt idx="11">
                  <c:v>28161.600000000002</c:v>
                </c:pt>
                <c:pt idx="12">
                  <c:v>11316.400000000001</c:v>
                </c:pt>
              </c:numCache>
            </c:numRef>
          </c:val>
        </c:ser>
        <c:dLbls>
          <c:showLegendKey val="0"/>
          <c:showVal val="0"/>
          <c:showCatName val="0"/>
          <c:showSerName val="0"/>
          <c:showPercent val="0"/>
          <c:showBubbleSize val="0"/>
        </c:dLbls>
        <c:gapWidth val="150"/>
        <c:axId val="263326720"/>
        <c:axId val="263340800"/>
      </c:barChart>
      <c:catAx>
        <c:axId val="26332672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63340800"/>
        <c:crosses val="autoZero"/>
        <c:auto val="0"/>
        <c:lblAlgn val="ctr"/>
        <c:lblOffset val="100"/>
        <c:tickLblSkip val="1"/>
        <c:tickMarkSkip val="1"/>
        <c:noMultiLvlLbl val="0"/>
      </c:catAx>
      <c:valAx>
        <c:axId val="263340800"/>
        <c:scaling>
          <c:orientation val="minMax"/>
        </c:scaling>
        <c:delete val="0"/>
        <c:axPos val="l"/>
        <c:numFmt formatCode="_(* #,##0.0_);_(* \(#,##0.0\);_(* &quot;-&quot;??_);_(@_)"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263326720"/>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DISPONIBILITÉS - SECTEUR BANCAIRE
(en milliers de gourdes)
</a:t>
            </a:r>
          </a:p>
        </c:rich>
      </c:tx>
      <c:layout>
        <c:manualLayout>
          <c:xMode val="edge"/>
          <c:yMode val="edge"/>
          <c:x val="0.36956533276970754"/>
          <c:y val="9.4518045654800528E-3"/>
        </c:manualLayout>
      </c:layout>
      <c:overlay val="0"/>
      <c:spPr>
        <a:noFill/>
        <a:ln w="25400">
          <a:noFill/>
        </a:ln>
      </c:spPr>
    </c:title>
    <c:autoTitleDeleted val="0"/>
    <c:plotArea>
      <c:layout>
        <c:manualLayout>
          <c:layoutTarget val="inner"/>
          <c:xMode val="edge"/>
          <c:yMode val="edge"/>
          <c:x val="0.26470596499421961"/>
          <c:y val="0.18903609130960106"/>
          <c:w val="0.50639401998894185"/>
          <c:h val="0.68809137236694784"/>
        </c:manualLayout>
      </c:layout>
      <c:barChart>
        <c:barDir val="col"/>
        <c:grouping val="clustered"/>
        <c:varyColors val="0"/>
        <c:ser>
          <c:idx val="0"/>
          <c:order val="0"/>
          <c:spPr>
            <a:solidFill>
              <a:srgbClr val="000000"/>
            </a:solidFill>
            <a:ln w="12700">
              <a:solidFill>
                <a:srgbClr val="000000"/>
              </a:solidFill>
              <a:prstDash val="solid"/>
            </a:ln>
          </c:spPr>
          <c:invertIfNegative val="0"/>
          <c:dLbls>
            <c:dLbl>
              <c:idx val="1"/>
              <c:layout>
                <c:manualLayout>
                  <c:xMode val="edge"/>
                  <c:yMode val="edge"/>
                  <c:x val="0.409207288879953"/>
                  <c:y val="0.29678666335607368"/>
                </c:manualLayout>
              </c:layout>
              <c:dLblPos val="outEnd"/>
              <c:showLegendKey val="0"/>
              <c:showVal val="1"/>
              <c:showCatName val="0"/>
              <c:showSerName val="0"/>
              <c:showPercent val="0"/>
              <c:showBubbleSize val="0"/>
            </c:dLbl>
            <c:dLbl>
              <c:idx val="2"/>
              <c:layout>
                <c:manualLayout>
                  <c:xMode val="edge"/>
                  <c:yMode val="edge"/>
                  <c:x val="0.51023033832219145"/>
                  <c:y val="0.25708908418105741"/>
                </c:manualLayout>
              </c:layout>
              <c:dLblPos val="outEnd"/>
              <c:showLegendKey val="0"/>
              <c:showVal val="1"/>
              <c:showCatName val="0"/>
              <c:showSerName val="0"/>
              <c:showPercent val="0"/>
              <c:showBubbleSize val="0"/>
            </c:dLbl>
            <c:dLbl>
              <c:idx val="3"/>
              <c:layout>
                <c:manualLayout>
                  <c:xMode val="edge"/>
                  <c:yMode val="edge"/>
                  <c:x val="0.61061400137555488"/>
                  <c:y val="0.24196619687628934"/>
                </c:manualLayout>
              </c:layout>
              <c:dLblPos val="outEnd"/>
              <c:showLegendKey val="0"/>
              <c:showVal val="1"/>
              <c:showCatName val="0"/>
              <c:showSerName val="0"/>
              <c:showPercent val="0"/>
              <c:showBubbleSize val="0"/>
            </c:dLbl>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(somfinbilsys!$P$1,somfinbilsys!$N$1,somfinbilsys!$L$1,somfinbilsys!$J$1,somfinbilsys!$B$7)</c:f>
              <c:strCache>
                <c:ptCount val="5"/>
                <c:pt idx="0">
                  <c:v>Sept. 96</c:v>
                </c:pt>
                <c:pt idx="1">
                  <c:v>Sept. 97</c:v>
                </c:pt>
                <c:pt idx="2">
                  <c:v>Sept. 98</c:v>
                </c:pt>
                <c:pt idx="3">
                  <c:v>Sept.99</c:v>
                </c:pt>
                <c:pt idx="4">
                  <c:v>Déc. 99</c:v>
                </c:pt>
              </c:strCache>
            </c:strRef>
          </c:cat>
          <c:val>
            <c:numRef>
              <c:f>(somfinbilsys!$P$15,somfinbilsys!$N$15,somfinbilsys!$L$15,somfinbilsys!$J$15,somfinbilsys!$B$15)</c:f>
              <c:numCache>
                <c:formatCode>_(* #,##0.0_);_(* \(#,##0.0\);_(* "-"??_);_(@_)</c:formatCode>
                <c:ptCount val="5"/>
                <c:pt idx="0">
                  <c:v>6354735.8384400001</c:v>
                </c:pt>
                <c:pt idx="1">
                  <c:v>5054945.3000000007</c:v>
                </c:pt>
                <c:pt idx="2">
                  <c:v>5780671.1000000006</c:v>
                </c:pt>
                <c:pt idx="3">
                  <c:v>5911684.9000000004</c:v>
                </c:pt>
                <c:pt idx="4">
                  <c:v>7102068.7000000002</c:v>
                </c:pt>
              </c:numCache>
            </c:numRef>
          </c:val>
        </c:ser>
        <c:dLbls>
          <c:showLegendKey val="0"/>
          <c:showVal val="1"/>
          <c:showCatName val="0"/>
          <c:showSerName val="0"/>
          <c:showPercent val="0"/>
          <c:showBubbleSize val="0"/>
        </c:dLbls>
        <c:gapWidth val="150"/>
        <c:axId val="152660992"/>
        <c:axId val="152675072"/>
      </c:barChart>
      <c:catAx>
        <c:axId val="15266099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152675072"/>
        <c:crosses val="autoZero"/>
        <c:auto val="0"/>
        <c:lblAlgn val="ctr"/>
        <c:lblOffset val="100"/>
        <c:tickLblSkip val="1"/>
        <c:tickMarkSkip val="1"/>
        <c:noMultiLvlLbl val="0"/>
      </c:catAx>
      <c:valAx>
        <c:axId val="152675072"/>
        <c:scaling>
          <c:orientation val="minMax"/>
        </c:scaling>
        <c:delete val="0"/>
        <c:axPos val="l"/>
        <c:numFmt formatCode="_(* #,##0.0_);_(* \(#,##0.0\);_(* &quot;-&quot;??_);_(@_)"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152660992"/>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CG Times"/>
          <a:ea typeface="CG Times"/>
          <a:cs typeface="CG Times"/>
        </a:defRPr>
      </a:pPr>
      <a:endParaRPr lang="en-US"/>
    </a:p>
  </c:txPr>
  <c:printSettings>
    <c:headerFooter alignWithMargins="0">
      <c:oddHeader>&amp;A</c:oddHeader>
      <c:oddFooter>Page &amp;P</c:oddFooter>
    </c:headerFooter>
    <c:pageMargins b="1" l="0.75" r="0.75" t="1" header="0.5" footer="0.5"/>
    <c:pageSetup orientation="landscape" horizontalDpi="-4" verticalDpi="300"/>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DISPONIBILITÉS PAR BANQUE - AU 31 DÉCEMBRE 1999
(en milliers de gourdes)</a:t>
            </a:r>
          </a:p>
        </c:rich>
      </c:tx>
      <c:layout>
        <c:manualLayout>
          <c:xMode val="edge"/>
          <c:yMode val="edge"/>
          <c:x val="0.31902636500614495"/>
          <c:y val="2.9038112522686024E-2"/>
        </c:manualLayout>
      </c:layout>
      <c:overlay val="0"/>
      <c:spPr>
        <a:noFill/>
        <a:ln w="25400">
          <a:noFill/>
        </a:ln>
      </c:spPr>
    </c:title>
    <c:autoTitleDeleted val="0"/>
    <c:plotArea>
      <c:layout>
        <c:manualLayout>
          <c:layoutTarget val="inner"/>
          <c:xMode val="edge"/>
          <c:yMode val="edge"/>
          <c:x val="0.26905838012566441"/>
          <c:y val="0.35753176043557167"/>
          <c:w val="0.4836644690354206"/>
          <c:h val="0.49727767695099817"/>
        </c:manualLayout>
      </c:layout>
      <c:barChart>
        <c:barDir val="col"/>
        <c:grouping val="clustered"/>
        <c:varyColors val="0"/>
        <c:ser>
          <c:idx val="0"/>
          <c:order val="0"/>
          <c:spPr>
            <a:solidFill>
              <a:srgbClr val="000000"/>
            </a:solidFill>
            <a:ln w="12700">
              <a:solidFill>
                <a:srgbClr val="000000"/>
              </a:solidFill>
              <a:prstDash val="solid"/>
            </a:ln>
          </c:spPr>
          <c:invertIfNegative val="0"/>
          <c:dLbls>
            <c:spPr>
              <a:noFill/>
              <a:ln w="25400">
                <a:noFill/>
              </a:ln>
            </c:spPr>
            <c:txPr>
              <a:bodyPr rot="-5400000" vert="horz"/>
              <a:lstStyle/>
              <a:p>
                <a:pPr algn="ctr">
                  <a:defRPr sz="900" b="1" i="0" u="none" strike="noStrike" baseline="0">
                    <a:solidFill>
                      <a:srgbClr val="000000"/>
                    </a:solidFill>
                    <a:latin typeface="Arial"/>
                    <a:ea typeface="Arial"/>
                    <a:cs typeface="Arial"/>
                  </a:defRPr>
                </a:pPr>
                <a:endParaRPr lang="en-US"/>
              </a:p>
            </c:txPr>
            <c:showLegendKey val="0"/>
            <c:showVal val="1"/>
            <c:showCatName val="0"/>
            <c:showSerName val="0"/>
            <c:showPercent val="0"/>
            <c:showBubbleSize val="0"/>
            <c:showLeaderLines val="0"/>
          </c:dLbls>
          <c:cat>
            <c:strRef>
              <c:f>'bilsysbandéc.99  '!$A$76:$A$88</c:f>
              <c:strCache>
                <c:ptCount val="13"/>
                <c:pt idx="0">
                  <c:v>SOGEBK</c:v>
                </c:pt>
                <c:pt idx="1">
                  <c:v>UNIBK</c:v>
                </c:pt>
                <c:pt idx="2">
                  <c:v>BUH</c:v>
                </c:pt>
                <c:pt idx="3">
                  <c:v>SOCABK</c:v>
                </c:pt>
                <c:pt idx="4">
                  <c:v>BNC</c:v>
                </c:pt>
                <c:pt idx="5">
                  <c:v>PROMOBK</c:v>
                </c:pt>
                <c:pt idx="6">
                  <c:v>CBNA</c:v>
                </c:pt>
                <c:pt idx="7">
                  <c:v>SCOTIA</c:v>
                </c:pt>
                <c:pt idx="8">
                  <c:v>BPH</c:v>
                </c:pt>
                <c:pt idx="9">
                  <c:v>CAPITALBK</c:v>
                </c:pt>
                <c:pt idx="10">
                  <c:v>SOGEBL</c:v>
                </c:pt>
                <c:pt idx="11">
                  <c:v>BICH</c:v>
                </c:pt>
                <c:pt idx="12">
                  <c:v>BHD</c:v>
                </c:pt>
              </c:strCache>
            </c:strRef>
          </c:cat>
          <c:val>
            <c:numRef>
              <c:f>'bilsysbandéc.99  '!$B$76:$B$88</c:f>
              <c:numCache>
                <c:formatCode>_(* #,##0.0_);_(* \(#,##0.0\);_(* "-"??_);_(@_)</c:formatCode>
                <c:ptCount val="13"/>
                <c:pt idx="0">
                  <c:v>1784628</c:v>
                </c:pt>
                <c:pt idx="1">
                  <c:v>1121302</c:v>
                </c:pt>
                <c:pt idx="2">
                  <c:v>788125</c:v>
                </c:pt>
                <c:pt idx="3">
                  <c:v>718944.5</c:v>
                </c:pt>
                <c:pt idx="4">
                  <c:v>676338</c:v>
                </c:pt>
                <c:pt idx="5">
                  <c:v>501015</c:v>
                </c:pt>
                <c:pt idx="6">
                  <c:v>467086</c:v>
                </c:pt>
                <c:pt idx="7">
                  <c:v>417477</c:v>
                </c:pt>
                <c:pt idx="8">
                  <c:v>262351.89999999997</c:v>
                </c:pt>
                <c:pt idx="9">
                  <c:v>259286</c:v>
                </c:pt>
                <c:pt idx="10">
                  <c:v>93647.900000000009</c:v>
                </c:pt>
                <c:pt idx="11">
                  <c:v>6706.7</c:v>
                </c:pt>
                <c:pt idx="12">
                  <c:v>5160.7</c:v>
                </c:pt>
              </c:numCache>
            </c:numRef>
          </c:val>
        </c:ser>
        <c:dLbls>
          <c:showLegendKey val="0"/>
          <c:showVal val="0"/>
          <c:showCatName val="0"/>
          <c:showSerName val="0"/>
          <c:showPercent val="0"/>
          <c:showBubbleSize val="0"/>
        </c:dLbls>
        <c:gapWidth val="150"/>
        <c:axId val="152704512"/>
        <c:axId val="152706048"/>
      </c:barChart>
      <c:catAx>
        <c:axId val="15270451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52706048"/>
        <c:crosses val="autoZero"/>
        <c:auto val="0"/>
        <c:lblAlgn val="ctr"/>
        <c:lblOffset val="100"/>
        <c:tickLblSkip val="1"/>
        <c:tickMarkSkip val="1"/>
        <c:noMultiLvlLbl val="0"/>
      </c:catAx>
      <c:valAx>
        <c:axId val="152706048"/>
        <c:scaling>
          <c:orientation val="minMax"/>
        </c:scaling>
        <c:delete val="0"/>
        <c:axPos val="l"/>
        <c:numFmt formatCode="_(* #,##0.0_);_(* \(#,##0.0\);_(* &quot;-&quot;??_);_(@_)"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152704512"/>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orientation="landscape" horizontalDpi="0" verticalDpi="30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ENCOURS BONS B.R.H. 
(en milliers de gourdes)</a:t>
            </a:r>
          </a:p>
        </c:rich>
      </c:tx>
      <c:layout>
        <c:manualLayout>
          <c:xMode val="edge"/>
          <c:yMode val="edge"/>
          <c:x val="0.42435924000853864"/>
          <c:y val="2.8355413696440158E-2"/>
        </c:manualLayout>
      </c:layout>
      <c:overlay val="0"/>
      <c:spPr>
        <a:noFill/>
        <a:ln w="25400">
          <a:noFill/>
        </a:ln>
      </c:spPr>
    </c:title>
    <c:autoTitleDeleted val="0"/>
    <c:plotArea>
      <c:layout>
        <c:manualLayout>
          <c:layoutTarget val="inner"/>
          <c:xMode val="edge"/>
          <c:yMode val="edge"/>
          <c:x val="0.23653860961201023"/>
          <c:y val="0.2684312496596335"/>
          <c:w val="0.5647439432742033"/>
          <c:h val="0.66540704140979567"/>
        </c:manualLayout>
      </c:layout>
      <c:barChart>
        <c:barDir val="col"/>
        <c:grouping val="clustered"/>
        <c:varyColors val="0"/>
        <c:ser>
          <c:idx val="0"/>
          <c:order val="0"/>
          <c:spPr>
            <a:solidFill>
              <a:srgbClr val="8080FF"/>
            </a:solidFill>
            <a:ln w="12700">
              <a:solidFill>
                <a:srgbClr val="000000"/>
              </a:solidFill>
              <a:prstDash val="solid"/>
            </a:ln>
          </c:spPr>
          <c:invertIfNegative val="0"/>
          <c:cat>
            <c:strRef>
              <c:f>somfinbilsys!$B$70:$C$70</c:f>
              <c:strCache>
                <c:ptCount val="2"/>
                <c:pt idx="0">
                  <c:v>Sept. 97</c:v>
                </c:pt>
                <c:pt idx="1">
                  <c:v>Sept. 98</c:v>
                </c:pt>
              </c:strCache>
            </c:strRef>
          </c:cat>
          <c:val>
            <c:numRef>
              <c:f>somfinbilsys!$B$71:$C$71</c:f>
              <c:numCache>
                <c:formatCode>General</c:formatCode>
                <c:ptCount val="2"/>
              </c:numCache>
            </c:numRef>
          </c:val>
        </c:ser>
        <c:ser>
          <c:idx val="1"/>
          <c:order val="1"/>
          <c:spPr>
            <a:solidFill>
              <a:srgbClr val="802060"/>
            </a:solidFill>
            <a:ln w="12700">
              <a:solidFill>
                <a:srgbClr val="000000"/>
              </a:solidFill>
              <a:prstDash val="solid"/>
            </a:ln>
          </c:spPr>
          <c:invertIfNegative val="0"/>
          <c:dPt>
            <c:idx val="0"/>
            <c:invertIfNegative val="0"/>
            <c:bubble3D val="0"/>
            <c:spPr>
              <a:solidFill>
                <a:srgbClr val="000000"/>
              </a:solidFill>
              <a:ln w="12700">
                <a:solidFill>
                  <a:srgbClr val="000000"/>
                </a:solidFill>
                <a:prstDash val="solid"/>
              </a:ln>
            </c:spPr>
          </c:dPt>
          <c:dPt>
            <c:idx val="1"/>
            <c:invertIfNegative val="0"/>
            <c:bubble3D val="0"/>
            <c:spPr>
              <a:solidFill>
                <a:srgbClr val="000000"/>
              </a:solidFill>
              <a:ln w="12700">
                <a:solidFill>
                  <a:srgbClr val="000000"/>
                </a:solidFill>
                <a:prstDash val="solid"/>
              </a:ln>
            </c:spPr>
          </c:dPt>
          <c:dPt>
            <c:idx val="2"/>
            <c:invertIfNegative val="0"/>
            <c:bubble3D val="0"/>
            <c:spPr>
              <a:solidFill>
                <a:srgbClr val="000000"/>
              </a:solidFill>
              <a:ln w="12700">
                <a:solidFill>
                  <a:srgbClr val="000000"/>
                </a:solidFill>
                <a:prstDash val="solid"/>
              </a:ln>
            </c:spPr>
          </c:dPt>
          <c:dPt>
            <c:idx val="3"/>
            <c:invertIfNegative val="0"/>
            <c:bubble3D val="0"/>
            <c:spPr>
              <a:solidFill>
                <a:srgbClr val="000000"/>
              </a:solidFill>
              <a:ln w="12700">
                <a:solidFill>
                  <a:srgbClr val="000000"/>
                </a:solidFill>
                <a:prstDash val="solid"/>
              </a:ln>
            </c:spPr>
          </c:dPt>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somfinbilsys!$B$70:$E$70</c:f>
              <c:strCache>
                <c:ptCount val="4"/>
                <c:pt idx="0">
                  <c:v>Sept. 97</c:v>
                </c:pt>
                <c:pt idx="1">
                  <c:v>Sept. 98</c:v>
                </c:pt>
                <c:pt idx="2">
                  <c:v>Sept. 99</c:v>
                </c:pt>
                <c:pt idx="3">
                  <c:v>Déc. 99</c:v>
                </c:pt>
              </c:strCache>
            </c:strRef>
          </c:cat>
          <c:val>
            <c:numRef>
              <c:f>somfinbilsys!$B$72:$E$72</c:f>
              <c:numCache>
                <c:formatCode>_(* #,##0.0_);_(* \(#,##0.0\);_(* "-"??_);_(@_)</c:formatCode>
                <c:ptCount val="4"/>
                <c:pt idx="0">
                  <c:v>1060297.3569999998</c:v>
                </c:pt>
                <c:pt idx="1">
                  <c:v>1659000</c:v>
                </c:pt>
                <c:pt idx="2">
                  <c:v>3099604</c:v>
                </c:pt>
                <c:pt idx="3">
                  <c:v>2281970</c:v>
                </c:pt>
              </c:numCache>
            </c:numRef>
          </c:val>
        </c:ser>
        <c:dLbls>
          <c:showLegendKey val="0"/>
          <c:showVal val="0"/>
          <c:showCatName val="0"/>
          <c:showSerName val="0"/>
          <c:showPercent val="0"/>
          <c:showBubbleSize val="0"/>
        </c:dLbls>
        <c:gapWidth val="150"/>
        <c:axId val="152409216"/>
        <c:axId val="152410752"/>
      </c:barChart>
      <c:catAx>
        <c:axId val="15240921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CG Times"/>
                <a:ea typeface="CG Times"/>
                <a:cs typeface="CG Times"/>
              </a:defRPr>
            </a:pPr>
            <a:endParaRPr lang="en-US"/>
          </a:p>
        </c:txPr>
        <c:crossAx val="152410752"/>
        <c:crosses val="autoZero"/>
        <c:auto val="0"/>
        <c:lblAlgn val="ctr"/>
        <c:lblOffset val="100"/>
        <c:tickLblSkip val="1"/>
        <c:tickMarkSkip val="1"/>
        <c:noMultiLvlLbl val="0"/>
      </c:catAx>
      <c:valAx>
        <c:axId val="152410752"/>
        <c:scaling>
          <c:orientation val="minMax"/>
        </c:scaling>
        <c:delete val="0"/>
        <c:axPos val="l"/>
        <c:numFmt formatCode="#,##0.0" sourceLinked="0"/>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409216"/>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orientation="landscape" horizontalDpi="0" verticalDpi="30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BONS B.R.H. - AU 31 DÉCEMBRE 1999
(en milliers de gourdes)</a:t>
            </a:r>
          </a:p>
        </c:rich>
      </c:tx>
      <c:layout>
        <c:manualLayout>
          <c:xMode val="edge"/>
          <c:yMode val="edge"/>
          <c:x val="0.37830870543644129"/>
          <c:y val="2.930408171660678E-2"/>
        </c:manualLayout>
      </c:layout>
      <c:overlay val="0"/>
      <c:spPr>
        <a:noFill/>
        <a:ln w="25400">
          <a:noFill/>
        </a:ln>
      </c:spPr>
    </c:title>
    <c:autoTitleDeleted val="0"/>
    <c:plotArea>
      <c:layout>
        <c:manualLayout>
          <c:layoutTarget val="inner"/>
          <c:xMode val="edge"/>
          <c:yMode val="edge"/>
          <c:x val="0.27953527210576634"/>
          <c:y val="0.42124617467622244"/>
          <c:w val="0.49967736861400269"/>
          <c:h val="0.39011058785232777"/>
        </c:manualLayout>
      </c:layout>
      <c:barChart>
        <c:barDir val="col"/>
        <c:grouping val="clustered"/>
        <c:varyColors val="0"/>
        <c:ser>
          <c:idx val="0"/>
          <c:order val="0"/>
          <c:spPr>
            <a:solidFill>
              <a:srgbClr val="000000"/>
            </a:solidFill>
            <a:ln w="12700">
              <a:solidFill>
                <a:srgbClr val="000000"/>
              </a:solidFill>
              <a:prstDash val="solid"/>
            </a:ln>
          </c:spPr>
          <c:invertIfNegative val="0"/>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'bilsysbandéc.99  '!$D$76:$D$88</c:f>
              <c:strCache>
                <c:ptCount val="13"/>
                <c:pt idx="0">
                  <c:v>SOGEBK</c:v>
                </c:pt>
                <c:pt idx="1">
                  <c:v>SOGEBL</c:v>
                </c:pt>
                <c:pt idx="2">
                  <c:v>BNC</c:v>
                </c:pt>
                <c:pt idx="3">
                  <c:v>UNIBK</c:v>
                </c:pt>
                <c:pt idx="4">
                  <c:v>BPH</c:v>
                </c:pt>
                <c:pt idx="5">
                  <c:v>BUH</c:v>
                </c:pt>
                <c:pt idx="6">
                  <c:v>CBNA</c:v>
                </c:pt>
                <c:pt idx="7">
                  <c:v>PROMOBK</c:v>
                </c:pt>
                <c:pt idx="8">
                  <c:v>CAPITALBK</c:v>
                </c:pt>
                <c:pt idx="9">
                  <c:v>SOCABK</c:v>
                </c:pt>
                <c:pt idx="10">
                  <c:v>SCOTIA</c:v>
                </c:pt>
                <c:pt idx="11">
                  <c:v>BHD</c:v>
                </c:pt>
                <c:pt idx="12">
                  <c:v>BICH</c:v>
                </c:pt>
              </c:strCache>
            </c:strRef>
          </c:cat>
          <c:val>
            <c:numRef>
              <c:f>'bilsysbandéc.99  '!$E$76:$E$88</c:f>
              <c:numCache>
                <c:formatCode>_(* #,##0.0_);_(* \(#,##0.0\);_(* "-"??_);_(@_)</c:formatCode>
                <c:ptCount val="13"/>
                <c:pt idx="0">
                  <c:v>935000</c:v>
                </c:pt>
                <c:pt idx="1">
                  <c:v>935000</c:v>
                </c:pt>
                <c:pt idx="2">
                  <c:v>389000</c:v>
                </c:pt>
                <c:pt idx="3">
                  <c:v>270000</c:v>
                </c:pt>
                <c:pt idx="4">
                  <c:v>155000</c:v>
                </c:pt>
                <c:pt idx="5">
                  <c:v>125000</c:v>
                </c:pt>
                <c:pt idx="6">
                  <c:v>116970</c:v>
                </c:pt>
                <c:pt idx="7">
                  <c:v>90000</c:v>
                </c:pt>
                <c:pt idx="8">
                  <c:v>80000</c:v>
                </c:pt>
                <c:pt idx="9">
                  <c:v>50000</c:v>
                </c:pt>
                <c:pt idx="10">
                  <c:v>25000</c:v>
                </c:pt>
                <c:pt idx="11">
                  <c:v>0</c:v>
                </c:pt>
                <c:pt idx="12">
                  <c:v>0</c:v>
                </c:pt>
              </c:numCache>
            </c:numRef>
          </c:val>
        </c:ser>
        <c:dLbls>
          <c:showLegendKey val="0"/>
          <c:showVal val="0"/>
          <c:showCatName val="0"/>
          <c:showSerName val="0"/>
          <c:showPercent val="0"/>
          <c:showBubbleSize val="0"/>
        </c:dLbls>
        <c:gapWidth val="150"/>
        <c:axId val="152444288"/>
        <c:axId val="152458368"/>
      </c:barChart>
      <c:catAx>
        <c:axId val="15244428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52458368"/>
        <c:crosses val="autoZero"/>
        <c:auto val="0"/>
        <c:lblAlgn val="ctr"/>
        <c:lblOffset val="100"/>
        <c:tickLblSkip val="1"/>
        <c:tickMarkSkip val="1"/>
        <c:noMultiLvlLbl val="0"/>
      </c:catAx>
      <c:valAx>
        <c:axId val="152458368"/>
        <c:scaling>
          <c:orientation val="minMax"/>
        </c:scaling>
        <c:delete val="0"/>
        <c:axPos val="l"/>
        <c:numFmt formatCode="_(* #,##0.0_);_(* \(#,##0.0\);_(* &quot;-&quot;??_);_(@_)"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152444288"/>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orientation="landscape" horizontalDpi="0" verticalDpi="30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PRÊTS NETS - SECTEUR BANCAIRE
(en milliers de gourdes)
</a:t>
            </a:r>
          </a:p>
        </c:rich>
      </c:tx>
      <c:layout>
        <c:manualLayout>
          <c:xMode val="edge"/>
          <c:yMode val="edge"/>
          <c:x val="0.38297896454087366"/>
          <c:y val="2.8355413696440158E-2"/>
        </c:manualLayout>
      </c:layout>
      <c:overlay val="0"/>
      <c:spPr>
        <a:noFill/>
        <a:ln w="25400">
          <a:noFill/>
        </a:ln>
      </c:spPr>
    </c:title>
    <c:autoTitleDeleted val="0"/>
    <c:plotArea>
      <c:layout>
        <c:manualLayout>
          <c:layoutTarget val="inner"/>
          <c:xMode val="edge"/>
          <c:yMode val="edge"/>
          <c:x val="0.23468744628430643"/>
          <c:y val="0.27410233239892151"/>
          <c:w val="0.57962641266371284"/>
          <c:h val="0.56521791301570712"/>
        </c:manualLayout>
      </c:layout>
      <c:barChart>
        <c:barDir val="col"/>
        <c:grouping val="clustered"/>
        <c:varyColors val="0"/>
        <c:ser>
          <c:idx val="0"/>
          <c:order val="0"/>
          <c:spPr>
            <a:solidFill>
              <a:srgbClr val="000000"/>
            </a:solidFill>
            <a:ln w="12700">
              <a:solidFill>
                <a:srgbClr val="000000"/>
              </a:solidFill>
              <a:prstDash val="solid"/>
            </a:ln>
          </c:spPr>
          <c:invertIfNegative val="0"/>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(somfinbilsys!$P$1,somfinbilsys!$N$1,somfinbilsys!$L$1,somfinbilsys!$J$1,somfinbilsys!$B$7)</c:f>
              <c:strCache>
                <c:ptCount val="5"/>
                <c:pt idx="0">
                  <c:v>Sept. 96</c:v>
                </c:pt>
                <c:pt idx="1">
                  <c:v>Sept. 97</c:v>
                </c:pt>
                <c:pt idx="2">
                  <c:v>Sept. 98</c:v>
                </c:pt>
                <c:pt idx="3">
                  <c:v>Sept.99</c:v>
                </c:pt>
                <c:pt idx="4">
                  <c:v>Déc. 99</c:v>
                </c:pt>
              </c:strCache>
            </c:strRef>
          </c:cat>
          <c:val>
            <c:numRef>
              <c:f>(somfinbilsys!$P$19,somfinbilsys!$N$19,somfinbilsys!$L$19,somfinbilsys!$J$19,somfinbilsys!$B$19)</c:f>
              <c:numCache>
                <c:formatCode>_(* #,##0.0_);_(* \(#,##0.0\);_(* "-"??_);_(@_)</c:formatCode>
                <c:ptCount val="5"/>
                <c:pt idx="0">
                  <c:v>5010894.2557999995</c:v>
                </c:pt>
                <c:pt idx="1">
                  <c:v>6936742</c:v>
                </c:pt>
                <c:pt idx="2">
                  <c:v>7963697.7999999998</c:v>
                </c:pt>
                <c:pt idx="3">
                  <c:v>8546407.6000000015</c:v>
                </c:pt>
                <c:pt idx="4">
                  <c:v>8964023.4000000004</c:v>
                </c:pt>
              </c:numCache>
            </c:numRef>
          </c:val>
        </c:ser>
        <c:dLbls>
          <c:showLegendKey val="0"/>
          <c:showVal val="1"/>
          <c:showCatName val="0"/>
          <c:showSerName val="0"/>
          <c:showPercent val="0"/>
          <c:showBubbleSize val="0"/>
        </c:dLbls>
        <c:gapWidth val="150"/>
        <c:axId val="152968576"/>
        <c:axId val="153007232"/>
      </c:barChart>
      <c:catAx>
        <c:axId val="15296857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153007232"/>
        <c:crosses val="autoZero"/>
        <c:auto val="0"/>
        <c:lblAlgn val="ctr"/>
        <c:lblOffset val="100"/>
        <c:tickLblSkip val="1"/>
        <c:tickMarkSkip val="1"/>
        <c:noMultiLvlLbl val="0"/>
      </c:catAx>
      <c:valAx>
        <c:axId val="153007232"/>
        <c:scaling>
          <c:orientation val="minMax"/>
        </c:scaling>
        <c:delete val="0"/>
        <c:axPos val="l"/>
        <c:numFmt formatCode="_(* #,##0.0_);_(* \(#,##0.0\);_(* &quot;-&quot;??_);_(@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968576"/>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CG Times"/>
          <a:ea typeface="CG Times"/>
          <a:cs typeface="CG Times"/>
        </a:defRPr>
      </a:pPr>
      <a:endParaRPr lang="en-US"/>
    </a:p>
  </c:txPr>
  <c:printSettings>
    <c:headerFooter alignWithMargins="0">
      <c:oddHeader>&amp;A</c:oddHeader>
      <c:oddFooter>Page &amp;P</c:oddFooter>
    </c:headerFooter>
    <c:pageMargins b="1" l="0.75" r="0.75" t="1" header="0.5" footer="0.5"/>
    <c:pageSetup orientation="landscape" horizontalDpi="-4" verticalDpi="30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PRÊTS NETS PAR BANQUE - AU 31 DÉCEMBRE 1999
(en milliers de gourdes)</a:t>
            </a:r>
          </a:p>
        </c:rich>
      </c:tx>
      <c:layout>
        <c:manualLayout>
          <c:xMode val="edge"/>
          <c:yMode val="edge"/>
          <c:x val="0.32922088360544455"/>
          <c:y val="2.8571481717785934E-2"/>
        </c:manualLayout>
      </c:layout>
      <c:overlay val="0"/>
      <c:spPr>
        <a:noFill/>
        <a:ln w="25400">
          <a:noFill/>
        </a:ln>
      </c:spPr>
    </c:title>
    <c:autoTitleDeleted val="0"/>
    <c:plotArea>
      <c:layout>
        <c:manualLayout>
          <c:layoutTarget val="inner"/>
          <c:xMode val="edge"/>
          <c:yMode val="edge"/>
          <c:x val="0.24740267584551157"/>
          <c:y val="0.45333417658887015"/>
          <c:w val="0.56688329662239267"/>
          <c:h val="0.39428644770544591"/>
        </c:manualLayout>
      </c:layout>
      <c:barChart>
        <c:barDir val="col"/>
        <c:grouping val="clustered"/>
        <c:varyColors val="0"/>
        <c:ser>
          <c:idx val="0"/>
          <c:order val="0"/>
          <c:spPr>
            <a:solidFill>
              <a:srgbClr val="000000"/>
            </a:solidFill>
            <a:ln w="12700">
              <a:solidFill>
                <a:srgbClr val="000000"/>
              </a:solidFill>
              <a:prstDash val="solid"/>
            </a:ln>
          </c:spPr>
          <c:invertIfNegative val="0"/>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'bilsysbandéc.99  '!$H$76:$H$88</c:f>
              <c:strCache>
                <c:ptCount val="13"/>
                <c:pt idx="0">
                  <c:v>SOGEBK</c:v>
                </c:pt>
                <c:pt idx="1">
                  <c:v>UNIBK</c:v>
                </c:pt>
                <c:pt idx="2">
                  <c:v>SOCABK</c:v>
                </c:pt>
                <c:pt idx="3">
                  <c:v>PROMOBK</c:v>
                </c:pt>
                <c:pt idx="4">
                  <c:v>BUH</c:v>
                </c:pt>
                <c:pt idx="5">
                  <c:v>CBNA</c:v>
                </c:pt>
                <c:pt idx="6">
                  <c:v>CAPITALBK</c:v>
                </c:pt>
                <c:pt idx="7">
                  <c:v>SCOTIA</c:v>
                </c:pt>
                <c:pt idx="8">
                  <c:v>BNC</c:v>
                </c:pt>
                <c:pt idx="9">
                  <c:v>SOGEBL</c:v>
                </c:pt>
                <c:pt idx="10">
                  <c:v>BPH</c:v>
                </c:pt>
                <c:pt idx="11">
                  <c:v>BHD</c:v>
                </c:pt>
                <c:pt idx="12">
                  <c:v>BICH</c:v>
                </c:pt>
              </c:strCache>
            </c:strRef>
          </c:cat>
          <c:val>
            <c:numRef>
              <c:f>'bilsysbandéc.99  '!$I$76:$I$88</c:f>
              <c:numCache>
                <c:formatCode>_(* #,##0.0_);_(* \(#,##0.0\);_(* "-"??_);_(@_)</c:formatCode>
                <c:ptCount val="13"/>
                <c:pt idx="0">
                  <c:v>1730929</c:v>
                </c:pt>
                <c:pt idx="1">
                  <c:v>1489899</c:v>
                </c:pt>
                <c:pt idx="2">
                  <c:v>1484208</c:v>
                </c:pt>
                <c:pt idx="3">
                  <c:v>772879</c:v>
                </c:pt>
                <c:pt idx="4">
                  <c:v>746670</c:v>
                </c:pt>
                <c:pt idx="5">
                  <c:v>729160</c:v>
                </c:pt>
                <c:pt idx="6">
                  <c:v>501800</c:v>
                </c:pt>
                <c:pt idx="7">
                  <c:v>494790</c:v>
                </c:pt>
                <c:pt idx="8">
                  <c:v>345925</c:v>
                </c:pt>
                <c:pt idx="9">
                  <c:v>341630.7</c:v>
                </c:pt>
                <c:pt idx="10">
                  <c:v>316912.7</c:v>
                </c:pt>
                <c:pt idx="11">
                  <c:v>5467.1</c:v>
                </c:pt>
                <c:pt idx="12">
                  <c:v>3752.9</c:v>
                </c:pt>
              </c:numCache>
            </c:numRef>
          </c:val>
        </c:ser>
        <c:dLbls>
          <c:showLegendKey val="0"/>
          <c:showVal val="0"/>
          <c:showCatName val="0"/>
          <c:showSerName val="0"/>
          <c:showPercent val="0"/>
          <c:showBubbleSize val="0"/>
        </c:dLbls>
        <c:gapWidth val="150"/>
        <c:axId val="251406592"/>
        <c:axId val="251408384"/>
      </c:barChart>
      <c:catAx>
        <c:axId val="25140659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251408384"/>
        <c:crosses val="autoZero"/>
        <c:auto val="0"/>
        <c:lblAlgn val="ctr"/>
        <c:lblOffset val="100"/>
        <c:tickLblSkip val="1"/>
        <c:tickMarkSkip val="1"/>
        <c:noMultiLvlLbl val="0"/>
      </c:catAx>
      <c:valAx>
        <c:axId val="251408384"/>
        <c:scaling>
          <c:orientation val="minMax"/>
        </c:scaling>
        <c:delete val="0"/>
        <c:axPos val="l"/>
        <c:numFmt formatCode="_(* #,##0.0_);_(* \(#,##0.0\);_(* &quot;-&quot;??_);_(@_)"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251406592"/>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DÉPÔTS - SECTEUR BANCAIRE
(en milliers de gourdes)
</a:t>
            </a:r>
          </a:p>
        </c:rich>
      </c:tx>
      <c:layout>
        <c:manualLayout>
          <c:xMode val="edge"/>
          <c:yMode val="edge"/>
          <c:x val="0.39769833388020437"/>
          <c:y val="2.8355413696440158E-2"/>
        </c:manualLayout>
      </c:layout>
      <c:overlay val="0"/>
      <c:spPr>
        <a:noFill/>
        <a:ln w="25400">
          <a:noFill/>
        </a:ln>
      </c:spPr>
    </c:title>
    <c:autoTitleDeleted val="0"/>
    <c:plotArea>
      <c:layout>
        <c:manualLayout>
          <c:layoutTarget val="inner"/>
          <c:xMode val="edge"/>
          <c:yMode val="edge"/>
          <c:x val="0.25000007805009627"/>
          <c:y val="0.27221197148582554"/>
          <c:w val="0.53133008915506397"/>
          <c:h val="0.64650343227883567"/>
        </c:manualLayout>
      </c:layout>
      <c:barChart>
        <c:barDir val="col"/>
        <c:grouping val="clustered"/>
        <c:varyColors val="0"/>
        <c:ser>
          <c:idx val="0"/>
          <c:order val="0"/>
          <c:spPr>
            <a:solidFill>
              <a:srgbClr val="000000"/>
            </a:solidFill>
            <a:ln w="12700">
              <a:solidFill>
                <a:srgbClr val="000000"/>
              </a:solidFill>
              <a:prstDash val="solid"/>
            </a:ln>
          </c:spPr>
          <c:invertIfNegative val="0"/>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(somfinbilsys!$P$1,somfinbilsys!$N$1,somfinbilsys!$L$1,somfinbilsys!$J$1,somfinbilsys!$B$7)</c:f>
              <c:strCache>
                <c:ptCount val="5"/>
                <c:pt idx="0">
                  <c:v>Sept. 96</c:v>
                </c:pt>
                <c:pt idx="1">
                  <c:v>Sept. 97</c:v>
                </c:pt>
                <c:pt idx="2">
                  <c:v>Sept. 98</c:v>
                </c:pt>
                <c:pt idx="3">
                  <c:v>Sept.99</c:v>
                </c:pt>
                <c:pt idx="4">
                  <c:v>Déc. 99</c:v>
                </c:pt>
              </c:strCache>
            </c:strRef>
          </c:cat>
          <c:val>
            <c:numRef>
              <c:f>(somfinbilsys!$P$29,somfinbilsys!$N$29,somfinbilsys!$L$29,somfinbilsys!$J$29,somfinbilsys!$B$29)</c:f>
              <c:numCache>
                <c:formatCode>_(* #,##0.0_);_(* \(#,##0.0\);_(* "-"??_);_(@_)</c:formatCode>
                <c:ptCount val="5"/>
                <c:pt idx="0">
                  <c:v>10652688.103080001</c:v>
                </c:pt>
                <c:pt idx="1">
                  <c:v>13036231.600000001</c:v>
                </c:pt>
                <c:pt idx="2">
                  <c:v>15348406.300000001</c:v>
                </c:pt>
                <c:pt idx="3">
                  <c:v>18196488.399999999</c:v>
                </c:pt>
                <c:pt idx="4">
                  <c:v>19360739.799999997</c:v>
                </c:pt>
              </c:numCache>
            </c:numRef>
          </c:val>
        </c:ser>
        <c:dLbls>
          <c:showLegendKey val="0"/>
          <c:showVal val="1"/>
          <c:showCatName val="0"/>
          <c:showSerName val="0"/>
          <c:showPercent val="0"/>
          <c:showBubbleSize val="0"/>
        </c:dLbls>
        <c:gapWidth val="150"/>
        <c:axId val="152493440"/>
        <c:axId val="152507520"/>
      </c:barChart>
      <c:catAx>
        <c:axId val="1524934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152507520"/>
        <c:crosses val="autoZero"/>
        <c:auto val="0"/>
        <c:lblAlgn val="ctr"/>
        <c:lblOffset val="100"/>
        <c:tickLblSkip val="1"/>
        <c:tickMarkSkip val="1"/>
        <c:noMultiLvlLbl val="0"/>
      </c:catAx>
      <c:valAx>
        <c:axId val="152507520"/>
        <c:scaling>
          <c:orientation val="minMax"/>
        </c:scaling>
        <c:delete val="0"/>
        <c:axPos val="l"/>
        <c:numFmt formatCode="_(* #,##0.0_);_(* \(#,##0.0\);_(* &quot;-&quot;??_);_(@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493440"/>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CG Times"/>
          <a:ea typeface="CG Times"/>
          <a:cs typeface="CG Times"/>
        </a:defRPr>
      </a:pPr>
      <a:endParaRPr lang="en-US"/>
    </a:p>
  </c:txPr>
  <c:printSettings>
    <c:headerFooter alignWithMargins="0">
      <c:oddHeader>&amp;A</c:oddHeader>
      <c:oddFooter>Page &amp;P</c:oddFooter>
    </c:headerFooter>
    <c:pageMargins b="1" l="0.75" r="0.75" t="1" header="0.5" footer="0.5"/>
    <c:pageSetup orientation="landscape" horizontalDpi="-4"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DÉPÔTS PAR BANQUE - AU 31 DÉCEMBRE 1999
(en milliers de gourdes)</a:t>
            </a:r>
          </a:p>
        </c:rich>
      </c:tx>
      <c:layout>
        <c:manualLayout>
          <c:xMode val="edge"/>
          <c:yMode val="edge"/>
          <c:x val="0.34593220301871141"/>
          <c:y val="2.930408171660678E-2"/>
        </c:manualLayout>
      </c:layout>
      <c:overlay val="0"/>
      <c:spPr>
        <a:noFill/>
        <a:ln w="25400">
          <a:noFill/>
        </a:ln>
      </c:spPr>
    </c:title>
    <c:autoTitleDeleted val="0"/>
    <c:plotArea>
      <c:layout>
        <c:manualLayout>
          <c:layoutTarget val="inner"/>
          <c:xMode val="edge"/>
          <c:yMode val="edge"/>
          <c:x val="0.30749529157218791"/>
          <c:y val="0.4578762768219809"/>
          <c:w val="0.43946202087191855"/>
          <c:h val="0.39560510317419151"/>
        </c:manualLayout>
      </c:layout>
      <c:barChart>
        <c:barDir val="col"/>
        <c:grouping val="clustered"/>
        <c:varyColors val="0"/>
        <c:ser>
          <c:idx val="0"/>
          <c:order val="0"/>
          <c:spPr>
            <a:solidFill>
              <a:srgbClr val="000000"/>
            </a:solidFill>
            <a:ln w="25400">
              <a:noFill/>
            </a:ln>
          </c:spPr>
          <c:invertIfNegative val="0"/>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partdemarc.!$I$11:$I$23</c:f>
              <c:strCache>
                <c:ptCount val="13"/>
                <c:pt idx="0">
                  <c:v>SOGEBK</c:v>
                </c:pt>
                <c:pt idx="1">
                  <c:v>UNIBK</c:v>
                </c:pt>
                <c:pt idx="2">
                  <c:v>SOCABK</c:v>
                </c:pt>
                <c:pt idx="3">
                  <c:v>BUH</c:v>
                </c:pt>
                <c:pt idx="4">
                  <c:v>BNC</c:v>
                </c:pt>
                <c:pt idx="5">
                  <c:v>CBNA</c:v>
                </c:pt>
                <c:pt idx="6">
                  <c:v>PROMOBK</c:v>
                </c:pt>
                <c:pt idx="7">
                  <c:v>SCOTIA</c:v>
                </c:pt>
                <c:pt idx="8">
                  <c:v>CAPITALBK</c:v>
                </c:pt>
                <c:pt idx="9">
                  <c:v>BPH</c:v>
                </c:pt>
                <c:pt idx="10">
                  <c:v>SOGEBL</c:v>
                </c:pt>
                <c:pt idx="11">
                  <c:v>BICH</c:v>
                </c:pt>
                <c:pt idx="12">
                  <c:v>BHD </c:v>
                </c:pt>
              </c:strCache>
            </c:strRef>
          </c:cat>
          <c:val>
            <c:numRef>
              <c:f>partdemarc.!$J$11:$J$23</c:f>
              <c:numCache>
                <c:formatCode>_(* #,##0.0_);_(* \(#,##0.0\);_(* "-"??_);_(@_)</c:formatCode>
                <c:ptCount val="13"/>
                <c:pt idx="0">
                  <c:v>4638569</c:v>
                </c:pt>
                <c:pt idx="1">
                  <c:v>3371393</c:v>
                </c:pt>
                <c:pt idx="2">
                  <c:v>2284054.7999999998</c:v>
                </c:pt>
                <c:pt idx="3">
                  <c:v>1956363</c:v>
                </c:pt>
                <c:pt idx="4">
                  <c:v>1472739</c:v>
                </c:pt>
                <c:pt idx="5">
                  <c:v>1360488</c:v>
                </c:pt>
                <c:pt idx="6">
                  <c:v>1355039</c:v>
                </c:pt>
                <c:pt idx="7">
                  <c:v>888788</c:v>
                </c:pt>
                <c:pt idx="8">
                  <c:v>874223</c:v>
                </c:pt>
                <c:pt idx="9">
                  <c:v>684781.8</c:v>
                </c:pt>
                <c:pt idx="10">
                  <c:v>464678.89999999997</c:v>
                </c:pt>
                <c:pt idx="11">
                  <c:v>5346.3</c:v>
                </c:pt>
                <c:pt idx="12">
                  <c:v>4276</c:v>
                </c:pt>
              </c:numCache>
            </c:numRef>
          </c:val>
        </c:ser>
        <c:dLbls>
          <c:showLegendKey val="0"/>
          <c:showVal val="0"/>
          <c:showCatName val="0"/>
          <c:showSerName val="0"/>
          <c:showPercent val="0"/>
          <c:showBubbleSize val="0"/>
        </c:dLbls>
        <c:gapWidth val="150"/>
        <c:axId val="152524672"/>
        <c:axId val="152526208"/>
      </c:barChart>
      <c:catAx>
        <c:axId val="15252467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52526208"/>
        <c:crosses val="autoZero"/>
        <c:auto val="0"/>
        <c:lblAlgn val="ctr"/>
        <c:lblOffset val="100"/>
        <c:tickLblSkip val="1"/>
        <c:tickMarkSkip val="1"/>
        <c:noMultiLvlLbl val="0"/>
      </c:catAx>
      <c:valAx>
        <c:axId val="152526208"/>
        <c:scaling>
          <c:orientation val="minMax"/>
        </c:scaling>
        <c:delete val="0"/>
        <c:axPos val="l"/>
        <c:numFmt formatCode="_(* #,##0.0_);_(* \(#,##0.0\);_(* &quot;-&quot;??_);_(@_)"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524672"/>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DÉPÔTS DEVISES CONVERTIES - SECTEUR BANCAIRE
(en milliers de gourdes)
</a:t>
            </a:r>
          </a:p>
        </c:rich>
      </c:tx>
      <c:layout>
        <c:manualLayout>
          <c:xMode val="edge"/>
          <c:yMode val="edge"/>
          <c:x val="0.34129032258064518"/>
          <c:y val="9.4518045654800528E-3"/>
        </c:manualLayout>
      </c:layout>
      <c:overlay val="0"/>
      <c:spPr>
        <a:noFill/>
        <a:ln w="25400">
          <a:noFill/>
        </a:ln>
      </c:spPr>
    </c:title>
    <c:autoTitleDeleted val="0"/>
    <c:plotArea>
      <c:layout>
        <c:manualLayout>
          <c:layoutTarget val="inner"/>
          <c:xMode val="edge"/>
          <c:yMode val="edge"/>
          <c:x val="0.2574193548387097"/>
          <c:y val="0.19281681313579307"/>
          <c:w val="0.55677419354838709"/>
          <c:h val="0.62759982314787555"/>
        </c:manualLayout>
      </c:layout>
      <c:barChart>
        <c:barDir val="col"/>
        <c:grouping val="clustered"/>
        <c:varyColors val="0"/>
        <c:ser>
          <c:idx val="0"/>
          <c:order val="0"/>
          <c:spPr>
            <a:solidFill>
              <a:srgbClr val="000000"/>
            </a:solidFill>
            <a:ln w="12700">
              <a:solidFill>
                <a:srgbClr val="000000"/>
              </a:solidFill>
              <a:prstDash val="solid"/>
            </a:ln>
          </c:spPr>
          <c:invertIfNegative val="0"/>
          <c:dLbls>
            <c:dLbl>
              <c:idx val="3"/>
              <c:layout>
                <c:manualLayout>
                  <c:xMode val="edge"/>
                  <c:yMode val="edge"/>
                  <c:x val="0.73677419354838714"/>
                  <c:y val="0.19281681313579307"/>
                </c:manualLayout>
              </c:layout>
              <c:dLblPos val="outEnd"/>
              <c:showLegendKey val="0"/>
              <c:showVal val="1"/>
              <c:showCatName val="0"/>
              <c:showSerName val="0"/>
              <c:showPercent val="0"/>
              <c:showBubbleSize val="0"/>
            </c:dLbl>
            <c:dLbl>
              <c:idx val="4"/>
              <c:layout>
                <c:manualLayout>
                  <c:xMode val="edge"/>
                  <c:yMode val="edge"/>
                  <c:x val="0.50193548387096776"/>
                  <c:y val="0.25708908418105741"/>
                </c:manualLayout>
              </c:layout>
              <c:dLblPos val="outEnd"/>
              <c:showLegendKey val="0"/>
              <c:showVal val="1"/>
              <c:showCatName val="0"/>
              <c:showSerName val="0"/>
              <c:showPercent val="0"/>
              <c:showBubbleSize val="0"/>
            </c:dLbl>
            <c:numFmt formatCode="#,##0.0" sourceLinked="0"/>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(somfinbilsys!$N$1,somfinbilsys!$L$1,somfinbilsys!$J$1,somfinbilsys!$B$7)</c:f>
              <c:strCache>
                <c:ptCount val="4"/>
                <c:pt idx="0">
                  <c:v>Sept. 97</c:v>
                </c:pt>
                <c:pt idx="1">
                  <c:v>Sept. 98</c:v>
                </c:pt>
                <c:pt idx="2">
                  <c:v>Sept.99</c:v>
                </c:pt>
                <c:pt idx="3">
                  <c:v>Déc. 99</c:v>
                </c:pt>
              </c:strCache>
            </c:strRef>
          </c:cat>
          <c:val>
            <c:numRef>
              <c:f>(somfinbilsys!$N$67,somfinbilsys!$L$67,somfinbilsys!$J$67,somfinbilsys!$B$67)</c:f>
              <c:numCache>
                <c:formatCode>_(* #,##0.0_);_(* \(#,##0.0\);_(* "-"??_);_(@_)</c:formatCode>
                <c:ptCount val="4"/>
                <c:pt idx="0" formatCode="_(* #,##0.00_);_(* \(#,##0.00\);_(* &quot;-&quot;??_);_(@_)">
                  <c:v>2012222.8</c:v>
                </c:pt>
                <c:pt idx="1">
                  <c:v>2654070.2999999998</c:v>
                </c:pt>
                <c:pt idx="2">
                  <c:v>4514112.8</c:v>
                </c:pt>
                <c:pt idx="3">
                  <c:v>4793099.2</c:v>
                </c:pt>
              </c:numCache>
            </c:numRef>
          </c:val>
        </c:ser>
        <c:dLbls>
          <c:showLegendKey val="0"/>
          <c:showVal val="1"/>
          <c:showCatName val="0"/>
          <c:showSerName val="0"/>
          <c:showPercent val="0"/>
          <c:showBubbleSize val="0"/>
        </c:dLbls>
        <c:gapWidth val="150"/>
        <c:axId val="152574208"/>
        <c:axId val="152580096"/>
      </c:barChart>
      <c:catAx>
        <c:axId val="15257420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152580096"/>
        <c:crosses val="autoZero"/>
        <c:auto val="0"/>
        <c:lblAlgn val="ctr"/>
        <c:lblOffset val="100"/>
        <c:tickLblSkip val="1"/>
        <c:tickMarkSkip val="1"/>
        <c:noMultiLvlLbl val="0"/>
      </c:catAx>
      <c:valAx>
        <c:axId val="152580096"/>
        <c:scaling>
          <c:orientation val="minMax"/>
          <c:min val="0"/>
        </c:scaling>
        <c:delete val="0"/>
        <c:axPos val="l"/>
        <c:numFmt formatCode="_(* #,##0.00_);_(* \(#,##0.00\);_(* &quot;-&quot;??_);_(@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574208"/>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CG Times"/>
          <a:ea typeface="CG Times"/>
          <a:cs typeface="CG Times"/>
        </a:defRPr>
      </a:pPr>
      <a:endParaRPr lang="en-US"/>
    </a:p>
  </c:txPr>
  <c:printSettings>
    <c:headerFooter alignWithMargins="0">
      <c:oddHeader>&amp;A</c:oddHeader>
      <c:oddFooter>Page &amp;P</c:oddFooter>
    </c:headerFooter>
    <c:pageMargins b="1" l="0.75" r="0.75" t="1" header="0.5" footer="0.5"/>
    <c:pageSetup orientation="landscape" horizontalDpi="-4" verticalDpi="300"/>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DÉPÔTS DEVISES CONVERTIES PAR BANQUE - AU 31 DÉCEMBRE 1999
(en milliers de gourdes)</a:t>
            </a:r>
          </a:p>
        </c:rich>
      </c:tx>
      <c:layout>
        <c:manualLayout>
          <c:xMode val="edge"/>
          <c:yMode val="edge"/>
          <c:x val="0.26644951140065148"/>
          <c:y val="2.9143949837683994E-2"/>
        </c:manualLayout>
      </c:layout>
      <c:overlay val="0"/>
      <c:spPr>
        <a:noFill/>
        <a:ln w="25400">
          <a:noFill/>
        </a:ln>
      </c:spPr>
    </c:title>
    <c:autoTitleDeleted val="0"/>
    <c:plotArea>
      <c:layout>
        <c:manualLayout>
          <c:layoutTarget val="inner"/>
          <c:xMode val="edge"/>
          <c:yMode val="edge"/>
          <c:x val="0.29902280130293157"/>
          <c:y val="0.29326099524169519"/>
          <c:w val="0.46449511400651466"/>
          <c:h val="0.56102103437541695"/>
        </c:manualLayout>
      </c:layout>
      <c:barChart>
        <c:barDir val="col"/>
        <c:grouping val="clustered"/>
        <c:varyColors val="0"/>
        <c:ser>
          <c:idx val="0"/>
          <c:order val="0"/>
          <c:spPr>
            <a:solidFill>
              <a:srgbClr val="000000"/>
            </a:solidFill>
            <a:ln w="25400">
              <a:noFill/>
            </a:ln>
          </c:spPr>
          <c:invertIfNegative val="0"/>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'bilsysbandéc.99$ '!$A$66:$A$77</c:f>
              <c:strCache>
                <c:ptCount val="12"/>
                <c:pt idx="0">
                  <c:v>SOGEBK</c:v>
                </c:pt>
                <c:pt idx="1">
                  <c:v>UNIBK</c:v>
                </c:pt>
                <c:pt idx="2">
                  <c:v>BNC</c:v>
                </c:pt>
                <c:pt idx="3">
                  <c:v>PROMOBK</c:v>
                </c:pt>
                <c:pt idx="4">
                  <c:v>SOCABK</c:v>
                </c:pt>
                <c:pt idx="5">
                  <c:v>CBNA</c:v>
                </c:pt>
                <c:pt idx="6">
                  <c:v>SCOTIA</c:v>
                </c:pt>
                <c:pt idx="7">
                  <c:v>BPH</c:v>
                </c:pt>
                <c:pt idx="8">
                  <c:v>BUH</c:v>
                </c:pt>
                <c:pt idx="9">
                  <c:v>CAPITALBK</c:v>
                </c:pt>
                <c:pt idx="10">
                  <c:v>SOGEBL</c:v>
                </c:pt>
                <c:pt idx="11">
                  <c:v>BHD</c:v>
                </c:pt>
              </c:strCache>
            </c:strRef>
          </c:cat>
          <c:val>
            <c:numRef>
              <c:f>'bilsysbandéc.99$ '!$B$66:$B$77</c:f>
              <c:numCache>
                <c:formatCode>_(* #,##0.0_);_(* \(#,##0.0\);_(* "-"??_);_(@_)</c:formatCode>
                <c:ptCount val="12"/>
                <c:pt idx="0">
                  <c:v>1435058</c:v>
                </c:pt>
                <c:pt idx="1">
                  <c:v>1623639.9000000001</c:v>
                </c:pt>
                <c:pt idx="2">
                  <c:v>63845</c:v>
                </c:pt>
                <c:pt idx="3">
                  <c:v>575210</c:v>
                </c:pt>
                <c:pt idx="4">
                  <c:v>1037123.2000000001</c:v>
                </c:pt>
                <c:pt idx="5">
                  <c:v>636523</c:v>
                </c:pt>
                <c:pt idx="6">
                  <c:v>111867</c:v>
                </c:pt>
                <c:pt idx="7">
                  <c:v>69658.7</c:v>
                </c:pt>
                <c:pt idx="8">
                  <c:v>512195</c:v>
                </c:pt>
                <c:pt idx="9">
                  <c:v>339704</c:v>
                </c:pt>
                <c:pt idx="10">
                  <c:v>125932.3</c:v>
                </c:pt>
                <c:pt idx="11" formatCode="General">
                  <c:v>2768.7</c:v>
                </c:pt>
              </c:numCache>
            </c:numRef>
          </c:val>
        </c:ser>
        <c:dLbls>
          <c:showLegendKey val="0"/>
          <c:showVal val="0"/>
          <c:showCatName val="0"/>
          <c:showSerName val="0"/>
          <c:showPercent val="0"/>
          <c:showBubbleSize val="0"/>
        </c:dLbls>
        <c:gapWidth val="150"/>
        <c:axId val="152621824"/>
        <c:axId val="152623360"/>
      </c:barChart>
      <c:catAx>
        <c:axId val="15262182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52623360"/>
        <c:crosses val="autoZero"/>
        <c:auto val="0"/>
        <c:lblAlgn val="ctr"/>
        <c:lblOffset val="100"/>
        <c:tickLblSkip val="1"/>
        <c:tickMarkSkip val="1"/>
        <c:noMultiLvlLbl val="0"/>
      </c:catAx>
      <c:valAx>
        <c:axId val="152623360"/>
        <c:scaling>
          <c:orientation val="minMax"/>
        </c:scaling>
        <c:delete val="0"/>
        <c:axPos val="l"/>
        <c:numFmt formatCode="_(* #,##0.0_);_(* \(#,##0.0\);_(* &quot;-&quot;??_);_(@_)"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621824"/>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orientation="landscape" horizontalDpi="0"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AVOIR DES ACTIONNAIRES - SECTEUR BANCAIRE
(en milliers de gourdes)
</a:t>
            </a:r>
          </a:p>
        </c:rich>
      </c:tx>
      <c:layout>
        <c:manualLayout>
          <c:xMode val="edge"/>
          <c:yMode val="edge"/>
          <c:x val="0.33887478610371108"/>
          <c:y val="9.4518045654800528E-3"/>
        </c:manualLayout>
      </c:layout>
      <c:overlay val="0"/>
      <c:spPr>
        <a:noFill/>
        <a:ln w="25400">
          <a:noFill/>
        </a:ln>
      </c:spPr>
    </c:title>
    <c:autoTitleDeleted val="0"/>
    <c:plotArea>
      <c:layout>
        <c:manualLayout>
          <c:layoutTarget val="inner"/>
          <c:xMode val="edge"/>
          <c:yMode val="edge"/>
          <c:x val="0.24232744138359719"/>
          <c:y val="0.22495294865842527"/>
          <c:w val="0.54667536248806226"/>
          <c:h val="0.58601188305976326"/>
        </c:manualLayout>
      </c:layout>
      <c:barChart>
        <c:barDir val="col"/>
        <c:grouping val="clustered"/>
        <c:varyColors val="0"/>
        <c:ser>
          <c:idx val="0"/>
          <c:order val="0"/>
          <c:spPr>
            <a:solidFill>
              <a:srgbClr val="000000"/>
            </a:solidFill>
            <a:ln w="12700">
              <a:solidFill>
                <a:srgbClr val="000000"/>
              </a:solidFill>
              <a:prstDash val="solid"/>
            </a:ln>
          </c:spPr>
          <c:invertIfNegative val="0"/>
          <c:dLbls>
            <c:dLbl>
              <c:idx val="4"/>
              <c:layout>
                <c:manualLayout>
                  <c:xMode val="edge"/>
                  <c:yMode val="edge"/>
                  <c:x val="0.731458028872916"/>
                  <c:y val="0.12098309843814467"/>
                </c:manualLayout>
              </c:layout>
              <c:dLblPos val="outEnd"/>
              <c:showLegendKey val="0"/>
              <c:showVal val="1"/>
              <c:showCatName val="0"/>
              <c:showSerName val="0"/>
              <c:showPercent val="0"/>
              <c:showBubbleSize val="0"/>
            </c:dLbl>
            <c:dLbl>
              <c:idx val="5"/>
              <c:layout>
                <c:manualLayout>
                  <c:xMode val="edge"/>
                  <c:yMode val="edge"/>
                  <c:x val="0.5031970880445672"/>
                  <c:y val="0.76748653071698025"/>
                </c:manualLayout>
              </c:layout>
              <c:dLblPos val="outEnd"/>
              <c:showLegendKey val="0"/>
              <c:showVal val="1"/>
              <c:showCatName val="0"/>
              <c:showSerName val="0"/>
              <c:showPercent val="0"/>
              <c:showBubbleSize val="0"/>
            </c:dLbl>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(somfinbilsys!$P$1,somfinbilsys!$N$1,somfinbilsys!$L$1,somfinbilsys!$J$1,somfinbilsys!$B$7)</c:f>
              <c:strCache>
                <c:ptCount val="5"/>
                <c:pt idx="0">
                  <c:v>Sept. 96</c:v>
                </c:pt>
                <c:pt idx="1">
                  <c:v>Sept. 97</c:v>
                </c:pt>
                <c:pt idx="2">
                  <c:v>Sept. 98</c:v>
                </c:pt>
                <c:pt idx="3">
                  <c:v>Sept.99</c:v>
                </c:pt>
                <c:pt idx="4">
                  <c:v>Déc. 99</c:v>
                </c:pt>
              </c:strCache>
            </c:strRef>
          </c:cat>
          <c:val>
            <c:numRef>
              <c:f>(somfinbilsys!$P$51,somfinbilsys!$N$51,somfinbilsys!$L$51,somfinbilsys!$J$51,somfinbilsys!$B$51)</c:f>
              <c:numCache>
                <c:formatCode>_(* #,##0.0_);_(* \(#,##0.0\);_(* "-"??_);_(@_)</c:formatCode>
                <c:ptCount val="5"/>
                <c:pt idx="0">
                  <c:v>598916.72370999993</c:v>
                </c:pt>
                <c:pt idx="1">
                  <c:v>848370.8</c:v>
                </c:pt>
                <c:pt idx="2">
                  <c:v>1034905.5</c:v>
                </c:pt>
                <c:pt idx="3">
                  <c:v>1088490.8</c:v>
                </c:pt>
                <c:pt idx="4">
                  <c:v>1129980.3999999999</c:v>
                </c:pt>
              </c:numCache>
            </c:numRef>
          </c:val>
        </c:ser>
        <c:dLbls>
          <c:showLegendKey val="0"/>
          <c:showVal val="1"/>
          <c:showCatName val="0"/>
          <c:showSerName val="0"/>
          <c:showPercent val="0"/>
          <c:showBubbleSize val="0"/>
        </c:dLbls>
        <c:gapWidth val="150"/>
        <c:axId val="152152320"/>
        <c:axId val="152158208"/>
      </c:barChart>
      <c:catAx>
        <c:axId val="15215232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152158208"/>
        <c:crosses val="autoZero"/>
        <c:auto val="0"/>
        <c:lblAlgn val="ctr"/>
        <c:lblOffset val="100"/>
        <c:tickLblSkip val="1"/>
        <c:tickMarkSkip val="1"/>
        <c:noMultiLvlLbl val="0"/>
      </c:catAx>
      <c:valAx>
        <c:axId val="152158208"/>
        <c:scaling>
          <c:orientation val="minMax"/>
        </c:scaling>
        <c:delete val="0"/>
        <c:axPos val="l"/>
        <c:numFmt formatCode="_(* #,##0.0_);_(* \(#,##0.0\);_(* &quot;-&quot;??_);_(@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152320"/>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CG Times"/>
          <a:ea typeface="CG Times"/>
          <a:cs typeface="CG Times"/>
        </a:defRPr>
      </a:pPr>
      <a:endParaRPr lang="en-US"/>
    </a:p>
  </c:txPr>
  <c:printSettings>
    <c:headerFooter alignWithMargins="0">
      <c:oddHeader>&amp;A</c:oddHeader>
      <c:oddFooter>Page &amp;P</c:oddFooter>
    </c:headerFooter>
    <c:pageMargins b="1" l="0.75" r="0.75" t="1" header="0.5" footer="0.5"/>
    <c:pageSetup orientation="landscape" horizontalDpi="-4" verticalDpi="300"/>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AVOIR DES ACTIONNAIRES PAR BANQUE - AU 31 DÉCEMBRE 1999
(en milliers de gourdes)</a:t>
            </a:r>
          </a:p>
        </c:rich>
      </c:tx>
      <c:layout>
        <c:manualLayout>
          <c:xMode val="edge"/>
          <c:yMode val="edge"/>
          <c:x val="0.28183581124757595"/>
          <c:y val="2.930408171660678E-2"/>
        </c:manualLayout>
      </c:layout>
      <c:overlay val="0"/>
      <c:spPr>
        <a:noFill/>
        <a:ln w="25400">
          <a:noFill/>
        </a:ln>
      </c:spPr>
    </c:title>
    <c:autoTitleDeleted val="0"/>
    <c:plotArea>
      <c:layout>
        <c:manualLayout>
          <c:layoutTarget val="inner"/>
          <c:xMode val="edge"/>
          <c:yMode val="edge"/>
          <c:x val="0.28054298642533937"/>
          <c:y val="0.27472576609318855"/>
          <c:w val="0.51260504201680668"/>
          <c:h val="0.48901186364587562"/>
        </c:manualLayout>
      </c:layout>
      <c:barChart>
        <c:barDir val="col"/>
        <c:grouping val="clustered"/>
        <c:varyColors val="0"/>
        <c:ser>
          <c:idx val="0"/>
          <c:order val="0"/>
          <c:spPr>
            <a:solidFill>
              <a:srgbClr val="000000"/>
            </a:solidFill>
            <a:ln w="12700">
              <a:solidFill>
                <a:srgbClr val="000000"/>
              </a:solidFill>
              <a:prstDash val="solid"/>
            </a:ln>
          </c:spPr>
          <c:invertIfNegative val="0"/>
          <c:dLbls>
            <c:dLbl>
              <c:idx val="11"/>
              <c:layout>
                <c:manualLayout>
                  <c:xMode val="edge"/>
                  <c:yMode val="edge"/>
                  <c:x val="0.72786037491919842"/>
                  <c:y val="0.66849936416009215"/>
                </c:manualLayout>
              </c:layout>
              <c:dLblPos val="outEnd"/>
              <c:showLegendKey val="0"/>
              <c:showVal val="1"/>
              <c:showCatName val="0"/>
              <c:showSerName val="0"/>
              <c:showPercent val="0"/>
              <c:showBubbleSize val="0"/>
            </c:dLbl>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'bilsysbandéc.99  '!$K$76:$K$88</c:f>
              <c:strCache>
                <c:ptCount val="13"/>
                <c:pt idx="0">
                  <c:v>SOGEBK</c:v>
                </c:pt>
                <c:pt idx="1">
                  <c:v>UNIBK</c:v>
                </c:pt>
                <c:pt idx="2">
                  <c:v>SOCABK</c:v>
                </c:pt>
                <c:pt idx="3">
                  <c:v>CAPITALBK</c:v>
                </c:pt>
                <c:pt idx="4">
                  <c:v>PROMOBK</c:v>
                </c:pt>
                <c:pt idx="5">
                  <c:v>CBNA</c:v>
                </c:pt>
                <c:pt idx="6">
                  <c:v>BNC</c:v>
                </c:pt>
                <c:pt idx="7">
                  <c:v>SOGEBL</c:v>
                </c:pt>
                <c:pt idx="8">
                  <c:v>SCOTIA</c:v>
                </c:pt>
                <c:pt idx="9">
                  <c:v>BPH</c:v>
                </c:pt>
                <c:pt idx="10">
                  <c:v>BHD</c:v>
                </c:pt>
                <c:pt idx="11">
                  <c:v>BICH</c:v>
                </c:pt>
                <c:pt idx="12">
                  <c:v>BUH</c:v>
                </c:pt>
              </c:strCache>
            </c:strRef>
          </c:cat>
          <c:val>
            <c:numRef>
              <c:f>'bilsysbandéc.99  '!$L$76:$L$88</c:f>
              <c:numCache>
                <c:formatCode>_(* #,##0.0_);_(* \(#,##0.0\);_(* "-"??_);_(@_)</c:formatCode>
                <c:ptCount val="13"/>
                <c:pt idx="0">
                  <c:v>360354</c:v>
                </c:pt>
                <c:pt idx="1">
                  <c:v>200094.7</c:v>
                </c:pt>
                <c:pt idx="2">
                  <c:v>122955.29999999999</c:v>
                </c:pt>
                <c:pt idx="3">
                  <c:v>119824</c:v>
                </c:pt>
                <c:pt idx="4">
                  <c:v>95371</c:v>
                </c:pt>
                <c:pt idx="5">
                  <c:v>47353</c:v>
                </c:pt>
                <c:pt idx="6">
                  <c:v>45824</c:v>
                </c:pt>
                <c:pt idx="7">
                  <c:v>43402.399999999994</c:v>
                </c:pt>
                <c:pt idx="8">
                  <c:v>41911</c:v>
                </c:pt>
                <c:pt idx="9">
                  <c:v>29487</c:v>
                </c:pt>
                <c:pt idx="10">
                  <c:v>12420.4</c:v>
                </c:pt>
                <c:pt idx="11">
                  <c:v>5789.6</c:v>
                </c:pt>
                <c:pt idx="12">
                  <c:v>5194</c:v>
                </c:pt>
              </c:numCache>
            </c:numRef>
          </c:val>
        </c:ser>
        <c:dLbls>
          <c:showLegendKey val="0"/>
          <c:showVal val="1"/>
          <c:showCatName val="0"/>
          <c:showSerName val="0"/>
          <c:showPercent val="0"/>
          <c:showBubbleSize val="0"/>
        </c:dLbls>
        <c:gapWidth val="150"/>
        <c:axId val="152270336"/>
        <c:axId val="152271872"/>
      </c:barChart>
      <c:catAx>
        <c:axId val="15227033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52271872"/>
        <c:crosses val="autoZero"/>
        <c:auto val="0"/>
        <c:lblAlgn val="ctr"/>
        <c:lblOffset val="100"/>
        <c:tickLblSkip val="1"/>
        <c:tickMarkSkip val="1"/>
        <c:noMultiLvlLbl val="0"/>
      </c:catAx>
      <c:valAx>
        <c:axId val="152271872"/>
        <c:scaling>
          <c:orientation val="minMax"/>
        </c:scaling>
        <c:delete val="0"/>
        <c:axPos val="l"/>
        <c:numFmt formatCode="_(* #,##0.0_);_(* \(#,##0.0\);_(* &quot;-&quot;??_);_(@_)"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270336"/>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orientation="landscape" horizontalDpi="0" verticalDpi="300"/>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REVENUS D'INTÉRÊT - SYSTÈME BANCAIRE
(en milliers de gourdes)
</a:t>
            </a:r>
          </a:p>
        </c:rich>
      </c:tx>
      <c:layout>
        <c:manualLayout>
          <c:xMode val="edge"/>
          <c:yMode val="edge"/>
          <c:x val="0.3524485644935732"/>
          <c:y val="9.980059373556352E-3"/>
        </c:manualLayout>
      </c:layout>
      <c:overlay val="0"/>
      <c:spPr>
        <a:noFill/>
        <a:ln w="25400">
          <a:noFill/>
        </a:ln>
      </c:spPr>
    </c:title>
    <c:autoTitleDeleted val="0"/>
    <c:plotArea>
      <c:layout>
        <c:manualLayout>
          <c:layoutTarget val="inner"/>
          <c:xMode val="edge"/>
          <c:yMode val="edge"/>
          <c:x val="0.27963926323621713"/>
          <c:y val="0.37724624432043008"/>
          <c:w val="0.48646922521507818"/>
          <c:h val="0.47704683805599357"/>
        </c:manualLayout>
      </c:layout>
      <c:barChart>
        <c:barDir val="col"/>
        <c:grouping val="clustered"/>
        <c:varyColors val="0"/>
        <c:ser>
          <c:idx val="0"/>
          <c:order val="0"/>
          <c:spPr>
            <a:solidFill>
              <a:srgbClr val="000000"/>
            </a:solidFill>
            <a:ln w="25400">
              <a:noFill/>
            </a:ln>
          </c:spPr>
          <c:invertIfNegative val="0"/>
          <c:dPt>
            <c:idx val="0"/>
            <c:invertIfNegative val="0"/>
            <c:bubble3D val="0"/>
            <c:spPr>
              <a:solidFill>
                <a:srgbClr val="C0C0C0"/>
              </a:solidFill>
              <a:ln w="25400">
                <a:noFill/>
              </a:ln>
            </c:spPr>
          </c:dPt>
          <c:dPt>
            <c:idx val="5"/>
            <c:invertIfNegative val="0"/>
            <c:bubble3D val="0"/>
            <c:spPr>
              <a:solidFill>
                <a:srgbClr val="C0C0C0"/>
              </a:solidFill>
              <a:ln w="25400">
                <a:noFill/>
              </a:ln>
            </c:spPr>
          </c:dPt>
          <c:dLbls>
            <c:spPr>
              <a:noFill/>
              <a:ln w="25400">
                <a:noFill/>
              </a:ln>
            </c:spPr>
            <c:txPr>
              <a:bodyPr rot="-5400000" vert="horz"/>
              <a:lstStyle/>
              <a:p>
                <a:pPr algn="ctr">
                  <a:defRPr sz="10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(somfinrésys!$T$1,somfinrésys!$R$1,somfinrésys!$I$1,somfinrésys!$K$1,somfinrésys!$B$1,somfinrésys!$D$1)</c:f>
              <c:strCache>
                <c:ptCount val="6"/>
                <c:pt idx="0">
                  <c:v>CUMUL 99</c:v>
                </c:pt>
                <c:pt idx="1">
                  <c:v>CUMUL 00</c:v>
                </c:pt>
                <c:pt idx="4">
                  <c:v>TRIM 1 00</c:v>
                </c:pt>
                <c:pt idx="5">
                  <c:v>TRIM 1 99</c:v>
                </c:pt>
              </c:strCache>
            </c:strRef>
          </c:cat>
          <c:val>
            <c:numRef>
              <c:f>(somfinrésys!$T$53,somfinrésys!$R$53,somfinrésys!$I$82,somfinrésys!$K$82,somfinrésys!$B$53,somfinrésys!$D$53)</c:f>
              <c:numCache>
                <c:formatCode>_(* #,##0.0_);_(* \(#,##0.0\);_(* "-"??_);_(@_)</c:formatCode>
                <c:ptCount val="6"/>
                <c:pt idx="0">
                  <c:v>475311.49999999994</c:v>
                </c:pt>
                <c:pt idx="1">
                  <c:v>484745.19999999995</c:v>
                </c:pt>
                <c:pt idx="4">
                  <c:v>484745.19999999995</c:v>
                </c:pt>
                <c:pt idx="5">
                  <c:v>475311.49999999994</c:v>
                </c:pt>
              </c:numCache>
            </c:numRef>
          </c:val>
        </c:ser>
        <c:dLbls>
          <c:showLegendKey val="0"/>
          <c:showVal val="0"/>
          <c:showCatName val="0"/>
          <c:showSerName val="0"/>
          <c:showPercent val="0"/>
          <c:showBubbleSize val="0"/>
        </c:dLbls>
        <c:gapWidth val="150"/>
        <c:axId val="251443840"/>
        <c:axId val="251445632"/>
      </c:barChart>
      <c:catAx>
        <c:axId val="2514438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251445632"/>
        <c:crosses val="autoZero"/>
        <c:auto val="0"/>
        <c:lblAlgn val="ctr"/>
        <c:lblOffset val="100"/>
        <c:tickLblSkip val="1"/>
        <c:tickMarkSkip val="1"/>
        <c:noMultiLvlLbl val="0"/>
      </c:catAx>
      <c:valAx>
        <c:axId val="251445632"/>
        <c:scaling>
          <c:orientation val="minMax"/>
        </c:scaling>
        <c:delete val="0"/>
        <c:axPos val="l"/>
        <c:numFmt formatCode="_(* #,##0.0_);_(* \(#,##0.0\);_(* &quot;-&quot;??_);_(@_)"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251443840"/>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CG Times"/>
          <a:ea typeface="CG Times"/>
          <a:cs typeface="CG Times"/>
        </a:defRPr>
      </a:pPr>
      <a:endParaRPr lang="en-US"/>
    </a:p>
  </c:txPr>
  <c:printSettings>
    <c:headerFooter alignWithMargins="0">
      <c:oddHeader>&amp;A</c:oddHeader>
      <c:oddFooter>Page &amp;P</c:oddFooter>
    </c:headerFooter>
    <c:pageMargins b="1" l="0.75" r="0.75" t="1" header="0.5" footer="0.5"/>
    <c:pageSetup orientation="landscape" horizontalDpi="-4" verticalDpi="300"/>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REVENUS D'INTÉRÊT PAR BANQUE - TRIM 1 2000
(en milliers de gourdes)</a:t>
            </a:r>
          </a:p>
        </c:rich>
      </c:tx>
      <c:layout>
        <c:manualLayout>
          <c:xMode val="edge"/>
          <c:yMode val="edge"/>
          <c:x val="0.35381641187705037"/>
          <c:y val="2.8933117771245773E-2"/>
        </c:manualLayout>
      </c:layout>
      <c:overlay val="0"/>
      <c:spPr>
        <a:noFill/>
        <a:ln w="25400">
          <a:noFill/>
        </a:ln>
      </c:spPr>
    </c:title>
    <c:autoTitleDeleted val="0"/>
    <c:plotArea>
      <c:layout>
        <c:manualLayout>
          <c:layoutTarget val="inner"/>
          <c:xMode val="edge"/>
          <c:yMode val="edge"/>
          <c:x val="0.29624847648937674"/>
          <c:y val="0.25678142021980621"/>
          <c:w val="0.45213468355038061"/>
          <c:h val="0.59855387389264691"/>
        </c:manualLayout>
      </c:layout>
      <c:barChart>
        <c:barDir val="col"/>
        <c:grouping val="clustered"/>
        <c:varyColors val="0"/>
        <c:ser>
          <c:idx val="0"/>
          <c:order val="0"/>
          <c:spPr>
            <a:solidFill>
              <a:srgbClr val="000000"/>
            </a:solidFill>
            <a:ln w="25400">
              <a:noFill/>
            </a:ln>
          </c:spPr>
          <c:invertIfNegative val="0"/>
          <c:dLbls>
            <c:dLbl>
              <c:idx val="13"/>
              <c:layout>
                <c:manualLayout>
                  <c:xMode val="edge"/>
                  <c:yMode val="edge"/>
                  <c:x val="0.62354482824401558"/>
                  <c:y val="0.79023577912715015"/>
                </c:manualLayout>
              </c:layout>
              <c:dLblPos val="outEnd"/>
              <c:showLegendKey val="0"/>
              <c:showVal val="1"/>
              <c:showCatName val="0"/>
              <c:showSerName val="0"/>
              <c:showPercent val="0"/>
              <c:showBubbleSize val="0"/>
            </c:dLbl>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'RÉSULTsyst  '!$B$95:$B$107</c:f>
              <c:strCache>
                <c:ptCount val="13"/>
                <c:pt idx="0">
                  <c:v>SOGEBK</c:v>
                </c:pt>
                <c:pt idx="1">
                  <c:v>UNIBK</c:v>
                </c:pt>
                <c:pt idx="2">
                  <c:v>SOCABK</c:v>
                </c:pt>
                <c:pt idx="3">
                  <c:v>BUH</c:v>
                </c:pt>
                <c:pt idx="4">
                  <c:v>PROMOBK</c:v>
                </c:pt>
                <c:pt idx="5">
                  <c:v>CBNA</c:v>
                </c:pt>
                <c:pt idx="6">
                  <c:v>BNC</c:v>
                </c:pt>
                <c:pt idx="7">
                  <c:v>CAPITALBK</c:v>
                </c:pt>
                <c:pt idx="8">
                  <c:v>SCOTIA</c:v>
                </c:pt>
                <c:pt idx="9">
                  <c:v>BPH</c:v>
                </c:pt>
                <c:pt idx="10">
                  <c:v>SOGEBL</c:v>
                </c:pt>
                <c:pt idx="11">
                  <c:v>BICH</c:v>
                </c:pt>
                <c:pt idx="12">
                  <c:v>BHD</c:v>
                </c:pt>
              </c:strCache>
            </c:strRef>
          </c:cat>
          <c:val>
            <c:numRef>
              <c:f>'RÉSULTsyst  '!$C$95:$C$107</c:f>
              <c:numCache>
                <c:formatCode>_(* #,##0.0_);_(* \(#,##0.0\);_(* "-"??_);_(@_)</c:formatCode>
                <c:ptCount val="13"/>
                <c:pt idx="0">
                  <c:v>110324.5</c:v>
                </c:pt>
                <c:pt idx="1">
                  <c:v>75556.899999999994</c:v>
                </c:pt>
                <c:pt idx="2">
                  <c:v>58941</c:v>
                </c:pt>
                <c:pt idx="3">
                  <c:v>45293</c:v>
                </c:pt>
                <c:pt idx="4">
                  <c:v>40624.9</c:v>
                </c:pt>
                <c:pt idx="5">
                  <c:v>34434</c:v>
                </c:pt>
                <c:pt idx="6">
                  <c:v>30754</c:v>
                </c:pt>
                <c:pt idx="7">
                  <c:v>27457</c:v>
                </c:pt>
                <c:pt idx="8">
                  <c:v>25277</c:v>
                </c:pt>
                <c:pt idx="9">
                  <c:v>19657.8</c:v>
                </c:pt>
                <c:pt idx="10">
                  <c:v>16185.2</c:v>
                </c:pt>
                <c:pt idx="11">
                  <c:v>126.6</c:v>
                </c:pt>
                <c:pt idx="12">
                  <c:v>113.3</c:v>
                </c:pt>
              </c:numCache>
            </c:numRef>
          </c:val>
        </c:ser>
        <c:dLbls>
          <c:showLegendKey val="0"/>
          <c:showVal val="0"/>
          <c:showCatName val="0"/>
          <c:showSerName val="0"/>
          <c:showPercent val="0"/>
          <c:showBubbleSize val="0"/>
        </c:dLbls>
        <c:gapWidth val="150"/>
        <c:axId val="153032960"/>
        <c:axId val="153051136"/>
      </c:barChart>
      <c:catAx>
        <c:axId val="15303296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53051136"/>
        <c:crosses val="autoZero"/>
        <c:auto val="0"/>
        <c:lblAlgn val="ctr"/>
        <c:lblOffset val="100"/>
        <c:tickLblSkip val="1"/>
        <c:tickMarkSkip val="1"/>
        <c:noMultiLvlLbl val="0"/>
      </c:catAx>
      <c:valAx>
        <c:axId val="153051136"/>
        <c:scaling>
          <c:orientation val="minMax"/>
        </c:scaling>
        <c:delete val="0"/>
        <c:axPos val="l"/>
        <c:numFmt formatCode="_(* #,##0.0_);_(* \(#,##0.0\);_(* &quot;-&quot;??_);_(@_)"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3032960"/>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REVENUS NETS D'INTÉRÊTS EN % REVENUS D'INTÉRÊTS - SYSTÈME BANCAIRE
</a:t>
            </a:r>
          </a:p>
        </c:rich>
      </c:tx>
      <c:layout>
        <c:manualLayout>
          <c:xMode val="edge"/>
          <c:yMode val="edge"/>
          <c:x val="0.23679185232336092"/>
          <c:y val="9.6899408194434725E-3"/>
        </c:manualLayout>
      </c:layout>
      <c:overlay val="0"/>
      <c:spPr>
        <a:noFill/>
        <a:ln w="25400">
          <a:noFill/>
        </a:ln>
      </c:spPr>
    </c:title>
    <c:autoTitleDeleted val="0"/>
    <c:plotArea>
      <c:layout>
        <c:manualLayout>
          <c:layoutTarget val="inner"/>
          <c:xMode val="edge"/>
          <c:yMode val="edge"/>
          <c:x val="0.25907065563335457"/>
          <c:y val="0.16860497025831642"/>
          <c:w val="0.53278166772756208"/>
          <c:h val="0.70736567981937348"/>
        </c:manualLayout>
      </c:layout>
      <c:barChart>
        <c:barDir val="col"/>
        <c:grouping val="clustered"/>
        <c:varyColors val="0"/>
        <c:ser>
          <c:idx val="0"/>
          <c:order val="0"/>
          <c:spPr>
            <a:solidFill>
              <a:srgbClr val="000000"/>
            </a:solidFill>
            <a:ln w="25400">
              <a:noFill/>
            </a:ln>
          </c:spPr>
          <c:invertIfNegative val="0"/>
          <c:dPt>
            <c:idx val="0"/>
            <c:invertIfNegative val="0"/>
            <c:bubble3D val="0"/>
            <c:spPr>
              <a:solidFill>
                <a:srgbClr val="C0C0C0"/>
              </a:solidFill>
              <a:ln w="25400">
                <a:noFill/>
              </a:ln>
            </c:spPr>
          </c:dPt>
          <c:dPt>
            <c:idx val="5"/>
            <c:invertIfNegative val="0"/>
            <c:bubble3D val="0"/>
            <c:spPr>
              <a:solidFill>
                <a:srgbClr val="C0C0C0"/>
              </a:solidFill>
              <a:ln w="25400">
                <a:noFill/>
              </a:ln>
            </c:spPr>
          </c:dPt>
          <c:dLbls>
            <c:spPr>
              <a:noFill/>
              <a:ln w="25400">
                <a:noFill/>
              </a:ln>
            </c:spPr>
            <c:txPr>
              <a:bodyPr rot="-5400000" vert="horz"/>
              <a:lstStyle/>
              <a:p>
                <a:pPr algn="ctr">
                  <a:defRPr sz="10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(somfinrésys!$T$1,somfinrésys!$R$1,somfinrésys!$I$1,somfinrésys!$K$1,somfinrésys!$B$1,somfinrésys!$D$1)</c:f>
              <c:strCache>
                <c:ptCount val="6"/>
                <c:pt idx="0">
                  <c:v>CUMUL 99</c:v>
                </c:pt>
                <c:pt idx="1">
                  <c:v>CUMUL 00</c:v>
                </c:pt>
                <c:pt idx="4">
                  <c:v>TRIM 1 00</c:v>
                </c:pt>
                <c:pt idx="5">
                  <c:v>TRIM 1 99</c:v>
                </c:pt>
              </c:strCache>
            </c:strRef>
          </c:cat>
          <c:val>
            <c:numRef>
              <c:f>(somfinrésys!$T$84,somfinrésys!$R$84,somfinrésys!$I$93,somfinrésys!$J$93,somfinrésys!$B$84,somfinrésys!$D$84)</c:f>
              <c:numCache>
                <c:formatCode>0.00%</c:formatCode>
                <c:ptCount val="6"/>
                <c:pt idx="0">
                  <c:v>0.51705123902956274</c:v>
                </c:pt>
                <c:pt idx="1">
                  <c:v>0.64022150193544969</c:v>
                </c:pt>
                <c:pt idx="4">
                  <c:v>0.64022150193544969</c:v>
                </c:pt>
                <c:pt idx="5">
                  <c:v>0.51705123902956274</c:v>
                </c:pt>
              </c:numCache>
            </c:numRef>
          </c:val>
        </c:ser>
        <c:dLbls>
          <c:showLegendKey val="0"/>
          <c:showVal val="0"/>
          <c:showCatName val="0"/>
          <c:showSerName val="0"/>
          <c:showPercent val="0"/>
          <c:showBubbleSize val="0"/>
        </c:dLbls>
        <c:gapWidth val="150"/>
        <c:axId val="251650432"/>
        <c:axId val="251651968"/>
      </c:barChart>
      <c:catAx>
        <c:axId val="25165043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251651968"/>
        <c:crosses val="autoZero"/>
        <c:auto val="0"/>
        <c:lblAlgn val="ctr"/>
        <c:lblOffset val="100"/>
        <c:tickLblSkip val="1"/>
        <c:tickMarkSkip val="1"/>
        <c:noMultiLvlLbl val="0"/>
      </c:catAx>
      <c:valAx>
        <c:axId val="251651968"/>
        <c:scaling>
          <c:orientation val="minMax"/>
          <c:max val="1"/>
          <c:min val="0"/>
        </c:scaling>
        <c:delete val="0"/>
        <c:axPos val="l"/>
        <c:numFmt formatCode="0.0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251650432"/>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CG Times"/>
          <a:ea typeface="CG Times"/>
          <a:cs typeface="CG Times"/>
        </a:defRPr>
      </a:pPr>
      <a:endParaRPr lang="en-US"/>
    </a:p>
  </c:txPr>
  <c:printSettings>
    <c:headerFooter alignWithMargins="0">
      <c:oddHeader>&amp;A</c:oddHeader>
      <c:oddFooter>Page &amp;P</c:oddFooter>
    </c:headerFooter>
    <c:pageMargins b="1" l="0.75" r="0.75" t="1" header="0.5" footer="0.5"/>
    <c:pageSetup orientation="landscape" horizontalDpi="-4" verticalDpi="30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REVENUS NETS D'INTÉRÊTS EN % REVENUS D'INTÉRÊTS - TRIM 1 2000
</a:t>
            </a:r>
          </a:p>
        </c:rich>
      </c:tx>
      <c:layout>
        <c:manualLayout>
          <c:xMode val="edge"/>
          <c:yMode val="edge"/>
          <c:x val="0.26829276701047988"/>
          <c:y val="2.9197080291970802E-2"/>
        </c:manualLayout>
      </c:layout>
      <c:overlay val="0"/>
      <c:spPr>
        <a:noFill/>
        <a:ln w="25400">
          <a:noFill/>
        </a:ln>
      </c:spPr>
    </c:title>
    <c:autoTitleDeleted val="0"/>
    <c:plotArea>
      <c:layout>
        <c:manualLayout>
          <c:layoutTarget val="inner"/>
          <c:xMode val="edge"/>
          <c:yMode val="edge"/>
          <c:x val="0.31643142137838892"/>
          <c:y val="0.28832116788321166"/>
          <c:w val="0.45507074595796704"/>
          <c:h val="0.56569343065693434"/>
        </c:manualLayout>
      </c:layout>
      <c:barChart>
        <c:barDir val="col"/>
        <c:grouping val="clustered"/>
        <c:varyColors val="0"/>
        <c:ser>
          <c:idx val="0"/>
          <c:order val="0"/>
          <c:spPr>
            <a:solidFill>
              <a:srgbClr val="000000"/>
            </a:solidFill>
            <a:ln w="25400">
              <a:noFill/>
            </a:ln>
          </c:spPr>
          <c:invertIfNegative val="0"/>
          <c:dLbls>
            <c:dLbl>
              <c:idx val="13"/>
              <c:numFmt formatCode="0.00%" sourceLinked="0"/>
              <c:spPr>
                <a:noFill/>
                <a:ln w="25400">
                  <a:noFill/>
                </a:ln>
              </c:spPr>
              <c:txPr>
                <a:bodyPr rot="-5400000" vert="horz"/>
                <a:lstStyle/>
                <a:p>
                  <a:pPr algn="ctr">
                    <a:defRPr sz="1000" b="0"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dLbl>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'RÉSULTsyst  '!$E$96:$E$108</c:f>
              <c:strCache>
                <c:ptCount val="12"/>
                <c:pt idx="0">
                  <c:v>SOGEBK</c:v>
                </c:pt>
                <c:pt idx="1">
                  <c:v>PROMOBK</c:v>
                </c:pt>
                <c:pt idx="2">
                  <c:v>UNIBK</c:v>
                </c:pt>
                <c:pt idx="3">
                  <c:v>SCOTIA</c:v>
                </c:pt>
                <c:pt idx="4">
                  <c:v>SOGEBL</c:v>
                </c:pt>
                <c:pt idx="5">
                  <c:v>BNC</c:v>
                </c:pt>
                <c:pt idx="6">
                  <c:v>CAPITALBK</c:v>
                </c:pt>
                <c:pt idx="7">
                  <c:v>BUH</c:v>
                </c:pt>
                <c:pt idx="8">
                  <c:v>CBNA</c:v>
                </c:pt>
                <c:pt idx="9">
                  <c:v>BHD</c:v>
                </c:pt>
                <c:pt idx="10">
                  <c:v>BPH</c:v>
                </c:pt>
                <c:pt idx="11">
                  <c:v>SOCABK</c:v>
                </c:pt>
              </c:strCache>
            </c:strRef>
          </c:cat>
          <c:val>
            <c:numRef>
              <c:f>'RÉSULTsyst  '!$F$96:$F$108</c:f>
              <c:numCache>
                <c:formatCode>0.00%</c:formatCode>
                <c:ptCount val="13"/>
                <c:pt idx="0">
                  <c:v>0.74798072957502648</c:v>
                </c:pt>
                <c:pt idx="1">
                  <c:v>0.72328301115818139</c:v>
                </c:pt>
                <c:pt idx="2">
                  <c:v>0.71138042984823358</c:v>
                </c:pt>
                <c:pt idx="3">
                  <c:v>0.70360406693832334</c:v>
                </c:pt>
                <c:pt idx="4">
                  <c:v>0.69417739663396194</c:v>
                </c:pt>
                <c:pt idx="5">
                  <c:v>0.67314820836313971</c:v>
                </c:pt>
                <c:pt idx="6">
                  <c:v>0.66023236333175506</c:v>
                </c:pt>
                <c:pt idx="7">
                  <c:v>0.61283200494557655</c:v>
                </c:pt>
                <c:pt idx="8">
                  <c:v>0.58175059534181328</c:v>
                </c:pt>
                <c:pt idx="9">
                  <c:v>0.57987643424536617</c:v>
                </c:pt>
                <c:pt idx="10">
                  <c:v>0.46575913886599718</c:v>
                </c:pt>
                <c:pt idx="11">
                  <c:v>0.33479411615004834</c:v>
                </c:pt>
              </c:numCache>
            </c:numRef>
          </c:val>
        </c:ser>
        <c:dLbls>
          <c:showLegendKey val="0"/>
          <c:showVal val="0"/>
          <c:showCatName val="0"/>
          <c:showSerName val="0"/>
          <c:showPercent val="0"/>
          <c:showBubbleSize val="0"/>
        </c:dLbls>
        <c:gapWidth val="150"/>
        <c:axId val="152911232"/>
        <c:axId val="152917120"/>
      </c:barChart>
      <c:catAx>
        <c:axId val="15291123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52917120"/>
        <c:crosses val="autoZero"/>
        <c:auto val="0"/>
        <c:lblAlgn val="ctr"/>
        <c:lblOffset val="100"/>
        <c:tickLblSkip val="1"/>
        <c:tickMarkSkip val="1"/>
        <c:noMultiLvlLbl val="0"/>
      </c:catAx>
      <c:valAx>
        <c:axId val="152917120"/>
        <c:scaling>
          <c:orientation val="minMax"/>
        </c:scaling>
        <c:delete val="0"/>
        <c:axPos val="l"/>
        <c:numFmt formatCode="0.00%"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911232"/>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AUTRES REVENUS - SYSTÈME BANCAIRE
(en milliers de gourdes)
</a:t>
            </a:r>
          </a:p>
        </c:rich>
      </c:tx>
      <c:layout>
        <c:manualLayout>
          <c:xMode val="edge"/>
          <c:yMode val="edge"/>
          <c:x val="0.36346276257161042"/>
          <c:y val="1.1627928983332167E-2"/>
        </c:manualLayout>
      </c:layout>
      <c:overlay val="0"/>
      <c:spPr>
        <a:noFill/>
        <a:ln w="25400">
          <a:noFill/>
        </a:ln>
      </c:spPr>
    </c:title>
    <c:autoTitleDeleted val="0"/>
    <c:plotArea>
      <c:layout>
        <c:manualLayout>
          <c:layoutTarget val="inner"/>
          <c:xMode val="edge"/>
          <c:yMode val="edge"/>
          <c:x val="0.27180140038192235"/>
          <c:y val="0.36240378664718587"/>
          <c:w val="0.47803946530872055"/>
          <c:h val="0.55426461487216661"/>
        </c:manualLayout>
      </c:layout>
      <c:barChart>
        <c:barDir val="col"/>
        <c:grouping val="clustered"/>
        <c:varyColors val="0"/>
        <c:ser>
          <c:idx val="0"/>
          <c:order val="0"/>
          <c:spPr>
            <a:solidFill>
              <a:srgbClr val="000000"/>
            </a:solidFill>
            <a:ln w="25400">
              <a:noFill/>
            </a:ln>
          </c:spPr>
          <c:invertIfNegative val="0"/>
          <c:dPt>
            <c:idx val="0"/>
            <c:invertIfNegative val="0"/>
            <c:bubble3D val="0"/>
            <c:spPr>
              <a:solidFill>
                <a:srgbClr val="C0C0C0"/>
              </a:solidFill>
              <a:ln w="25400">
                <a:noFill/>
              </a:ln>
            </c:spPr>
          </c:dPt>
          <c:dPt>
            <c:idx val="5"/>
            <c:invertIfNegative val="0"/>
            <c:bubble3D val="0"/>
            <c:spPr>
              <a:solidFill>
                <a:srgbClr val="C0C0C0"/>
              </a:solidFill>
              <a:ln w="25400">
                <a:noFill/>
              </a:ln>
            </c:spPr>
          </c:dPt>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(somfinrésys!$T$1,somfinrésys!$R$1,somfinrésys!$I$1,somfinrésys!$K$1,somfinrésys!$B$1,somfinrésys!$D$1)</c:f>
              <c:strCache>
                <c:ptCount val="6"/>
                <c:pt idx="0">
                  <c:v>CUMUL 99</c:v>
                </c:pt>
                <c:pt idx="1">
                  <c:v>CUMUL 00</c:v>
                </c:pt>
                <c:pt idx="4">
                  <c:v>TRIM 1 00</c:v>
                </c:pt>
                <c:pt idx="5">
                  <c:v>TRIM 1 99</c:v>
                </c:pt>
              </c:strCache>
            </c:strRef>
          </c:cat>
          <c:val>
            <c:numRef>
              <c:f>(somfinrésys!$T$61,somfinrésys!$R$61,somfinrésys!$I$103,somfinrésys!$K$103,somfinrésys!$B$61,somfinrésys!$D$61)</c:f>
              <c:numCache>
                <c:formatCode>_(* #,##0.0_);_(* \(#,##0.0\);_(* "-"??_);_(@_)</c:formatCode>
                <c:ptCount val="6"/>
                <c:pt idx="0">
                  <c:v>108578.99999999999</c:v>
                </c:pt>
                <c:pt idx="1">
                  <c:v>137512.50000000003</c:v>
                </c:pt>
                <c:pt idx="4">
                  <c:v>137512.50000000003</c:v>
                </c:pt>
                <c:pt idx="5">
                  <c:v>108578.99999999999</c:v>
                </c:pt>
              </c:numCache>
            </c:numRef>
          </c:val>
        </c:ser>
        <c:dLbls>
          <c:showLegendKey val="0"/>
          <c:showVal val="0"/>
          <c:showCatName val="0"/>
          <c:showSerName val="0"/>
          <c:showPercent val="0"/>
          <c:showBubbleSize val="0"/>
        </c:dLbls>
        <c:gapWidth val="150"/>
        <c:axId val="263380992"/>
        <c:axId val="263382528"/>
      </c:barChart>
      <c:catAx>
        <c:axId val="26338099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263382528"/>
        <c:crosses val="autoZero"/>
        <c:auto val="0"/>
        <c:lblAlgn val="ctr"/>
        <c:lblOffset val="100"/>
        <c:tickLblSkip val="1"/>
        <c:tickMarkSkip val="1"/>
        <c:noMultiLvlLbl val="0"/>
      </c:catAx>
      <c:valAx>
        <c:axId val="263382528"/>
        <c:scaling>
          <c:orientation val="minMax"/>
        </c:scaling>
        <c:delete val="0"/>
        <c:axPos val="l"/>
        <c:numFmt formatCode="_(* #,##0.0_);_(* \(#,##0.0\);_(* &quot;-&quot;??_);_(@_)"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263380992"/>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CG Times"/>
          <a:ea typeface="CG Times"/>
          <a:cs typeface="CG Times"/>
        </a:defRPr>
      </a:pPr>
      <a:endParaRPr lang="en-US"/>
    </a:p>
  </c:txPr>
  <c:printSettings>
    <c:headerFooter alignWithMargins="0">
      <c:oddHeader>&amp;A</c:oddHeader>
      <c:oddFooter>Page &amp;P</c:oddFooter>
    </c:headerFooter>
    <c:pageMargins b="1" l="0.75" r="0.75" t="1" header="0.5" footer="0.5"/>
    <c:pageSetup orientation="landscape" horizontalDpi="-4"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AUTRES REVENUS PAR BANQUE - TRIM 1 2000
(en milliers de gourdes)</a:t>
            </a:r>
          </a:p>
        </c:rich>
      </c:tx>
      <c:layout>
        <c:manualLayout>
          <c:xMode val="edge"/>
          <c:yMode val="edge"/>
          <c:x val="0.34849466378181299"/>
          <c:y val="2.8268551236749116E-2"/>
        </c:manualLayout>
      </c:layout>
      <c:overlay val="0"/>
      <c:spPr>
        <a:noFill/>
        <a:ln w="25400">
          <a:noFill/>
        </a:ln>
      </c:spPr>
    </c:title>
    <c:autoTitleDeleted val="0"/>
    <c:plotArea>
      <c:layout>
        <c:manualLayout>
          <c:layoutTarget val="inner"/>
          <c:xMode val="edge"/>
          <c:yMode val="edge"/>
          <c:x val="0.30557344599986175"/>
          <c:y val="0.27915194346289751"/>
          <c:w val="0.44907124873354942"/>
          <c:h val="0.5795053003533569"/>
        </c:manualLayout>
      </c:layout>
      <c:barChart>
        <c:barDir val="col"/>
        <c:grouping val="clustered"/>
        <c:varyColors val="0"/>
        <c:ser>
          <c:idx val="0"/>
          <c:order val="0"/>
          <c:spPr>
            <a:solidFill>
              <a:srgbClr val="000000"/>
            </a:solidFill>
            <a:ln w="25400">
              <a:noFill/>
            </a:ln>
          </c:spPr>
          <c:invertIfNegative val="0"/>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'RÉSULTsyst  '!$H$95:$H$107</c:f>
              <c:strCache>
                <c:ptCount val="13"/>
                <c:pt idx="0">
                  <c:v>SOGEBK</c:v>
                </c:pt>
                <c:pt idx="1">
                  <c:v>UNIBK</c:v>
                </c:pt>
                <c:pt idx="2">
                  <c:v>BUH</c:v>
                </c:pt>
                <c:pt idx="3">
                  <c:v>PROMOBK</c:v>
                </c:pt>
                <c:pt idx="4">
                  <c:v>SOCABK</c:v>
                </c:pt>
                <c:pt idx="5">
                  <c:v>CBNA</c:v>
                </c:pt>
                <c:pt idx="6">
                  <c:v>BNC</c:v>
                </c:pt>
                <c:pt idx="7">
                  <c:v>CAPITALBK</c:v>
                </c:pt>
                <c:pt idx="8">
                  <c:v>SCOTIA</c:v>
                </c:pt>
                <c:pt idx="9">
                  <c:v>SOGEBL</c:v>
                </c:pt>
                <c:pt idx="10">
                  <c:v>BPH</c:v>
                </c:pt>
                <c:pt idx="11">
                  <c:v>BICH</c:v>
                </c:pt>
                <c:pt idx="12">
                  <c:v>BHD</c:v>
                </c:pt>
              </c:strCache>
            </c:strRef>
          </c:cat>
          <c:val>
            <c:numRef>
              <c:f>'RÉSULTsyst  '!$I$95:$I$107</c:f>
              <c:numCache>
                <c:formatCode>_(* #,##0.0_);_(* \(#,##0.0\);_(* "-"??_);_(@_)</c:formatCode>
                <c:ptCount val="13"/>
                <c:pt idx="0">
                  <c:v>34001.9</c:v>
                </c:pt>
                <c:pt idx="1">
                  <c:v>27620.5</c:v>
                </c:pt>
                <c:pt idx="2">
                  <c:v>13880</c:v>
                </c:pt>
                <c:pt idx="3">
                  <c:v>12785</c:v>
                </c:pt>
                <c:pt idx="4">
                  <c:v>12178.900000000001</c:v>
                </c:pt>
                <c:pt idx="5">
                  <c:v>12101</c:v>
                </c:pt>
                <c:pt idx="6">
                  <c:v>10336</c:v>
                </c:pt>
                <c:pt idx="7">
                  <c:v>6266</c:v>
                </c:pt>
                <c:pt idx="8">
                  <c:v>3791</c:v>
                </c:pt>
                <c:pt idx="9">
                  <c:v>2496</c:v>
                </c:pt>
                <c:pt idx="10">
                  <c:v>1856.9</c:v>
                </c:pt>
                <c:pt idx="11">
                  <c:v>199.1</c:v>
                </c:pt>
                <c:pt idx="12">
                  <c:v>0.2</c:v>
                </c:pt>
              </c:numCache>
            </c:numRef>
          </c:val>
        </c:ser>
        <c:dLbls>
          <c:showLegendKey val="0"/>
          <c:showVal val="0"/>
          <c:showCatName val="0"/>
          <c:showSerName val="0"/>
          <c:showPercent val="0"/>
          <c:showBubbleSize val="0"/>
        </c:dLbls>
        <c:gapWidth val="150"/>
        <c:axId val="152115840"/>
        <c:axId val="152125824"/>
      </c:barChart>
      <c:catAx>
        <c:axId val="1521158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52125824"/>
        <c:crosses val="autoZero"/>
        <c:auto val="0"/>
        <c:lblAlgn val="ctr"/>
        <c:lblOffset val="100"/>
        <c:tickLblSkip val="1"/>
        <c:tickMarkSkip val="1"/>
        <c:noMultiLvlLbl val="0"/>
      </c:catAx>
      <c:valAx>
        <c:axId val="152125824"/>
        <c:scaling>
          <c:orientation val="minMax"/>
        </c:scaling>
        <c:delete val="0"/>
        <c:axPos val="l"/>
        <c:numFmt formatCode="_(* #,##0.0_);_(* \(#,##0.0\);_(* &quot;-&quot;??_);_(@_)"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115840"/>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FRAIS D'EXPLOITATION PAR BANQUE - TRIM 1 2000
(en milliers de gourdes)</a:t>
            </a:r>
          </a:p>
        </c:rich>
      </c:tx>
      <c:layout>
        <c:manualLayout>
          <c:xMode val="edge"/>
          <c:yMode val="edge"/>
          <c:x val="0.33659730722154224"/>
          <c:y val="2.8318608544151466E-2"/>
        </c:manualLayout>
      </c:layout>
      <c:overlay val="0"/>
      <c:spPr>
        <a:noFill/>
        <a:ln w="25400">
          <a:noFill/>
        </a:ln>
      </c:spPr>
    </c:title>
    <c:autoTitleDeleted val="0"/>
    <c:plotArea>
      <c:layout>
        <c:manualLayout>
          <c:layoutTarget val="inner"/>
          <c:xMode val="edge"/>
          <c:yMode val="edge"/>
          <c:x val="0.29375764993880049"/>
          <c:y val="0.31504452005368505"/>
          <c:w val="0.49020807833537333"/>
          <c:h val="0.54336330144090628"/>
        </c:manualLayout>
      </c:layout>
      <c:barChart>
        <c:barDir val="col"/>
        <c:grouping val="clustered"/>
        <c:varyColors val="0"/>
        <c:ser>
          <c:idx val="0"/>
          <c:order val="0"/>
          <c:spPr>
            <a:solidFill>
              <a:srgbClr val="000000"/>
            </a:solidFill>
            <a:ln w="25400">
              <a:noFill/>
            </a:ln>
          </c:spPr>
          <c:invertIfNegative val="0"/>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'RÉSULTsyst  '!$O$95:$O$107</c:f>
              <c:strCache>
                <c:ptCount val="13"/>
                <c:pt idx="0">
                  <c:v>SOGEBK</c:v>
                </c:pt>
                <c:pt idx="1">
                  <c:v>UNIBK</c:v>
                </c:pt>
                <c:pt idx="2">
                  <c:v>BUH</c:v>
                </c:pt>
                <c:pt idx="3">
                  <c:v>BNC</c:v>
                </c:pt>
                <c:pt idx="4">
                  <c:v>PROMOBK</c:v>
                </c:pt>
                <c:pt idx="5">
                  <c:v>SOCABK</c:v>
                </c:pt>
                <c:pt idx="6">
                  <c:v>CAPITALBK</c:v>
                </c:pt>
                <c:pt idx="7">
                  <c:v>SCOTIA</c:v>
                </c:pt>
                <c:pt idx="8">
                  <c:v>CBNA</c:v>
                </c:pt>
                <c:pt idx="9">
                  <c:v>BPH</c:v>
                </c:pt>
                <c:pt idx="10">
                  <c:v>SOGEBL</c:v>
                </c:pt>
                <c:pt idx="11">
                  <c:v>BHD</c:v>
                </c:pt>
                <c:pt idx="12">
                  <c:v>BICH</c:v>
                </c:pt>
              </c:strCache>
            </c:strRef>
          </c:cat>
          <c:val>
            <c:numRef>
              <c:f>'RÉSULTsyst  '!$P$95:$P$107</c:f>
              <c:numCache>
                <c:formatCode>_(* #,##0.0_);_(* \(#,##0.0\);_(* "-"??_);_(@_)</c:formatCode>
                <c:ptCount val="13"/>
                <c:pt idx="0">
                  <c:v>93615.5</c:v>
                </c:pt>
                <c:pt idx="1">
                  <c:v>60475.4</c:v>
                </c:pt>
                <c:pt idx="2">
                  <c:v>41165</c:v>
                </c:pt>
                <c:pt idx="3">
                  <c:v>32292</c:v>
                </c:pt>
                <c:pt idx="4">
                  <c:v>29734.600000000002</c:v>
                </c:pt>
                <c:pt idx="5">
                  <c:v>23108</c:v>
                </c:pt>
                <c:pt idx="6">
                  <c:v>19332</c:v>
                </c:pt>
                <c:pt idx="7">
                  <c:v>18546</c:v>
                </c:pt>
                <c:pt idx="8">
                  <c:v>15043</c:v>
                </c:pt>
                <c:pt idx="9">
                  <c:v>8920.2000000000007</c:v>
                </c:pt>
                <c:pt idx="10">
                  <c:v>6943.5</c:v>
                </c:pt>
                <c:pt idx="11">
                  <c:v>1119</c:v>
                </c:pt>
                <c:pt idx="12">
                  <c:v>240.10000000000002</c:v>
                </c:pt>
              </c:numCache>
            </c:numRef>
          </c:val>
        </c:ser>
        <c:dLbls>
          <c:showLegendKey val="0"/>
          <c:showVal val="0"/>
          <c:showCatName val="0"/>
          <c:showSerName val="0"/>
          <c:showPercent val="0"/>
          <c:showBubbleSize val="0"/>
        </c:dLbls>
        <c:gapWidth val="150"/>
        <c:axId val="152875776"/>
        <c:axId val="152877312"/>
      </c:barChart>
      <c:catAx>
        <c:axId val="15287577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52877312"/>
        <c:crosses val="autoZero"/>
        <c:auto val="0"/>
        <c:lblAlgn val="ctr"/>
        <c:lblOffset val="100"/>
        <c:tickLblSkip val="1"/>
        <c:tickMarkSkip val="1"/>
        <c:noMultiLvlLbl val="0"/>
      </c:catAx>
      <c:valAx>
        <c:axId val="152877312"/>
        <c:scaling>
          <c:orientation val="minMax"/>
        </c:scaling>
        <c:delete val="0"/>
        <c:axPos val="l"/>
        <c:numFmt formatCode="_(* #,##0.0_);_(* \(#,##0.0\);_(* &quot;-&quot;??_);_(@_)"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875776"/>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FRAIS D'EXPLOITATION - SYSTÈME BANCAIRE
(en milliers de gourdes)
</a:t>
            </a:r>
          </a:p>
        </c:rich>
      </c:tx>
      <c:layout>
        <c:manualLayout>
          <c:xMode val="edge"/>
          <c:yMode val="edge"/>
          <c:x val="0.34294893263529935"/>
          <c:y val="1.1627928983332167E-2"/>
        </c:manualLayout>
      </c:layout>
      <c:overlay val="0"/>
      <c:spPr>
        <a:noFill/>
        <a:ln w="25400">
          <a:noFill/>
        </a:ln>
      </c:spPr>
    </c:title>
    <c:autoTitleDeleted val="0"/>
    <c:plotArea>
      <c:layout>
        <c:manualLayout>
          <c:layoutTarget val="inner"/>
          <c:xMode val="edge"/>
          <c:yMode val="edge"/>
          <c:x val="0.25705144296589727"/>
          <c:y val="0.30426414173052502"/>
          <c:w val="0.52884648490490094"/>
          <c:h val="0.6124042597888274"/>
        </c:manualLayout>
      </c:layout>
      <c:barChart>
        <c:barDir val="col"/>
        <c:grouping val="clustered"/>
        <c:varyColors val="0"/>
        <c:ser>
          <c:idx val="0"/>
          <c:order val="0"/>
          <c:spPr>
            <a:solidFill>
              <a:srgbClr val="000000"/>
            </a:solidFill>
            <a:ln w="25400">
              <a:noFill/>
            </a:ln>
          </c:spPr>
          <c:invertIfNegative val="0"/>
          <c:dPt>
            <c:idx val="0"/>
            <c:invertIfNegative val="0"/>
            <c:bubble3D val="0"/>
            <c:spPr>
              <a:solidFill>
                <a:srgbClr val="C0C0C0"/>
              </a:solidFill>
              <a:ln w="25400">
                <a:noFill/>
              </a:ln>
            </c:spPr>
          </c:dPt>
          <c:dPt>
            <c:idx val="5"/>
            <c:invertIfNegative val="0"/>
            <c:bubble3D val="0"/>
            <c:spPr>
              <a:solidFill>
                <a:srgbClr val="C0C0C0"/>
              </a:solidFill>
              <a:ln w="25400">
                <a:noFill/>
              </a:ln>
            </c:spPr>
          </c:dPt>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(somfinrésys!$T$1,somfinrésys!$R$1,somfinrésys!$I$1,somfinrésys!$K$1,somfinrésys!$B$1,somfinrésys!$D$1)</c:f>
              <c:strCache>
                <c:ptCount val="6"/>
                <c:pt idx="0">
                  <c:v>CUMUL 99</c:v>
                </c:pt>
                <c:pt idx="1">
                  <c:v>CUMUL 00</c:v>
                </c:pt>
                <c:pt idx="4">
                  <c:v>TRIM 1 00</c:v>
                </c:pt>
                <c:pt idx="5">
                  <c:v>TRIM 1 99</c:v>
                </c:pt>
              </c:strCache>
            </c:strRef>
          </c:cat>
          <c:val>
            <c:numRef>
              <c:f>(somfinrésys!$T$75,somfinrésys!$R$75,somfinrésys!$I$102,somfinrésys!$K$102,somfinrésys!$B$75,somfinrésys!$D$75)</c:f>
              <c:numCache>
                <c:formatCode>_(* #,##0.0_);_(* \(#,##0.0\);_(* "-"??_);_(@_)</c:formatCode>
                <c:ptCount val="6"/>
                <c:pt idx="0">
                  <c:v>308785.90000000002</c:v>
                </c:pt>
                <c:pt idx="1">
                  <c:v>350534.3</c:v>
                </c:pt>
                <c:pt idx="4">
                  <c:v>350534.3</c:v>
                </c:pt>
                <c:pt idx="5">
                  <c:v>308785.90000000002</c:v>
                </c:pt>
              </c:numCache>
            </c:numRef>
          </c:val>
        </c:ser>
        <c:dLbls>
          <c:showLegendKey val="0"/>
          <c:showVal val="0"/>
          <c:showCatName val="0"/>
          <c:showSerName val="0"/>
          <c:showPercent val="0"/>
          <c:showBubbleSize val="0"/>
        </c:dLbls>
        <c:gapWidth val="150"/>
        <c:axId val="251616640"/>
        <c:axId val="251626624"/>
      </c:barChart>
      <c:catAx>
        <c:axId val="2516166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251626624"/>
        <c:crosses val="autoZero"/>
        <c:auto val="0"/>
        <c:lblAlgn val="ctr"/>
        <c:lblOffset val="100"/>
        <c:tickLblSkip val="1"/>
        <c:tickMarkSkip val="1"/>
        <c:noMultiLvlLbl val="0"/>
      </c:catAx>
      <c:valAx>
        <c:axId val="251626624"/>
        <c:scaling>
          <c:orientation val="minMax"/>
        </c:scaling>
        <c:delete val="0"/>
        <c:axPos val="l"/>
        <c:numFmt formatCode="_(* #,##0.0_);_(* \(#,##0.0\);_(* &quot;-&quot;??_);_(@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251616640"/>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CG Times"/>
          <a:ea typeface="CG Times"/>
          <a:cs typeface="CG Times"/>
        </a:defRPr>
      </a:pPr>
      <a:endParaRPr lang="en-US"/>
    </a:p>
  </c:txPr>
  <c:printSettings>
    <c:headerFooter alignWithMargins="0">
      <c:oddHeader>&amp;A</c:oddHeader>
      <c:oddFooter>Page &amp;P</c:oddFooter>
    </c:headerFooter>
    <c:pageMargins b="1" l="0.75" r="0.75" t="1" header="0.5" footer="0.5"/>
    <c:pageSetup orientation="landscape" horizontalDpi="-4" verticalDpi="300"/>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DÉPENSES D'EXPLOITATION EN % PRODUIT NET BANCAIRE - SYSTÈME BANCAIRE
</a:t>
            </a:r>
          </a:p>
        </c:rich>
      </c:tx>
      <c:layout>
        <c:manualLayout>
          <c:xMode val="edge"/>
          <c:yMode val="edge"/>
          <c:x val="0.22802554862458593"/>
          <c:y val="9.6899408194434725E-3"/>
        </c:manualLayout>
      </c:layout>
      <c:overlay val="0"/>
      <c:spPr>
        <a:noFill/>
        <a:ln w="25400">
          <a:noFill/>
        </a:ln>
      </c:spPr>
    </c:title>
    <c:autoTitleDeleted val="0"/>
    <c:plotArea>
      <c:layout>
        <c:manualLayout>
          <c:layoutTarget val="inner"/>
          <c:xMode val="edge"/>
          <c:yMode val="edge"/>
          <c:x val="0.27388543549880434"/>
          <c:y val="0.35077585766385366"/>
          <c:w val="0.46624218322122041"/>
          <c:h val="0.48837301729995097"/>
        </c:manualLayout>
      </c:layout>
      <c:barChart>
        <c:barDir val="col"/>
        <c:grouping val="clustered"/>
        <c:varyColors val="0"/>
        <c:ser>
          <c:idx val="0"/>
          <c:order val="0"/>
          <c:spPr>
            <a:solidFill>
              <a:srgbClr val="000000"/>
            </a:solidFill>
            <a:ln w="25400">
              <a:noFill/>
            </a:ln>
          </c:spPr>
          <c:invertIfNegative val="0"/>
          <c:dPt>
            <c:idx val="0"/>
            <c:invertIfNegative val="0"/>
            <c:bubble3D val="0"/>
            <c:spPr>
              <a:solidFill>
                <a:srgbClr val="C0C0C0"/>
              </a:solidFill>
              <a:ln w="25400">
                <a:noFill/>
              </a:ln>
            </c:spPr>
          </c:dPt>
          <c:dPt>
            <c:idx val="5"/>
            <c:invertIfNegative val="0"/>
            <c:bubble3D val="0"/>
            <c:spPr>
              <a:solidFill>
                <a:srgbClr val="C0C0C0"/>
              </a:solidFill>
              <a:ln w="25400">
                <a:noFill/>
              </a:ln>
            </c:spPr>
          </c:dPt>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(somfinrésys!$T$1,somfinrésys!$R$1,somfinrésys!$I$1,somfinrésys!$K$1,somfinrésys!$B$1,somfinrésys!$D$1)</c:f>
              <c:strCache>
                <c:ptCount val="6"/>
                <c:pt idx="0">
                  <c:v>CUMUL 99</c:v>
                </c:pt>
                <c:pt idx="1">
                  <c:v>CUMUL 00</c:v>
                </c:pt>
                <c:pt idx="4">
                  <c:v>TRIM 1 00</c:v>
                </c:pt>
                <c:pt idx="5">
                  <c:v>TRIM 1 99</c:v>
                </c:pt>
              </c:strCache>
            </c:strRef>
          </c:cat>
          <c:val>
            <c:numRef>
              <c:f>(somfinrésys!$T$86,somfinrésys!$R$86,somfinrésys!$I$102,somfinrésys!$K$102,somfinrésys!$B$86,somfinrésys!$D$86)</c:f>
              <c:numCache>
                <c:formatCode>0.00%</c:formatCode>
                <c:ptCount val="6"/>
                <c:pt idx="0">
                  <c:v>0.87144105340811673</c:v>
                </c:pt>
                <c:pt idx="1">
                  <c:v>0.78269281609657382</c:v>
                </c:pt>
                <c:pt idx="4">
                  <c:v>0.78269281609657382</c:v>
                </c:pt>
                <c:pt idx="5">
                  <c:v>0.87144105340811673</c:v>
                </c:pt>
              </c:numCache>
            </c:numRef>
          </c:val>
        </c:ser>
        <c:dLbls>
          <c:showLegendKey val="0"/>
          <c:showVal val="0"/>
          <c:showCatName val="0"/>
          <c:showSerName val="0"/>
          <c:showPercent val="0"/>
          <c:showBubbleSize val="0"/>
        </c:dLbls>
        <c:gapWidth val="150"/>
        <c:axId val="152790144"/>
        <c:axId val="152791680"/>
      </c:barChart>
      <c:catAx>
        <c:axId val="15279014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152791680"/>
        <c:crosses val="autoZero"/>
        <c:auto val="0"/>
        <c:lblAlgn val="ctr"/>
        <c:lblOffset val="100"/>
        <c:tickLblSkip val="1"/>
        <c:tickMarkSkip val="1"/>
        <c:noMultiLvlLbl val="0"/>
      </c:catAx>
      <c:valAx>
        <c:axId val="152791680"/>
        <c:scaling>
          <c:orientation val="minMax"/>
          <c:max val="1"/>
        </c:scaling>
        <c:delete val="0"/>
        <c:axPos val="l"/>
        <c:numFmt formatCode="0.0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152790144"/>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CG Times"/>
          <a:ea typeface="CG Times"/>
          <a:cs typeface="CG Times"/>
        </a:defRPr>
      </a:pPr>
      <a:endParaRPr lang="en-US"/>
    </a:p>
  </c:txPr>
  <c:printSettings>
    <c:headerFooter alignWithMargins="0">
      <c:oddHeader>&amp;A</c:oddHeader>
      <c:oddFooter>Page &amp;P</c:oddFooter>
    </c:headerFooter>
    <c:pageMargins b="1" l="0.75" r="0.75" t="1" header="0.5" footer="0.5"/>
    <c:pageSetup orientation="landscape" horizontalDpi="-4"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DÉPENSES D'EXPLOITATION EN % PRODUIT NET BANCAIRE - TRIM 1 2000
</a:t>
            </a:r>
          </a:p>
        </c:rich>
      </c:tx>
      <c:layout>
        <c:manualLayout>
          <c:xMode val="edge"/>
          <c:yMode val="edge"/>
          <c:x val="0.26666683360053184"/>
          <c:y val="8.8183573398185004E-3"/>
        </c:manualLayout>
      </c:layout>
      <c:overlay val="0"/>
      <c:spPr>
        <a:noFill/>
        <a:ln w="25400">
          <a:noFill/>
        </a:ln>
      </c:spPr>
    </c:title>
    <c:autoTitleDeleted val="0"/>
    <c:plotArea>
      <c:layout>
        <c:manualLayout>
          <c:layoutTarget val="inner"/>
          <c:xMode val="edge"/>
          <c:yMode val="edge"/>
          <c:x val="0.3185899430275585"/>
          <c:y val="0.28218743487419201"/>
          <c:w val="0.42628231813546558"/>
          <c:h val="0.57672057002412991"/>
        </c:manualLayout>
      </c:layout>
      <c:barChart>
        <c:barDir val="col"/>
        <c:grouping val="clustered"/>
        <c:varyColors val="0"/>
        <c:ser>
          <c:idx val="0"/>
          <c:order val="0"/>
          <c:spPr>
            <a:solidFill>
              <a:srgbClr val="000000"/>
            </a:solidFill>
            <a:ln w="25400">
              <a:noFill/>
            </a:ln>
          </c:spPr>
          <c:invertIfNegative val="0"/>
          <c:dLbls>
            <c:dLbl>
              <c:idx val="0"/>
              <c:layout>
                <c:manualLayout>
                  <c:xMode val="edge"/>
                  <c:yMode val="edge"/>
                  <c:x val="0.32820533366219307"/>
                  <c:y val="0.17813081826433372"/>
                </c:manualLayout>
              </c:layout>
              <c:dLblPos val="outEnd"/>
              <c:showLegendKey val="0"/>
              <c:showVal val="1"/>
              <c:showCatName val="0"/>
              <c:showSerName val="0"/>
              <c:showPercent val="0"/>
              <c:showBubbleSize val="0"/>
            </c:dLbl>
            <c:dLbl>
              <c:idx val="3"/>
              <c:layout>
                <c:manualLayout>
                  <c:xMode val="edge"/>
                  <c:yMode val="edge"/>
                  <c:x val="0.42500026605084762"/>
                  <c:y val="0.37389835120830439"/>
                </c:manualLayout>
              </c:layout>
              <c:dLblPos val="outEnd"/>
              <c:showLegendKey val="0"/>
              <c:showVal val="1"/>
              <c:showCatName val="0"/>
              <c:showSerName val="0"/>
              <c:showPercent val="0"/>
              <c:showBubbleSize val="0"/>
            </c:dLbl>
            <c:dLbl>
              <c:idx val="7"/>
              <c:layout>
                <c:manualLayout>
                  <c:xMode val="edge"/>
                  <c:yMode val="edge"/>
                  <c:x val="0.56025676097804045"/>
                  <c:y val="0.40035342322775991"/>
                </c:manualLayout>
              </c:layout>
              <c:dLblPos val="outEnd"/>
              <c:showLegendKey val="0"/>
              <c:showVal val="1"/>
              <c:showCatName val="0"/>
              <c:showSerName val="0"/>
              <c:showPercent val="0"/>
              <c:showBubbleSize val="0"/>
            </c:dLbl>
            <c:dLbl>
              <c:idx val="8"/>
              <c:layout>
                <c:manualLayout>
                  <c:xMode val="edge"/>
                  <c:yMode val="edge"/>
                  <c:x val="0.58974395892425313"/>
                  <c:y val="0.40917178056757841"/>
                </c:manualLayout>
              </c:layout>
              <c:dLblPos val="outEnd"/>
              <c:showLegendKey val="0"/>
              <c:showVal val="1"/>
              <c:showCatName val="0"/>
              <c:showSerName val="0"/>
              <c:showPercent val="0"/>
              <c:showBubbleSize val="0"/>
            </c:dLbl>
            <c:dLbl>
              <c:idx val="13"/>
              <c:spPr>
                <a:noFill/>
                <a:ln w="25400">
                  <a:noFill/>
                </a:ln>
              </c:spPr>
              <c:txPr>
                <a:bodyPr rot="-5400000" vert="horz"/>
                <a:lstStyle/>
                <a:p>
                  <a:pPr algn="ctr">
                    <a:defRPr sz="1000" b="0"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dLbl>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'RÉSULTsyst  '!$K$95:$K$107</c:f>
              <c:strCache>
                <c:ptCount val="13"/>
                <c:pt idx="0">
                  <c:v>BHD</c:v>
                </c:pt>
                <c:pt idx="1">
                  <c:v>BNC</c:v>
                </c:pt>
                <c:pt idx="2">
                  <c:v>BUH</c:v>
                </c:pt>
                <c:pt idx="3">
                  <c:v>SCOTIA</c:v>
                </c:pt>
                <c:pt idx="4">
                  <c:v>BICH</c:v>
                </c:pt>
                <c:pt idx="5">
                  <c:v>BPH</c:v>
                </c:pt>
                <c:pt idx="6">
                  <c:v>SOGEBK</c:v>
                </c:pt>
                <c:pt idx="7">
                  <c:v>CAPITALBK</c:v>
                </c:pt>
                <c:pt idx="8">
                  <c:v>UNIBK</c:v>
                </c:pt>
                <c:pt idx="9">
                  <c:v>SOCABK</c:v>
                </c:pt>
                <c:pt idx="10">
                  <c:v>PROMOBK</c:v>
                </c:pt>
                <c:pt idx="11">
                  <c:v>SOGEBL</c:v>
                </c:pt>
                <c:pt idx="12">
                  <c:v>CBNA</c:v>
                </c:pt>
              </c:strCache>
            </c:strRef>
          </c:cat>
          <c:val>
            <c:numRef>
              <c:f>'RÉSULTsyst  '!$L$95:$L$107</c:f>
              <c:numCache>
                <c:formatCode>0.00%</c:formatCode>
                <c:ptCount val="13"/>
                <c:pt idx="0">
                  <c:v>16.980273141122915</c:v>
                </c:pt>
                <c:pt idx="1">
                  <c:v>1.0404020877633868</c:v>
                </c:pt>
                <c:pt idx="2">
                  <c:v>0.98866392871724673</c:v>
                </c:pt>
                <c:pt idx="3">
                  <c:v>0.85956618464961065</c:v>
                </c:pt>
                <c:pt idx="4">
                  <c:v>0.81169709263015566</c:v>
                </c:pt>
                <c:pt idx="5">
                  <c:v>0.80999210002996558</c:v>
                </c:pt>
                <c:pt idx="6">
                  <c:v>0.80341135832135424</c:v>
                </c:pt>
                <c:pt idx="7">
                  <c:v>0.79248995654669185</c:v>
                </c:pt>
                <c:pt idx="8">
                  <c:v>0.74321311733288109</c:v>
                </c:pt>
                <c:pt idx="9">
                  <c:v>0.72411631987966907</c:v>
                </c:pt>
                <c:pt idx="10">
                  <c:v>0.70514106568204082</c:v>
                </c:pt>
                <c:pt idx="11">
                  <c:v>0.5056658461628093</c:v>
                </c:pt>
                <c:pt idx="12">
                  <c:v>0.46814800983412691</c:v>
                </c:pt>
              </c:numCache>
            </c:numRef>
          </c:val>
        </c:ser>
        <c:dLbls>
          <c:showLegendKey val="0"/>
          <c:showVal val="0"/>
          <c:showCatName val="0"/>
          <c:showSerName val="0"/>
          <c:showPercent val="0"/>
          <c:showBubbleSize val="0"/>
        </c:dLbls>
        <c:gapWidth val="150"/>
        <c:axId val="152832256"/>
        <c:axId val="152858624"/>
      </c:barChart>
      <c:catAx>
        <c:axId val="15283225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52858624"/>
        <c:crossesAt val="0"/>
        <c:auto val="0"/>
        <c:lblAlgn val="ctr"/>
        <c:lblOffset val="100"/>
        <c:tickLblSkip val="1"/>
        <c:tickMarkSkip val="1"/>
        <c:noMultiLvlLbl val="0"/>
      </c:catAx>
      <c:valAx>
        <c:axId val="152858624"/>
        <c:scaling>
          <c:orientation val="minMax"/>
          <c:max val="1.2"/>
          <c:min val="0"/>
        </c:scaling>
        <c:delete val="0"/>
        <c:axPos val="l"/>
        <c:numFmt formatCode="0.00%"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832256"/>
        <c:crosses val="autoZero"/>
        <c:crossBetween val="between"/>
        <c:majorUnit val="0.2"/>
        <c:minorUnit val="3.1800000000000002E-2"/>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BÉNÉFICE NET - SYSTÈME BANCAIRE
(en milliers de gourdes)
</a:t>
            </a:r>
          </a:p>
        </c:rich>
      </c:tx>
      <c:layout>
        <c:manualLayout>
          <c:xMode val="edge"/>
          <c:yMode val="edge"/>
          <c:x val="0.37167015137045628"/>
          <c:y val="1.1627928983332167E-2"/>
        </c:manualLayout>
      </c:layout>
      <c:overlay val="0"/>
      <c:spPr>
        <a:noFill/>
        <a:ln w="25400">
          <a:noFill/>
        </a:ln>
      </c:spPr>
    </c:title>
    <c:autoTitleDeleted val="0"/>
    <c:plotArea>
      <c:layout>
        <c:manualLayout>
          <c:layoutTarget val="inner"/>
          <c:xMode val="edge"/>
          <c:yMode val="edge"/>
          <c:x val="0.26510738069780798"/>
          <c:y val="0.14341112412776338"/>
          <c:w val="0.48667997093788767"/>
          <c:h val="0.64535005857493521"/>
        </c:manualLayout>
      </c:layout>
      <c:barChart>
        <c:barDir val="col"/>
        <c:grouping val="clustered"/>
        <c:varyColors val="0"/>
        <c:ser>
          <c:idx val="0"/>
          <c:order val="0"/>
          <c:spPr>
            <a:solidFill>
              <a:srgbClr val="000000"/>
            </a:solidFill>
            <a:ln w="25400">
              <a:noFill/>
            </a:ln>
          </c:spPr>
          <c:invertIfNegative val="0"/>
          <c:dPt>
            <c:idx val="0"/>
            <c:invertIfNegative val="0"/>
            <c:bubble3D val="0"/>
            <c:spPr>
              <a:solidFill>
                <a:srgbClr val="C0C0C0"/>
              </a:solidFill>
              <a:ln w="25400">
                <a:noFill/>
              </a:ln>
            </c:spPr>
          </c:dPt>
          <c:dPt>
            <c:idx val="5"/>
            <c:invertIfNegative val="0"/>
            <c:bubble3D val="0"/>
            <c:spPr>
              <a:solidFill>
                <a:srgbClr val="C0C0C0"/>
              </a:solidFill>
              <a:ln w="25400">
                <a:noFill/>
              </a:ln>
            </c:spPr>
          </c:dPt>
          <c:dLbls>
            <c:dLbl>
              <c:idx val="7"/>
              <c:layout>
                <c:manualLayout>
                  <c:xMode val="edge"/>
                  <c:yMode val="edge"/>
                  <c:x val="0.55360658910424609"/>
                  <c:y val="0.69961372716381864"/>
                </c:manualLayout>
              </c:layout>
              <c:dLblPos val="outEnd"/>
              <c:showLegendKey val="0"/>
              <c:showVal val="1"/>
              <c:showCatName val="0"/>
              <c:showSerName val="0"/>
              <c:showPercent val="0"/>
              <c:showBubbleSize val="0"/>
            </c:dLbl>
            <c:dLbl>
              <c:idx val="8"/>
              <c:layout>
                <c:manualLayout>
                  <c:xMode val="edge"/>
                  <c:yMode val="edge"/>
                  <c:x val="0.5945422875943488"/>
                  <c:y val="0.27907029559997198"/>
                </c:manualLayout>
              </c:layout>
              <c:dLblPos val="outEnd"/>
              <c:showLegendKey val="0"/>
              <c:showVal val="1"/>
              <c:showCatName val="0"/>
              <c:showSerName val="0"/>
              <c:showPercent val="0"/>
              <c:showBubbleSize val="0"/>
            </c:dLbl>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(somfinrésys!$T$1,somfinrésys!$R$1,somfinrésys!$I$1,somfinrésys!$K$1,somfinrésys!$B$1,somfinrésys!$D$1)</c:f>
              <c:strCache>
                <c:ptCount val="6"/>
                <c:pt idx="0">
                  <c:v>CUMUL 99</c:v>
                </c:pt>
                <c:pt idx="1">
                  <c:v>CUMUL 00</c:v>
                </c:pt>
                <c:pt idx="4">
                  <c:v>TRIM 1 00</c:v>
                </c:pt>
                <c:pt idx="5">
                  <c:v>TRIM 1 99</c:v>
                </c:pt>
              </c:strCache>
            </c:strRef>
          </c:cat>
          <c:val>
            <c:numRef>
              <c:f>(somfinrésys!$T$81,somfinrésys!$R$81,somfinrésys!$I$102,somfinrésys!$K$102,somfinrésys!$B$81,somfinrésys!$D$81)</c:f>
              <c:numCache>
                <c:formatCode>_(* #,##0.0_);_(* \(#,##0.0\);_(* "-"??_);_(@_)</c:formatCode>
                <c:ptCount val="6"/>
                <c:pt idx="0">
                  <c:v>15229.499999999953</c:v>
                </c:pt>
                <c:pt idx="1">
                  <c:v>59573.79999999993</c:v>
                </c:pt>
                <c:pt idx="4">
                  <c:v>59573.79999999993</c:v>
                </c:pt>
                <c:pt idx="5">
                  <c:v>15229.499999999953</c:v>
                </c:pt>
              </c:numCache>
            </c:numRef>
          </c:val>
        </c:ser>
        <c:dLbls>
          <c:showLegendKey val="0"/>
          <c:showVal val="0"/>
          <c:showCatName val="0"/>
          <c:showSerName val="0"/>
          <c:showPercent val="0"/>
          <c:showBubbleSize val="0"/>
        </c:dLbls>
        <c:gapWidth val="150"/>
        <c:axId val="152315776"/>
        <c:axId val="152317312"/>
      </c:barChart>
      <c:catAx>
        <c:axId val="15231577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152317312"/>
        <c:crosses val="autoZero"/>
        <c:auto val="0"/>
        <c:lblAlgn val="ctr"/>
        <c:lblOffset val="100"/>
        <c:tickLblSkip val="1"/>
        <c:tickMarkSkip val="1"/>
        <c:noMultiLvlLbl val="0"/>
      </c:catAx>
      <c:valAx>
        <c:axId val="152317312"/>
        <c:scaling>
          <c:orientation val="minMax"/>
        </c:scaling>
        <c:delete val="0"/>
        <c:axPos val="l"/>
        <c:numFmt formatCode="_(* #,##0.0_);_(* \(#,##0.0\);_(* &quot;-&quot;??_);_(@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315776"/>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CG Times"/>
          <a:ea typeface="CG Times"/>
          <a:cs typeface="CG Times"/>
        </a:defRPr>
      </a:pPr>
      <a:endParaRPr lang="en-US"/>
    </a:p>
  </c:txPr>
  <c:printSettings>
    <c:headerFooter alignWithMargins="0">
      <c:oddHeader>&amp;A</c:oddHeader>
      <c:oddFooter>Page &amp;P</c:oddFooter>
    </c:headerFooter>
    <c:pageMargins b="1" l="0.75" r="0.75" t="1" header="0.5" footer="0.5"/>
    <c:pageSetup orientation="landscape" horizontalDpi="-4" verticalDpi="300"/>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BÉNÉFICE NET PAR BANQUE - TRIM 1 2000
(en milliers de gourdes)</a:t>
            </a:r>
          </a:p>
        </c:rich>
      </c:tx>
      <c:layout>
        <c:manualLayout>
          <c:xMode val="edge"/>
          <c:yMode val="edge"/>
          <c:x val="0.35751656806357746"/>
          <c:y val="8.9445516412466116E-3"/>
        </c:manualLayout>
      </c:layout>
      <c:overlay val="0"/>
      <c:spPr>
        <a:noFill/>
        <a:ln w="25400">
          <a:noFill/>
        </a:ln>
      </c:spPr>
    </c:title>
    <c:autoTitleDeleted val="0"/>
    <c:plotArea>
      <c:layout>
        <c:manualLayout>
          <c:layoutTarget val="inner"/>
          <c:xMode val="edge"/>
          <c:yMode val="edge"/>
          <c:x val="0.29542502516405306"/>
          <c:y val="0.10733461969495935"/>
          <c:w val="0.45294146557232023"/>
          <c:h val="0.64221880784150676"/>
        </c:manualLayout>
      </c:layout>
      <c:barChart>
        <c:barDir val="col"/>
        <c:grouping val="clustered"/>
        <c:varyColors val="0"/>
        <c:ser>
          <c:idx val="0"/>
          <c:order val="0"/>
          <c:spPr>
            <a:solidFill>
              <a:srgbClr val="000000"/>
            </a:solidFill>
            <a:ln w="25400">
              <a:noFill/>
            </a:ln>
          </c:spPr>
          <c:invertIfNegative val="0"/>
          <c:dLbls>
            <c:dLbl>
              <c:idx val="0"/>
              <c:layout>
                <c:manualLayout>
                  <c:xMode val="edge"/>
                  <c:yMode val="edge"/>
                  <c:x val="0.30457535780187767"/>
                  <c:y val="6.6189682145224929E-2"/>
                </c:manualLayout>
              </c:layout>
              <c:dLblPos val="outEnd"/>
              <c:showLegendKey val="0"/>
              <c:showVal val="1"/>
              <c:showCatName val="0"/>
              <c:showSerName val="0"/>
              <c:showPercent val="0"/>
              <c:showBubbleSize val="0"/>
            </c:dLbl>
            <c:dLbl>
              <c:idx val="10"/>
              <c:layout>
                <c:manualLayout>
                  <c:xMode val="edge"/>
                  <c:yMode val="edge"/>
                  <c:x val="0.6333337375751491"/>
                  <c:y val="0.55992893274203792"/>
                </c:manualLayout>
              </c:layout>
              <c:dLblPos val="outEnd"/>
              <c:showLegendKey val="0"/>
              <c:showVal val="1"/>
              <c:showCatName val="0"/>
              <c:showSerName val="0"/>
              <c:showPercent val="0"/>
              <c:showBubbleSize val="0"/>
            </c:dLbl>
            <c:dLbl>
              <c:idx val="11"/>
              <c:layout>
                <c:manualLayout>
                  <c:xMode val="edge"/>
                  <c:yMode val="edge"/>
                  <c:x val="0.66209192586545518"/>
                  <c:y val="0.67620810407824383"/>
                </c:manualLayout>
              </c:layout>
              <c:dLblPos val="outEnd"/>
              <c:showLegendKey val="0"/>
              <c:showVal val="1"/>
              <c:showCatName val="0"/>
              <c:showSerName val="0"/>
              <c:showPercent val="0"/>
              <c:showBubbleSize val="0"/>
            </c:dLbl>
            <c:dLbl>
              <c:idx val="12"/>
              <c:layout>
                <c:manualLayout>
                  <c:xMode val="edge"/>
                  <c:yMode val="edge"/>
                  <c:x val="0.69346449490942541"/>
                  <c:y val="0.67620810407824383"/>
                </c:manualLayout>
              </c:layout>
              <c:dLblPos val="outEnd"/>
              <c:showLegendKey val="0"/>
              <c:showVal val="1"/>
              <c:showCatName val="0"/>
              <c:showSerName val="0"/>
              <c:showPercent val="0"/>
              <c:showBubbleSize val="0"/>
            </c:dLbl>
            <c:dLbl>
              <c:idx val="13"/>
              <c:layout>
                <c:manualLayout>
                  <c:xMode val="edge"/>
                  <c:yMode val="edge"/>
                  <c:x val="0.7313730158375561"/>
                  <c:y val="0.59928495996352305"/>
                </c:manualLayout>
              </c:layout>
              <c:dLblPos val="outEnd"/>
              <c:showLegendKey val="0"/>
              <c:showVal val="1"/>
              <c:showCatName val="0"/>
              <c:showSerName val="0"/>
              <c:showPercent val="0"/>
              <c:showBubbleSize val="0"/>
            </c:dLbl>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'RÉSULTsyst  '!$R$95:$R$108</c:f>
              <c:strCache>
                <c:ptCount val="13"/>
                <c:pt idx="0">
                  <c:v>SOGEBK</c:v>
                </c:pt>
                <c:pt idx="1">
                  <c:v>UNIBK</c:v>
                </c:pt>
                <c:pt idx="2">
                  <c:v>CBNA</c:v>
                </c:pt>
                <c:pt idx="3">
                  <c:v>PROMOBK</c:v>
                </c:pt>
                <c:pt idx="4">
                  <c:v>SOCABK</c:v>
                </c:pt>
                <c:pt idx="5">
                  <c:v>CAPITALBK</c:v>
                </c:pt>
                <c:pt idx="6">
                  <c:v>SOGEBL</c:v>
                </c:pt>
                <c:pt idx="7">
                  <c:v>SCOTIA</c:v>
                </c:pt>
                <c:pt idx="8">
                  <c:v>BPH</c:v>
                </c:pt>
                <c:pt idx="9">
                  <c:v>BICH</c:v>
                </c:pt>
                <c:pt idx="10">
                  <c:v>BHD</c:v>
                </c:pt>
                <c:pt idx="11">
                  <c:v>BNC</c:v>
                </c:pt>
                <c:pt idx="12">
                  <c:v>BUH</c:v>
                </c:pt>
              </c:strCache>
            </c:strRef>
          </c:cat>
          <c:val>
            <c:numRef>
              <c:f>'RÉSULTsyst  '!$S$95:$S$108</c:f>
              <c:numCache>
                <c:formatCode>_(* #,##0.0_);_(* \(#,##0.0\);_(* "-"??_);_(@_)</c:formatCode>
                <c:ptCount val="14"/>
                <c:pt idx="0">
                  <c:v>16244.6</c:v>
                </c:pt>
                <c:pt idx="1">
                  <c:v>11401.699999999995</c:v>
                </c:pt>
                <c:pt idx="2">
                  <c:v>11317</c:v>
                </c:pt>
                <c:pt idx="3">
                  <c:v>8849.2000000000007</c:v>
                </c:pt>
                <c:pt idx="4">
                  <c:v>5804</c:v>
                </c:pt>
                <c:pt idx="5">
                  <c:v>4312</c:v>
                </c:pt>
                <c:pt idx="6">
                  <c:v>3842.6000000000017</c:v>
                </c:pt>
                <c:pt idx="7">
                  <c:v>1241</c:v>
                </c:pt>
                <c:pt idx="8">
                  <c:v>292.49999999999818</c:v>
                </c:pt>
                <c:pt idx="9">
                  <c:v>37.09999999999993</c:v>
                </c:pt>
                <c:pt idx="10">
                  <c:v>-1196.9000000000001</c:v>
                </c:pt>
                <c:pt idx="11">
                  <c:v>-1254</c:v>
                </c:pt>
                <c:pt idx="12">
                  <c:v>-1317</c:v>
                </c:pt>
              </c:numCache>
            </c:numRef>
          </c:val>
        </c:ser>
        <c:dLbls>
          <c:showLegendKey val="0"/>
          <c:showVal val="0"/>
          <c:showCatName val="0"/>
          <c:showSerName val="0"/>
          <c:showPercent val="0"/>
          <c:showBubbleSize val="0"/>
        </c:dLbls>
        <c:gapWidth val="150"/>
        <c:axId val="152357504"/>
        <c:axId val="152371584"/>
      </c:barChart>
      <c:catAx>
        <c:axId val="15235750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52371584"/>
        <c:crosses val="autoZero"/>
        <c:auto val="0"/>
        <c:lblAlgn val="ctr"/>
        <c:lblOffset val="100"/>
        <c:tickLblSkip val="1"/>
        <c:tickMarkSkip val="1"/>
        <c:noMultiLvlLbl val="0"/>
      </c:catAx>
      <c:valAx>
        <c:axId val="152371584"/>
        <c:scaling>
          <c:orientation val="minMax"/>
        </c:scaling>
        <c:delete val="0"/>
        <c:axPos val="l"/>
        <c:numFmt formatCode="_(* #,##0.0_);_(* \(#,##0.0\);_(* &quot;-&quot;??_);_(@_)"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CG Times"/>
                <a:ea typeface="CG Times"/>
                <a:cs typeface="CG Times"/>
              </a:defRPr>
            </a:pPr>
            <a:endParaRPr lang="en-US"/>
          </a:p>
        </c:txPr>
        <c:crossAx val="152357504"/>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 r="0.75" t="1" header="0.5" footer="0.5"/>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CG Times"/>
                <a:ea typeface="CG Times"/>
                <a:cs typeface="CG Times"/>
              </a:defRPr>
            </a:pPr>
            <a:r>
              <a:t>ÉVOLUTION DU NOMBRE D'EMPLOYÉS - SECTEUR BANCAIRE</a:t>
            </a:r>
          </a:p>
        </c:rich>
      </c:tx>
      <c:layout>
        <c:manualLayout>
          <c:xMode val="edge"/>
          <c:yMode val="edge"/>
          <c:x val="0.32493159378520808"/>
          <c:y val="2.7729659514510934E-2"/>
        </c:manualLayout>
      </c:layout>
      <c:overlay val="0"/>
      <c:spPr>
        <a:noFill/>
        <a:ln w="25400">
          <a:noFill/>
        </a:ln>
      </c:spPr>
    </c:title>
    <c:autoTitleDeleted val="0"/>
    <c:plotArea>
      <c:layout>
        <c:manualLayout>
          <c:layoutTarget val="inner"/>
          <c:xMode val="edge"/>
          <c:yMode val="edge"/>
          <c:x val="0.23397266533943314"/>
          <c:y val="0.32235729185618961"/>
          <c:w val="0.53095904616840917"/>
          <c:h val="0.35528626252967138"/>
        </c:manualLayout>
      </c:layout>
      <c:barChart>
        <c:barDir val="col"/>
        <c:grouping val="clustered"/>
        <c:varyColors val="0"/>
        <c:ser>
          <c:idx val="0"/>
          <c:order val="0"/>
          <c:spPr>
            <a:solidFill>
              <a:srgbClr val="000000"/>
            </a:solidFill>
            <a:ln w="12700">
              <a:solidFill>
                <a:srgbClr val="000000"/>
              </a:solidFill>
              <a:prstDash val="solid"/>
            </a:ln>
          </c:spPr>
          <c:invertIfNegative val="0"/>
          <c:dLbls>
            <c:spPr>
              <a:noFill/>
              <a:ln w="25400">
                <a:noFill/>
              </a:ln>
            </c:spPr>
            <c:txPr>
              <a:bodyPr rot="-5400000" vert="horz"/>
              <a:lstStyle/>
              <a:p>
                <a:pPr algn="ctr">
                  <a:defRPr sz="900" b="1" i="0" u="none" strike="noStrike" baseline="0">
                    <a:solidFill>
                      <a:srgbClr val="000000"/>
                    </a:solidFill>
                    <a:latin typeface="CG Times"/>
                    <a:ea typeface="CG Times"/>
                    <a:cs typeface="CG Times"/>
                  </a:defRPr>
                </a:pPr>
                <a:endParaRPr lang="en-US"/>
              </a:p>
            </c:txPr>
            <c:showLegendKey val="0"/>
            <c:showVal val="1"/>
            <c:showCatName val="0"/>
            <c:showSerName val="0"/>
            <c:showPercent val="0"/>
            <c:showBubbleSize val="0"/>
            <c:showLeaderLines val="0"/>
          </c:dLbls>
          <c:cat>
            <c:strRef>
              <c:f>employés!$A$34:$A$52</c:f>
              <c:strCache>
                <c:ptCount val="19"/>
                <c:pt idx="0">
                  <c:v>Sept. 1994</c:v>
                </c:pt>
                <c:pt idx="2">
                  <c:v>Sept. 1995</c:v>
                </c:pt>
                <c:pt idx="4">
                  <c:v>Sept. 1996</c:v>
                </c:pt>
                <c:pt idx="6">
                  <c:v>Sept. 1997</c:v>
                </c:pt>
                <c:pt idx="8">
                  <c:v>Sept. 1998</c:v>
                </c:pt>
                <c:pt idx="10">
                  <c:v>Déc. 1998</c:v>
                </c:pt>
                <c:pt idx="12">
                  <c:v>Mars 1999</c:v>
                </c:pt>
                <c:pt idx="14">
                  <c:v>Juin 1999</c:v>
                </c:pt>
                <c:pt idx="16">
                  <c:v>Sept. 1999</c:v>
                </c:pt>
                <c:pt idx="18">
                  <c:v>Déc. 1999</c:v>
                </c:pt>
              </c:strCache>
            </c:strRef>
          </c:cat>
          <c:val>
            <c:numRef>
              <c:f>employés!$AE$34:$AE$52</c:f>
              <c:numCache>
                <c:formatCode>General</c:formatCode>
                <c:ptCount val="19"/>
                <c:pt idx="0" formatCode="_(* #,##0_);_(* \(#,##0\);_(* &quot;-&quot;??_);_(@_)">
                  <c:v>1424</c:v>
                </c:pt>
                <c:pt idx="2" formatCode="_(* #,##0_);_(* \(#,##0\);_(* &quot;-&quot;??_);_(@_)">
                  <c:v>1663</c:v>
                </c:pt>
                <c:pt idx="4" formatCode="_(* #,##0_);_(* \(#,##0\);_(* &quot;-&quot;??_);_(@_)">
                  <c:v>2032</c:v>
                </c:pt>
                <c:pt idx="6" formatCode="_(* #,##0_);_(* \(#,##0\);_(* &quot;-&quot;??_);_(@_)">
                  <c:v>2234</c:v>
                </c:pt>
                <c:pt idx="8" formatCode="_(* #,##0_);_(* \(#,##0\);_(* &quot;-&quot;??_);_(@_)">
                  <c:v>2591</c:v>
                </c:pt>
                <c:pt idx="10" formatCode="_(* #,##0_);_(* \(#,##0\);_(* &quot;-&quot;??_);_(@_)">
                  <c:v>2591</c:v>
                </c:pt>
                <c:pt idx="12" formatCode="_(* #,##0_);_(* \(#,##0\);_(* &quot;-&quot;??_);_(@_)">
                  <c:v>2670</c:v>
                </c:pt>
                <c:pt idx="14" formatCode="_(* #,##0_);_(* \(#,##0\);_(* &quot;-&quot;??_);_(@_)">
                  <c:v>2654</c:v>
                </c:pt>
                <c:pt idx="16" formatCode="_(* #,##0_);_(* \(#,##0\);_(* &quot;-&quot;??_);_(@_)">
                  <c:v>2659</c:v>
                </c:pt>
                <c:pt idx="18" formatCode="_(* #,##0_);_(* \(#,##0\);_(* &quot;-&quot;??_);_(@_)">
                  <c:v>2712</c:v>
                </c:pt>
              </c:numCache>
            </c:numRef>
          </c:val>
        </c:ser>
        <c:dLbls>
          <c:showLegendKey val="0"/>
          <c:showVal val="0"/>
          <c:showCatName val="0"/>
          <c:showSerName val="0"/>
          <c:showPercent val="0"/>
          <c:showBubbleSize val="0"/>
        </c:dLbls>
        <c:gapWidth val="150"/>
        <c:axId val="152732416"/>
        <c:axId val="152733952"/>
      </c:barChart>
      <c:catAx>
        <c:axId val="15273241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5400000" vert="horz"/>
          <a:lstStyle/>
          <a:p>
            <a:pPr>
              <a:defRPr sz="1200" b="0" i="0" u="none" strike="noStrike" baseline="0">
                <a:solidFill>
                  <a:srgbClr val="000000"/>
                </a:solidFill>
                <a:latin typeface="CG Times"/>
                <a:ea typeface="CG Times"/>
                <a:cs typeface="CG Times"/>
              </a:defRPr>
            </a:pPr>
            <a:endParaRPr lang="en-US"/>
          </a:p>
        </c:txPr>
        <c:crossAx val="152733952"/>
        <c:crosses val="autoZero"/>
        <c:auto val="0"/>
        <c:lblAlgn val="ctr"/>
        <c:lblOffset val="100"/>
        <c:tickLblSkip val="1"/>
        <c:tickMarkSkip val="1"/>
        <c:noMultiLvlLbl val="0"/>
      </c:catAx>
      <c:valAx>
        <c:axId val="152733952"/>
        <c:scaling>
          <c:orientation val="minMax"/>
        </c:scaling>
        <c:delete val="0"/>
        <c:axPos val="l"/>
        <c:numFmt formatCode="_(* #,##0_);_(* \(#,##0\);_(* &quot;-&quot;??_);_(@_)"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CG Times"/>
                <a:ea typeface="CG Times"/>
                <a:cs typeface="CG Times"/>
              </a:defRPr>
            </a:pPr>
            <a:endParaRPr lang="en-US"/>
          </a:p>
        </c:txPr>
        <c:crossAx val="152732416"/>
        <c:crosses val="autoZero"/>
        <c:crossBetween val="between"/>
        <c:majorUnit val="1000"/>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CG Times"/>
          <a:ea typeface="CG Times"/>
          <a:cs typeface="CG Times"/>
        </a:defRPr>
      </a:pPr>
      <a:endParaRPr lang="en-US"/>
    </a:p>
  </c:txPr>
  <c:printSettings>
    <c:headerFooter alignWithMargins="0">
      <c:oddHeader>&amp;A</c:oddHeader>
      <c:oddFooter>Page &amp;P</c:oddFooter>
    </c:headerFooter>
    <c:pageMargins b="1" l="0.75" r="0.75" t="1" header="0.5" footer="0.5"/>
    <c:pageSetup orientation="landscape" horizontalDpi="-4" verticalDpi="300"/>
  </c:printSettings>
</c:chartSpac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19050</xdr:colOff>
          <xdr:row>1</xdr:row>
          <xdr:rowOff>133350</xdr:rowOff>
        </xdr:from>
        <xdr:to>
          <xdr:col>7</xdr:col>
          <xdr:colOff>800100</xdr:colOff>
          <xdr:row>4</xdr:row>
          <xdr:rowOff>142875</xdr:rowOff>
        </xdr:to>
        <xdr:sp macro="" textlink="">
          <xdr:nvSpPr>
            <xdr:cNvPr id="1025" name="Image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1343025</xdr:colOff>
      <xdr:row>5</xdr:row>
      <xdr:rowOff>142875</xdr:rowOff>
    </xdr:from>
    <xdr:to>
      <xdr:col>1</xdr:col>
      <xdr:colOff>5019675</xdr:colOff>
      <xdr:row>5</xdr:row>
      <xdr:rowOff>142875</xdr:rowOff>
    </xdr:to>
    <xdr:sp macro="" textlink="">
      <xdr:nvSpPr>
        <xdr:cNvPr id="2049" name="Line 1"/>
        <xdr:cNvSpPr>
          <a:spLocks noChangeShapeType="1"/>
        </xdr:cNvSpPr>
      </xdr:nvSpPr>
      <xdr:spPr bwMode="auto">
        <a:xfrm>
          <a:off x="3048000" y="1285875"/>
          <a:ext cx="367665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5057775</xdr:colOff>
      <xdr:row>5</xdr:row>
      <xdr:rowOff>142875</xdr:rowOff>
    </xdr:from>
    <xdr:to>
      <xdr:col>13</xdr:col>
      <xdr:colOff>361950</xdr:colOff>
      <xdr:row>5</xdr:row>
      <xdr:rowOff>142875</xdr:rowOff>
    </xdr:to>
    <xdr:sp macro="" textlink="">
      <xdr:nvSpPr>
        <xdr:cNvPr id="2050" name="Line 2"/>
        <xdr:cNvSpPr>
          <a:spLocks noChangeShapeType="1"/>
        </xdr:cNvSpPr>
      </xdr:nvSpPr>
      <xdr:spPr bwMode="auto">
        <a:xfrm>
          <a:off x="6762750" y="1285875"/>
          <a:ext cx="969645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1524000</xdr:colOff>
      <xdr:row>6</xdr:row>
      <xdr:rowOff>142875</xdr:rowOff>
    </xdr:from>
    <xdr:to>
      <xdr:col>13</xdr:col>
      <xdr:colOff>457200</xdr:colOff>
      <xdr:row>6</xdr:row>
      <xdr:rowOff>142875</xdr:rowOff>
    </xdr:to>
    <xdr:sp macro="" textlink="">
      <xdr:nvSpPr>
        <xdr:cNvPr id="2051" name="Line 3"/>
        <xdr:cNvSpPr>
          <a:spLocks noChangeShapeType="1"/>
        </xdr:cNvSpPr>
      </xdr:nvSpPr>
      <xdr:spPr bwMode="auto">
        <a:xfrm>
          <a:off x="3228975" y="1485900"/>
          <a:ext cx="1332547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3343275</xdr:colOff>
      <xdr:row>60</xdr:row>
      <xdr:rowOff>142875</xdr:rowOff>
    </xdr:from>
    <xdr:to>
      <xdr:col>13</xdr:col>
      <xdr:colOff>438150</xdr:colOff>
      <xdr:row>60</xdr:row>
      <xdr:rowOff>142875</xdr:rowOff>
    </xdr:to>
    <xdr:sp macro="" textlink="">
      <xdr:nvSpPr>
        <xdr:cNvPr id="2052" name="Line 4"/>
        <xdr:cNvSpPr>
          <a:spLocks noChangeShapeType="1"/>
        </xdr:cNvSpPr>
      </xdr:nvSpPr>
      <xdr:spPr bwMode="auto">
        <a:xfrm>
          <a:off x="5048250" y="12287250"/>
          <a:ext cx="1148715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3762375</xdr:colOff>
      <xdr:row>57</xdr:row>
      <xdr:rowOff>142875</xdr:rowOff>
    </xdr:from>
    <xdr:to>
      <xdr:col>13</xdr:col>
      <xdr:colOff>438150</xdr:colOff>
      <xdr:row>57</xdr:row>
      <xdr:rowOff>142875</xdr:rowOff>
    </xdr:to>
    <xdr:sp macro="" textlink="">
      <xdr:nvSpPr>
        <xdr:cNvPr id="2053" name="Line 5"/>
        <xdr:cNvSpPr>
          <a:spLocks noChangeShapeType="1"/>
        </xdr:cNvSpPr>
      </xdr:nvSpPr>
      <xdr:spPr bwMode="auto">
        <a:xfrm>
          <a:off x="5467350" y="11687175"/>
          <a:ext cx="1106805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2743200</xdr:colOff>
      <xdr:row>56</xdr:row>
      <xdr:rowOff>142875</xdr:rowOff>
    </xdr:from>
    <xdr:to>
      <xdr:col>13</xdr:col>
      <xdr:colOff>438150</xdr:colOff>
      <xdr:row>56</xdr:row>
      <xdr:rowOff>142875</xdr:rowOff>
    </xdr:to>
    <xdr:sp macro="" textlink="">
      <xdr:nvSpPr>
        <xdr:cNvPr id="2054" name="Line 6"/>
        <xdr:cNvSpPr>
          <a:spLocks noChangeShapeType="1"/>
        </xdr:cNvSpPr>
      </xdr:nvSpPr>
      <xdr:spPr bwMode="auto">
        <a:xfrm>
          <a:off x="4448175" y="11487150"/>
          <a:ext cx="120872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3771900</xdr:colOff>
      <xdr:row>55</xdr:row>
      <xdr:rowOff>142875</xdr:rowOff>
    </xdr:from>
    <xdr:to>
      <xdr:col>13</xdr:col>
      <xdr:colOff>438150</xdr:colOff>
      <xdr:row>55</xdr:row>
      <xdr:rowOff>142875</xdr:rowOff>
    </xdr:to>
    <xdr:sp macro="" textlink="">
      <xdr:nvSpPr>
        <xdr:cNvPr id="2055" name="Line 7"/>
        <xdr:cNvSpPr>
          <a:spLocks noChangeShapeType="1"/>
        </xdr:cNvSpPr>
      </xdr:nvSpPr>
      <xdr:spPr bwMode="auto">
        <a:xfrm>
          <a:off x="5476875" y="11287125"/>
          <a:ext cx="110585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1390650</xdr:colOff>
      <xdr:row>52</xdr:row>
      <xdr:rowOff>142875</xdr:rowOff>
    </xdr:from>
    <xdr:to>
      <xdr:col>13</xdr:col>
      <xdr:colOff>438150</xdr:colOff>
      <xdr:row>52</xdr:row>
      <xdr:rowOff>142875</xdr:rowOff>
    </xdr:to>
    <xdr:sp macro="" textlink="">
      <xdr:nvSpPr>
        <xdr:cNvPr id="2056" name="Line 8"/>
        <xdr:cNvSpPr>
          <a:spLocks noChangeShapeType="1"/>
        </xdr:cNvSpPr>
      </xdr:nvSpPr>
      <xdr:spPr bwMode="auto">
        <a:xfrm>
          <a:off x="3095625" y="10687050"/>
          <a:ext cx="1343977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2</xdr:col>
      <xdr:colOff>9525</xdr:colOff>
      <xdr:row>51</xdr:row>
      <xdr:rowOff>142875</xdr:rowOff>
    </xdr:from>
    <xdr:to>
      <xdr:col>13</xdr:col>
      <xdr:colOff>438150</xdr:colOff>
      <xdr:row>51</xdr:row>
      <xdr:rowOff>142875</xdr:rowOff>
    </xdr:to>
    <xdr:sp macro="" textlink="">
      <xdr:nvSpPr>
        <xdr:cNvPr id="2057" name="Line 9"/>
        <xdr:cNvSpPr>
          <a:spLocks noChangeShapeType="1"/>
        </xdr:cNvSpPr>
      </xdr:nvSpPr>
      <xdr:spPr bwMode="auto">
        <a:xfrm>
          <a:off x="6886575" y="10487025"/>
          <a:ext cx="96488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3438525</xdr:colOff>
      <xdr:row>50</xdr:row>
      <xdr:rowOff>142875</xdr:rowOff>
    </xdr:from>
    <xdr:to>
      <xdr:col>13</xdr:col>
      <xdr:colOff>438150</xdr:colOff>
      <xdr:row>50</xdr:row>
      <xdr:rowOff>142875</xdr:rowOff>
    </xdr:to>
    <xdr:sp macro="" textlink="">
      <xdr:nvSpPr>
        <xdr:cNvPr id="2058" name="Line 10"/>
        <xdr:cNvSpPr>
          <a:spLocks noChangeShapeType="1"/>
        </xdr:cNvSpPr>
      </xdr:nvSpPr>
      <xdr:spPr bwMode="auto">
        <a:xfrm>
          <a:off x="5143500" y="10287000"/>
          <a:ext cx="1139190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3009900</xdr:colOff>
      <xdr:row>49</xdr:row>
      <xdr:rowOff>142875</xdr:rowOff>
    </xdr:from>
    <xdr:to>
      <xdr:col>13</xdr:col>
      <xdr:colOff>438150</xdr:colOff>
      <xdr:row>49</xdr:row>
      <xdr:rowOff>142875</xdr:rowOff>
    </xdr:to>
    <xdr:sp macro="" textlink="">
      <xdr:nvSpPr>
        <xdr:cNvPr id="2059" name="Line 11"/>
        <xdr:cNvSpPr>
          <a:spLocks noChangeShapeType="1"/>
        </xdr:cNvSpPr>
      </xdr:nvSpPr>
      <xdr:spPr bwMode="auto">
        <a:xfrm>
          <a:off x="4714875" y="10086975"/>
          <a:ext cx="118205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1676400</xdr:colOff>
      <xdr:row>48</xdr:row>
      <xdr:rowOff>142875</xdr:rowOff>
    </xdr:from>
    <xdr:to>
      <xdr:col>13</xdr:col>
      <xdr:colOff>438150</xdr:colOff>
      <xdr:row>48</xdr:row>
      <xdr:rowOff>142875</xdr:rowOff>
    </xdr:to>
    <xdr:sp macro="" textlink="">
      <xdr:nvSpPr>
        <xdr:cNvPr id="2060" name="Line 12"/>
        <xdr:cNvSpPr>
          <a:spLocks noChangeShapeType="1"/>
        </xdr:cNvSpPr>
      </xdr:nvSpPr>
      <xdr:spPr bwMode="auto">
        <a:xfrm>
          <a:off x="3381375" y="9886950"/>
          <a:ext cx="131540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4371975</xdr:colOff>
      <xdr:row>47</xdr:row>
      <xdr:rowOff>142875</xdr:rowOff>
    </xdr:from>
    <xdr:to>
      <xdr:col>13</xdr:col>
      <xdr:colOff>438150</xdr:colOff>
      <xdr:row>47</xdr:row>
      <xdr:rowOff>142875</xdr:rowOff>
    </xdr:to>
    <xdr:sp macro="" textlink="">
      <xdr:nvSpPr>
        <xdr:cNvPr id="2061" name="Line 13"/>
        <xdr:cNvSpPr>
          <a:spLocks noChangeShapeType="1"/>
        </xdr:cNvSpPr>
      </xdr:nvSpPr>
      <xdr:spPr bwMode="auto">
        <a:xfrm>
          <a:off x="6076950" y="9686925"/>
          <a:ext cx="1045845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1676400</xdr:colOff>
      <xdr:row>46</xdr:row>
      <xdr:rowOff>142875</xdr:rowOff>
    </xdr:from>
    <xdr:to>
      <xdr:col>13</xdr:col>
      <xdr:colOff>438150</xdr:colOff>
      <xdr:row>46</xdr:row>
      <xdr:rowOff>142875</xdr:rowOff>
    </xdr:to>
    <xdr:sp macro="" textlink="">
      <xdr:nvSpPr>
        <xdr:cNvPr id="2062" name="Line 14"/>
        <xdr:cNvSpPr>
          <a:spLocks noChangeShapeType="1"/>
        </xdr:cNvSpPr>
      </xdr:nvSpPr>
      <xdr:spPr bwMode="auto">
        <a:xfrm>
          <a:off x="3381375" y="9486900"/>
          <a:ext cx="131540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2028825</xdr:colOff>
      <xdr:row>45</xdr:row>
      <xdr:rowOff>133350</xdr:rowOff>
    </xdr:from>
    <xdr:to>
      <xdr:col>13</xdr:col>
      <xdr:colOff>438150</xdr:colOff>
      <xdr:row>45</xdr:row>
      <xdr:rowOff>142875</xdr:rowOff>
    </xdr:to>
    <xdr:sp macro="" textlink="">
      <xdr:nvSpPr>
        <xdr:cNvPr id="2063" name="Line 15"/>
        <xdr:cNvSpPr>
          <a:spLocks noChangeShapeType="1"/>
        </xdr:cNvSpPr>
      </xdr:nvSpPr>
      <xdr:spPr bwMode="auto">
        <a:xfrm>
          <a:off x="3733800" y="9277350"/>
          <a:ext cx="12801600" cy="9525"/>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2476500</xdr:colOff>
      <xdr:row>44</xdr:row>
      <xdr:rowOff>142875</xdr:rowOff>
    </xdr:from>
    <xdr:to>
      <xdr:col>13</xdr:col>
      <xdr:colOff>438150</xdr:colOff>
      <xdr:row>44</xdr:row>
      <xdr:rowOff>142875</xdr:rowOff>
    </xdr:to>
    <xdr:sp macro="" textlink="">
      <xdr:nvSpPr>
        <xdr:cNvPr id="2064" name="Line 16"/>
        <xdr:cNvSpPr>
          <a:spLocks noChangeShapeType="1"/>
        </xdr:cNvSpPr>
      </xdr:nvSpPr>
      <xdr:spPr bwMode="auto">
        <a:xfrm>
          <a:off x="4181475" y="9086850"/>
          <a:ext cx="123539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2400300</xdr:colOff>
      <xdr:row>43</xdr:row>
      <xdr:rowOff>142875</xdr:rowOff>
    </xdr:from>
    <xdr:to>
      <xdr:col>13</xdr:col>
      <xdr:colOff>438150</xdr:colOff>
      <xdr:row>43</xdr:row>
      <xdr:rowOff>142875</xdr:rowOff>
    </xdr:to>
    <xdr:sp macro="" textlink="">
      <xdr:nvSpPr>
        <xdr:cNvPr id="2065" name="Line 17"/>
        <xdr:cNvSpPr>
          <a:spLocks noChangeShapeType="1"/>
        </xdr:cNvSpPr>
      </xdr:nvSpPr>
      <xdr:spPr bwMode="auto">
        <a:xfrm>
          <a:off x="4105275" y="8886825"/>
          <a:ext cx="124301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2419350</xdr:colOff>
      <xdr:row>42</xdr:row>
      <xdr:rowOff>142875</xdr:rowOff>
    </xdr:from>
    <xdr:to>
      <xdr:col>13</xdr:col>
      <xdr:colOff>438150</xdr:colOff>
      <xdr:row>42</xdr:row>
      <xdr:rowOff>142875</xdr:rowOff>
    </xdr:to>
    <xdr:sp macro="" textlink="">
      <xdr:nvSpPr>
        <xdr:cNvPr id="2066" name="Line 18"/>
        <xdr:cNvSpPr>
          <a:spLocks noChangeShapeType="1"/>
        </xdr:cNvSpPr>
      </xdr:nvSpPr>
      <xdr:spPr bwMode="auto">
        <a:xfrm>
          <a:off x="4124325" y="8686800"/>
          <a:ext cx="1241107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2638425</xdr:colOff>
      <xdr:row>41</xdr:row>
      <xdr:rowOff>133350</xdr:rowOff>
    </xdr:from>
    <xdr:to>
      <xdr:col>13</xdr:col>
      <xdr:colOff>438150</xdr:colOff>
      <xdr:row>41</xdr:row>
      <xdr:rowOff>142875</xdr:rowOff>
    </xdr:to>
    <xdr:sp macro="" textlink="">
      <xdr:nvSpPr>
        <xdr:cNvPr id="2067" name="Line 19"/>
        <xdr:cNvSpPr>
          <a:spLocks noChangeShapeType="1"/>
        </xdr:cNvSpPr>
      </xdr:nvSpPr>
      <xdr:spPr bwMode="auto">
        <a:xfrm>
          <a:off x="4343400" y="8477250"/>
          <a:ext cx="12192000" cy="9525"/>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3228975</xdr:colOff>
      <xdr:row>40</xdr:row>
      <xdr:rowOff>142875</xdr:rowOff>
    </xdr:from>
    <xdr:to>
      <xdr:col>13</xdr:col>
      <xdr:colOff>438150</xdr:colOff>
      <xdr:row>40</xdr:row>
      <xdr:rowOff>142875</xdr:rowOff>
    </xdr:to>
    <xdr:sp macro="" textlink="">
      <xdr:nvSpPr>
        <xdr:cNvPr id="2068" name="Line 20"/>
        <xdr:cNvSpPr>
          <a:spLocks noChangeShapeType="1"/>
        </xdr:cNvSpPr>
      </xdr:nvSpPr>
      <xdr:spPr bwMode="auto">
        <a:xfrm>
          <a:off x="4933950" y="8286750"/>
          <a:ext cx="1160145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3486150</xdr:colOff>
      <xdr:row>39</xdr:row>
      <xdr:rowOff>142875</xdr:rowOff>
    </xdr:from>
    <xdr:to>
      <xdr:col>13</xdr:col>
      <xdr:colOff>438150</xdr:colOff>
      <xdr:row>39</xdr:row>
      <xdr:rowOff>142875</xdr:rowOff>
    </xdr:to>
    <xdr:sp macro="" textlink="">
      <xdr:nvSpPr>
        <xdr:cNvPr id="2069" name="Line 21"/>
        <xdr:cNvSpPr>
          <a:spLocks noChangeShapeType="1"/>
        </xdr:cNvSpPr>
      </xdr:nvSpPr>
      <xdr:spPr bwMode="auto">
        <a:xfrm>
          <a:off x="5191125" y="8086725"/>
          <a:ext cx="1134427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3838575</xdr:colOff>
      <xdr:row>36</xdr:row>
      <xdr:rowOff>142875</xdr:rowOff>
    </xdr:from>
    <xdr:to>
      <xdr:col>13</xdr:col>
      <xdr:colOff>438150</xdr:colOff>
      <xdr:row>36</xdr:row>
      <xdr:rowOff>142875</xdr:rowOff>
    </xdr:to>
    <xdr:sp macro="" textlink="">
      <xdr:nvSpPr>
        <xdr:cNvPr id="2070" name="Line 22"/>
        <xdr:cNvSpPr>
          <a:spLocks noChangeShapeType="1"/>
        </xdr:cNvSpPr>
      </xdr:nvSpPr>
      <xdr:spPr bwMode="auto">
        <a:xfrm>
          <a:off x="5543550" y="7486650"/>
          <a:ext cx="1099185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2686050</xdr:colOff>
      <xdr:row>35</xdr:row>
      <xdr:rowOff>142875</xdr:rowOff>
    </xdr:from>
    <xdr:to>
      <xdr:col>13</xdr:col>
      <xdr:colOff>438150</xdr:colOff>
      <xdr:row>35</xdr:row>
      <xdr:rowOff>142875</xdr:rowOff>
    </xdr:to>
    <xdr:sp macro="" textlink="">
      <xdr:nvSpPr>
        <xdr:cNvPr id="2071" name="Line 23"/>
        <xdr:cNvSpPr>
          <a:spLocks noChangeShapeType="1"/>
        </xdr:cNvSpPr>
      </xdr:nvSpPr>
      <xdr:spPr bwMode="auto">
        <a:xfrm>
          <a:off x="4391025" y="7286625"/>
          <a:ext cx="1214437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1924050</xdr:colOff>
      <xdr:row>34</xdr:row>
      <xdr:rowOff>152400</xdr:rowOff>
    </xdr:from>
    <xdr:to>
      <xdr:col>13</xdr:col>
      <xdr:colOff>438150</xdr:colOff>
      <xdr:row>34</xdr:row>
      <xdr:rowOff>152400</xdr:rowOff>
    </xdr:to>
    <xdr:sp macro="" textlink="">
      <xdr:nvSpPr>
        <xdr:cNvPr id="2072" name="Line 24"/>
        <xdr:cNvSpPr>
          <a:spLocks noChangeShapeType="1"/>
        </xdr:cNvSpPr>
      </xdr:nvSpPr>
      <xdr:spPr bwMode="auto">
        <a:xfrm>
          <a:off x="3629025" y="7096125"/>
          <a:ext cx="1290637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1914525</xdr:colOff>
      <xdr:row>33</xdr:row>
      <xdr:rowOff>142875</xdr:rowOff>
    </xdr:from>
    <xdr:to>
      <xdr:col>13</xdr:col>
      <xdr:colOff>438150</xdr:colOff>
      <xdr:row>33</xdr:row>
      <xdr:rowOff>142875</xdr:rowOff>
    </xdr:to>
    <xdr:sp macro="" textlink="">
      <xdr:nvSpPr>
        <xdr:cNvPr id="2073" name="Line 25"/>
        <xdr:cNvSpPr>
          <a:spLocks noChangeShapeType="1"/>
        </xdr:cNvSpPr>
      </xdr:nvSpPr>
      <xdr:spPr bwMode="auto">
        <a:xfrm>
          <a:off x="3619500" y="6886575"/>
          <a:ext cx="1291590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1638300</xdr:colOff>
      <xdr:row>29</xdr:row>
      <xdr:rowOff>142875</xdr:rowOff>
    </xdr:from>
    <xdr:to>
      <xdr:col>13</xdr:col>
      <xdr:colOff>438150</xdr:colOff>
      <xdr:row>29</xdr:row>
      <xdr:rowOff>142875</xdr:rowOff>
    </xdr:to>
    <xdr:sp macro="" textlink="">
      <xdr:nvSpPr>
        <xdr:cNvPr id="2074" name="Line 26"/>
        <xdr:cNvSpPr>
          <a:spLocks noChangeShapeType="1"/>
        </xdr:cNvSpPr>
      </xdr:nvSpPr>
      <xdr:spPr bwMode="auto">
        <a:xfrm>
          <a:off x="3343275" y="6086475"/>
          <a:ext cx="131921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1581150</xdr:colOff>
      <xdr:row>28</xdr:row>
      <xdr:rowOff>142875</xdr:rowOff>
    </xdr:from>
    <xdr:to>
      <xdr:col>13</xdr:col>
      <xdr:colOff>438150</xdr:colOff>
      <xdr:row>28</xdr:row>
      <xdr:rowOff>142875</xdr:rowOff>
    </xdr:to>
    <xdr:sp macro="" textlink="">
      <xdr:nvSpPr>
        <xdr:cNvPr id="2075" name="Line 27"/>
        <xdr:cNvSpPr>
          <a:spLocks noChangeShapeType="1"/>
        </xdr:cNvSpPr>
      </xdr:nvSpPr>
      <xdr:spPr bwMode="auto">
        <a:xfrm>
          <a:off x="3286125" y="5886450"/>
          <a:ext cx="1324927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1647825</xdr:colOff>
      <xdr:row>27</xdr:row>
      <xdr:rowOff>142875</xdr:rowOff>
    </xdr:from>
    <xdr:to>
      <xdr:col>13</xdr:col>
      <xdr:colOff>438150</xdr:colOff>
      <xdr:row>27</xdr:row>
      <xdr:rowOff>142875</xdr:rowOff>
    </xdr:to>
    <xdr:sp macro="" textlink="">
      <xdr:nvSpPr>
        <xdr:cNvPr id="2076" name="Line 28"/>
        <xdr:cNvSpPr>
          <a:spLocks noChangeShapeType="1"/>
        </xdr:cNvSpPr>
      </xdr:nvSpPr>
      <xdr:spPr bwMode="auto">
        <a:xfrm>
          <a:off x="3352800" y="5686425"/>
          <a:ext cx="1318260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1485900</xdr:colOff>
      <xdr:row>25</xdr:row>
      <xdr:rowOff>142875</xdr:rowOff>
    </xdr:from>
    <xdr:to>
      <xdr:col>13</xdr:col>
      <xdr:colOff>438150</xdr:colOff>
      <xdr:row>25</xdr:row>
      <xdr:rowOff>142875</xdr:rowOff>
    </xdr:to>
    <xdr:sp macro="" textlink="">
      <xdr:nvSpPr>
        <xdr:cNvPr id="2077" name="Line 29"/>
        <xdr:cNvSpPr>
          <a:spLocks noChangeShapeType="1"/>
        </xdr:cNvSpPr>
      </xdr:nvSpPr>
      <xdr:spPr bwMode="auto">
        <a:xfrm>
          <a:off x="3190875" y="5286375"/>
          <a:ext cx="133445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1676400</xdr:colOff>
      <xdr:row>24</xdr:row>
      <xdr:rowOff>142875</xdr:rowOff>
    </xdr:from>
    <xdr:to>
      <xdr:col>13</xdr:col>
      <xdr:colOff>438150</xdr:colOff>
      <xdr:row>24</xdr:row>
      <xdr:rowOff>142875</xdr:rowOff>
    </xdr:to>
    <xdr:sp macro="" textlink="">
      <xdr:nvSpPr>
        <xdr:cNvPr id="2078" name="Line 30"/>
        <xdr:cNvSpPr>
          <a:spLocks noChangeShapeType="1"/>
        </xdr:cNvSpPr>
      </xdr:nvSpPr>
      <xdr:spPr bwMode="auto">
        <a:xfrm>
          <a:off x="3381375" y="5086350"/>
          <a:ext cx="131540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2495550</xdr:colOff>
      <xdr:row>21</xdr:row>
      <xdr:rowOff>142875</xdr:rowOff>
    </xdr:from>
    <xdr:to>
      <xdr:col>13</xdr:col>
      <xdr:colOff>438150</xdr:colOff>
      <xdr:row>21</xdr:row>
      <xdr:rowOff>142875</xdr:rowOff>
    </xdr:to>
    <xdr:sp macro="" textlink="">
      <xdr:nvSpPr>
        <xdr:cNvPr id="2079" name="Line 31"/>
        <xdr:cNvSpPr>
          <a:spLocks noChangeShapeType="1"/>
        </xdr:cNvSpPr>
      </xdr:nvSpPr>
      <xdr:spPr bwMode="auto">
        <a:xfrm>
          <a:off x="4200525" y="4486275"/>
          <a:ext cx="1233487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2724150</xdr:colOff>
      <xdr:row>20</xdr:row>
      <xdr:rowOff>142875</xdr:rowOff>
    </xdr:from>
    <xdr:to>
      <xdr:col>13</xdr:col>
      <xdr:colOff>438150</xdr:colOff>
      <xdr:row>20</xdr:row>
      <xdr:rowOff>142875</xdr:rowOff>
    </xdr:to>
    <xdr:sp macro="" textlink="">
      <xdr:nvSpPr>
        <xdr:cNvPr id="2080" name="Line 32"/>
        <xdr:cNvSpPr>
          <a:spLocks noChangeShapeType="1"/>
        </xdr:cNvSpPr>
      </xdr:nvSpPr>
      <xdr:spPr bwMode="auto">
        <a:xfrm>
          <a:off x="4429125" y="4286250"/>
          <a:ext cx="1210627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1657350</xdr:colOff>
      <xdr:row>18</xdr:row>
      <xdr:rowOff>142875</xdr:rowOff>
    </xdr:from>
    <xdr:to>
      <xdr:col>13</xdr:col>
      <xdr:colOff>438150</xdr:colOff>
      <xdr:row>18</xdr:row>
      <xdr:rowOff>142875</xdr:rowOff>
    </xdr:to>
    <xdr:sp macro="" textlink="">
      <xdr:nvSpPr>
        <xdr:cNvPr id="2081" name="Line 33"/>
        <xdr:cNvSpPr>
          <a:spLocks noChangeShapeType="1"/>
        </xdr:cNvSpPr>
      </xdr:nvSpPr>
      <xdr:spPr bwMode="auto">
        <a:xfrm>
          <a:off x="3362325" y="3886200"/>
          <a:ext cx="1317307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2105025</xdr:colOff>
      <xdr:row>17</xdr:row>
      <xdr:rowOff>142875</xdr:rowOff>
    </xdr:from>
    <xdr:to>
      <xdr:col>13</xdr:col>
      <xdr:colOff>438150</xdr:colOff>
      <xdr:row>17</xdr:row>
      <xdr:rowOff>142875</xdr:rowOff>
    </xdr:to>
    <xdr:sp macro="" textlink="">
      <xdr:nvSpPr>
        <xdr:cNvPr id="2082" name="Line 34"/>
        <xdr:cNvSpPr>
          <a:spLocks noChangeShapeType="1"/>
        </xdr:cNvSpPr>
      </xdr:nvSpPr>
      <xdr:spPr bwMode="auto">
        <a:xfrm>
          <a:off x="3810000" y="3686175"/>
          <a:ext cx="1272540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1914525</xdr:colOff>
      <xdr:row>16</xdr:row>
      <xdr:rowOff>142875</xdr:rowOff>
    </xdr:from>
    <xdr:to>
      <xdr:col>13</xdr:col>
      <xdr:colOff>438150</xdr:colOff>
      <xdr:row>16</xdr:row>
      <xdr:rowOff>142875</xdr:rowOff>
    </xdr:to>
    <xdr:sp macro="" textlink="">
      <xdr:nvSpPr>
        <xdr:cNvPr id="2083" name="Line 35"/>
        <xdr:cNvSpPr>
          <a:spLocks noChangeShapeType="1"/>
        </xdr:cNvSpPr>
      </xdr:nvSpPr>
      <xdr:spPr bwMode="auto">
        <a:xfrm>
          <a:off x="3619500" y="3486150"/>
          <a:ext cx="1291590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1228725</xdr:colOff>
      <xdr:row>14</xdr:row>
      <xdr:rowOff>142875</xdr:rowOff>
    </xdr:from>
    <xdr:to>
      <xdr:col>13</xdr:col>
      <xdr:colOff>438150</xdr:colOff>
      <xdr:row>14</xdr:row>
      <xdr:rowOff>142875</xdr:rowOff>
    </xdr:to>
    <xdr:sp macro="" textlink="">
      <xdr:nvSpPr>
        <xdr:cNvPr id="2084" name="Line 36"/>
        <xdr:cNvSpPr>
          <a:spLocks noChangeShapeType="1"/>
        </xdr:cNvSpPr>
      </xdr:nvSpPr>
      <xdr:spPr bwMode="auto">
        <a:xfrm>
          <a:off x="2933700" y="3086100"/>
          <a:ext cx="1360170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1571625</xdr:colOff>
      <xdr:row>13</xdr:row>
      <xdr:rowOff>142875</xdr:rowOff>
    </xdr:from>
    <xdr:to>
      <xdr:col>13</xdr:col>
      <xdr:colOff>438150</xdr:colOff>
      <xdr:row>13</xdr:row>
      <xdr:rowOff>142875</xdr:rowOff>
    </xdr:to>
    <xdr:sp macro="" textlink="">
      <xdr:nvSpPr>
        <xdr:cNvPr id="2085" name="Line 37"/>
        <xdr:cNvSpPr>
          <a:spLocks noChangeShapeType="1"/>
        </xdr:cNvSpPr>
      </xdr:nvSpPr>
      <xdr:spPr bwMode="auto">
        <a:xfrm>
          <a:off x="3276600" y="2886075"/>
          <a:ext cx="1325880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2238375</xdr:colOff>
      <xdr:row>8</xdr:row>
      <xdr:rowOff>142875</xdr:rowOff>
    </xdr:from>
    <xdr:to>
      <xdr:col>13</xdr:col>
      <xdr:colOff>438150</xdr:colOff>
      <xdr:row>8</xdr:row>
      <xdr:rowOff>142875</xdr:rowOff>
    </xdr:to>
    <xdr:sp macro="" textlink="">
      <xdr:nvSpPr>
        <xdr:cNvPr id="2086" name="Line 38"/>
        <xdr:cNvSpPr>
          <a:spLocks noChangeShapeType="1"/>
        </xdr:cNvSpPr>
      </xdr:nvSpPr>
      <xdr:spPr bwMode="auto">
        <a:xfrm>
          <a:off x="3943350" y="1885950"/>
          <a:ext cx="1259205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2886075</xdr:colOff>
      <xdr:row>7</xdr:row>
      <xdr:rowOff>142875</xdr:rowOff>
    </xdr:from>
    <xdr:to>
      <xdr:col>13</xdr:col>
      <xdr:colOff>438150</xdr:colOff>
      <xdr:row>7</xdr:row>
      <xdr:rowOff>142875</xdr:rowOff>
    </xdr:to>
    <xdr:sp macro="" textlink="">
      <xdr:nvSpPr>
        <xdr:cNvPr id="2087" name="Line 39"/>
        <xdr:cNvSpPr>
          <a:spLocks noChangeShapeType="1"/>
        </xdr:cNvSpPr>
      </xdr:nvSpPr>
      <xdr:spPr bwMode="auto">
        <a:xfrm>
          <a:off x="4591050" y="1685925"/>
          <a:ext cx="1194435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1714500</xdr:colOff>
      <xdr:row>2</xdr:row>
      <xdr:rowOff>142875</xdr:rowOff>
    </xdr:from>
    <xdr:to>
      <xdr:col>13</xdr:col>
      <xdr:colOff>457200</xdr:colOff>
      <xdr:row>2</xdr:row>
      <xdr:rowOff>142875</xdr:rowOff>
    </xdr:to>
    <xdr:sp macro="" textlink="">
      <xdr:nvSpPr>
        <xdr:cNvPr id="2088" name="Line 40"/>
        <xdr:cNvSpPr>
          <a:spLocks noChangeShapeType="1"/>
        </xdr:cNvSpPr>
      </xdr:nvSpPr>
      <xdr:spPr bwMode="auto">
        <a:xfrm>
          <a:off x="3419475" y="685800"/>
          <a:ext cx="1313497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2047875</xdr:colOff>
      <xdr:row>9</xdr:row>
      <xdr:rowOff>142875</xdr:rowOff>
    </xdr:from>
    <xdr:to>
      <xdr:col>13</xdr:col>
      <xdr:colOff>438150</xdr:colOff>
      <xdr:row>9</xdr:row>
      <xdr:rowOff>142875</xdr:rowOff>
    </xdr:to>
    <xdr:sp macro="" textlink="">
      <xdr:nvSpPr>
        <xdr:cNvPr id="2091" name="Line 43"/>
        <xdr:cNvSpPr>
          <a:spLocks noChangeShapeType="1"/>
        </xdr:cNvSpPr>
      </xdr:nvSpPr>
      <xdr:spPr bwMode="auto">
        <a:xfrm>
          <a:off x="3752850" y="2085975"/>
          <a:ext cx="1278255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2143125</xdr:colOff>
      <xdr:row>10</xdr:row>
      <xdr:rowOff>142875</xdr:rowOff>
    </xdr:from>
    <xdr:to>
      <xdr:col>13</xdr:col>
      <xdr:colOff>438150</xdr:colOff>
      <xdr:row>10</xdr:row>
      <xdr:rowOff>142875</xdr:rowOff>
    </xdr:to>
    <xdr:sp macro="" textlink="">
      <xdr:nvSpPr>
        <xdr:cNvPr id="2092" name="Line 44"/>
        <xdr:cNvSpPr>
          <a:spLocks noChangeShapeType="1"/>
        </xdr:cNvSpPr>
      </xdr:nvSpPr>
      <xdr:spPr bwMode="auto">
        <a:xfrm>
          <a:off x="3848100" y="2286000"/>
          <a:ext cx="12687300"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1857375</xdr:colOff>
      <xdr:row>32</xdr:row>
      <xdr:rowOff>142875</xdr:rowOff>
    </xdr:from>
    <xdr:to>
      <xdr:col>13</xdr:col>
      <xdr:colOff>428625</xdr:colOff>
      <xdr:row>32</xdr:row>
      <xdr:rowOff>142875</xdr:rowOff>
    </xdr:to>
    <xdr:sp macro="" textlink="">
      <xdr:nvSpPr>
        <xdr:cNvPr id="2093" name="Line 45"/>
        <xdr:cNvSpPr>
          <a:spLocks noChangeShapeType="1"/>
        </xdr:cNvSpPr>
      </xdr:nvSpPr>
      <xdr:spPr bwMode="auto">
        <a:xfrm>
          <a:off x="3562350" y="6686550"/>
          <a:ext cx="129635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1962150</xdr:colOff>
      <xdr:row>58</xdr:row>
      <xdr:rowOff>142875</xdr:rowOff>
    </xdr:from>
    <xdr:to>
      <xdr:col>13</xdr:col>
      <xdr:colOff>466725</xdr:colOff>
      <xdr:row>58</xdr:row>
      <xdr:rowOff>152400</xdr:rowOff>
    </xdr:to>
    <xdr:sp macro="" textlink="">
      <xdr:nvSpPr>
        <xdr:cNvPr id="2094" name="Line 46"/>
        <xdr:cNvSpPr>
          <a:spLocks noChangeShapeType="1"/>
        </xdr:cNvSpPr>
      </xdr:nvSpPr>
      <xdr:spPr bwMode="auto">
        <a:xfrm flipV="1">
          <a:off x="3667125" y="11887200"/>
          <a:ext cx="12896850" cy="9525"/>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1552575</xdr:colOff>
      <xdr:row>31</xdr:row>
      <xdr:rowOff>142875</xdr:rowOff>
    </xdr:from>
    <xdr:to>
      <xdr:col>13</xdr:col>
      <xdr:colOff>428625</xdr:colOff>
      <xdr:row>31</xdr:row>
      <xdr:rowOff>142875</xdr:rowOff>
    </xdr:to>
    <xdr:sp macro="" textlink="">
      <xdr:nvSpPr>
        <xdr:cNvPr id="2095" name="Line 47"/>
        <xdr:cNvSpPr>
          <a:spLocks noChangeShapeType="1"/>
        </xdr:cNvSpPr>
      </xdr:nvSpPr>
      <xdr:spPr bwMode="auto">
        <a:xfrm>
          <a:off x="3257550" y="6486525"/>
          <a:ext cx="132683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twoCellAnchor>
    <xdr:from>
      <xdr:col>1</xdr:col>
      <xdr:colOff>1552575</xdr:colOff>
      <xdr:row>30</xdr:row>
      <xdr:rowOff>142875</xdr:rowOff>
    </xdr:from>
    <xdr:to>
      <xdr:col>13</xdr:col>
      <xdr:colOff>428625</xdr:colOff>
      <xdr:row>30</xdr:row>
      <xdr:rowOff>142875</xdr:rowOff>
    </xdr:to>
    <xdr:sp macro="" textlink="">
      <xdr:nvSpPr>
        <xdr:cNvPr id="2096" name="Line 48"/>
        <xdr:cNvSpPr>
          <a:spLocks noChangeShapeType="1"/>
        </xdr:cNvSpPr>
      </xdr:nvSpPr>
      <xdr:spPr bwMode="auto">
        <a:xfrm>
          <a:off x="3257550" y="6286500"/>
          <a:ext cx="13268325" cy="0"/>
        </a:xfrm>
        <a:prstGeom prst="line">
          <a:avLst/>
        </a:prstGeom>
        <a:noFill/>
        <a:ln w="1" cap="flat">
          <a:solidFill>
            <a:srgbClr xmlns:mc="http://schemas.openxmlformats.org/markup-compatibility/2006" xmlns:a14="http://schemas.microsoft.com/office/drawing/2010/main" val="000000" mc:Ignorable="a14" a14:legacySpreadsheetColorIndex="8"/>
          </a:solidFill>
          <a:prstDash val="dash"/>
          <a:round/>
          <a:headEnd/>
          <a:tailEnd type="non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190500</xdr:colOff>
      <xdr:row>0</xdr:row>
      <xdr:rowOff>190500</xdr:rowOff>
    </xdr:from>
    <xdr:to>
      <xdr:col>18</xdr:col>
      <xdr:colOff>0</xdr:colOff>
      <xdr:row>26</xdr:row>
      <xdr:rowOff>28575</xdr:rowOff>
    </xdr:to>
    <xdr:graphicFrame macro="">
      <xdr:nvGraphicFramePr>
        <xdr:cNvPr id="3077"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171450</xdr:colOff>
      <xdr:row>26</xdr:row>
      <xdr:rowOff>133350</xdr:rowOff>
    </xdr:from>
    <xdr:to>
      <xdr:col>17</xdr:col>
      <xdr:colOff>790575</xdr:colOff>
      <xdr:row>52</xdr:row>
      <xdr:rowOff>114300</xdr:rowOff>
    </xdr:to>
    <xdr:graphicFrame macro="">
      <xdr:nvGraphicFramePr>
        <xdr:cNvPr id="308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438150</xdr:colOff>
      <xdr:row>17</xdr:row>
      <xdr:rowOff>85725</xdr:rowOff>
    </xdr:from>
    <xdr:to>
      <xdr:col>7</xdr:col>
      <xdr:colOff>333375</xdr:colOff>
      <xdr:row>18</xdr:row>
      <xdr:rowOff>142875</xdr:rowOff>
    </xdr:to>
    <xdr:sp macro="" textlink="" fLocksText="0">
      <xdr:nvSpPr>
        <xdr:cNvPr id="3089" name="Texte 17"/>
        <xdr:cNvSpPr txBox="1">
          <a:spLocks noChangeArrowheads="1"/>
        </xdr:cNvSpPr>
      </xdr:nvSpPr>
      <xdr:spPr bwMode="auto">
        <a:xfrm>
          <a:off x="5467350" y="3486150"/>
          <a:ext cx="733425" cy="2571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none" strike="noStrike" baseline="0">
              <a:solidFill>
                <a:srgbClr val="000000"/>
              </a:solidFill>
              <a:latin typeface="CG Times"/>
            </a:rPr>
            <a:t>  +19.8%</a:t>
          </a:r>
        </a:p>
      </xdr:txBody>
    </xdr:sp>
    <xdr:clientData/>
  </xdr:twoCellAnchor>
  <xdr:twoCellAnchor>
    <xdr:from>
      <xdr:col>8</xdr:col>
      <xdr:colOff>295275</xdr:colOff>
      <xdr:row>17</xdr:row>
      <xdr:rowOff>66675</xdr:rowOff>
    </xdr:from>
    <xdr:to>
      <xdr:col>9</xdr:col>
      <xdr:colOff>85725</xdr:colOff>
      <xdr:row>18</xdr:row>
      <xdr:rowOff>85725</xdr:rowOff>
    </xdr:to>
    <xdr:sp macro="" textlink="">
      <xdr:nvSpPr>
        <xdr:cNvPr id="3090" name="Texte 18"/>
        <xdr:cNvSpPr txBox="1">
          <a:spLocks noChangeArrowheads="1"/>
        </xdr:cNvSpPr>
      </xdr:nvSpPr>
      <xdr:spPr bwMode="auto">
        <a:xfrm>
          <a:off x="7000875" y="3467100"/>
          <a:ext cx="62865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none" strike="noStrike" baseline="0">
              <a:solidFill>
                <a:srgbClr val="000000"/>
              </a:solidFill>
              <a:latin typeface="CG Times"/>
            </a:rPr>
            <a:t>+16.6%</a:t>
          </a:r>
        </a:p>
      </xdr:txBody>
    </xdr:sp>
    <xdr:clientData/>
  </xdr:twoCellAnchor>
  <xdr:twoCellAnchor>
    <xdr:from>
      <xdr:col>10</xdr:col>
      <xdr:colOff>47625</xdr:colOff>
      <xdr:row>17</xdr:row>
      <xdr:rowOff>76200</xdr:rowOff>
    </xdr:from>
    <xdr:to>
      <xdr:col>10</xdr:col>
      <xdr:colOff>666750</xdr:colOff>
      <xdr:row>18</xdr:row>
      <xdr:rowOff>114300</xdr:rowOff>
    </xdr:to>
    <xdr:sp macro="" textlink="">
      <xdr:nvSpPr>
        <xdr:cNvPr id="3092" name="Texte 20"/>
        <xdr:cNvSpPr txBox="1">
          <a:spLocks noChangeArrowheads="1"/>
        </xdr:cNvSpPr>
      </xdr:nvSpPr>
      <xdr:spPr bwMode="auto">
        <a:xfrm>
          <a:off x="8429625" y="3476625"/>
          <a:ext cx="619125"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none" strike="noStrike" baseline="0">
              <a:solidFill>
                <a:srgbClr val="000000"/>
              </a:solidFill>
              <a:latin typeface="CG Times"/>
            </a:rPr>
            <a:t>+15.8%</a:t>
          </a:r>
        </a:p>
      </xdr:txBody>
    </xdr:sp>
    <xdr:clientData/>
  </xdr:twoCellAnchor>
  <xdr:twoCellAnchor>
    <xdr:from>
      <xdr:col>12</xdr:col>
      <xdr:colOff>9525</xdr:colOff>
      <xdr:row>17</xdr:row>
      <xdr:rowOff>66675</xdr:rowOff>
    </xdr:from>
    <xdr:to>
      <xdr:col>12</xdr:col>
      <xdr:colOff>561975</xdr:colOff>
      <xdr:row>18</xdr:row>
      <xdr:rowOff>104775</xdr:rowOff>
    </xdr:to>
    <xdr:sp macro="" textlink="">
      <xdr:nvSpPr>
        <xdr:cNvPr id="3093" name="Texte 21"/>
        <xdr:cNvSpPr txBox="1">
          <a:spLocks noChangeArrowheads="1"/>
        </xdr:cNvSpPr>
      </xdr:nvSpPr>
      <xdr:spPr bwMode="auto">
        <a:xfrm>
          <a:off x="9858375" y="3467100"/>
          <a:ext cx="55245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none" strike="noStrike" baseline="0">
              <a:solidFill>
                <a:srgbClr val="000000"/>
              </a:solidFill>
              <a:latin typeface="CG Times"/>
            </a:rPr>
            <a:t>+5.3%</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142875</xdr:colOff>
      <xdr:row>0</xdr:row>
      <xdr:rowOff>57150</xdr:rowOff>
    </xdr:from>
    <xdr:to>
      <xdr:col>17</xdr:col>
      <xdr:colOff>790575</xdr:colOff>
      <xdr:row>25</xdr:row>
      <xdr:rowOff>95250</xdr:rowOff>
    </xdr:to>
    <xdr:graphicFrame macro="">
      <xdr:nvGraphicFramePr>
        <xdr:cNvPr id="410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476250</xdr:colOff>
      <xdr:row>14</xdr:row>
      <xdr:rowOff>19050</xdr:rowOff>
    </xdr:from>
    <xdr:to>
      <xdr:col>7</xdr:col>
      <xdr:colOff>314325</xdr:colOff>
      <xdr:row>15</xdr:row>
      <xdr:rowOff>28575</xdr:rowOff>
    </xdr:to>
    <xdr:sp macro="" textlink="">
      <xdr:nvSpPr>
        <xdr:cNvPr id="4104" name="Texte 8"/>
        <xdr:cNvSpPr txBox="1">
          <a:spLocks noChangeArrowheads="1"/>
        </xdr:cNvSpPr>
      </xdr:nvSpPr>
      <xdr:spPr bwMode="auto">
        <a:xfrm>
          <a:off x="5505450" y="2819400"/>
          <a:ext cx="676275" cy="2095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-20.2%</a:t>
          </a:r>
        </a:p>
      </xdr:txBody>
    </xdr:sp>
    <xdr:clientData/>
  </xdr:twoCellAnchor>
  <xdr:twoCellAnchor>
    <xdr:from>
      <xdr:col>0</xdr:col>
      <xdr:colOff>123825</xdr:colOff>
      <xdr:row>26</xdr:row>
      <xdr:rowOff>114300</xdr:rowOff>
    </xdr:from>
    <xdr:to>
      <xdr:col>17</xdr:col>
      <xdr:colOff>742950</xdr:colOff>
      <xdr:row>52</xdr:row>
      <xdr:rowOff>161925</xdr:rowOff>
    </xdr:to>
    <xdr:graphicFrame macro="">
      <xdr:nvGraphicFramePr>
        <xdr:cNvPr id="4108"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190500</xdr:colOff>
      <xdr:row>14</xdr:row>
      <xdr:rowOff>19050</xdr:rowOff>
    </xdr:from>
    <xdr:to>
      <xdr:col>9</xdr:col>
      <xdr:colOff>714375</xdr:colOff>
      <xdr:row>15</xdr:row>
      <xdr:rowOff>38100</xdr:rowOff>
    </xdr:to>
    <xdr:sp macro="" textlink="">
      <xdr:nvSpPr>
        <xdr:cNvPr id="4109" name="Texte 13"/>
        <xdr:cNvSpPr txBox="1">
          <a:spLocks noChangeArrowheads="1"/>
        </xdr:cNvSpPr>
      </xdr:nvSpPr>
      <xdr:spPr bwMode="auto">
        <a:xfrm>
          <a:off x="7734300" y="2819400"/>
          <a:ext cx="523875"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-8.9%</a:t>
          </a:r>
        </a:p>
      </xdr:txBody>
    </xdr:sp>
    <xdr:clientData/>
  </xdr:twoCellAnchor>
  <xdr:twoCellAnchor>
    <xdr:from>
      <xdr:col>8</xdr:col>
      <xdr:colOff>295275</xdr:colOff>
      <xdr:row>13</xdr:row>
      <xdr:rowOff>180975</xdr:rowOff>
    </xdr:from>
    <xdr:to>
      <xdr:col>9</xdr:col>
      <xdr:colOff>95250</xdr:colOff>
      <xdr:row>15</xdr:row>
      <xdr:rowOff>9525</xdr:rowOff>
    </xdr:to>
    <xdr:sp macro="" textlink="">
      <xdr:nvSpPr>
        <xdr:cNvPr id="4110" name="Texte 14"/>
        <xdr:cNvSpPr txBox="1">
          <a:spLocks noChangeArrowheads="1"/>
        </xdr:cNvSpPr>
      </xdr:nvSpPr>
      <xdr:spPr bwMode="auto">
        <a:xfrm>
          <a:off x="7000875" y="2781300"/>
          <a:ext cx="638175" cy="2286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CG Times"/>
            </a:rPr>
            <a:t>+14.4%</a:t>
          </a:r>
        </a:p>
      </xdr:txBody>
    </xdr:sp>
    <xdr:clientData/>
  </xdr:twoCellAnchor>
  <xdr:twoCellAnchor>
    <xdr:from>
      <xdr:col>9</xdr:col>
      <xdr:colOff>800100</xdr:colOff>
      <xdr:row>13</xdr:row>
      <xdr:rowOff>123825</xdr:rowOff>
    </xdr:from>
    <xdr:to>
      <xdr:col>10</xdr:col>
      <xdr:colOff>666750</xdr:colOff>
      <xdr:row>14</xdr:row>
      <xdr:rowOff>190500</xdr:rowOff>
    </xdr:to>
    <xdr:sp macro="" textlink="">
      <xdr:nvSpPr>
        <xdr:cNvPr id="4111" name="Texte 15"/>
        <xdr:cNvSpPr txBox="1">
          <a:spLocks noChangeArrowheads="1"/>
        </xdr:cNvSpPr>
      </xdr:nvSpPr>
      <xdr:spPr bwMode="auto">
        <a:xfrm>
          <a:off x="8343900" y="2724150"/>
          <a:ext cx="704850" cy="2667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+2.3%</a:t>
          </a:r>
        </a:p>
      </xdr:txBody>
    </xdr:sp>
    <xdr:clientData/>
  </xdr:twoCellAnchor>
  <xdr:twoCellAnchor>
    <xdr:from>
      <xdr:col>11</xdr:col>
      <xdr:colOff>514350</xdr:colOff>
      <xdr:row>13</xdr:row>
      <xdr:rowOff>95250</xdr:rowOff>
    </xdr:from>
    <xdr:to>
      <xdr:col>12</xdr:col>
      <xdr:colOff>381000</xdr:colOff>
      <xdr:row>14</xdr:row>
      <xdr:rowOff>161925</xdr:rowOff>
    </xdr:to>
    <xdr:sp macro="" textlink="">
      <xdr:nvSpPr>
        <xdr:cNvPr id="4112" name="Texte 16"/>
        <xdr:cNvSpPr txBox="1">
          <a:spLocks noChangeArrowheads="1"/>
        </xdr:cNvSpPr>
      </xdr:nvSpPr>
      <xdr:spPr bwMode="auto">
        <a:xfrm>
          <a:off x="9734550" y="2695575"/>
          <a:ext cx="704850" cy="2667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+20.1%</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142875</xdr:colOff>
      <xdr:row>0</xdr:row>
      <xdr:rowOff>85725</xdr:rowOff>
    </xdr:from>
    <xdr:to>
      <xdr:col>17</xdr:col>
      <xdr:colOff>752475</xdr:colOff>
      <xdr:row>25</xdr:row>
      <xdr:rowOff>123825</xdr:rowOff>
    </xdr:to>
    <xdr:graphicFrame macro="">
      <xdr:nvGraphicFramePr>
        <xdr:cNvPr id="5136"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714375</xdr:colOff>
      <xdr:row>19</xdr:row>
      <xdr:rowOff>0</xdr:rowOff>
    </xdr:from>
    <xdr:to>
      <xdr:col>8</xdr:col>
      <xdr:colOff>0</xdr:colOff>
      <xdr:row>20</xdr:row>
      <xdr:rowOff>95250</xdr:rowOff>
    </xdr:to>
    <xdr:sp macro="" textlink="">
      <xdr:nvSpPr>
        <xdr:cNvPr id="5140" name="Texte 20"/>
        <xdr:cNvSpPr txBox="1">
          <a:spLocks noChangeArrowheads="1"/>
        </xdr:cNvSpPr>
      </xdr:nvSpPr>
      <xdr:spPr bwMode="auto">
        <a:xfrm>
          <a:off x="5743575" y="3800475"/>
          <a:ext cx="962025" cy="2952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 +56.5%</a:t>
          </a:r>
        </a:p>
      </xdr:txBody>
    </xdr:sp>
    <xdr:clientData/>
  </xdr:twoCellAnchor>
  <xdr:twoCellAnchor>
    <xdr:from>
      <xdr:col>0</xdr:col>
      <xdr:colOff>161925</xdr:colOff>
      <xdr:row>27</xdr:row>
      <xdr:rowOff>0</xdr:rowOff>
    </xdr:from>
    <xdr:to>
      <xdr:col>17</xdr:col>
      <xdr:colOff>666750</xdr:colOff>
      <xdr:row>53</xdr:row>
      <xdr:rowOff>0</xdr:rowOff>
    </xdr:to>
    <xdr:graphicFrame macro="">
      <xdr:nvGraphicFramePr>
        <xdr:cNvPr id="5151"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295275</xdr:colOff>
      <xdr:row>18</xdr:row>
      <xdr:rowOff>152400</xdr:rowOff>
    </xdr:from>
    <xdr:to>
      <xdr:col>10</xdr:col>
      <xdr:colOff>85725</xdr:colOff>
      <xdr:row>20</xdr:row>
      <xdr:rowOff>9525</xdr:rowOff>
    </xdr:to>
    <xdr:sp macro="" textlink="">
      <xdr:nvSpPr>
        <xdr:cNvPr id="5154" name="Texte 34"/>
        <xdr:cNvSpPr txBox="1">
          <a:spLocks noChangeArrowheads="1"/>
        </xdr:cNvSpPr>
      </xdr:nvSpPr>
      <xdr:spPr bwMode="auto">
        <a:xfrm>
          <a:off x="7839075" y="3752850"/>
          <a:ext cx="628650" cy="2571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+86.8%</a:t>
          </a:r>
        </a:p>
      </xdr:txBody>
    </xdr:sp>
    <xdr:clientData/>
  </xdr:twoCellAnchor>
  <xdr:twoCellAnchor>
    <xdr:from>
      <xdr:col>10</xdr:col>
      <xdr:colOff>542925</xdr:colOff>
      <xdr:row>24</xdr:row>
      <xdr:rowOff>66675</xdr:rowOff>
    </xdr:from>
    <xdr:to>
      <xdr:col>11</xdr:col>
      <xdr:colOff>419100</xdr:colOff>
      <xdr:row>25</xdr:row>
      <xdr:rowOff>66675</xdr:rowOff>
    </xdr:to>
    <xdr:sp macro="" textlink="">
      <xdr:nvSpPr>
        <xdr:cNvPr id="5157" name="Texte 37"/>
        <xdr:cNvSpPr txBox="1">
          <a:spLocks noChangeArrowheads="1"/>
        </xdr:cNvSpPr>
      </xdr:nvSpPr>
      <xdr:spPr bwMode="auto">
        <a:xfrm>
          <a:off x="8924925" y="4867275"/>
          <a:ext cx="714375" cy="2000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1" i="0" u="none" strike="noStrike" baseline="0">
              <a:solidFill>
                <a:srgbClr val="000000"/>
              </a:solidFill>
              <a:latin typeface="CG Times"/>
            </a:rPr>
            <a:t> Sept. 99</a:t>
          </a:r>
        </a:p>
      </xdr:txBody>
    </xdr:sp>
    <xdr:clientData/>
  </xdr:twoCellAnchor>
  <xdr:twoCellAnchor>
    <xdr:from>
      <xdr:col>11</xdr:col>
      <xdr:colOff>723900</xdr:colOff>
      <xdr:row>18</xdr:row>
      <xdr:rowOff>152400</xdr:rowOff>
    </xdr:from>
    <xdr:to>
      <xdr:col>12</xdr:col>
      <xdr:colOff>666750</xdr:colOff>
      <xdr:row>20</xdr:row>
      <xdr:rowOff>19050</xdr:rowOff>
    </xdr:to>
    <xdr:sp macro="" textlink="">
      <xdr:nvSpPr>
        <xdr:cNvPr id="5158" name="Texte 38"/>
        <xdr:cNvSpPr txBox="1">
          <a:spLocks noChangeArrowheads="1"/>
        </xdr:cNvSpPr>
      </xdr:nvSpPr>
      <xdr:spPr bwMode="auto">
        <a:xfrm>
          <a:off x="9944100" y="3752850"/>
          <a:ext cx="781050" cy="2667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-26.3%</a:t>
          </a:r>
        </a:p>
      </xdr:txBody>
    </xdr:sp>
    <xdr:clientData/>
  </xdr:twoCellAnchor>
  <xdr:twoCellAnchor>
    <xdr:from>
      <xdr:col>13</xdr:col>
      <xdr:colOff>66675</xdr:colOff>
      <xdr:row>24</xdr:row>
      <xdr:rowOff>38100</xdr:rowOff>
    </xdr:from>
    <xdr:to>
      <xdr:col>13</xdr:col>
      <xdr:colOff>790575</xdr:colOff>
      <xdr:row>25</xdr:row>
      <xdr:rowOff>47625</xdr:rowOff>
    </xdr:to>
    <xdr:sp macro="" textlink="">
      <xdr:nvSpPr>
        <xdr:cNvPr id="5159" name="Texte 39"/>
        <xdr:cNvSpPr txBox="1">
          <a:spLocks noChangeArrowheads="1"/>
        </xdr:cNvSpPr>
      </xdr:nvSpPr>
      <xdr:spPr bwMode="auto">
        <a:xfrm>
          <a:off x="10963275" y="4838700"/>
          <a:ext cx="723900" cy="209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1" i="0" u="none" strike="noStrike" baseline="0">
              <a:solidFill>
                <a:srgbClr val="000000"/>
              </a:solidFill>
              <a:latin typeface="CG Times"/>
            </a:rPr>
            <a:t>Déc.99</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161925</xdr:colOff>
      <xdr:row>0</xdr:row>
      <xdr:rowOff>57150</xdr:rowOff>
    </xdr:from>
    <xdr:to>
      <xdr:col>17</xdr:col>
      <xdr:colOff>819150</xdr:colOff>
      <xdr:row>25</xdr:row>
      <xdr:rowOff>95250</xdr:rowOff>
    </xdr:to>
    <xdr:graphicFrame macro="">
      <xdr:nvGraphicFramePr>
        <xdr:cNvPr id="6149"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171450</xdr:colOff>
      <xdr:row>17</xdr:row>
      <xdr:rowOff>19050</xdr:rowOff>
    </xdr:from>
    <xdr:to>
      <xdr:col>7</xdr:col>
      <xdr:colOff>9525</xdr:colOff>
      <xdr:row>18</xdr:row>
      <xdr:rowOff>47625</xdr:rowOff>
    </xdr:to>
    <xdr:sp macro="" textlink="">
      <xdr:nvSpPr>
        <xdr:cNvPr id="6154" name="Texte 10"/>
        <xdr:cNvSpPr txBox="1">
          <a:spLocks noChangeArrowheads="1"/>
        </xdr:cNvSpPr>
      </xdr:nvSpPr>
      <xdr:spPr bwMode="auto">
        <a:xfrm>
          <a:off x="5200650" y="3419475"/>
          <a:ext cx="676275" cy="2286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+38.7%</a:t>
          </a:r>
        </a:p>
        <a:p>
          <a:pPr algn="l" rtl="0">
            <a:defRPr sz="1000"/>
          </a:pPr>
          <a:endParaRPr lang="en-US" sz="1000" b="0" i="0" u="none" strike="noStrike" baseline="0">
            <a:solidFill>
              <a:srgbClr val="000000"/>
            </a:solidFill>
            <a:latin typeface="CG Times"/>
          </a:endParaRPr>
        </a:p>
      </xdr:txBody>
    </xdr:sp>
    <xdr:clientData/>
  </xdr:twoCellAnchor>
  <xdr:twoCellAnchor>
    <xdr:from>
      <xdr:col>8</xdr:col>
      <xdr:colOff>171450</xdr:colOff>
      <xdr:row>17</xdr:row>
      <xdr:rowOff>9525</xdr:rowOff>
    </xdr:from>
    <xdr:to>
      <xdr:col>8</xdr:col>
      <xdr:colOff>666750</xdr:colOff>
      <xdr:row>18</xdr:row>
      <xdr:rowOff>57150</xdr:rowOff>
    </xdr:to>
    <xdr:sp macro="" textlink="">
      <xdr:nvSpPr>
        <xdr:cNvPr id="6157" name="Texte 13"/>
        <xdr:cNvSpPr txBox="1">
          <a:spLocks noChangeArrowheads="1"/>
        </xdr:cNvSpPr>
      </xdr:nvSpPr>
      <xdr:spPr bwMode="auto">
        <a:xfrm>
          <a:off x="6877050" y="3409950"/>
          <a:ext cx="495300" cy="247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none" strike="noStrike" baseline="0">
              <a:solidFill>
                <a:srgbClr val="000000"/>
              </a:solidFill>
              <a:latin typeface="CG Times"/>
            </a:rPr>
            <a:t>+14.8%</a:t>
          </a:r>
        </a:p>
      </xdr:txBody>
    </xdr:sp>
    <xdr:clientData/>
  </xdr:twoCellAnchor>
  <xdr:twoCellAnchor>
    <xdr:from>
      <xdr:col>0</xdr:col>
      <xdr:colOff>171450</xdr:colOff>
      <xdr:row>27</xdr:row>
      <xdr:rowOff>0</xdr:rowOff>
    </xdr:from>
    <xdr:to>
      <xdr:col>17</xdr:col>
      <xdr:colOff>723900</xdr:colOff>
      <xdr:row>52</xdr:row>
      <xdr:rowOff>0</xdr:rowOff>
    </xdr:to>
    <xdr:graphicFrame macro="">
      <xdr:nvGraphicFramePr>
        <xdr:cNvPr id="6161"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161925</xdr:colOff>
      <xdr:row>17</xdr:row>
      <xdr:rowOff>19050</xdr:rowOff>
    </xdr:from>
    <xdr:to>
      <xdr:col>10</xdr:col>
      <xdr:colOff>828675</xdr:colOff>
      <xdr:row>18</xdr:row>
      <xdr:rowOff>57150</xdr:rowOff>
    </xdr:to>
    <xdr:sp macro="" textlink="">
      <xdr:nvSpPr>
        <xdr:cNvPr id="6162" name="Texte 18"/>
        <xdr:cNvSpPr txBox="1">
          <a:spLocks noChangeArrowheads="1"/>
        </xdr:cNvSpPr>
      </xdr:nvSpPr>
      <xdr:spPr bwMode="auto">
        <a:xfrm>
          <a:off x="8410575" y="3419475"/>
          <a:ext cx="66675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+7.3%</a:t>
          </a:r>
        </a:p>
      </xdr:txBody>
    </xdr:sp>
    <xdr:clientData/>
  </xdr:twoCellAnchor>
  <xdr:twoCellAnchor>
    <xdr:from>
      <xdr:col>12</xdr:col>
      <xdr:colOff>247650</xdr:colOff>
      <xdr:row>17</xdr:row>
      <xdr:rowOff>38100</xdr:rowOff>
    </xdr:from>
    <xdr:to>
      <xdr:col>13</xdr:col>
      <xdr:colOff>38100</xdr:colOff>
      <xdr:row>18</xdr:row>
      <xdr:rowOff>47625</xdr:rowOff>
    </xdr:to>
    <xdr:sp macro="" textlink="">
      <xdr:nvSpPr>
        <xdr:cNvPr id="6164" name="Texte 20"/>
        <xdr:cNvSpPr txBox="1">
          <a:spLocks noChangeArrowheads="1"/>
        </xdr:cNvSpPr>
      </xdr:nvSpPr>
      <xdr:spPr bwMode="auto">
        <a:xfrm>
          <a:off x="10172700" y="3438525"/>
          <a:ext cx="628650" cy="2095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+4.9%</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152400</xdr:colOff>
      <xdr:row>0</xdr:row>
      <xdr:rowOff>57150</xdr:rowOff>
    </xdr:from>
    <xdr:to>
      <xdr:col>17</xdr:col>
      <xdr:colOff>800100</xdr:colOff>
      <xdr:row>25</xdr:row>
      <xdr:rowOff>95250</xdr:rowOff>
    </xdr:to>
    <xdr:graphicFrame macro="">
      <xdr:nvGraphicFramePr>
        <xdr:cNvPr id="7173"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295275</xdr:colOff>
      <xdr:row>16</xdr:row>
      <xdr:rowOff>95250</xdr:rowOff>
    </xdr:from>
    <xdr:to>
      <xdr:col>7</xdr:col>
      <xdr:colOff>123825</xdr:colOff>
      <xdr:row>17</xdr:row>
      <xdr:rowOff>152400</xdr:rowOff>
    </xdr:to>
    <xdr:sp macro="" textlink="">
      <xdr:nvSpPr>
        <xdr:cNvPr id="7178" name="Texte 10"/>
        <xdr:cNvSpPr txBox="1">
          <a:spLocks noChangeArrowheads="1"/>
        </xdr:cNvSpPr>
      </xdr:nvSpPr>
      <xdr:spPr bwMode="auto">
        <a:xfrm>
          <a:off x="5324475" y="3295650"/>
          <a:ext cx="666750" cy="2571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+22.9%</a:t>
          </a:r>
        </a:p>
      </xdr:txBody>
    </xdr:sp>
    <xdr:clientData/>
  </xdr:twoCellAnchor>
  <xdr:twoCellAnchor>
    <xdr:from>
      <xdr:col>0</xdr:col>
      <xdr:colOff>161925</xdr:colOff>
      <xdr:row>26</xdr:row>
      <xdr:rowOff>142875</xdr:rowOff>
    </xdr:from>
    <xdr:to>
      <xdr:col>17</xdr:col>
      <xdr:colOff>781050</xdr:colOff>
      <xdr:row>52</xdr:row>
      <xdr:rowOff>142875</xdr:rowOff>
    </xdr:to>
    <xdr:graphicFrame macro="">
      <xdr:nvGraphicFramePr>
        <xdr:cNvPr id="7181"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114300</xdr:colOff>
      <xdr:row>16</xdr:row>
      <xdr:rowOff>85725</xdr:rowOff>
    </xdr:from>
    <xdr:to>
      <xdr:col>8</xdr:col>
      <xdr:colOff>828675</xdr:colOff>
      <xdr:row>17</xdr:row>
      <xdr:rowOff>133350</xdr:rowOff>
    </xdr:to>
    <xdr:sp macro="" textlink="">
      <xdr:nvSpPr>
        <xdr:cNvPr id="7182" name="Texte 14"/>
        <xdr:cNvSpPr txBox="1">
          <a:spLocks noChangeArrowheads="1"/>
        </xdr:cNvSpPr>
      </xdr:nvSpPr>
      <xdr:spPr bwMode="auto">
        <a:xfrm>
          <a:off x="6819900" y="3286125"/>
          <a:ext cx="714375" cy="2476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+17.7%</a:t>
          </a:r>
        </a:p>
      </xdr:txBody>
    </xdr:sp>
    <xdr:clientData/>
  </xdr:twoCellAnchor>
  <xdr:twoCellAnchor>
    <xdr:from>
      <xdr:col>9</xdr:col>
      <xdr:colOff>800100</xdr:colOff>
      <xdr:row>16</xdr:row>
      <xdr:rowOff>57150</xdr:rowOff>
    </xdr:from>
    <xdr:to>
      <xdr:col>10</xdr:col>
      <xdr:colOff>619125</xdr:colOff>
      <xdr:row>17</xdr:row>
      <xdr:rowOff>104775</xdr:rowOff>
    </xdr:to>
    <xdr:sp macro="" textlink="">
      <xdr:nvSpPr>
        <xdr:cNvPr id="7185" name="Texte 17"/>
        <xdr:cNvSpPr txBox="1">
          <a:spLocks noChangeArrowheads="1"/>
        </xdr:cNvSpPr>
      </xdr:nvSpPr>
      <xdr:spPr bwMode="auto">
        <a:xfrm>
          <a:off x="8343900" y="3257550"/>
          <a:ext cx="657225" cy="2476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+18.5%</a:t>
          </a:r>
        </a:p>
      </xdr:txBody>
    </xdr:sp>
    <xdr:clientData/>
  </xdr:twoCellAnchor>
  <xdr:twoCellAnchor>
    <xdr:from>
      <xdr:col>11</xdr:col>
      <xdr:colOff>695325</xdr:colOff>
      <xdr:row>16</xdr:row>
      <xdr:rowOff>38100</xdr:rowOff>
    </xdr:from>
    <xdr:to>
      <xdr:col>12</xdr:col>
      <xdr:colOff>466725</xdr:colOff>
      <xdr:row>17</xdr:row>
      <xdr:rowOff>85725</xdr:rowOff>
    </xdr:to>
    <xdr:sp macro="" textlink="">
      <xdr:nvSpPr>
        <xdr:cNvPr id="7187" name="Texte 19"/>
        <xdr:cNvSpPr txBox="1">
          <a:spLocks noChangeArrowheads="1"/>
        </xdr:cNvSpPr>
      </xdr:nvSpPr>
      <xdr:spPr bwMode="auto">
        <a:xfrm>
          <a:off x="9915525" y="3238500"/>
          <a:ext cx="609600" cy="2476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+6.3%</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219075</xdr:colOff>
      <xdr:row>0</xdr:row>
      <xdr:rowOff>28575</xdr:rowOff>
    </xdr:from>
    <xdr:to>
      <xdr:col>18</xdr:col>
      <xdr:colOff>38100</xdr:colOff>
      <xdr:row>25</xdr:row>
      <xdr:rowOff>66675</xdr:rowOff>
    </xdr:to>
    <xdr:graphicFrame macro="">
      <xdr:nvGraphicFramePr>
        <xdr:cNvPr id="8197"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57150</xdr:colOff>
      <xdr:row>16</xdr:row>
      <xdr:rowOff>180975</xdr:rowOff>
    </xdr:from>
    <xdr:to>
      <xdr:col>6</xdr:col>
      <xdr:colOff>752475</xdr:colOff>
      <xdr:row>18</xdr:row>
      <xdr:rowOff>66675</xdr:rowOff>
    </xdr:to>
    <xdr:sp macro="" textlink="">
      <xdr:nvSpPr>
        <xdr:cNvPr id="8199" name="Texte 7"/>
        <xdr:cNvSpPr txBox="1">
          <a:spLocks noChangeArrowheads="1"/>
        </xdr:cNvSpPr>
      </xdr:nvSpPr>
      <xdr:spPr bwMode="auto">
        <a:xfrm>
          <a:off x="5086350" y="3381375"/>
          <a:ext cx="695325"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+31.9%</a:t>
          </a:r>
        </a:p>
      </xdr:txBody>
    </xdr:sp>
    <xdr:clientData/>
  </xdr:twoCellAnchor>
  <xdr:twoCellAnchor>
    <xdr:from>
      <xdr:col>0</xdr:col>
      <xdr:colOff>257175</xdr:colOff>
      <xdr:row>26</xdr:row>
      <xdr:rowOff>114300</xdr:rowOff>
    </xdr:from>
    <xdr:to>
      <xdr:col>17</xdr:col>
      <xdr:colOff>771525</xdr:colOff>
      <xdr:row>52</xdr:row>
      <xdr:rowOff>142875</xdr:rowOff>
    </xdr:to>
    <xdr:graphicFrame macro="">
      <xdr:nvGraphicFramePr>
        <xdr:cNvPr id="8204"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161925</xdr:colOff>
      <xdr:row>16</xdr:row>
      <xdr:rowOff>161925</xdr:rowOff>
    </xdr:from>
    <xdr:to>
      <xdr:col>7</xdr:col>
      <xdr:colOff>828675</xdr:colOff>
      <xdr:row>18</xdr:row>
      <xdr:rowOff>9525</xdr:rowOff>
    </xdr:to>
    <xdr:sp macro="" textlink="">
      <xdr:nvSpPr>
        <xdr:cNvPr id="8205" name="Texte 13"/>
        <xdr:cNvSpPr txBox="1">
          <a:spLocks noChangeArrowheads="1"/>
        </xdr:cNvSpPr>
      </xdr:nvSpPr>
      <xdr:spPr bwMode="auto">
        <a:xfrm>
          <a:off x="6029325" y="3362325"/>
          <a:ext cx="666750" cy="2476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+31.9%</a:t>
          </a:r>
        </a:p>
      </xdr:txBody>
    </xdr:sp>
    <xdr:clientData/>
  </xdr:twoCellAnchor>
  <xdr:twoCellAnchor>
    <xdr:from>
      <xdr:col>9</xdr:col>
      <xdr:colOff>476250</xdr:colOff>
      <xdr:row>16</xdr:row>
      <xdr:rowOff>161925</xdr:rowOff>
    </xdr:from>
    <xdr:to>
      <xdr:col>10</xdr:col>
      <xdr:colOff>219075</xdr:colOff>
      <xdr:row>18</xdr:row>
      <xdr:rowOff>9525</xdr:rowOff>
    </xdr:to>
    <xdr:sp macro="" textlink="">
      <xdr:nvSpPr>
        <xdr:cNvPr id="8208" name="Texte 16"/>
        <xdr:cNvSpPr txBox="1">
          <a:spLocks noChangeArrowheads="1"/>
        </xdr:cNvSpPr>
      </xdr:nvSpPr>
      <xdr:spPr bwMode="auto">
        <a:xfrm>
          <a:off x="8020050" y="3362325"/>
          <a:ext cx="581025" cy="2476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+70.1%</a:t>
          </a:r>
        </a:p>
      </xdr:txBody>
    </xdr:sp>
    <xdr:clientData/>
  </xdr:twoCellAnchor>
  <xdr:twoCellAnchor>
    <xdr:from>
      <xdr:col>11</xdr:col>
      <xdr:colOff>819150</xdr:colOff>
      <xdr:row>16</xdr:row>
      <xdr:rowOff>142875</xdr:rowOff>
    </xdr:from>
    <xdr:to>
      <xdr:col>12</xdr:col>
      <xdr:colOff>609600</xdr:colOff>
      <xdr:row>17</xdr:row>
      <xdr:rowOff>180975</xdr:rowOff>
    </xdr:to>
    <xdr:sp macro="" textlink="">
      <xdr:nvSpPr>
        <xdr:cNvPr id="8209" name="Texte 17"/>
        <xdr:cNvSpPr txBox="1">
          <a:spLocks noChangeArrowheads="1"/>
        </xdr:cNvSpPr>
      </xdr:nvSpPr>
      <xdr:spPr bwMode="auto">
        <a:xfrm>
          <a:off x="9896475" y="3343275"/>
          <a:ext cx="62865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+6.8%</a:t>
          </a:r>
        </a:p>
      </xdr:txBody>
    </xdr:sp>
    <xdr:clientData/>
  </xdr:twoCellAnchor>
  <xdr:twoCellAnchor>
    <xdr:from>
      <xdr:col>12</xdr:col>
      <xdr:colOff>800100</xdr:colOff>
      <xdr:row>16</xdr:row>
      <xdr:rowOff>142875</xdr:rowOff>
    </xdr:from>
    <xdr:to>
      <xdr:col>13</xdr:col>
      <xdr:colOff>590550</xdr:colOff>
      <xdr:row>17</xdr:row>
      <xdr:rowOff>180975</xdr:rowOff>
    </xdr:to>
    <xdr:sp macro="" textlink="">
      <xdr:nvSpPr>
        <xdr:cNvPr id="8210" name="Texte 18"/>
        <xdr:cNvSpPr txBox="1">
          <a:spLocks noChangeArrowheads="1"/>
        </xdr:cNvSpPr>
      </xdr:nvSpPr>
      <xdr:spPr bwMode="auto">
        <a:xfrm>
          <a:off x="10715625" y="3343275"/>
          <a:ext cx="62865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+6.9%</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152400</xdr:colOff>
      <xdr:row>0</xdr:row>
      <xdr:rowOff>57150</xdr:rowOff>
    </xdr:from>
    <xdr:to>
      <xdr:col>17</xdr:col>
      <xdr:colOff>800100</xdr:colOff>
      <xdr:row>25</xdr:row>
      <xdr:rowOff>95250</xdr:rowOff>
    </xdr:to>
    <xdr:graphicFrame macro="">
      <xdr:nvGraphicFramePr>
        <xdr:cNvPr id="922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247650</xdr:colOff>
      <xdr:row>16</xdr:row>
      <xdr:rowOff>152400</xdr:rowOff>
    </xdr:from>
    <xdr:to>
      <xdr:col>7</xdr:col>
      <xdr:colOff>47625</xdr:colOff>
      <xdr:row>18</xdr:row>
      <xdr:rowOff>0</xdr:rowOff>
    </xdr:to>
    <xdr:sp macro="" textlink="">
      <xdr:nvSpPr>
        <xdr:cNvPr id="9226" name="Texte 10"/>
        <xdr:cNvSpPr txBox="1">
          <a:spLocks noChangeArrowheads="1"/>
        </xdr:cNvSpPr>
      </xdr:nvSpPr>
      <xdr:spPr bwMode="auto">
        <a:xfrm>
          <a:off x="5276850" y="3352800"/>
          <a:ext cx="638175" cy="2476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+44.1%</a:t>
          </a:r>
        </a:p>
      </xdr:txBody>
    </xdr:sp>
    <xdr:clientData/>
  </xdr:twoCellAnchor>
  <xdr:twoCellAnchor>
    <xdr:from>
      <xdr:col>8</xdr:col>
      <xdr:colOff>142875</xdr:colOff>
      <xdr:row>16</xdr:row>
      <xdr:rowOff>161925</xdr:rowOff>
    </xdr:from>
    <xdr:to>
      <xdr:col>8</xdr:col>
      <xdr:colOff>800100</xdr:colOff>
      <xdr:row>17</xdr:row>
      <xdr:rowOff>180975</xdr:rowOff>
    </xdr:to>
    <xdr:sp macro="" textlink="">
      <xdr:nvSpPr>
        <xdr:cNvPr id="9230" name="Texte 14"/>
        <xdr:cNvSpPr txBox="1">
          <a:spLocks noChangeArrowheads="1"/>
        </xdr:cNvSpPr>
      </xdr:nvSpPr>
      <xdr:spPr bwMode="auto">
        <a:xfrm>
          <a:off x="6848475" y="3362325"/>
          <a:ext cx="657225"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+22.0%</a:t>
          </a:r>
        </a:p>
      </xdr:txBody>
    </xdr:sp>
    <xdr:clientData/>
  </xdr:twoCellAnchor>
  <xdr:twoCellAnchor>
    <xdr:from>
      <xdr:col>0</xdr:col>
      <xdr:colOff>161925</xdr:colOff>
      <xdr:row>27</xdr:row>
      <xdr:rowOff>0</xdr:rowOff>
    </xdr:from>
    <xdr:to>
      <xdr:col>17</xdr:col>
      <xdr:colOff>647700</xdr:colOff>
      <xdr:row>53</xdr:row>
      <xdr:rowOff>0</xdr:rowOff>
    </xdr:to>
    <xdr:graphicFrame macro="">
      <xdr:nvGraphicFramePr>
        <xdr:cNvPr id="9233"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16</xdr:row>
      <xdr:rowOff>142875</xdr:rowOff>
    </xdr:from>
    <xdr:to>
      <xdr:col>10</xdr:col>
      <xdr:colOff>581025</xdr:colOff>
      <xdr:row>17</xdr:row>
      <xdr:rowOff>171450</xdr:rowOff>
    </xdr:to>
    <xdr:sp macro="" textlink="">
      <xdr:nvSpPr>
        <xdr:cNvPr id="9234" name="Texte 18"/>
        <xdr:cNvSpPr txBox="1">
          <a:spLocks noChangeArrowheads="1"/>
        </xdr:cNvSpPr>
      </xdr:nvSpPr>
      <xdr:spPr bwMode="auto">
        <a:xfrm>
          <a:off x="8382000" y="3343275"/>
          <a:ext cx="581025" cy="2286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+5.2%</a:t>
          </a:r>
        </a:p>
      </xdr:txBody>
    </xdr:sp>
    <xdr:clientData/>
  </xdr:twoCellAnchor>
  <xdr:twoCellAnchor>
    <xdr:from>
      <xdr:col>11</xdr:col>
      <xdr:colOff>800100</xdr:colOff>
      <xdr:row>16</xdr:row>
      <xdr:rowOff>142875</xdr:rowOff>
    </xdr:from>
    <xdr:to>
      <xdr:col>12</xdr:col>
      <xdr:colOff>590550</xdr:colOff>
      <xdr:row>17</xdr:row>
      <xdr:rowOff>171450</xdr:rowOff>
    </xdr:to>
    <xdr:sp macro="" textlink="">
      <xdr:nvSpPr>
        <xdr:cNvPr id="9236" name="Texte 20"/>
        <xdr:cNvSpPr txBox="1">
          <a:spLocks noChangeArrowheads="1"/>
        </xdr:cNvSpPr>
      </xdr:nvSpPr>
      <xdr:spPr bwMode="auto">
        <a:xfrm>
          <a:off x="10020300" y="3343275"/>
          <a:ext cx="628650" cy="2286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+3.8%</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142875</xdr:colOff>
      <xdr:row>0</xdr:row>
      <xdr:rowOff>114300</xdr:rowOff>
    </xdr:from>
    <xdr:to>
      <xdr:col>18</xdr:col>
      <xdr:colOff>19050</xdr:colOff>
      <xdr:row>24</xdr:row>
      <xdr:rowOff>85725</xdr:rowOff>
    </xdr:to>
    <xdr:graphicFrame macro="">
      <xdr:nvGraphicFramePr>
        <xdr:cNvPr id="1024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361950</xdr:colOff>
      <xdr:row>23</xdr:row>
      <xdr:rowOff>38100</xdr:rowOff>
    </xdr:from>
    <xdr:to>
      <xdr:col>8</xdr:col>
      <xdr:colOff>200025</xdr:colOff>
      <xdr:row>23</xdr:row>
      <xdr:rowOff>38100</xdr:rowOff>
    </xdr:to>
    <xdr:sp macro="" textlink="">
      <xdr:nvSpPr>
        <xdr:cNvPr id="10243" name="Line 3"/>
        <xdr:cNvSpPr>
          <a:spLocks noChangeShapeType="1"/>
        </xdr:cNvSpPr>
      </xdr:nvSpPr>
      <xdr:spPr bwMode="auto">
        <a:xfrm>
          <a:off x="4552950" y="4638675"/>
          <a:ext cx="2171700" cy="0"/>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11</xdr:col>
      <xdr:colOff>95250</xdr:colOff>
      <xdr:row>23</xdr:row>
      <xdr:rowOff>28575</xdr:rowOff>
    </xdr:from>
    <xdr:to>
      <xdr:col>13</xdr:col>
      <xdr:colOff>752475</xdr:colOff>
      <xdr:row>23</xdr:row>
      <xdr:rowOff>38100</xdr:rowOff>
    </xdr:to>
    <xdr:sp macro="" textlink="">
      <xdr:nvSpPr>
        <xdr:cNvPr id="10244" name="Line 4"/>
        <xdr:cNvSpPr>
          <a:spLocks noChangeShapeType="1"/>
        </xdr:cNvSpPr>
      </xdr:nvSpPr>
      <xdr:spPr bwMode="auto">
        <a:xfrm>
          <a:off x="9134475" y="4629150"/>
          <a:ext cx="2333625" cy="9525"/>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6</xdr:col>
      <xdr:colOff>428625</xdr:colOff>
      <xdr:row>17</xdr:row>
      <xdr:rowOff>57150</xdr:rowOff>
    </xdr:from>
    <xdr:to>
      <xdr:col>7</xdr:col>
      <xdr:colOff>152400</xdr:colOff>
      <xdr:row>18</xdr:row>
      <xdr:rowOff>104775</xdr:rowOff>
    </xdr:to>
    <xdr:sp macro="" textlink="">
      <xdr:nvSpPr>
        <xdr:cNvPr id="10245" name="Texte 5"/>
        <xdr:cNvSpPr txBox="1">
          <a:spLocks noChangeArrowheads="1"/>
        </xdr:cNvSpPr>
      </xdr:nvSpPr>
      <xdr:spPr bwMode="auto">
        <a:xfrm>
          <a:off x="5276850" y="3457575"/>
          <a:ext cx="561975" cy="2476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+2.0%</a:t>
          </a:r>
        </a:p>
      </xdr:txBody>
    </xdr:sp>
    <xdr:clientData/>
  </xdr:twoCellAnchor>
  <xdr:twoCellAnchor>
    <xdr:from>
      <xdr:col>0</xdr:col>
      <xdr:colOff>95250</xdr:colOff>
      <xdr:row>26</xdr:row>
      <xdr:rowOff>76200</xdr:rowOff>
    </xdr:from>
    <xdr:to>
      <xdr:col>17</xdr:col>
      <xdr:colOff>752475</xdr:colOff>
      <xdr:row>52</xdr:row>
      <xdr:rowOff>142875</xdr:rowOff>
    </xdr:to>
    <xdr:graphicFrame macro="">
      <xdr:nvGraphicFramePr>
        <xdr:cNvPr id="10250"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47625</xdr:colOff>
      <xdr:row>17</xdr:row>
      <xdr:rowOff>180975</xdr:rowOff>
    </xdr:from>
    <xdr:to>
      <xdr:col>12</xdr:col>
      <xdr:colOff>628650</xdr:colOff>
      <xdr:row>18</xdr:row>
      <xdr:rowOff>180975</xdr:rowOff>
    </xdr:to>
    <xdr:sp macro="" textlink="">
      <xdr:nvSpPr>
        <xdr:cNvPr id="10253" name="Texte 13"/>
        <xdr:cNvSpPr txBox="1">
          <a:spLocks noChangeArrowheads="1"/>
        </xdr:cNvSpPr>
      </xdr:nvSpPr>
      <xdr:spPr bwMode="auto">
        <a:xfrm>
          <a:off x="9925050" y="3581400"/>
          <a:ext cx="581025" cy="2000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+2.0%</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123825</xdr:colOff>
      <xdr:row>0</xdr:row>
      <xdr:rowOff>85725</xdr:rowOff>
    </xdr:from>
    <xdr:to>
      <xdr:col>18</xdr:col>
      <xdr:colOff>0</xdr:colOff>
      <xdr:row>25</xdr:row>
      <xdr:rowOff>0</xdr:rowOff>
    </xdr:to>
    <xdr:graphicFrame macro="">
      <xdr:nvGraphicFramePr>
        <xdr:cNvPr id="1126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23</xdr:row>
      <xdr:rowOff>180975</xdr:rowOff>
    </xdr:from>
    <xdr:to>
      <xdr:col>7</xdr:col>
      <xdr:colOff>771525</xdr:colOff>
      <xdr:row>23</xdr:row>
      <xdr:rowOff>180975</xdr:rowOff>
    </xdr:to>
    <xdr:sp macro="" textlink="">
      <xdr:nvSpPr>
        <xdr:cNvPr id="11267" name="Line 3"/>
        <xdr:cNvSpPr>
          <a:spLocks noChangeShapeType="1"/>
        </xdr:cNvSpPr>
      </xdr:nvSpPr>
      <xdr:spPr bwMode="auto">
        <a:xfrm>
          <a:off x="4343400" y="4781550"/>
          <a:ext cx="2295525" cy="0"/>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11</xdr:col>
      <xdr:colOff>142875</xdr:colOff>
      <xdr:row>23</xdr:row>
      <xdr:rowOff>180975</xdr:rowOff>
    </xdr:from>
    <xdr:to>
      <xdr:col>14</xdr:col>
      <xdr:colOff>123825</xdr:colOff>
      <xdr:row>23</xdr:row>
      <xdr:rowOff>180975</xdr:rowOff>
    </xdr:to>
    <xdr:sp macro="" textlink="">
      <xdr:nvSpPr>
        <xdr:cNvPr id="11268" name="Line 4"/>
        <xdr:cNvSpPr>
          <a:spLocks noChangeShapeType="1"/>
        </xdr:cNvSpPr>
      </xdr:nvSpPr>
      <xdr:spPr bwMode="auto">
        <a:xfrm>
          <a:off x="9363075" y="4781550"/>
          <a:ext cx="2495550" cy="0"/>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0</xdr:col>
      <xdr:colOff>142875</xdr:colOff>
      <xdr:row>27</xdr:row>
      <xdr:rowOff>0</xdr:rowOff>
    </xdr:from>
    <xdr:to>
      <xdr:col>17</xdr:col>
      <xdr:colOff>733425</xdr:colOff>
      <xdr:row>53</xdr:row>
      <xdr:rowOff>19050</xdr:rowOff>
    </xdr:to>
    <xdr:graphicFrame macro="">
      <xdr:nvGraphicFramePr>
        <xdr:cNvPr id="11274"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200025</xdr:colOff>
      <xdr:row>15</xdr:row>
      <xdr:rowOff>104775</xdr:rowOff>
    </xdr:from>
    <xdr:to>
      <xdr:col>7</xdr:col>
      <xdr:colOff>0</xdr:colOff>
      <xdr:row>16</xdr:row>
      <xdr:rowOff>152400</xdr:rowOff>
    </xdr:to>
    <xdr:sp macro="" textlink="">
      <xdr:nvSpPr>
        <xdr:cNvPr id="11276" name="Texte 12"/>
        <xdr:cNvSpPr txBox="1">
          <a:spLocks noChangeArrowheads="1"/>
        </xdr:cNvSpPr>
      </xdr:nvSpPr>
      <xdr:spPr bwMode="auto">
        <a:xfrm>
          <a:off x="5229225" y="3105150"/>
          <a:ext cx="638175" cy="2476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-10.9%</a:t>
          </a:r>
        </a:p>
      </xdr:txBody>
    </xdr:sp>
    <xdr:clientData/>
  </xdr:twoCellAnchor>
  <xdr:twoCellAnchor>
    <xdr:from>
      <xdr:col>12</xdr:col>
      <xdr:colOff>219075</xdr:colOff>
      <xdr:row>15</xdr:row>
      <xdr:rowOff>142875</xdr:rowOff>
    </xdr:from>
    <xdr:to>
      <xdr:col>13</xdr:col>
      <xdr:colOff>57150</xdr:colOff>
      <xdr:row>16</xdr:row>
      <xdr:rowOff>161925</xdr:rowOff>
    </xdr:to>
    <xdr:sp macro="" textlink="">
      <xdr:nvSpPr>
        <xdr:cNvPr id="11278" name="Texte 14"/>
        <xdr:cNvSpPr txBox="1">
          <a:spLocks noChangeArrowheads="1"/>
        </xdr:cNvSpPr>
      </xdr:nvSpPr>
      <xdr:spPr bwMode="auto">
        <a:xfrm>
          <a:off x="10277475" y="3143250"/>
          <a:ext cx="676275"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+10.9%</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104775</xdr:colOff>
      <xdr:row>0</xdr:row>
      <xdr:rowOff>76200</xdr:rowOff>
    </xdr:from>
    <xdr:to>
      <xdr:col>17</xdr:col>
      <xdr:colOff>819150</xdr:colOff>
      <xdr:row>24</xdr:row>
      <xdr:rowOff>190500</xdr:rowOff>
    </xdr:to>
    <xdr:graphicFrame macro="">
      <xdr:nvGraphicFramePr>
        <xdr:cNvPr id="1228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266700</xdr:colOff>
      <xdr:row>24</xdr:row>
      <xdr:rowOff>123825</xdr:rowOff>
    </xdr:from>
    <xdr:to>
      <xdr:col>7</xdr:col>
      <xdr:colOff>742950</xdr:colOff>
      <xdr:row>24</xdr:row>
      <xdr:rowOff>133350</xdr:rowOff>
    </xdr:to>
    <xdr:sp macro="" textlink="">
      <xdr:nvSpPr>
        <xdr:cNvPr id="12291" name="Line 3"/>
        <xdr:cNvSpPr>
          <a:spLocks noChangeShapeType="1"/>
        </xdr:cNvSpPr>
      </xdr:nvSpPr>
      <xdr:spPr bwMode="auto">
        <a:xfrm flipV="1">
          <a:off x="4457700" y="4924425"/>
          <a:ext cx="2152650" cy="9525"/>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10</xdr:col>
      <xdr:colOff>628650</xdr:colOff>
      <xdr:row>24</xdr:row>
      <xdr:rowOff>123825</xdr:rowOff>
    </xdr:from>
    <xdr:to>
      <xdr:col>13</xdr:col>
      <xdr:colOff>361950</xdr:colOff>
      <xdr:row>24</xdr:row>
      <xdr:rowOff>123825</xdr:rowOff>
    </xdr:to>
    <xdr:sp macro="" textlink="">
      <xdr:nvSpPr>
        <xdr:cNvPr id="12292" name="Line 4"/>
        <xdr:cNvSpPr>
          <a:spLocks noChangeShapeType="1"/>
        </xdr:cNvSpPr>
      </xdr:nvSpPr>
      <xdr:spPr bwMode="auto">
        <a:xfrm flipV="1">
          <a:off x="9010650" y="4924425"/>
          <a:ext cx="2247900" cy="0"/>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0</xdr:col>
      <xdr:colOff>161925</xdr:colOff>
      <xdr:row>26</xdr:row>
      <xdr:rowOff>9525</xdr:rowOff>
    </xdr:from>
    <xdr:to>
      <xdr:col>17</xdr:col>
      <xdr:colOff>781050</xdr:colOff>
      <xdr:row>53</xdr:row>
      <xdr:rowOff>0</xdr:rowOff>
    </xdr:to>
    <xdr:graphicFrame macro="">
      <xdr:nvGraphicFramePr>
        <xdr:cNvPr id="12298"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200025</xdr:colOff>
      <xdr:row>18</xdr:row>
      <xdr:rowOff>114300</xdr:rowOff>
    </xdr:from>
    <xdr:to>
      <xdr:col>7</xdr:col>
      <xdr:colOff>9525</xdr:colOff>
      <xdr:row>19</xdr:row>
      <xdr:rowOff>152400</xdr:rowOff>
    </xdr:to>
    <xdr:sp macro="" textlink="">
      <xdr:nvSpPr>
        <xdr:cNvPr id="12299" name="Texte 11"/>
        <xdr:cNvSpPr txBox="1">
          <a:spLocks noChangeArrowheads="1"/>
        </xdr:cNvSpPr>
      </xdr:nvSpPr>
      <xdr:spPr bwMode="auto">
        <a:xfrm>
          <a:off x="5229225" y="3714750"/>
          <a:ext cx="64770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en-US" sz="800" b="1" i="0" u="none" strike="noStrike" baseline="0">
              <a:solidFill>
                <a:srgbClr val="000000"/>
              </a:solidFill>
              <a:latin typeface="CG Times"/>
            </a:rPr>
            <a:t>+26.6%</a:t>
          </a:r>
        </a:p>
      </xdr:txBody>
    </xdr:sp>
    <xdr:clientData/>
  </xdr:twoCellAnchor>
  <xdr:twoCellAnchor>
    <xdr:from>
      <xdr:col>11</xdr:col>
      <xdr:colOff>638175</xdr:colOff>
      <xdr:row>19</xdr:row>
      <xdr:rowOff>19050</xdr:rowOff>
    </xdr:from>
    <xdr:to>
      <xdr:col>12</xdr:col>
      <xdr:colOff>352425</xdr:colOff>
      <xdr:row>20</xdr:row>
      <xdr:rowOff>76200</xdr:rowOff>
    </xdr:to>
    <xdr:sp macro="" textlink="">
      <xdr:nvSpPr>
        <xdr:cNvPr id="12303" name="Texte 15"/>
        <xdr:cNvSpPr txBox="1">
          <a:spLocks noChangeArrowheads="1"/>
        </xdr:cNvSpPr>
      </xdr:nvSpPr>
      <xdr:spPr bwMode="auto">
        <a:xfrm>
          <a:off x="9858375" y="3819525"/>
          <a:ext cx="552450" cy="2571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en-US" sz="800" b="1" i="0" u="none" strike="noStrike" baseline="0">
              <a:solidFill>
                <a:srgbClr val="000000"/>
              </a:solidFill>
              <a:latin typeface="CG Times"/>
            </a:rPr>
            <a:t>+26.6%</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171450</xdr:colOff>
      <xdr:row>27</xdr:row>
      <xdr:rowOff>28575</xdr:rowOff>
    </xdr:from>
    <xdr:to>
      <xdr:col>18</xdr:col>
      <xdr:colOff>752475</xdr:colOff>
      <xdr:row>54</xdr:row>
      <xdr:rowOff>9525</xdr:rowOff>
    </xdr:to>
    <xdr:graphicFrame macro="">
      <xdr:nvGraphicFramePr>
        <xdr:cNvPr id="13322"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209550</xdr:colOff>
      <xdr:row>0</xdr:row>
      <xdr:rowOff>95250</xdr:rowOff>
    </xdr:from>
    <xdr:to>
      <xdr:col>18</xdr:col>
      <xdr:colOff>85725</xdr:colOff>
      <xdr:row>25</xdr:row>
      <xdr:rowOff>9525</xdr:rowOff>
    </xdr:to>
    <xdr:graphicFrame macro="">
      <xdr:nvGraphicFramePr>
        <xdr:cNvPr id="1332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xdr:colOff>
      <xdr:row>24</xdr:row>
      <xdr:rowOff>142875</xdr:rowOff>
    </xdr:from>
    <xdr:to>
      <xdr:col>7</xdr:col>
      <xdr:colOff>819150</xdr:colOff>
      <xdr:row>24</xdr:row>
      <xdr:rowOff>142875</xdr:rowOff>
    </xdr:to>
    <xdr:sp macro="" textlink="">
      <xdr:nvSpPr>
        <xdr:cNvPr id="13327" name="Line 15"/>
        <xdr:cNvSpPr>
          <a:spLocks noChangeShapeType="1"/>
        </xdr:cNvSpPr>
      </xdr:nvSpPr>
      <xdr:spPr bwMode="auto">
        <a:xfrm>
          <a:off x="4124325" y="4943475"/>
          <a:ext cx="2457450" cy="0"/>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11</xdr:col>
      <xdr:colOff>247650</xdr:colOff>
      <xdr:row>24</xdr:row>
      <xdr:rowOff>133350</xdr:rowOff>
    </xdr:from>
    <xdr:to>
      <xdr:col>14</xdr:col>
      <xdr:colOff>57150</xdr:colOff>
      <xdr:row>24</xdr:row>
      <xdr:rowOff>133350</xdr:rowOff>
    </xdr:to>
    <xdr:sp macro="" textlink="">
      <xdr:nvSpPr>
        <xdr:cNvPr id="13328" name="Line 16"/>
        <xdr:cNvSpPr>
          <a:spLocks noChangeShapeType="1"/>
        </xdr:cNvSpPr>
      </xdr:nvSpPr>
      <xdr:spPr bwMode="auto">
        <a:xfrm>
          <a:off x="9363075" y="4933950"/>
          <a:ext cx="2324100" cy="0"/>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6</xdr:col>
      <xdr:colOff>123825</xdr:colOff>
      <xdr:row>18</xdr:row>
      <xdr:rowOff>76200</xdr:rowOff>
    </xdr:from>
    <xdr:to>
      <xdr:col>6</xdr:col>
      <xdr:colOff>781050</xdr:colOff>
      <xdr:row>19</xdr:row>
      <xdr:rowOff>114300</xdr:rowOff>
    </xdr:to>
    <xdr:sp macro="" textlink="">
      <xdr:nvSpPr>
        <xdr:cNvPr id="13330" name="Texte 18"/>
        <xdr:cNvSpPr txBox="1">
          <a:spLocks noChangeArrowheads="1"/>
        </xdr:cNvSpPr>
      </xdr:nvSpPr>
      <xdr:spPr bwMode="auto">
        <a:xfrm>
          <a:off x="5048250" y="3676650"/>
          <a:ext cx="657225"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+13.5%</a:t>
          </a:r>
        </a:p>
      </xdr:txBody>
    </xdr:sp>
    <xdr:clientData/>
  </xdr:twoCellAnchor>
  <xdr:twoCellAnchor>
    <xdr:from>
      <xdr:col>12</xdr:col>
      <xdr:colOff>219075</xdr:colOff>
      <xdr:row>18</xdr:row>
      <xdr:rowOff>152400</xdr:rowOff>
    </xdr:from>
    <xdr:to>
      <xdr:col>13</xdr:col>
      <xdr:colOff>66675</xdr:colOff>
      <xdr:row>20</xdr:row>
      <xdr:rowOff>9525</xdr:rowOff>
    </xdr:to>
    <xdr:sp macro="" textlink="">
      <xdr:nvSpPr>
        <xdr:cNvPr id="13333" name="Texte 21"/>
        <xdr:cNvSpPr txBox="1">
          <a:spLocks noChangeArrowheads="1"/>
        </xdr:cNvSpPr>
      </xdr:nvSpPr>
      <xdr:spPr bwMode="auto">
        <a:xfrm>
          <a:off x="10172700" y="3752850"/>
          <a:ext cx="685800" cy="2571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+13.5%</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152400</xdr:colOff>
      <xdr:row>0</xdr:row>
      <xdr:rowOff>104775</xdr:rowOff>
    </xdr:from>
    <xdr:to>
      <xdr:col>18</xdr:col>
      <xdr:colOff>19050</xdr:colOff>
      <xdr:row>25</xdr:row>
      <xdr:rowOff>19050</xdr:rowOff>
    </xdr:to>
    <xdr:graphicFrame macro="">
      <xdr:nvGraphicFramePr>
        <xdr:cNvPr id="143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276225</xdr:colOff>
      <xdr:row>23</xdr:row>
      <xdr:rowOff>76200</xdr:rowOff>
    </xdr:from>
    <xdr:to>
      <xdr:col>7</xdr:col>
      <xdr:colOff>752475</xdr:colOff>
      <xdr:row>23</xdr:row>
      <xdr:rowOff>76200</xdr:rowOff>
    </xdr:to>
    <xdr:sp macro="" textlink="">
      <xdr:nvSpPr>
        <xdr:cNvPr id="14339" name="Line 3"/>
        <xdr:cNvSpPr>
          <a:spLocks noChangeShapeType="1"/>
        </xdr:cNvSpPr>
      </xdr:nvSpPr>
      <xdr:spPr bwMode="auto">
        <a:xfrm flipV="1">
          <a:off x="4467225" y="4676775"/>
          <a:ext cx="2152650" cy="0"/>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10</xdr:col>
      <xdr:colOff>685800</xdr:colOff>
      <xdr:row>23</xdr:row>
      <xdr:rowOff>114300</xdr:rowOff>
    </xdr:from>
    <xdr:to>
      <xdr:col>13</xdr:col>
      <xdr:colOff>209550</xdr:colOff>
      <xdr:row>23</xdr:row>
      <xdr:rowOff>114300</xdr:rowOff>
    </xdr:to>
    <xdr:sp macro="" textlink="">
      <xdr:nvSpPr>
        <xdr:cNvPr id="14340" name="Line 4"/>
        <xdr:cNvSpPr>
          <a:spLocks noChangeShapeType="1"/>
        </xdr:cNvSpPr>
      </xdr:nvSpPr>
      <xdr:spPr bwMode="auto">
        <a:xfrm>
          <a:off x="9067800" y="4714875"/>
          <a:ext cx="2038350" cy="0"/>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0</xdr:col>
      <xdr:colOff>123825</xdr:colOff>
      <xdr:row>27</xdr:row>
      <xdr:rowOff>0</xdr:rowOff>
    </xdr:from>
    <xdr:to>
      <xdr:col>17</xdr:col>
      <xdr:colOff>733425</xdr:colOff>
      <xdr:row>54</xdr:row>
      <xdr:rowOff>0</xdr:rowOff>
    </xdr:to>
    <xdr:graphicFrame macro="">
      <xdr:nvGraphicFramePr>
        <xdr:cNvPr id="14347"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200025</xdr:colOff>
      <xdr:row>14</xdr:row>
      <xdr:rowOff>38100</xdr:rowOff>
    </xdr:from>
    <xdr:to>
      <xdr:col>7</xdr:col>
      <xdr:colOff>0</xdr:colOff>
      <xdr:row>15</xdr:row>
      <xdr:rowOff>66675</xdr:rowOff>
    </xdr:to>
    <xdr:sp macro="" textlink="">
      <xdr:nvSpPr>
        <xdr:cNvPr id="14348" name="Texte 12"/>
        <xdr:cNvSpPr txBox="1">
          <a:spLocks noChangeArrowheads="1"/>
        </xdr:cNvSpPr>
      </xdr:nvSpPr>
      <xdr:spPr bwMode="auto">
        <a:xfrm>
          <a:off x="5229225" y="2838450"/>
          <a:ext cx="638175" cy="2286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-10.2%</a:t>
          </a:r>
        </a:p>
      </xdr:txBody>
    </xdr:sp>
    <xdr:clientData/>
  </xdr:twoCellAnchor>
  <xdr:twoCellAnchor>
    <xdr:from>
      <xdr:col>11</xdr:col>
      <xdr:colOff>533400</xdr:colOff>
      <xdr:row>13</xdr:row>
      <xdr:rowOff>142875</xdr:rowOff>
    </xdr:from>
    <xdr:to>
      <xdr:col>12</xdr:col>
      <xdr:colOff>371475</xdr:colOff>
      <xdr:row>14</xdr:row>
      <xdr:rowOff>161925</xdr:rowOff>
    </xdr:to>
    <xdr:sp macro="" textlink="">
      <xdr:nvSpPr>
        <xdr:cNvPr id="14352" name="Texte 16"/>
        <xdr:cNvSpPr txBox="1">
          <a:spLocks noChangeArrowheads="1"/>
        </xdr:cNvSpPr>
      </xdr:nvSpPr>
      <xdr:spPr bwMode="auto">
        <a:xfrm>
          <a:off x="9753600" y="2743200"/>
          <a:ext cx="676275"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-10.2%</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17</xdr:col>
      <xdr:colOff>828675</xdr:colOff>
      <xdr:row>25</xdr:row>
      <xdr:rowOff>28575</xdr:rowOff>
    </xdr:to>
    <xdr:graphicFrame macro="">
      <xdr:nvGraphicFramePr>
        <xdr:cNvPr id="1536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666750</xdr:colOff>
      <xdr:row>22</xdr:row>
      <xdr:rowOff>47625</xdr:rowOff>
    </xdr:from>
    <xdr:to>
      <xdr:col>13</xdr:col>
      <xdr:colOff>381000</xdr:colOff>
      <xdr:row>22</xdr:row>
      <xdr:rowOff>47625</xdr:rowOff>
    </xdr:to>
    <xdr:sp macro="" textlink="">
      <xdr:nvSpPr>
        <xdr:cNvPr id="15364" name="Line 4"/>
        <xdr:cNvSpPr>
          <a:spLocks noChangeShapeType="1"/>
        </xdr:cNvSpPr>
      </xdr:nvSpPr>
      <xdr:spPr bwMode="auto">
        <a:xfrm flipV="1">
          <a:off x="8858250" y="4448175"/>
          <a:ext cx="2228850" cy="0"/>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14</xdr:col>
      <xdr:colOff>647700</xdr:colOff>
      <xdr:row>46</xdr:row>
      <xdr:rowOff>57150</xdr:rowOff>
    </xdr:from>
    <xdr:to>
      <xdr:col>15</xdr:col>
      <xdr:colOff>38100</xdr:colOff>
      <xdr:row>50</xdr:row>
      <xdr:rowOff>38100</xdr:rowOff>
    </xdr:to>
    <xdr:sp macro="" textlink="">
      <xdr:nvSpPr>
        <xdr:cNvPr id="15370" name="Texte 10"/>
        <xdr:cNvSpPr txBox="1">
          <a:spLocks noChangeArrowheads="1"/>
        </xdr:cNvSpPr>
      </xdr:nvSpPr>
      <xdr:spPr bwMode="auto">
        <a:xfrm>
          <a:off x="12077700" y="9258300"/>
          <a:ext cx="228600" cy="7810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vert="vert270" wrap="square" lIns="27432" tIns="27432" rIns="0" bIns="0" anchor="t" upright="1"/>
        <a:lstStyle/>
        <a:p>
          <a:pPr algn="r" rtl="0">
            <a:defRPr sz="1000"/>
          </a:pPr>
          <a:r>
            <a:rPr lang="en-US" sz="1200" b="0" i="0" u="none" strike="noStrike" baseline="0">
              <a:solidFill>
                <a:srgbClr val="FFFFFF"/>
              </a:solidFill>
              <a:latin typeface="CG Times"/>
            </a:rPr>
            <a:t> BIDC    </a:t>
          </a:r>
        </a:p>
        <a:p>
          <a:pPr algn="r" rtl="0">
            <a:defRPr sz="1000"/>
          </a:pPr>
          <a:endParaRPr lang="en-US" sz="1200" b="0" i="0" u="none" strike="noStrike" baseline="0">
            <a:solidFill>
              <a:srgbClr val="FFFFFF"/>
            </a:solidFill>
            <a:latin typeface="CG Times"/>
          </a:endParaRPr>
        </a:p>
      </xdr:txBody>
    </xdr:sp>
    <xdr:clientData/>
  </xdr:twoCellAnchor>
  <xdr:twoCellAnchor>
    <xdr:from>
      <xdr:col>0</xdr:col>
      <xdr:colOff>190500</xdr:colOff>
      <xdr:row>27</xdr:row>
      <xdr:rowOff>76200</xdr:rowOff>
    </xdr:from>
    <xdr:to>
      <xdr:col>17</xdr:col>
      <xdr:colOff>819150</xdr:colOff>
      <xdr:row>54</xdr:row>
      <xdr:rowOff>0</xdr:rowOff>
    </xdr:to>
    <xdr:graphicFrame macro="">
      <xdr:nvGraphicFramePr>
        <xdr:cNvPr id="15371"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114300</xdr:colOff>
      <xdr:row>22</xdr:row>
      <xdr:rowOff>47625</xdr:rowOff>
    </xdr:from>
    <xdr:to>
      <xdr:col>7</xdr:col>
      <xdr:colOff>733425</xdr:colOff>
      <xdr:row>22</xdr:row>
      <xdr:rowOff>47625</xdr:rowOff>
    </xdr:to>
    <xdr:sp macro="" textlink="">
      <xdr:nvSpPr>
        <xdr:cNvPr id="15372" name="Line 12"/>
        <xdr:cNvSpPr>
          <a:spLocks noChangeShapeType="1"/>
        </xdr:cNvSpPr>
      </xdr:nvSpPr>
      <xdr:spPr bwMode="auto">
        <a:xfrm>
          <a:off x="4305300" y="4448175"/>
          <a:ext cx="2295525" cy="0"/>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6</xdr:col>
      <xdr:colOff>85725</xdr:colOff>
      <xdr:row>16</xdr:row>
      <xdr:rowOff>190500</xdr:rowOff>
    </xdr:from>
    <xdr:to>
      <xdr:col>6</xdr:col>
      <xdr:colOff>752475</xdr:colOff>
      <xdr:row>18</xdr:row>
      <xdr:rowOff>0</xdr:rowOff>
    </xdr:to>
    <xdr:sp macro="" textlink="">
      <xdr:nvSpPr>
        <xdr:cNvPr id="15380" name="Texte 20"/>
        <xdr:cNvSpPr txBox="1">
          <a:spLocks noChangeArrowheads="1"/>
        </xdr:cNvSpPr>
      </xdr:nvSpPr>
      <xdr:spPr bwMode="auto">
        <a:xfrm>
          <a:off x="5114925" y="3390900"/>
          <a:ext cx="666750" cy="2095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CG Times"/>
            </a:rPr>
            <a:t>+291.2%</a:t>
          </a:r>
        </a:p>
      </xdr:txBody>
    </xdr:sp>
    <xdr:clientData/>
  </xdr:twoCellAnchor>
  <xdr:twoCellAnchor>
    <xdr:from>
      <xdr:col>11</xdr:col>
      <xdr:colOff>628650</xdr:colOff>
      <xdr:row>17</xdr:row>
      <xdr:rowOff>9525</xdr:rowOff>
    </xdr:from>
    <xdr:to>
      <xdr:col>12</xdr:col>
      <xdr:colOff>438150</xdr:colOff>
      <xdr:row>18</xdr:row>
      <xdr:rowOff>0</xdr:rowOff>
    </xdr:to>
    <xdr:sp macro="" textlink="">
      <xdr:nvSpPr>
        <xdr:cNvPr id="15388" name="Texte 28"/>
        <xdr:cNvSpPr txBox="1">
          <a:spLocks noChangeArrowheads="1"/>
        </xdr:cNvSpPr>
      </xdr:nvSpPr>
      <xdr:spPr bwMode="auto">
        <a:xfrm>
          <a:off x="9658350" y="3409950"/>
          <a:ext cx="647700" cy="1905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en-US" sz="800" b="1" i="0" u="none" strike="noStrike" baseline="0">
              <a:solidFill>
                <a:srgbClr val="000000"/>
              </a:solidFill>
              <a:latin typeface="CG Times"/>
            </a:rPr>
            <a:t>+291.2%</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123825</xdr:colOff>
      <xdr:row>0</xdr:row>
      <xdr:rowOff>104775</xdr:rowOff>
    </xdr:from>
    <xdr:to>
      <xdr:col>30</xdr:col>
      <xdr:colOff>666750</xdr:colOff>
      <xdr:row>28</xdr:row>
      <xdr:rowOff>0</xdr:rowOff>
    </xdr:to>
    <xdr:graphicFrame macro="">
      <xdr:nvGraphicFramePr>
        <xdr:cNvPr id="1638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104775</xdr:colOff>
      <xdr:row>21</xdr:row>
      <xdr:rowOff>57150</xdr:rowOff>
    </xdr:from>
    <xdr:to>
      <xdr:col>4</xdr:col>
      <xdr:colOff>228600</xdr:colOff>
      <xdr:row>21</xdr:row>
      <xdr:rowOff>161925</xdr:rowOff>
    </xdr:to>
    <xdr:sp macro="" textlink="">
      <xdr:nvSpPr>
        <xdr:cNvPr id="17409" name="Rectangle 1"/>
        <xdr:cNvSpPr>
          <a:spLocks noChangeArrowheads="1"/>
        </xdr:cNvSpPr>
      </xdr:nvSpPr>
      <xdr:spPr bwMode="auto">
        <a:xfrm>
          <a:off x="3457575" y="4410075"/>
          <a:ext cx="123825" cy="104775"/>
        </a:xfrm>
        <a:prstGeom prst="rect">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4</xdr:col>
      <xdr:colOff>114300</xdr:colOff>
      <xdr:row>23</xdr:row>
      <xdr:rowOff>66675</xdr:rowOff>
    </xdr:from>
    <xdr:to>
      <xdr:col>4</xdr:col>
      <xdr:colOff>238125</xdr:colOff>
      <xdr:row>23</xdr:row>
      <xdr:rowOff>171450</xdr:rowOff>
    </xdr:to>
    <xdr:sp macro="" textlink="">
      <xdr:nvSpPr>
        <xdr:cNvPr id="17412" name="Rectangle 4"/>
        <xdr:cNvSpPr>
          <a:spLocks noChangeArrowheads="1"/>
        </xdr:cNvSpPr>
      </xdr:nvSpPr>
      <xdr:spPr bwMode="auto">
        <a:xfrm>
          <a:off x="3467100" y="4733925"/>
          <a:ext cx="123825" cy="104775"/>
        </a:xfrm>
        <a:prstGeom prst="rect">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4</xdr:col>
      <xdr:colOff>104775</xdr:colOff>
      <xdr:row>25</xdr:row>
      <xdr:rowOff>66675</xdr:rowOff>
    </xdr:from>
    <xdr:to>
      <xdr:col>4</xdr:col>
      <xdr:colOff>228600</xdr:colOff>
      <xdr:row>25</xdr:row>
      <xdr:rowOff>171450</xdr:rowOff>
    </xdr:to>
    <xdr:sp macro="" textlink="">
      <xdr:nvSpPr>
        <xdr:cNvPr id="17413" name="Rectangle 5"/>
        <xdr:cNvSpPr>
          <a:spLocks noChangeArrowheads="1"/>
        </xdr:cNvSpPr>
      </xdr:nvSpPr>
      <xdr:spPr bwMode="auto">
        <a:xfrm>
          <a:off x="3457575" y="5048250"/>
          <a:ext cx="123825" cy="104775"/>
        </a:xfrm>
        <a:prstGeom prst="rect">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4</xdr:col>
      <xdr:colOff>104775</xdr:colOff>
      <xdr:row>27</xdr:row>
      <xdr:rowOff>66675</xdr:rowOff>
    </xdr:from>
    <xdr:to>
      <xdr:col>4</xdr:col>
      <xdr:colOff>228600</xdr:colOff>
      <xdr:row>27</xdr:row>
      <xdr:rowOff>171450</xdr:rowOff>
    </xdr:to>
    <xdr:sp macro="" textlink="">
      <xdr:nvSpPr>
        <xdr:cNvPr id="17414" name="Rectangle 6"/>
        <xdr:cNvSpPr>
          <a:spLocks noChangeArrowheads="1"/>
        </xdr:cNvSpPr>
      </xdr:nvSpPr>
      <xdr:spPr bwMode="auto">
        <a:xfrm>
          <a:off x="3457575" y="5362575"/>
          <a:ext cx="123825" cy="104775"/>
        </a:xfrm>
        <a:prstGeom prst="rect">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4</xdr:col>
      <xdr:colOff>104775</xdr:colOff>
      <xdr:row>29</xdr:row>
      <xdr:rowOff>66675</xdr:rowOff>
    </xdr:from>
    <xdr:to>
      <xdr:col>4</xdr:col>
      <xdr:colOff>228600</xdr:colOff>
      <xdr:row>29</xdr:row>
      <xdr:rowOff>171450</xdr:rowOff>
    </xdr:to>
    <xdr:sp macro="" textlink="">
      <xdr:nvSpPr>
        <xdr:cNvPr id="17415" name="Rectangle 7"/>
        <xdr:cNvSpPr>
          <a:spLocks noChangeArrowheads="1"/>
        </xdr:cNvSpPr>
      </xdr:nvSpPr>
      <xdr:spPr bwMode="auto">
        <a:xfrm>
          <a:off x="3457575" y="5676900"/>
          <a:ext cx="123825" cy="104775"/>
        </a:xfrm>
        <a:prstGeom prst="rect">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942975</xdr:colOff>
      <xdr:row>5</xdr:row>
      <xdr:rowOff>66675</xdr:rowOff>
    </xdr:from>
    <xdr:to>
      <xdr:col>13</xdr:col>
      <xdr:colOff>295275</xdr:colOff>
      <xdr:row>15</xdr:row>
      <xdr:rowOff>0</xdr:rowOff>
    </xdr:to>
    <xdr:sp macro="" textlink="">
      <xdr:nvSpPr>
        <xdr:cNvPr id="18433" name="Texte 1"/>
        <xdr:cNvSpPr txBox="1">
          <a:spLocks noChangeArrowheads="1"/>
        </xdr:cNvSpPr>
      </xdr:nvSpPr>
      <xdr:spPr bwMode="auto">
        <a:xfrm>
          <a:off x="3419475" y="1152525"/>
          <a:ext cx="7610475" cy="1933575"/>
        </a:xfrm>
        <a:prstGeom prst="rect">
          <a:avLst/>
        </a:prstGeom>
        <a:noFill/>
        <a:ln w="9525">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txBody>
        <a:bodyPr vertOverflow="clip" wrap="square" lIns="27432" tIns="27432" rIns="0" bIns="0" anchor="t" upright="1"/>
        <a:lstStyle/>
        <a:p>
          <a:pPr algn="l" rtl="0">
            <a:lnSpc>
              <a:spcPts val="1300"/>
            </a:lnSpc>
            <a:defRPr sz="1000"/>
          </a:pPr>
          <a:r>
            <a:rPr lang="en-US" sz="1200" b="1" i="0" u="none" strike="noStrike" baseline="0">
              <a:solidFill>
                <a:srgbClr val="000000"/>
              </a:solidFill>
              <a:latin typeface="CG Times"/>
            </a:rPr>
            <a:t>            </a:t>
          </a:r>
          <a:r>
            <a:rPr lang="en-US" sz="1200" b="1" i="0" u="sng" strike="noStrike" baseline="0">
              <a:solidFill>
                <a:srgbClr val="000000"/>
              </a:solidFill>
              <a:latin typeface="CG Times"/>
            </a:rPr>
            <a:t>Limite réglementaire </a:t>
          </a:r>
          <a:endParaRPr lang="en-US" sz="1200" b="1" i="0" u="none" strike="noStrike" baseline="0">
            <a:solidFill>
              <a:srgbClr val="000000"/>
            </a:solidFill>
            <a:latin typeface="CG Times"/>
          </a:endParaRPr>
        </a:p>
        <a:p>
          <a:pPr algn="l" rtl="0">
            <a:lnSpc>
              <a:spcPts val="1300"/>
            </a:lnSpc>
            <a:defRPr sz="1000"/>
          </a:pPr>
          <a:endParaRPr lang="en-US" sz="1200" b="1" i="0" u="none" strike="noStrike" baseline="0">
            <a:solidFill>
              <a:srgbClr val="000000"/>
            </a:solidFill>
            <a:latin typeface="CG Times"/>
          </a:endParaRPr>
        </a:p>
        <a:p>
          <a:pPr algn="l" rtl="0">
            <a:lnSpc>
              <a:spcPts val="1300"/>
            </a:lnSpc>
            <a:defRPr sz="1000"/>
          </a:pPr>
          <a:r>
            <a:rPr lang="en-US" sz="1200" b="1" i="0" u="none" strike="noStrike" baseline="0">
              <a:solidFill>
                <a:srgbClr val="000000"/>
              </a:solidFill>
              <a:latin typeface="CG Times"/>
            </a:rPr>
            <a:t>            </a:t>
          </a:r>
          <a:r>
            <a:rPr lang="en-US" sz="1200" b="0" i="0" u="none" strike="noStrike" baseline="0">
              <a:solidFill>
                <a:srgbClr val="000000"/>
              </a:solidFill>
              <a:latin typeface="CG Times"/>
            </a:rPr>
            <a:t>Les établissements bancaires sont tenus de respecter la position de change réglementaire suivante en                                                                             </a:t>
          </a:r>
        </a:p>
        <a:p>
          <a:pPr algn="l" rtl="0">
            <a:lnSpc>
              <a:spcPts val="1300"/>
            </a:lnSpc>
            <a:defRPr sz="1000"/>
          </a:pPr>
          <a:r>
            <a:rPr lang="en-US" sz="1200" b="0" i="0" u="none" strike="noStrike" baseline="0">
              <a:solidFill>
                <a:srgbClr val="000000"/>
              </a:solidFill>
              <a:latin typeface="CG Times"/>
            </a:rPr>
            <a:t>            tout temps : un rapport maximum de 40% entre le cumul des positions longues (toutes devises confondues) </a:t>
          </a:r>
        </a:p>
        <a:p>
          <a:pPr algn="l" rtl="0">
            <a:lnSpc>
              <a:spcPts val="1300"/>
            </a:lnSpc>
            <a:defRPr sz="1000"/>
          </a:pPr>
          <a:r>
            <a:rPr lang="en-US" sz="1200" b="0" i="0" u="none" strike="noStrike" baseline="0">
              <a:solidFill>
                <a:srgbClr val="000000"/>
              </a:solidFill>
              <a:latin typeface="CG Times"/>
            </a:rPr>
            <a:t>            et des positions courtes (toutes autres devises confondues) d'une part et le total de leurs fonds propres</a:t>
          </a:r>
        </a:p>
        <a:p>
          <a:pPr algn="l" rtl="0">
            <a:lnSpc>
              <a:spcPts val="1300"/>
            </a:lnSpc>
            <a:defRPr sz="1000"/>
          </a:pPr>
          <a:r>
            <a:rPr lang="en-US" sz="1200" b="0" i="0" u="none" strike="noStrike" baseline="0">
              <a:solidFill>
                <a:srgbClr val="000000"/>
              </a:solidFill>
              <a:latin typeface="CG Times"/>
            </a:rPr>
            <a:t>            d'autre part.</a:t>
          </a:r>
        </a:p>
        <a:p>
          <a:pPr algn="l" rtl="0">
            <a:lnSpc>
              <a:spcPts val="1300"/>
            </a:lnSpc>
            <a:defRPr sz="1000"/>
          </a:pPr>
          <a:endParaRPr lang="en-US" sz="1200" b="0" i="0" u="none" strike="noStrike" baseline="0">
            <a:solidFill>
              <a:srgbClr val="000000"/>
            </a:solidFill>
            <a:latin typeface="CG Times"/>
          </a:endParaRPr>
        </a:p>
        <a:p>
          <a:pPr algn="l" rtl="0">
            <a:lnSpc>
              <a:spcPts val="1300"/>
            </a:lnSpc>
            <a:defRPr sz="1000"/>
          </a:pPr>
          <a:r>
            <a:rPr lang="en-US" sz="1200" b="0" i="0" u="none" strike="noStrike" baseline="0">
              <a:solidFill>
                <a:srgbClr val="000000"/>
              </a:solidFill>
              <a:latin typeface="CG Times"/>
            </a:rPr>
            <a:t>            Les succursales de banques étrangères sont tenues de rester en tout temps dans les limites de position fixées</a:t>
          </a:r>
        </a:p>
        <a:p>
          <a:pPr algn="l" rtl="0">
            <a:lnSpc>
              <a:spcPts val="1300"/>
            </a:lnSpc>
            <a:defRPr sz="1000"/>
          </a:pPr>
          <a:r>
            <a:rPr lang="en-US" sz="1200" b="0" i="0" u="none" strike="noStrike" baseline="0">
              <a:solidFill>
                <a:srgbClr val="000000"/>
              </a:solidFill>
              <a:latin typeface="CG Times"/>
            </a:rPr>
            <a:t>            par leur maison-mère. </a:t>
          </a:r>
        </a:p>
        <a:p>
          <a:pPr algn="l" rtl="0">
            <a:lnSpc>
              <a:spcPts val="1300"/>
            </a:lnSpc>
            <a:defRPr sz="1000"/>
          </a:pPr>
          <a:r>
            <a:rPr lang="en-US" sz="1200" b="0" i="0" u="none" strike="noStrike" baseline="0">
              <a:solidFill>
                <a:srgbClr val="000000"/>
              </a:solidFill>
              <a:latin typeface="CG Times"/>
            </a:rPr>
            <a:t>            </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xdr:col>
      <xdr:colOff>352425</xdr:colOff>
      <xdr:row>4</xdr:row>
      <xdr:rowOff>0</xdr:rowOff>
    </xdr:from>
    <xdr:to>
      <xdr:col>10</xdr:col>
      <xdr:colOff>180975</xdr:colOff>
      <xdr:row>8</xdr:row>
      <xdr:rowOff>247650</xdr:rowOff>
    </xdr:to>
    <xdr:sp macro="" textlink="">
      <xdr:nvSpPr>
        <xdr:cNvPr id="19458" name="Texte 2"/>
        <xdr:cNvSpPr txBox="1">
          <a:spLocks noChangeArrowheads="1"/>
        </xdr:cNvSpPr>
      </xdr:nvSpPr>
      <xdr:spPr bwMode="auto">
        <a:xfrm>
          <a:off x="3543300" y="904875"/>
          <a:ext cx="7820025" cy="1276350"/>
        </a:xfrm>
        <a:prstGeom prst="rect">
          <a:avLst/>
        </a:prstGeom>
        <a:noFill/>
        <a:ln w="9525" cap="flat">
          <a:solidFill>
            <a:srgbClr xmlns:mc="http://schemas.openxmlformats.org/markup-compatibility/2006" xmlns:a14="http://schemas.microsoft.com/office/drawing/2010/main" val="000000" mc:Ignorable="a14" a14:legacySpreadsheetColorIndex="8"/>
          </a:solidFill>
          <a:prstDash val="solid"/>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txBody>
        <a:bodyPr vertOverflow="clip" wrap="square" lIns="27432" tIns="27432" rIns="0" bIns="0" anchor="t" upright="1"/>
        <a:lstStyle/>
        <a:p>
          <a:pPr algn="l" rtl="0">
            <a:defRPr sz="1000"/>
          </a:pPr>
          <a:r>
            <a:rPr lang="en-US" sz="1200" b="1" i="0" u="sng" strike="noStrike" baseline="0">
              <a:solidFill>
                <a:srgbClr val="000000"/>
              </a:solidFill>
              <a:latin typeface="CG Times"/>
            </a:rPr>
            <a:t>Limite réglementaire</a:t>
          </a:r>
          <a:r>
            <a:rPr lang="en-US" sz="1200" b="1" i="0" u="none" strike="noStrike" baseline="0">
              <a:solidFill>
                <a:srgbClr val="000000"/>
              </a:solidFill>
              <a:latin typeface="CG Times"/>
            </a:rPr>
            <a:t> </a:t>
          </a:r>
        </a:p>
        <a:p>
          <a:pPr algn="l" rtl="0">
            <a:defRPr sz="1000"/>
          </a:pPr>
          <a:endParaRPr lang="en-US" sz="1200" b="1" i="0" u="none" strike="noStrike" baseline="0">
            <a:solidFill>
              <a:srgbClr val="000000"/>
            </a:solidFill>
            <a:latin typeface="CG Times"/>
          </a:endParaRPr>
        </a:p>
        <a:p>
          <a:pPr algn="l" rtl="0">
            <a:defRPr sz="1000"/>
          </a:pPr>
          <a:r>
            <a:rPr lang="en-US" sz="1200" b="0" i="0" u="none" strike="noStrike" baseline="0">
              <a:solidFill>
                <a:srgbClr val="000000"/>
              </a:solidFill>
              <a:latin typeface="CG Times"/>
            </a:rPr>
            <a:t>Les groupes, les membres d'un même groupe et les apparentés ne peuvent, en aucun cas, détenir une participation supérieure à 5% dans le capital d'un ou plusieurs établissements bancaires secondaires. Un établissement bancaire secondaire est l'entité désignée par le détenteur du capital comme celle dans laquelle sa participation est limitée à 5% par opposition à un établissement bancaire principal dans lequel la participation du détenteur n'est pas limitée</a:t>
          </a:r>
          <a:r>
            <a:rPr lang="en-US" sz="1100" b="0" i="0" u="none" strike="noStrike" baseline="0">
              <a:solidFill>
                <a:srgbClr val="000000"/>
              </a:solidFill>
              <a:latin typeface="CG Times"/>
            </a:rPr>
            <a:t>.</a:t>
          </a:r>
          <a:endParaRPr lang="en-US" sz="1200" b="0" i="0" u="none" strike="noStrike" baseline="0">
            <a:solidFill>
              <a:srgbClr val="000000"/>
            </a:solidFill>
            <a:latin typeface="CG Times"/>
          </a:endParaRPr>
        </a:p>
        <a:p>
          <a:pPr algn="l" rtl="0">
            <a:defRPr sz="1000"/>
          </a:pPr>
          <a:endParaRPr lang="en-US" sz="1200" b="1" i="0" u="none" strike="noStrike" baseline="0">
            <a:solidFill>
              <a:srgbClr val="000000"/>
            </a:solidFill>
            <a:latin typeface="CG Times"/>
          </a:endParaRPr>
        </a:p>
        <a:p>
          <a:pPr algn="l" rtl="0">
            <a:defRPr sz="1000"/>
          </a:pPr>
          <a:endParaRPr lang="en-US" sz="1200" b="1" i="0" u="none" strike="noStrike" baseline="0">
            <a:solidFill>
              <a:srgbClr val="000000"/>
            </a:solidFill>
            <a:latin typeface="CG Times"/>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838200</xdr:colOff>
      <xdr:row>6</xdr:row>
      <xdr:rowOff>0</xdr:rowOff>
    </xdr:from>
    <xdr:to>
      <xdr:col>10</xdr:col>
      <xdr:colOff>638175</xdr:colOff>
      <xdr:row>6</xdr:row>
      <xdr:rowOff>0</xdr:rowOff>
    </xdr:to>
    <xdr:sp macro="" textlink="">
      <xdr:nvSpPr>
        <xdr:cNvPr id="20481" name="Line 1"/>
        <xdr:cNvSpPr>
          <a:spLocks noChangeShapeType="1"/>
        </xdr:cNvSpPr>
      </xdr:nvSpPr>
      <xdr:spPr bwMode="auto">
        <a:xfrm>
          <a:off x="13249275" y="1990725"/>
          <a:ext cx="647700" cy="0"/>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9</xdr:col>
      <xdr:colOff>819150</xdr:colOff>
      <xdr:row>15</xdr:row>
      <xdr:rowOff>0</xdr:rowOff>
    </xdr:from>
    <xdr:to>
      <xdr:col>10</xdr:col>
      <xdr:colOff>647700</xdr:colOff>
      <xdr:row>15</xdr:row>
      <xdr:rowOff>0</xdr:rowOff>
    </xdr:to>
    <xdr:sp macro="" textlink="">
      <xdr:nvSpPr>
        <xdr:cNvPr id="20482" name="Line 2"/>
        <xdr:cNvSpPr>
          <a:spLocks noChangeShapeType="1"/>
        </xdr:cNvSpPr>
      </xdr:nvSpPr>
      <xdr:spPr bwMode="auto">
        <a:xfrm>
          <a:off x="13230225" y="4057650"/>
          <a:ext cx="676275" cy="0"/>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10</xdr:col>
      <xdr:colOff>647700</xdr:colOff>
      <xdr:row>6</xdr:row>
      <xdr:rowOff>0</xdr:rowOff>
    </xdr:from>
    <xdr:to>
      <xdr:col>10</xdr:col>
      <xdr:colOff>647700</xdr:colOff>
      <xdr:row>15</xdr:row>
      <xdr:rowOff>0</xdr:rowOff>
    </xdr:to>
    <xdr:sp macro="" textlink="">
      <xdr:nvSpPr>
        <xdr:cNvPr id="20483" name="Line 3"/>
        <xdr:cNvSpPr>
          <a:spLocks noChangeShapeType="1"/>
        </xdr:cNvSpPr>
      </xdr:nvSpPr>
      <xdr:spPr bwMode="auto">
        <a:xfrm>
          <a:off x="13906500" y="1990725"/>
          <a:ext cx="0" cy="2066925"/>
        </a:xfrm>
        <a:prstGeom prst="line">
          <a:avLst/>
        </a:prstGeom>
        <a:noFill/>
        <a:ln w="17145" cap="flat">
          <a:solidFill>
            <a:srgbClr xmlns:mc="http://schemas.openxmlformats.org/markup-compatibility/2006" xmlns:a14="http://schemas.microsoft.com/office/drawing/2010/main" val="000000" mc:Ignorable="a14" a14:legacySpreadsheetColorIndex="8"/>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wsDr>
</file>

<file path=xl/drawings/drawing21.xml><?xml version="1.0" encoding="utf-8"?>
<xdr:wsDr xmlns:xdr="http://schemas.openxmlformats.org/drawingml/2006/spreadsheetDrawing" xmlns:a="http://schemas.openxmlformats.org/drawingml/2006/main">
  <xdr:twoCellAnchor>
    <xdr:from>
      <xdr:col>2</xdr:col>
      <xdr:colOff>352425</xdr:colOff>
      <xdr:row>5</xdr:row>
      <xdr:rowOff>0</xdr:rowOff>
    </xdr:from>
    <xdr:to>
      <xdr:col>12</xdr:col>
      <xdr:colOff>619125</xdr:colOff>
      <xdr:row>19</xdr:row>
      <xdr:rowOff>28575</xdr:rowOff>
    </xdr:to>
    <xdr:sp macro="" textlink="">
      <xdr:nvSpPr>
        <xdr:cNvPr id="21505" name="Texte 1"/>
        <xdr:cNvSpPr txBox="1">
          <a:spLocks noChangeArrowheads="1"/>
        </xdr:cNvSpPr>
      </xdr:nvSpPr>
      <xdr:spPr bwMode="auto">
        <a:xfrm>
          <a:off x="3781425" y="1276350"/>
          <a:ext cx="10744200" cy="2828925"/>
        </a:xfrm>
        <a:prstGeom prst="rect">
          <a:avLst/>
        </a:prstGeom>
        <a:noFill/>
        <a:ln w="9525">
          <a:solidFill>
            <a:srgbClr xmlns:mc="http://schemas.openxmlformats.org/markup-compatibility/2006" xmlns:a14="http://schemas.microsoft.com/office/drawing/2010/main" val="000000" mc:Ignorable="a14" a14:legacySpreadsheetColorIndex="64"/>
          </a:solidFill>
          <a:prstDash val="solid"/>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txBody>
        <a:bodyPr vertOverflow="clip" wrap="square" lIns="36576" tIns="36576" rIns="0" bIns="0" anchor="t" upright="1"/>
        <a:lstStyle/>
        <a:p>
          <a:pPr algn="l" rtl="0">
            <a:lnSpc>
              <a:spcPts val="2000"/>
            </a:lnSpc>
            <a:defRPr sz="1000"/>
          </a:pPr>
          <a:r>
            <a:rPr lang="en-US" sz="1800" b="0" i="0" u="none" strike="noStrike" baseline="0">
              <a:solidFill>
                <a:srgbClr val="000000"/>
              </a:solidFill>
              <a:latin typeface="CG Times"/>
            </a:rPr>
            <a:t>Tout établissement bancaire doit respecter en tout temps les deux normes suivantes en matière de fonds propres :</a:t>
          </a:r>
        </a:p>
        <a:p>
          <a:pPr algn="l" rtl="0">
            <a:lnSpc>
              <a:spcPts val="1300"/>
            </a:lnSpc>
            <a:defRPr sz="1000"/>
          </a:pPr>
          <a:endParaRPr lang="en-US" sz="1200" b="0" i="0" u="none" strike="noStrike" baseline="0">
            <a:solidFill>
              <a:srgbClr val="000000"/>
            </a:solidFill>
            <a:latin typeface="CG Times"/>
          </a:endParaRPr>
        </a:p>
        <a:p>
          <a:pPr algn="l" rtl="0">
            <a:lnSpc>
              <a:spcPts val="1500"/>
            </a:lnSpc>
            <a:defRPr sz="1000"/>
          </a:pPr>
          <a:r>
            <a:rPr lang="en-US" sz="1400" b="1" i="0" u="none" strike="noStrike" baseline="0">
              <a:solidFill>
                <a:srgbClr val="000000"/>
              </a:solidFill>
              <a:latin typeface="CG Times"/>
            </a:rPr>
            <a:t>. ratio actif/fonds propres</a:t>
          </a:r>
          <a:endParaRPr lang="en-US" sz="1200" b="1" i="0" u="none" strike="noStrike" baseline="0">
            <a:solidFill>
              <a:srgbClr val="000000"/>
            </a:solidFill>
            <a:latin typeface="CG Times"/>
          </a:endParaRPr>
        </a:p>
        <a:p>
          <a:pPr algn="l" rtl="0">
            <a:lnSpc>
              <a:spcPts val="1300"/>
            </a:lnSpc>
            <a:defRPr sz="1000"/>
          </a:pPr>
          <a:r>
            <a:rPr lang="en-US" sz="1200" b="1" i="0" u="none" strike="noStrike" baseline="0">
              <a:solidFill>
                <a:srgbClr val="000000"/>
              </a:solidFill>
              <a:latin typeface="CG Times"/>
            </a:rPr>
            <a:t>  un multiple maximum de [20 fois] entre l'ensemble des éléments d'actif et de certains éléments hors bilan d'une part, et les fonds propres réglementaires</a:t>
          </a:r>
        </a:p>
        <a:p>
          <a:pPr algn="l" rtl="0">
            <a:lnSpc>
              <a:spcPts val="1300"/>
            </a:lnSpc>
            <a:defRPr sz="1000"/>
          </a:pPr>
          <a:r>
            <a:rPr lang="en-US" sz="1200" b="1" i="0" u="none" strike="noStrike" baseline="0">
              <a:solidFill>
                <a:srgbClr val="000000"/>
              </a:solidFill>
              <a:latin typeface="CG Times"/>
            </a:rPr>
            <a:t>   d'autre part;</a:t>
          </a:r>
          <a:endParaRPr lang="en-US" sz="1000" b="1" i="0" u="none" strike="noStrike" baseline="0">
            <a:solidFill>
              <a:srgbClr val="000000"/>
            </a:solidFill>
            <a:latin typeface="CG Times"/>
          </a:endParaRPr>
        </a:p>
        <a:p>
          <a:pPr algn="l" rtl="0">
            <a:lnSpc>
              <a:spcPts val="1100"/>
            </a:lnSpc>
            <a:defRPr sz="1000"/>
          </a:pPr>
          <a:endParaRPr lang="en-US" sz="1000" b="1" i="0" u="none" strike="noStrike" baseline="0">
            <a:solidFill>
              <a:srgbClr val="000000"/>
            </a:solidFill>
            <a:latin typeface="CG Times"/>
          </a:endParaRPr>
        </a:p>
        <a:p>
          <a:pPr algn="l" rtl="0">
            <a:defRPr sz="1000"/>
          </a:pPr>
          <a:r>
            <a:rPr lang="en-US" sz="1400" b="1" i="0" u="none" strike="noStrike" baseline="0">
              <a:solidFill>
                <a:srgbClr val="000000"/>
              </a:solidFill>
              <a:latin typeface="CG Times"/>
            </a:rPr>
            <a:t>. ratio des fonds propres à risques</a:t>
          </a:r>
          <a:endParaRPr lang="en-US" sz="1200" b="1" i="0" u="none" strike="noStrike" baseline="0">
            <a:solidFill>
              <a:srgbClr val="000000"/>
            </a:solidFill>
            <a:latin typeface="CG Times"/>
          </a:endParaRPr>
        </a:p>
        <a:p>
          <a:pPr algn="l" rtl="0">
            <a:lnSpc>
              <a:spcPts val="1300"/>
            </a:lnSpc>
            <a:defRPr sz="1000"/>
          </a:pPr>
          <a:r>
            <a:rPr lang="en-US" sz="1200" b="1" i="0" u="none" strike="noStrike" baseline="0">
              <a:solidFill>
                <a:srgbClr val="000000"/>
              </a:solidFill>
              <a:latin typeface="CG Times"/>
            </a:rPr>
            <a:t>  un rapport minimum de [12%] entre les fonds propres réglementaires d'une part, et l'ensemble des éléments d'actif et de hors bilan pondérés en                    </a:t>
          </a:r>
        </a:p>
        <a:p>
          <a:pPr algn="l" rtl="0">
            <a:lnSpc>
              <a:spcPts val="1300"/>
            </a:lnSpc>
            <a:defRPr sz="1000"/>
          </a:pPr>
          <a:r>
            <a:rPr lang="en-US" sz="1200" b="1" i="0" u="none" strike="noStrike" baseline="0">
              <a:solidFill>
                <a:srgbClr val="000000"/>
              </a:solidFill>
              <a:latin typeface="CG Times"/>
            </a:rPr>
            <a:t>  fonction des risques d'autre part.  </a:t>
          </a:r>
        </a:p>
        <a:p>
          <a:pPr algn="l" rtl="0">
            <a:lnSpc>
              <a:spcPts val="1300"/>
            </a:lnSpc>
            <a:defRPr sz="1000"/>
          </a:pPr>
          <a:endParaRPr lang="en-US" sz="1200" b="1" i="0" u="none" strike="noStrike" baseline="0">
            <a:solidFill>
              <a:srgbClr val="000000"/>
            </a:solidFill>
            <a:latin typeface="CG Times"/>
          </a:endParaRPr>
        </a:p>
        <a:p>
          <a:pPr algn="l" rtl="0">
            <a:defRPr sz="1000"/>
          </a:pPr>
          <a:r>
            <a:rPr lang="en-US" sz="1400" b="1" i="0" u="none" strike="noStrike" baseline="0">
              <a:solidFill>
                <a:srgbClr val="000000"/>
              </a:solidFill>
              <a:latin typeface="CG Times"/>
            </a:rPr>
            <a:t>.</a:t>
          </a:r>
          <a:r>
            <a:rPr lang="en-US" sz="1200" b="1" i="0" u="none" strike="noStrike" baseline="0">
              <a:solidFill>
                <a:srgbClr val="000000"/>
              </a:solidFill>
              <a:latin typeface="CG Times"/>
            </a:rPr>
            <a:t> Les ratios de suffisance de fonds propres applicables au 31 mars 1999 s'établissent ainsi:</a:t>
          </a:r>
        </a:p>
        <a:p>
          <a:pPr algn="l" rtl="0">
            <a:lnSpc>
              <a:spcPts val="1300"/>
            </a:lnSpc>
            <a:defRPr sz="1000"/>
          </a:pPr>
          <a:r>
            <a:rPr lang="en-US" sz="1200" b="1" i="0" u="none" strike="noStrike" baseline="0">
              <a:solidFill>
                <a:srgbClr val="000000"/>
              </a:solidFill>
              <a:latin typeface="CG Times"/>
            </a:rPr>
            <a:t>  25 fois (ratio actif/fonds propres)</a:t>
          </a:r>
        </a:p>
        <a:p>
          <a:pPr algn="l" rtl="0">
            <a:defRPr sz="1000"/>
          </a:pPr>
          <a:r>
            <a:rPr lang="en-US" sz="1200" b="1" i="0" u="none" strike="noStrike" baseline="0">
              <a:solidFill>
                <a:srgbClr val="000000"/>
              </a:solidFill>
              <a:latin typeface="CG Times"/>
            </a:rPr>
            <a:t>  8% (ratio fonds propres à risques)</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6</xdr:col>
      <xdr:colOff>19050</xdr:colOff>
      <xdr:row>5</xdr:row>
      <xdr:rowOff>0</xdr:rowOff>
    </xdr:from>
    <xdr:to>
      <xdr:col>9</xdr:col>
      <xdr:colOff>0</xdr:colOff>
      <xdr:row>5</xdr:row>
      <xdr:rowOff>0</xdr:rowOff>
    </xdr:to>
    <xdr:sp macro="" textlink="">
      <xdr:nvSpPr>
        <xdr:cNvPr id="22529" name="Line 1"/>
        <xdr:cNvSpPr>
          <a:spLocks noChangeShapeType="1"/>
        </xdr:cNvSpPr>
      </xdr:nvSpPr>
      <xdr:spPr bwMode="auto">
        <a:xfrm>
          <a:off x="5324475" y="1143000"/>
          <a:ext cx="249555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twoCellAnchor>
    <xdr:from>
      <xdr:col>6</xdr:col>
      <xdr:colOff>9525</xdr:colOff>
      <xdr:row>9</xdr:row>
      <xdr:rowOff>0</xdr:rowOff>
    </xdr:from>
    <xdr:to>
      <xdr:col>8</xdr:col>
      <xdr:colOff>828675</xdr:colOff>
      <xdr:row>9</xdr:row>
      <xdr:rowOff>0</xdr:rowOff>
    </xdr:to>
    <xdr:sp macro="" textlink="">
      <xdr:nvSpPr>
        <xdr:cNvPr id="22530" name="Line 2"/>
        <xdr:cNvSpPr>
          <a:spLocks noChangeShapeType="1"/>
        </xdr:cNvSpPr>
      </xdr:nvSpPr>
      <xdr:spPr bwMode="auto">
        <a:xfrm>
          <a:off x="5314950" y="1943100"/>
          <a:ext cx="249555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solid"/>
          <a:round/>
          <a:headEnd/>
          <a:tailEnd type="none" w="med" len="med"/>
        </a:ln>
        <a:extLst>
          <a:ext uri="{909E8E84-426E-40DD-AFC4-6F175D3DCCD1}">
            <a14:hiddenFill xmlns:a14="http://schemas.microsoft.com/office/drawing/2010/main">
              <a:no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31"/>
  <sheetViews>
    <sheetView workbookViewId="0"/>
  </sheetViews>
  <sheetFormatPr defaultRowHeight="15.75"/>
  <cols>
    <col min="1" max="4" width="11" customWidth="1"/>
    <col min="5" max="5" width="7.75" customWidth="1"/>
    <col min="6" max="10" width="11" customWidth="1"/>
    <col min="11" max="11" width="11.5" customWidth="1"/>
    <col min="12" max="12" width="8.75" customWidth="1"/>
    <col min="13" max="13" width="12.25" customWidth="1"/>
    <col min="14" max="256" width="11" customWidth="1"/>
  </cols>
  <sheetData>
    <row r="1" spans="1:13">
      <c r="A1" s="825"/>
      <c r="B1" s="826"/>
      <c r="C1" s="826"/>
      <c r="D1" s="826"/>
      <c r="E1" s="826"/>
      <c r="F1" s="826"/>
      <c r="G1" s="826"/>
      <c r="H1" s="826"/>
      <c r="I1" s="826"/>
      <c r="J1" s="826"/>
      <c r="K1" s="826"/>
      <c r="L1" s="826"/>
      <c r="M1" s="827"/>
    </row>
    <row r="2" spans="1:13">
      <c r="A2" s="828"/>
      <c r="B2" s="829"/>
      <c r="C2" s="829"/>
      <c r="D2" s="829"/>
      <c r="E2" s="829"/>
      <c r="F2" s="829"/>
      <c r="G2" s="311"/>
      <c r="H2" s="311"/>
      <c r="I2" s="829"/>
      <c r="J2" s="829"/>
      <c r="K2" s="829"/>
      <c r="L2" s="829"/>
      <c r="M2" s="830"/>
    </row>
    <row r="3" spans="1:13">
      <c r="A3" s="831"/>
      <c r="B3" s="832"/>
      <c r="C3" s="832"/>
      <c r="D3" s="832"/>
      <c r="E3" s="832"/>
      <c r="F3" s="832"/>
      <c r="G3" s="842"/>
      <c r="H3" s="842"/>
      <c r="I3" s="832"/>
      <c r="J3" s="832"/>
      <c r="K3" s="832"/>
      <c r="L3" s="832"/>
      <c r="M3" s="833"/>
    </row>
    <row r="4" spans="1:13">
      <c r="A4" s="831"/>
      <c r="B4" s="832"/>
      <c r="C4" s="832"/>
      <c r="D4" s="832"/>
      <c r="E4" s="832"/>
      <c r="F4" s="832"/>
      <c r="G4" s="842"/>
      <c r="H4" s="842"/>
      <c r="I4" s="832"/>
      <c r="J4" s="832"/>
      <c r="K4" s="832"/>
      <c r="L4" s="832"/>
      <c r="M4" s="833"/>
    </row>
    <row r="5" spans="1:13">
      <c r="A5" s="828" t="s">
        <v>0</v>
      </c>
      <c r="B5" s="829"/>
      <c r="C5" s="829"/>
      <c r="D5" s="829"/>
      <c r="E5" s="829"/>
      <c r="F5" s="829"/>
      <c r="G5" s="311"/>
      <c r="H5" s="311"/>
      <c r="I5" s="829"/>
      <c r="J5" s="829"/>
      <c r="K5" s="829"/>
      <c r="L5" s="829"/>
      <c r="M5" s="830"/>
    </row>
    <row r="6" spans="1:13" ht="18.75">
      <c r="A6" s="849" t="s">
        <v>1</v>
      </c>
      <c r="B6" s="832"/>
      <c r="C6" s="832"/>
      <c r="D6" s="832"/>
      <c r="E6" s="832"/>
      <c r="F6" s="832"/>
      <c r="G6" s="832"/>
      <c r="H6" s="832"/>
      <c r="I6" s="832"/>
      <c r="J6" s="832"/>
      <c r="K6" s="832"/>
      <c r="L6" s="832"/>
      <c r="M6" s="833"/>
    </row>
    <row r="7" spans="1:13">
      <c r="A7" s="828"/>
      <c r="B7" s="829"/>
      <c r="C7" s="829"/>
      <c r="D7" s="829"/>
      <c r="E7" s="829"/>
      <c r="F7" s="829"/>
      <c r="G7" s="829"/>
      <c r="H7" s="829"/>
      <c r="I7" s="829"/>
      <c r="J7" s="829"/>
      <c r="K7" s="829"/>
      <c r="L7" s="829"/>
      <c r="M7" s="830"/>
    </row>
    <row r="8" spans="1:13">
      <c r="A8" s="828"/>
      <c r="B8" s="829"/>
      <c r="C8" s="829"/>
      <c r="D8" s="829"/>
      <c r="E8" s="829"/>
      <c r="F8" s="829"/>
      <c r="G8" s="829"/>
      <c r="H8" s="829"/>
      <c r="I8" s="829"/>
      <c r="J8" s="829"/>
      <c r="K8" s="829"/>
      <c r="L8" s="829"/>
      <c r="M8" s="830"/>
    </row>
    <row r="9" spans="1:13">
      <c r="A9" s="828"/>
      <c r="B9" s="829"/>
      <c r="C9" s="829"/>
      <c r="D9" s="829"/>
      <c r="E9" s="829"/>
      <c r="F9" s="829"/>
      <c r="G9" s="829"/>
      <c r="H9" s="829"/>
      <c r="I9" s="829"/>
      <c r="J9" s="829"/>
      <c r="K9" s="829"/>
      <c r="L9" s="829"/>
      <c r="M9" s="830"/>
    </row>
    <row r="10" spans="1:13">
      <c r="A10" s="828"/>
      <c r="B10" s="829"/>
      <c r="C10" s="829"/>
      <c r="D10" s="829"/>
      <c r="E10" s="829"/>
      <c r="F10" s="829"/>
      <c r="G10" s="829"/>
      <c r="H10" s="829"/>
      <c r="I10" s="829"/>
      <c r="J10" s="829"/>
      <c r="K10" s="829"/>
      <c r="L10" s="829"/>
      <c r="M10" s="830"/>
    </row>
    <row r="11" spans="1:13">
      <c r="A11" s="828"/>
      <c r="B11" s="829"/>
      <c r="C11" s="829"/>
      <c r="D11" s="829"/>
      <c r="E11" s="829"/>
      <c r="F11" s="829"/>
      <c r="G11" s="829"/>
      <c r="H11" s="829"/>
      <c r="I11" s="829"/>
      <c r="J11" s="829"/>
      <c r="K11" s="829"/>
      <c r="L11" s="829"/>
      <c r="M11" s="830"/>
    </row>
    <row r="12" spans="1:13">
      <c r="A12" s="828"/>
      <c r="B12" s="829"/>
      <c r="C12" s="829"/>
      <c r="D12" s="829"/>
      <c r="E12" s="829"/>
      <c r="F12" s="829"/>
      <c r="G12" s="829"/>
      <c r="H12" s="829"/>
      <c r="I12" s="829"/>
      <c r="J12" s="829"/>
      <c r="K12" s="829"/>
      <c r="L12" s="829"/>
      <c r="M12" s="830"/>
    </row>
    <row r="13" spans="1:13">
      <c r="A13" s="828" t="s">
        <v>0</v>
      </c>
      <c r="B13" s="829"/>
      <c r="C13" s="829"/>
      <c r="D13" s="829"/>
      <c r="E13" s="829"/>
      <c r="F13" s="829"/>
      <c r="G13" s="829"/>
      <c r="H13" s="829"/>
      <c r="I13" s="829"/>
      <c r="J13" s="829"/>
      <c r="K13" s="829"/>
      <c r="L13" s="829"/>
      <c r="M13" s="830"/>
    </row>
    <row r="14" spans="1:13">
      <c r="A14" s="828"/>
      <c r="B14" s="829"/>
      <c r="C14" s="829"/>
      <c r="D14" s="829"/>
      <c r="E14" s="829"/>
      <c r="F14" s="829"/>
      <c r="G14" s="829"/>
      <c r="H14" s="829"/>
      <c r="I14" s="829"/>
      <c r="J14" s="829"/>
      <c r="K14" s="829"/>
      <c r="L14" s="829"/>
      <c r="M14" s="830"/>
    </row>
    <row r="15" spans="1:13" ht="22.5">
      <c r="A15" s="822" t="s">
        <v>2</v>
      </c>
      <c r="B15" s="823"/>
      <c r="C15" s="823"/>
      <c r="D15" s="823"/>
      <c r="E15" s="823"/>
      <c r="F15" s="823"/>
      <c r="G15" s="823"/>
      <c r="H15" s="823"/>
      <c r="I15" s="823"/>
      <c r="J15" s="823"/>
      <c r="K15" s="823"/>
      <c r="L15" s="823"/>
      <c r="M15" s="824"/>
    </row>
    <row r="16" spans="1:13">
      <c r="A16" s="828"/>
      <c r="B16" s="829"/>
      <c r="C16" s="829"/>
      <c r="D16" s="829"/>
      <c r="E16" s="829"/>
      <c r="F16" s="829"/>
      <c r="G16" s="829"/>
      <c r="H16" s="829"/>
      <c r="I16" s="829"/>
      <c r="J16" s="829"/>
      <c r="K16" s="829"/>
      <c r="L16" s="829"/>
      <c r="M16" s="830"/>
    </row>
    <row r="17" spans="1:13">
      <c r="A17" s="828"/>
      <c r="B17" s="829"/>
      <c r="C17" s="829"/>
      <c r="D17" s="829"/>
      <c r="E17" s="829"/>
      <c r="F17" s="829"/>
      <c r="G17" s="829"/>
      <c r="H17" s="829"/>
      <c r="I17" s="829"/>
      <c r="J17" s="829"/>
      <c r="K17" s="829"/>
      <c r="L17" s="829"/>
      <c r="M17" s="830"/>
    </row>
    <row r="18" spans="1:13">
      <c r="A18" s="828"/>
      <c r="B18" s="829"/>
      <c r="C18" s="829"/>
      <c r="D18" s="829"/>
      <c r="E18" s="829"/>
      <c r="F18" s="829"/>
      <c r="G18" s="829"/>
      <c r="H18" s="829"/>
      <c r="I18" s="829"/>
      <c r="J18" s="829"/>
      <c r="K18" s="829"/>
      <c r="L18" s="829"/>
      <c r="M18" s="830"/>
    </row>
    <row r="19" spans="1:13">
      <c r="A19" s="828"/>
      <c r="B19" s="829"/>
      <c r="C19" s="829"/>
      <c r="D19" s="829"/>
      <c r="E19" s="829"/>
      <c r="F19" s="829"/>
      <c r="G19" s="829"/>
      <c r="H19" s="829"/>
      <c r="I19" s="829"/>
      <c r="J19" s="829"/>
      <c r="K19" s="829"/>
      <c r="L19" s="829"/>
      <c r="M19" s="830"/>
    </row>
    <row r="20" spans="1:13">
      <c r="A20" s="834" t="s">
        <v>3</v>
      </c>
      <c r="B20" s="835"/>
      <c r="C20" s="835"/>
      <c r="D20" s="835"/>
      <c r="E20" s="835"/>
      <c r="F20" s="835"/>
      <c r="G20" s="835"/>
      <c r="H20" s="835"/>
      <c r="I20" s="835"/>
      <c r="J20" s="835"/>
      <c r="K20" s="835"/>
      <c r="L20" s="835"/>
      <c r="M20" s="836"/>
    </row>
    <row r="21" spans="1:13">
      <c r="A21" s="834" t="s">
        <v>4</v>
      </c>
      <c r="B21" s="835"/>
      <c r="C21" s="835"/>
      <c r="D21" s="835"/>
      <c r="E21" s="835"/>
      <c r="F21" s="835"/>
      <c r="G21" s="835"/>
      <c r="H21" s="835"/>
      <c r="I21" s="835"/>
      <c r="J21" s="835"/>
      <c r="K21" s="835"/>
      <c r="L21" s="835"/>
      <c r="M21" s="836"/>
    </row>
    <row r="22" spans="1:13">
      <c r="A22" s="828"/>
      <c r="B22" s="829"/>
      <c r="C22" s="829"/>
      <c r="D22" s="829"/>
      <c r="E22" s="829"/>
      <c r="F22" s="829"/>
      <c r="G22" s="829"/>
      <c r="H22" s="829"/>
      <c r="I22" s="829"/>
      <c r="J22" s="829"/>
      <c r="K22" s="829"/>
      <c r="L22" s="829"/>
      <c r="M22" s="830"/>
    </row>
    <row r="23" spans="1:13">
      <c r="A23" s="828"/>
      <c r="B23" s="829"/>
      <c r="C23" s="829"/>
      <c r="D23" s="829"/>
      <c r="E23" s="829"/>
      <c r="F23" s="829"/>
      <c r="G23" s="829"/>
      <c r="H23" s="829"/>
      <c r="I23" s="829"/>
      <c r="J23" s="829"/>
      <c r="K23" s="829"/>
      <c r="L23" s="829"/>
      <c r="M23" s="830"/>
    </row>
    <row r="24" spans="1:13">
      <c r="A24" s="828"/>
      <c r="B24" s="829"/>
      <c r="C24" s="829"/>
      <c r="D24" s="829"/>
      <c r="E24" s="829"/>
      <c r="F24" s="829"/>
      <c r="G24" s="829"/>
      <c r="H24" s="829"/>
      <c r="I24" s="829"/>
      <c r="J24" s="829"/>
      <c r="K24" s="829"/>
      <c r="L24" s="829"/>
      <c r="M24" s="830"/>
    </row>
    <row r="25" spans="1:13">
      <c r="A25" s="828"/>
      <c r="B25" s="829"/>
      <c r="C25" s="829"/>
      <c r="D25" s="829"/>
      <c r="E25" s="829"/>
      <c r="F25" s="829"/>
      <c r="G25" s="829"/>
      <c r="H25" s="829"/>
      <c r="I25" s="829"/>
      <c r="J25" s="829"/>
      <c r="K25" s="829"/>
      <c r="L25" s="829"/>
      <c r="M25" s="830"/>
    </row>
    <row r="26" spans="1:13">
      <c r="A26" s="828"/>
      <c r="B26" s="829"/>
      <c r="C26" s="829"/>
      <c r="D26" s="829"/>
      <c r="E26" s="829"/>
      <c r="F26" s="829"/>
      <c r="G26" s="829"/>
      <c r="H26" s="829"/>
      <c r="I26" s="829"/>
      <c r="J26" s="829"/>
      <c r="K26" s="829"/>
      <c r="L26" s="829"/>
      <c r="M26" s="830"/>
    </row>
    <row r="27" spans="1:13">
      <c r="A27" s="828"/>
      <c r="B27" s="829"/>
      <c r="C27" s="829"/>
      <c r="D27" s="829"/>
      <c r="E27" s="829"/>
      <c r="F27" s="829"/>
      <c r="G27" s="829"/>
      <c r="H27" s="829"/>
      <c r="I27" s="829"/>
      <c r="J27" s="829"/>
      <c r="K27" s="829"/>
      <c r="L27" s="829"/>
      <c r="M27" s="830"/>
    </row>
    <row r="28" spans="1:13">
      <c r="A28" s="828"/>
      <c r="B28" s="829"/>
      <c r="C28" s="829"/>
      <c r="D28" s="829"/>
      <c r="E28" s="829"/>
      <c r="F28" s="829"/>
      <c r="G28" s="829"/>
      <c r="H28" s="829"/>
      <c r="I28" s="829"/>
      <c r="J28" s="829"/>
      <c r="K28" s="829"/>
      <c r="L28" s="829"/>
      <c r="M28" s="830"/>
    </row>
    <row r="29" spans="1:13">
      <c r="A29" s="828" t="s">
        <v>0</v>
      </c>
      <c r="B29" s="829"/>
      <c r="C29" s="829"/>
      <c r="D29" s="829"/>
      <c r="E29" s="829"/>
      <c r="F29" s="829"/>
      <c r="G29" s="829"/>
      <c r="H29" s="829"/>
      <c r="I29" s="829"/>
      <c r="J29" s="829"/>
      <c r="K29" s="829"/>
      <c r="L29" s="829"/>
      <c r="M29" s="830"/>
    </row>
    <row r="30" spans="1:13" ht="20.25">
      <c r="A30" s="828"/>
      <c r="B30" s="829"/>
      <c r="C30" s="829"/>
      <c r="D30" s="829"/>
      <c r="E30" s="829"/>
      <c r="F30" s="829"/>
      <c r="G30" s="829"/>
      <c r="H30" s="829"/>
      <c r="I30" s="829"/>
      <c r="J30" s="829"/>
      <c r="K30" s="829"/>
      <c r="L30" s="837" t="s">
        <v>5</v>
      </c>
      <c r="M30" s="830"/>
    </row>
    <row r="31" spans="1:13" ht="16.5" thickBot="1">
      <c r="A31" s="838"/>
      <c r="B31" s="839"/>
      <c r="C31" s="839"/>
      <c r="D31" s="839"/>
      <c r="E31" s="839"/>
      <c r="F31" s="839"/>
      <c r="G31" s="839"/>
      <c r="H31" s="839"/>
      <c r="I31" s="839"/>
      <c r="J31" s="839"/>
      <c r="K31" s="840" t="s">
        <v>6</v>
      </c>
      <c r="L31" s="839"/>
      <c r="M31" s="841"/>
    </row>
  </sheetData>
  <pageMargins left="0.49" right="0.34" top="0.71" bottom="0.73" header="0.5" footer="0.5"/>
  <pageSetup orientation="landscape" verticalDpi="75" r:id="rId1"/>
  <headerFooter alignWithMargins="0"/>
  <drawing r:id="rId2"/>
  <legacyDrawing r:id="rId3"/>
  <oleObjects>
    <mc:AlternateContent xmlns:mc="http://schemas.openxmlformats.org/markup-compatibility/2006">
      <mc:Choice Requires="x14">
        <oleObject progId="Word.Picture.6" shapeId="1025" r:id="rId4">
          <objectPr defaultSize="0" autoFill="0" autoLine="0" autoPict="0" r:id="rId5">
            <anchor moveWithCells="1">
              <from>
                <xdr:col>6</xdr:col>
                <xdr:colOff>19050</xdr:colOff>
                <xdr:row>1</xdr:row>
                <xdr:rowOff>133350</xdr:rowOff>
              </from>
              <to>
                <xdr:col>7</xdr:col>
                <xdr:colOff>800100</xdr:colOff>
                <xdr:row>4</xdr:row>
                <xdr:rowOff>142875</xdr:rowOff>
              </to>
            </anchor>
          </objectPr>
        </oleObject>
      </mc:Choice>
      <mc:Fallback>
        <oleObject progId="Word.Picture.6" shapeId="1025"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
  <sheetViews>
    <sheetView workbookViewId="0"/>
  </sheetViews>
  <sheetFormatPr defaultRowHeight="15.75"/>
  <cols>
    <col min="1" max="256" width="11" customWidth="1"/>
  </cols>
  <sheetData>
    <row r="1" spans="1:12" ht="20.25">
      <c r="A1" s="813" t="s">
        <v>7</v>
      </c>
      <c r="B1" s="812"/>
      <c r="C1" s="812"/>
      <c r="D1" s="812"/>
      <c r="E1" s="812"/>
      <c r="F1" s="812"/>
      <c r="G1" s="812"/>
      <c r="H1" s="812"/>
      <c r="I1" s="812"/>
      <c r="J1" s="812"/>
      <c r="K1" s="812"/>
      <c r="L1" s="812"/>
    </row>
    <row r="4" spans="1:12">
      <c r="B4" s="814"/>
      <c r="C4" s="797" t="s">
        <v>8</v>
      </c>
    </row>
    <row r="5" spans="1:12">
      <c r="C5" s="797" t="s">
        <v>9</v>
      </c>
    </row>
    <row r="6" spans="1:12">
      <c r="C6" t="s">
        <v>10</v>
      </c>
    </row>
    <row r="7" spans="1:12" ht="9.75" customHeight="1"/>
    <row r="8" spans="1:12">
      <c r="C8" t="s">
        <v>11</v>
      </c>
    </row>
    <row r="9" spans="1:12">
      <c r="C9" t="s">
        <v>12</v>
      </c>
    </row>
    <row r="10" spans="1:12">
      <c r="C10" t="s">
        <v>13</v>
      </c>
    </row>
    <row r="11" spans="1:12" ht="9.75" customHeight="1"/>
    <row r="12" spans="1:12">
      <c r="C12" t="s">
        <v>14</v>
      </c>
    </row>
    <row r="13" spans="1:12">
      <c r="C13" s="1" t="s">
        <v>15</v>
      </c>
    </row>
    <row r="14" spans="1:12">
      <c r="C14" s="1" t="s">
        <v>16</v>
      </c>
    </row>
    <row r="15" spans="1:12">
      <c r="C15" s="1" t="s">
        <v>17</v>
      </c>
    </row>
    <row r="16" spans="1:12">
      <c r="C16" s="1" t="s">
        <v>18</v>
      </c>
    </row>
    <row r="17" spans="3:3">
      <c r="C17" s="1" t="s">
        <v>19</v>
      </c>
    </row>
    <row r="18" spans="3:3" ht="8.25" customHeight="1"/>
    <row r="19" spans="3:3">
      <c r="C19" t="s">
        <v>20</v>
      </c>
    </row>
    <row r="20" spans="3:3">
      <c r="C20" s="319" t="s">
        <v>21</v>
      </c>
    </row>
    <row r="21" spans="3:3">
      <c r="C21" s="1101" t="s">
        <v>22</v>
      </c>
    </row>
    <row r="22" spans="3:3" ht="8.25" customHeight="1">
      <c r="C22" t="s">
        <v>0</v>
      </c>
    </row>
    <row r="23" spans="3:3">
      <c r="C23" t="s">
        <v>23</v>
      </c>
    </row>
    <row r="24" spans="3:3">
      <c r="C24" t="s">
        <v>24</v>
      </c>
    </row>
    <row r="25" spans="3:3" ht="8.25" customHeight="1">
      <c r="C25" t="s">
        <v>0</v>
      </c>
    </row>
    <row r="26" spans="3:3">
      <c r="C26" s="2" t="s">
        <v>25</v>
      </c>
    </row>
    <row r="27" spans="3:3">
      <c r="C27" s="2" t="s">
        <v>26</v>
      </c>
    </row>
    <row r="28" spans="3:3">
      <c r="C28" s="2" t="s">
        <v>27</v>
      </c>
    </row>
    <row r="29" spans="3:3" ht="8.25" customHeight="1">
      <c r="C29" t="s">
        <v>0</v>
      </c>
    </row>
    <row r="30" spans="3:3">
      <c r="C30" s="2" t="s">
        <v>28</v>
      </c>
    </row>
    <row r="31" spans="3:3">
      <c r="C31" s="2" t="s">
        <v>29</v>
      </c>
    </row>
    <row r="32" spans="3:3" ht="8.25" customHeight="1"/>
    <row r="33" spans="3:3">
      <c r="C33" s="2" t="s">
        <v>30</v>
      </c>
    </row>
    <row r="34" spans="3:3">
      <c r="C34" s="2" t="s">
        <v>31</v>
      </c>
    </row>
    <row r="35" spans="3:3" ht="11.25" customHeight="1">
      <c r="C35" s="2"/>
    </row>
    <row r="36" spans="3:3">
      <c r="C36" s="2" t="s">
        <v>32</v>
      </c>
    </row>
    <row r="37" spans="3:3">
      <c r="C37" s="2" t="s">
        <v>33</v>
      </c>
    </row>
    <row r="38" spans="3:3">
      <c r="C38" s="2"/>
    </row>
    <row r="39" spans="3:3">
      <c r="C39" s="2"/>
    </row>
    <row r="40" spans="3:3">
      <c r="C40" s="2"/>
    </row>
    <row r="41" spans="3:3">
      <c r="C41" s="2" t="s">
        <v>0</v>
      </c>
    </row>
  </sheetData>
  <pageMargins left="0.2" right="0.22" top="0.57999999999999996" bottom="0.21" header="0.17" footer="0.17"/>
  <pageSetup orientation="landscape" r:id="rId1"/>
  <headerFooter alignWithMargins="0">
    <oddFooter>&amp;R&amp;"CG Times,Bold"&amp;16i</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61"/>
  <sheetViews>
    <sheetView workbookViewId="0"/>
  </sheetViews>
  <sheetFormatPr defaultRowHeight="15.75"/>
  <cols>
    <col min="1" max="1" width="22.375" customWidth="1"/>
    <col min="2" max="2" width="67.875" customWidth="1"/>
    <col min="3" max="256" width="11" customWidth="1"/>
  </cols>
  <sheetData>
    <row r="1" spans="1:14" ht="27">
      <c r="A1" s="817" t="s">
        <v>34</v>
      </c>
      <c r="B1" s="812"/>
      <c r="C1" s="812"/>
      <c r="D1" s="812"/>
      <c r="E1" s="812"/>
      <c r="F1" s="812"/>
      <c r="G1" s="812"/>
      <c r="H1" s="812"/>
      <c r="I1" s="812"/>
      <c r="J1" s="812"/>
      <c r="K1" s="812"/>
      <c r="L1" s="812"/>
      <c r="M1" s="812"/>
      <c r="N1" s="812"/>
    </row>
    <row r="3" spans="1:14">
      <c r="B3" s="815" t="s">
        <v>7</v>
      </c>
      <c r="L3" s="816" t="s">
        <v>0</v>
      </c>
      <c r="N3" s="848" t="s">
        <v>35</v>
      </c>
    </row>
    <row r="5" spans="1:14">
      <c r="A5" s="87" t="s">
        <v>36</v>
      </c>
      <c r="B5" s="815" t="s">
        <v>37</v>
      </c>
    </row>
    <row r="6" spans="1:14">
      <c r="B6" s="2" t="s">
        <v>38</v>
      </c>
      <c r="C6" s="20"/>
      <c r="D6" s="20"/>
      <c r="E6" s="20"/>
      <c r="F6" s="20"/>
      <c r="G6" s="20"/>
      <c r="H6" s="20"/>
      <c r="I6" s="20"/>
      <c r="J6" s="20"/>
      <c r="K6" s="20"/>
      <c r="L6" s="20"/>
      <c r="M6" s="20"/>
      <c r="N6">
        <v>5</v>
      </c>
    </row>
    <row r="7" spans="1:14">
      <c r="B7" s="2" t="s">
        <v>39</v>
      </c>
      <c r="C7" s="20"/>
      <c r="D7" s="20"/>
      <c r="E7" s="20"/>
      <c r="F7" s="20"/>
      <c r="G7" s="20"/>
      <c r="H7" s="20"/>
      <c r="I7" s="20"/>
      <c r="J7" s="20"/>
      <c r="K7" s="20"/>
      <c r="L7" s="20"/>
      <c r="M7" s="20"/>
      <c r="N7">
        <v>12</v>
      </c>
    </row>
    <row r="8" spans="1:14">
      <c r="B8" s="2" t="s">
        <v>40</v>
      </c>
      <c r="C8" s="20"/>
      <c r="D8" s="20"/>
      <c r="E8" s="20"/>
      <c r="F8" s="20"/>
      <c r="G8" s="20"/>
      <c r="H8" s="20"/>
      <c r="I8" s="20"/>
      <c r="J8" s="20"/>
      <c r="K8" s="20"/>
      <c r="L8" s="20"/>
      <c r="M8" s="20"/>
      <c r="N8">
        <v>18</v>
      </c>
    </row>
    <row r="9" spans="1:14">
      <c r="B9" s="2" t="s">
        <v>41</v>
      </c>
      <c r="C9" s="20"/>
      <c r="D9" s="20"/>
      <c r="E9" s="20"/>
      <c r="F9" s="20"/>
      <c r="G9" s="20"/>
      <c r="H9" s="20"/>
      <c r="I9" s="20"/>
      <c r="J9" s="20"/>
      <c r="K9" s="20"/>
      <c r="L9" s="20"/>
      <c r="M9" s="20"/>
      <c r="N9">
        <v>19</v>
      </c>
    </row>
    <row r="10" spans="1:14">
      <c r="B10" s="2" t="s">
        <v>42</v>
      </c>
      <c r="C10" s="20"/>
      <c r="D10" s="20"/>
      <c r="E10" s="20"/>
      <c r="F10" s="20"/>
      <c r="G10" s="20"/>
      <c r="H10" s="20"/>
      <c r="I10" s="20"/>
      <c r="J10" s="20"/>
      <c r="K10" s="20"/>
      <c r="L10" s="20"/>
      <c r="M10" s="20"/>
      <c r="N10">
        <v>20</v>
      </c>
    </row>
    <row r="11" spans="1:14">
      <c r="B11" s="2" t="s">
        <v>43</v>
      </c>
      <c r="C11" s="20"/>
      <c r="D11" s="20"/>
      <c r="E11" s="20"/>
      <c r="F11" s="20"/>
      <c r="G11" s="20"/>
      <c r="H11" s="20"/>
      <c r="I11" s="20"/>
      <c r="J11" s="20"/>
      <c r="K11" s="20"/>
      <c r="L11" s="20"/>
      <c r="M11" s="20"/>
      <c r="N11">
        <v>21</v>
      </c>
    </row>
    <row r="13" spans="1:14">
      <c r="A13" s="815" t="s">
        <v>44</v>
      </c>
      <c r="B13" s="815" t="s">
        <v>45</v>
      </c>
    </row>
    <row r="14" spans="1:14">
      <c r="B14" s="2" t="s">
        <v>46</v>
      </c>
      <c r="N14">
        <v>23</v>
      </c>
    </row>
    <row r="15" spans="1:14">
      <c r="B15" s="2" t="s">
        <v>47</v>
      </c>
      <c r="N15">
        <v>24</v>
      </c>
    </row>
    <row r="16" spans="1:14">
      <c r="B16" s="2" t="s">
        <v>48</v>
      </c>
    </row>
    <row r="17" spans="1:14">
      <c r="B17" s="2" t="s">
        <v>49</v>
      </c>
      <c r="N17">
        <v>25</v>
      </c>
    </row>
    <row r="18" spans="1:14">
      <c r="B18" s="2" t="s">
        <v>50</v>
      </c>
      <c r="N18">
        <v>26</v>
      </c>
    </row>
    <row r="19" spans="1:14">
      <c r="B19" s="2" t="s">
        <v>51</v>
      </c>
      <c r="N19">
        <v>27</v>
      </c>
    </row>
    <row r="20" spans="1:14">
      <c r="B20" s="2" t="s">
        <v>52</v>
      </c>
    </row>
    <row r="21" spans="1:14">
      <c r="B21" s="2" t="s">
        <v>53</v>
      </c>
      <c r="N21">
        <v>28</v>
      </c>
    </row>
    <row r="22" spans="1:14">
      <c r="B22" s="2" t="s">
        <v>54</v>
      </c>
      <c r="N22">
        <v>29</v>
      </c>
    </row>
    <row r="24" spans="1:14">
      <c r="A24" s="815" t="s">
        <v>55</v>
      </c>
      <c r="B24" s="815" t="s">
        <v>56</v>
      </c>
    </row>
    <row r="25" spans="1:14">
      <c r="B25" s="2" t="s">
        <v>57</v>
      </c>
      <c r="N25">
        <v>31</v>
      </c>
    </row>
    <row r="26" spans="1:14">
      <c r="B26" s="2" t="s">
        <v>58</v>
      </c>
      <c r="N26">
        <v>32</v>
      </c>
    </row>
    <row r="27" spans="1:14">
      <c r="B27" s="2" t="s">
        <v>59</v>
      </c>
    </row>
    <row r="28" spans="1:14">
      <c r="B28" s="2" t="s">
        <v>60</v>
      </c>
      <c r="N28">
        <v>33</v>
      </c>
    </row>
    <row r="29" spans="1:14">
      <c r="B29" s="2" t="s">
        <v>61</v>
      </c>
      <c r="N29">
        <v>34</v>
      </c>
    </row>
    <row r="30" spans="1:14">
      <c r="B30" s="2" t="s">
        <v>62</v>
      </c>
      <c r="N30">
        <v>35</v>
      </c>
    </row>
    <row r="31" spans="1:14">
      <c r="B31" s="2" t="s">
        <v>63</v>
      </c>
      <c r="N31">
        <v>36</v>
      </c>
    </row>
    <row r="32" spans="1:14">
      <c r="B32" s="2" t="s">
        <v>64</v>
      </c>
      <c r="N32">
        <v>37</v>
      </c>
    </row>
    <row r="33" spans="1:14">
      <c r="B33" s="2" t="s">
        <v>65</v>
      </c>
      <c r="N33">
        <v>38</v>
      </c>
    </row>
    <row r="34" spans="1:14">
      <c r="B34" s="2" t="s">
        <v>66</v>
      </c>
      <c r="N34">
        <v>39</v>
      </c>
    </row>
    <row r="35" spans="1:14">
      <c r="B35" s="2" t="s">
        <v>67</v>
      </c>
      <c r="N35">
        <v>40</v>
      </c>
    </row>
    <row r="36" spans="1:14">
      <c r="B36" s="2" t="s">
        <v>68</v>
      </c>
      <c r="N36">
        <v>41</v>
      </c>
    </row>
    <row r="37" spans="1:14">
      <c r="B37" s="2" t="s">
        <v>69</v>
      </c>
      <c r="N37">
        <v>42</v>
      </c>
    </row>
    <row r="39" spans="1:14">
      <c r="A39" s="815" t="s">
        <v>70</v>
      </c>
      <c r="B39" s="815" t="s">
        <v>71</v>
      </c>
    </row>
    <row r="40" spans="1:14">
      <c r="B40" s="2" t="s">
        <v>72</v>
      </c>
      <c r="N40">
        <v>44</v>
      </c>
    </row>
    <row r="41" spans="1:14">
      <c r="B41" s="2" t="s">
        <v>73</v>
      </c>
      <c r="N41">
        <v>50</v>
      </c>
    </row>
    <row r="42" spans="1:14">
      <c r="B42" s="2" t="s">
        <v>74</v>
      </c>
      <c r="N42">
        <v>56</v>
      </c>
    </row>
    <row r="43" spans="1:14">
      <c r="B43" s="2" t="s">
        <v>75</v>
      </c>
      <c r="N43">
        <v>62</v>
      </c>
    </row>
    <row r="44" spans="1:14">
      <c r="B44" s="2" t="s">
        <v>76</v>
      </c>
      <c r="N44">
        <v>68</v>
      </c>
    </row>
    <row r="45" spans="1:14">
      <c r="B45" s="2" t="s">
        <v>77</v>
      </c>
      <c r="N45">
        <v>74</v>
      </c>
    </row>
    <row r="46" spans="1:14">
      <c r="B46" s="2" t="s">
        <v>78</v>
      </c>
      <c r="N46">
        <v>80</v>
      </c>
    </row>
    <row r="47" spans="1:14">
      <c r="B47" s="2" t="s">
        <v>79</v>
      </c>
      <c r="N47">
        <v>86</v>
      </c>
    </row>
    <row r="48" spans="1:14">
      <c r="B48" s="2" t="s">
        <v>80</v>
      </c>
      <c r="N48">
        <v>92</v>
      </c>
    </row>
    <row r="49" spans="1:14">
      <c r="B49" s="2" t="s">
        <v>81</v>
      </c>
      <c r="N49">
        <v>98</v>
      </c>
    </row>
    <row r="50" spans="1:14">
      <c r="B50" s="2" t="s">
        <v>82</v>
      </c>
      <c r="N50">
        <v>104</v>
      </c>
    </row>
    <row r="51" spans="1:14">
      <c r="B51" s="2" t="s">
        <v>83</v>
      </c>
      <c r="N51">
        <v>110</v>
      </c>
    </row>
    <row r="52" spans="1:14">
      <c r="B52" s="2" t="s">
        <v>84</v>
      </c>
      <c r="N52">
        <v>116</v>
      </c>
    </row>
    <row r="53" spans="1:14">
      <c r="B53" s="2" t="s">
        <v>85</v>
      </c>
      <c r="N53">
        <v>122</v>
      </c>
    </row>
    <row r="54" spans="1:14">
      <c r="N54" t="s">
        <v>0</v>
      </c>
    </row>
    <row r="55" spans="1:14">
      <c r="A55" s="815" t="s">
        <v>86</v>
      </c>
      <c r="B55" s="815" t="s">
        <v>87</v>
      </c>
    </row>
    <row r="56" spans="1:14">
      <c r="B56" s="2" t="s">
        <v>88</v>
      </c>
      <c r="N56">
        <v>128</v>
      </c>
    </row>
    <row r="57" spans="1:14">
      <c r="B57" s="2" t="s">
        <v>89</v>
      </c>
      <c r="N57">
        <v>129</v>
      </c>
    </row>
    <row r="58" spans="1:14">
      <c r="B58" s="2" t="s">
        <v>90</v>
      </c>
      <c r="N58">
        <v>130</v>
      </c>
    </row>
    <row r="59" spans="1:14">
      <c r="B59" s="2" t="s">
        <v>91</v>
      </c>
      <c r="N59">
        <v>131</v>
      </c>
    </row>
    <row r="61" spans="1:14">
      <c r="A61" s="815" t="s">
        <v>92</v>
      </c>
      <c r="B61" s="2" t="s">
        <v>93</v>
      </c>
      <c r="N61">
        <v>135</v>
      </c>
    </row>
  </sheetData>
  <pageMargins left="0.75" right="0.49" top="0.61" bottom="0.46" header="0.31" footer="0.27"/>
  <pageSetup scale="54"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4"/>
  <sheetViews>
    <sheetView workbookViewId="0"/>
  </sheetViews>
  <sheetFormatPr defaultRowHeight="15.75"/>
  <cols>
    <col min="1" max="4" width="11" customWidth="1"/>
    <col min="5" max="5" width="55.875" customWidth="1"/>
    <col min="6" max="6" width="13.125" customWidth="1"/>
    <col min="7" max="256" width="11" customWidth="1"/>
  </cols>
  <sheetData>
    <row r="1" spans="1:9">
      <c r="A1" s="843"/>
      <c r="B1" s="843"/>
      <c r="C1" s="843"/>
      <c r="D1" s="843"/>
      <c r="E1" s="843"/>
      <c r="F1" s="843"/>
      <c r="G1" s="843"/>
      <c r="H1" s="843"/>
      <c r="I1" s="843"/>
    </row>
    <row r="2" spans="1:9">
      <c r="A2" s="843"/>
      <c r="B2" s="843"/>
      <c r="C2" s="843"/>
      <c r="D2" s="843"/>
      <c r="E2" s="843"/>
      <c r="F2" s="843"/>
      <c r="G2" s="843"/>
      <c r="H2" s="843"/>
      <c r="I2" s="843"/>
    </row>
    <row r="3" spans="1:9">
      <c r="A3" s="843"/>
      <c r="B3" s="843"/>
      <c r="C3" s="843"/>
      <c r="D3" s="843"/>
      <c r="E3" s="843"/>
      <c r="F3" s="843"/>
      <c r="G3" s="843"/>
      <c r="H3" s="843"/>
      <c r="I3" s="843"/>
    </row>
    <row r="4" spans="1:9">
      <c r="A4" s="843"/>
      <c r="B4" s="843"/>
      <c r="C4" s="843"/>
      <c r="D4" s="843"/>
      <c r="E4" s="843"/>
      <c r="F4" s="843"/>
      <c r="G4" s="843"/>
      <c r="H4" s="843"/>
      <c r="I4" s="843"/>
    </row>
    <row r="5" spans="1:9">
      <c r="A5" s="843"/>
      <c r="B5" s="843"/>
      <c r="C5" s="843"/>
      <c r="D5" s="843"/>
      <c r="E5" s="843"/>
      <c r="F5" s="843"/>
      <c r="G5" s="843"/>
      <c r="H5" s="843"/>
      <c r="I5" s="843"/>
    </row>
    <row r="6" spans="1:9">
      <c r="A6" s="843"/>
      <c r="B6" s="843"/>
      <c r="C6" s="843"/>
      <c r="D6" s="843"/>
      <c r="E6" s="843"/>
      <c r="F6" s="843"/>
      <c r="G6" s="843"/>
      <c r="H6" s="843"/>
      <c r="I6" s="843"/>
    </row>
    <row r="7" spans="1:9">
      <c r="A7" s="843"/>
      <c r="B7" s="843"/>
      <c r="C7" s="843"/>
      <c r="D7" s="843"/>
      <c r="E7" s="843"/>
      <c r="F7" s="843"/>
      <c r="G7" s="843"/>
      <c r="H7" s="843"/>
      <c r="I7" s="843"/>
    </row>
    <row r="8" spans="1:9">
      <c r="A8" s="843"/>
      <c r="B8" s="843"/>
      <c r="C8" s="843"/>
      <c r="D8" s="843"/>
      <c r="E8" s="843"/>
      <c r="F8" s="843"/>
      <c r="G8" s="843"/>
      <c r="H8" s="843"/>
      <c r="I8" s="843"/>
    </row>
    <row r="9" spans="1:9">
      <c r="A9" s="843"/>
      <c r="B9" s="843"/>
      <c r="C9" s="843"/>
      <c r="D9" s="843"/>
      <c r="E9" s="843"/>
      <c r="F9" s="843"/>
      <c r="G9" s="843"/>
      <c r="H9" s="843"/>
      <c r="I9" s="843"/>
    </row>
    <row r="10" spans="1:9">
      <c r="A10" s="843"/>
      <c r="B10" s="843"/>
      <c r="C10" s="843"/>
      <c r="D10" s="843"/>
      <c r="E10" s="843"/>
      <c r="F10" s="843"/>
      <c r="G10" s="843"/>
      <c r="H10" s="843"/>
      <c r="I10" s="843"/>
    </row>
    <row r="11" spans="1:9">
      <c r="A11" s="843"/>
      <c r="B11" s="843"/>
      <c r="C11" s="843"/>
      <c r="D11" s="843"/>
      <c r="E11" s="843"/>
      <c r="F11" s="843"/>
      <c r="G11" s="843"/>
      <c r="H11" s="843"/>
      <c r="I11" s="843"/>
    </row>
    <row r="12" spans="1:9">
      <c r="A12" s="843"/>
      <c r="B12" s="843"/>
      <c r="C12" s="843"/>
      <c r="D12" s="843"/>
      <c r="E12" s="843"/>
      <c r="F12" s="843"/>
      <c r="G12" s="843"/>
      <c r="H12" s="843"/>
      <c r="I12" s="843"/>
    </row>
    <row r="13" spans="1:9">
      <c r="A13" s="843"/>
      <c r="B13" s="843"/>
      <c r="C13" s="843"/>
      <c r="D13" s="843"/>
      <c r="E13" s="843"/>
      <c r="F13" s="843"/>
      <c r="G13" s="843"/>
      <c r="H13" s="843"/>
      <c r="I13" s="843"/>
    </row>
    <row r="14" spans="1:9">
      <c r="A14" s="843"/>
      <c r="B14" s="843"/>
      <c r="C14" s="843"/>
      <c r="D14" s="843"/>
      <c r="E14" s="843"/>
      <c r="F14" s="843"/>
      <c r="G14" s="843"/>
      <c r="H14" s="843"/>
      <c r="I14" s="843"/>
    </row>
    <row r="15" spans="1:9">
      <c r="A15" s="843"/>
      <c r="B15" s="843"/>
      <c r="C15" s="843"/>
      <c r="D15" s="843"/>
      <c r="E15" s="843"/>
      <c r="F15" s="843"/>
      <c r="G15" s="843"/>
      <c r="H15" s="843"/>
      <c r="I15" s="843"/>
    </row>
    <row r="16" spans="1:9" ht="25.5">
      <c r="A16" s="818" t="s">
        <v>94</v>
      </c>
      <c r="B16" s="812"/>
      <c r="C16" s="812"/>
      <c r="D16" s="812"/>
      <c r="E16" s="812"/>
      <c r="F16" s="812"/>
      <c r="G16" s="812"/>
      <c r="H16" s="812"/>
      <c r="I16" s="812"/>
    </row>
    <row r="17" spans="1:9">
      <c r="A17" s="843"/>
      <c r="B17" s="843"/>
      <c r="C17" s="843"/>
      <c r="D17" s="843"/>
      <c r="E17" s="843"/>
      <c r="F17" s="843"/>
      <c r="G17" s="843"/>
      <c r="H17" s="843"/>
      <c r="I17" s="843"/>
    </row>
    <row r="18" spans="1:9">
      <c r="A18" s="843"/>
      <c r="B18" s="843"/>
      <c r="C18" s="843"/>
      <c r="D18" s="843"/>
      <c r="E18" s="843"/>
      <c r="F18" s="843"/>
      <c r="G18" s="843"/>
      <c r="H18" s="843"/>
      <c r="I18" s="843"/>
    </row>
    <row r="19" spans="1:9" ht="20.25">
      <c r="A19" s="845" t="s">
        <v>95</v>
      </c>
      <c r="B19" s="844"/>
      <c r="C19" s="844"/>
      <c r="D19" s="844"/>
      <c r="E19" s="844"/>
      <c r="F19" s="844"/>
      <c r="G19" s="844"/>
      <c r="H19" s="844"/>
      <c r="I19" s="844"/>
    </row>
    <row r="20" spans="1:9">
      <c r="A20" s="843"/>
      <c r="B20" s="843"/>
      <c r="C20" s="843"/>
      <c r="D20" s="843"/>
      <c r="E20" s="843"/>
      <c r="F20" s="843"/>
      <c r="G20" s="843"/>
      <c r="H20" s="843"/>
      <c r="I20" s="843"/>
    </row>
    <row r="21" spans="1:9">
      <c r="A21" s="843"/>
      <c r="B21" s="843"/>
      <c r="C21" s="843"/>
      <c r="D21" s="843"/>
      <c r="E21" s="843"/>
      <c r="F21" s="843"/>
      <c r="G21" s="843"/>
      <c r="H21" s="843"/>
      <c r="I21" s="843"/>
    </row>
    <row r="22" spans="1:9">
      <c r="A22" s="843"/>
      <c r="B22" s="843"/>
      <c r="C22" s="843"/>
      <c r="D22" s="843"/>
      <c r="E22" s="843"/>
      <c r="F22" s="843"/>
      <c r="G22" s="843"/>
      <c r="H22" s="843"/>
      <c r="I22" s="843"/>
    </row>
    <row r="23" spans="1:9">
      <c r="A23" s="843"/>
      <c r="B23" s="844"/>
      <c r="C23" s="844"/>
      <c r="D23" s="844"/>
      <c r="E23" s="844"/>
      <c r="F23" s="844"/>
      <c r="G23" s="844"/>
      <c r="H23" s="844"/>
      <c r="I23" s="844"/>
    </row>
    <row r="24" spans="1:9">
      <c r="A24" s="843"/>
      <c r="B24" s="843"/>
      <c r="C24" s="843"/>
      <c r="D24" s="843"/>
      <c r="E24" s="843"/>
      <c r="F24" s="843"/>
      <c r="G24" s="843"/>
      <c r="H24" s="843"/>
      <c r="I24" s="843"/>
    </row>
    <row r="25" spans="1:9">
      <c r="A25" s="843"/>
      <c r="B25" s="843"/>
      <c r="C25" s="843"/>
      <c r="D25" s="843"/>
      <c r="E25" s="843"/>
      <c r="F25" s="843"/>
      <c r="G25" s="843"/>
      <c r="H25" s="843"/>
      <c r="I25" s="843"/>
    </row>
    <row r="26" spans="1:9">
      <c r="A26" s="843"/>
      <c r="B26" s="843"/>
      <c r="C26" s="843"/>
      <c r="D26" s="843"/>
      <c r="E26" s="843"/>
      <c r="F26" s="843"/>
      <c r="G26" s="843"/>
      <c r="H26" s="843"/>
      <c r="I26" s="843"/>
    </row>
    <row r="27" spans="1:9">
      <c r="A27" s="843"/>
      <c r="B27" s="843"/>
      <c r="C27" s="843"/>
      <c r="D27" s="843"/>
      <c r="E27" s="843"/>
      <c r="F27" s="843"/>
      <c r="G27" s="843"/>
      <c r="H27" s="843"/>
      <c r="I27" s="843"/>
    </row>
    <row r="28" spans="1:9">
      <c r="A28" s="843"/>
      <c r="B28" s="843"/>
      <c r="C28" s="843"/>
      <c r="D28" s="843"/>
      <c r="E28" s="843"/>
      <c r="F28" s="843"/>
      <c r="G28" s="843"/>
      <c r="H28" s="843"/>
      <c r="I28" s="843"/>
    </row>
    <row r="29" spans="1:9">
      <c r="A29" s="843"/>
      <c r="B29" s="843"/>
      <c r="C29" s="843"/>
      <c r="D29" s="843"/>
      <c r="E29" s="843"/>
      <c r="F29" s="843"/>
      <c r="G29" s="843"/>
      <c r="H29" s="843"/>
      <c r="I29" s="843"/>
    </row>
    <row r="30" spans="1:9">
      <c r="A30" s="843"/>
      <c r="B30" s="843"/>
      <c r="C30" s="843"/>
      <c r="D30" s="843"/>
      <c r="E30" s="843"/>
      <c r="F30" s="843"/>
      <c r="G30" s="843"/>
      <c r="H30" s="843"/>
      <c r="I30" s="843"/>
    </row>
    <row r="31" spans="1:9">
      <c r="A31" s="843"/>
      <c r="B31" s="843"/>
      <c r="C31" s="843"/>
      <c r="D31" s="843"/>
      <c r="E31" s="843"/>
      <c r="F31" s="843"/>
      <c r="G31" s="843"/>
      <c r="H31" s="843"/>
      <c r="I31" s="843"/>
    </row>
    <row r="32" spans="1:9">
      <c r="A32" s="843"/>
      <c r="B32" s="843"/>
      <c r="C32" s="843"/>
      <c r="D32" s="843"/>
      <c r="E32" s="843"/>
      <c r="F32" s="843"/>
      <c r="G32" s="843"/>
      <c r="H32" s="843"/>
      <c r="I32" s="843"/>
    </row>
    <row r="33" spans="1:9">
      <c r="A33" s="843"/>
      <c r="B33" s="843"/>
      <c r="C33" s="843"/>
      <c r="D33" s="843"/>
      <c r="E33" s="843"/>
      <c r="F33" s="843"/>
      <c r="G33" s="843"/>
      <c r="H33" s="843"/>
      <c r="I33" s="843"/>
    </row>
    <row r="34" spans="1:9">
      <c r="A34" s="843"/>
      <c r="B34" s="843"/>
      <c r="C34" s="843"/>
      <c r="D34" s="843"/>
      <c r="E34" s="843"/>
      <c r="F34" s="843"/>
      <c r="G34" s="843"/>
      <c r="H34" s="843"/>
      <c r="I34" s="843"/>
    </row>
  </sheetData>
  <sheetProtection password="C7D6" sheet="1" objects="1" scenarios="1"/>
  <pageMargins left="0.75" right="0.38" top="0.81" bottom="0.85" header="0.5" footer="0.44"/>
  <pageSetup scale="8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workbookViewId="0"/>
  </sheetViews>
  <sheetFormatPr defaultRowHeight="15.75"/>
  <cols>
    <col min="1" max="11" width="11" customWidth="1"/>
    <col min="12" max="12" width="8.25" customWidth="1"/>
    <col min="13" max="256" width="11" customWidth="1"/>
  </cols>
  <sheetData/>
  <pageMargins left="1.42" right="0.62" top="1.08" bottom="0.41" header="0.68" footer="0.2"/>
  <pageSetup scale="60" orientation="landscape" r:id="rId1"/>
  <headerFooter alignWithMargins="0">
    <oddHeader>&amp;C&amp;"CG Times,Bold"              &amp;16SOMMAIRE FINANCIER EN GRAPHES
              ÉVOLUTION DU BILAN</oddHeader>
    <oddFooter>&amp;L &amp;R&amp;P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workbookViewId="0"/>
  </sheetViews>
  <sheetFormatPr defaultRowHeight="15.75"/>
  <cols>
    <col min="1" max="256" width="11" customWidth="1"/>
  </cols>
  <sheetData/>
  <pageMargins left="1.42" right="0.62" top="0.78" bottom="0.36" header="0.47" footer="0.2"/>
  <pageSetup scale="63" orientation="landscape" r:id="rId1"/>
  <headerFooter alignWithMargins="0">
    <oddHeader>&amp;C&amp;"CG Times,Bold"&amp;16              SOMMAIRE FINANCIER EN GRAPHES
              ÉVOLUTION DU BILAN</oddHeader>
    <oddFooter>&amp;R&amp;P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workbookViewId="0"/>
  </sheetViews>
  <sheetFormatPr defaultRowHeight="15.75"/>
  <cols>
    <col min="1" max="256" width="11" customWidth="1"/>
  </cols>
  <sheetData/>
  <pageMargins left="1.58" right="0.62" top="0.98" bottom="0.41" header="0.62" footer="0.2"/>
  <pageSetup scale="61" orientation="landscape" r:id="rId1"/>
  <headerFooter alignWithMargins="0">
    <oddHeader>&amp;C&amp;"CG Times,Bold"              &amp;16SOMMAIRE FINANCIER EN GRAPHES
              ÉVOLUTION DU BILAN</oddHeader>
    <oddFooter>&amp;R&amp;P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workbookViewId="0"/>
  </sheetViews>
  <sheetFormatPr defaultRowHeight="15.75"/>
  <cols>
    <col min="1" max="8" width="11" customWidth="1"/>
    <col min="9" max="9" width="9.25" customWidth="1"/>
    <col min="10" max="256" width="11" customWidth="1"/>
  </cols>
  <sheetData/>
  <pageMargins left="1.69" right="0.62" top="1" bottom="0.41" header="0.66" footer="0.2"/>
  <pageSetup scale="62" orientation="landscape" r:id="rId1"/>
  <headerFooter alignWithMargins="0">
    <oddHeader>&amp;C&amp;"CG Times,Bold"              &amp;16SOMMAIRE FINANCIER EN GRAPHES
              ÉVOLUTION DU BILAN</oddHeader>
    <oddFooter>&amp;R&amp;P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workbookViewId="0"/>
  </sheetViews>
  <sheetFormatPr defaultRowHeight="15.75"/>
  <cols>
    <col min="1" max="256" width="11" customWidth="1"/>
  </cols>
  <sheetData/>
  <pageMargins left="1.69" right="0.62" top="0.88" bottom="0.33" header="0.54" footer="0.17"/>
  <pageSetup scale="63" orientation="landscape" r:id="rId1"/>
  <headerFooter alignWithMargins="0">
    <oddHeader>&amp;C&amp;"CG Times,Bold"             &amp;16SOMMAIRE FINANCIER EN GRAPHES
              ÉVOLUTION DU BILAN</oddHeader>
    <oddFooter>&amp;R&amp;P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workbookViewId="0"/>
  </sheetViews>
  <sheetFormatPr defaultRowHeight="15.75"/>
  <cols>
    <col min="1" max="10" width="11" customWidth="1"/>
    <col min="11" max="11" width="9.125" customWidth="1"/>
    <col min="12" max="256" width="11" customWidth="1"/>
  </cols>
  <sheetData/>
  <pageMargins left="1.57" right="0.62" top="0.73" bottom="0.34" header="0.41" footer="0.2"/>
  <pageSetup scale="61" orientation="landscape" r:id="rId1"/>
  <headerFooter alignWithMargins="0">
    <oddHeader>&amp;C&amp;"CG Times,Bold"             &amp;16SOMMAIRE FINANCIER EN GRAPHES
              ÉVOLUTION DU BILAN</oddHeader>
    <oddFooter>&amp;R&amp;P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workbookViewId="0"/>
  </sheetViews>
  <sheetFormatPr defaultRowHeight="15.75"/>
  <cols>
    <col min="1" max="256" width="11" customWidth="1"/>
  </cols>
  <sheetData/>
  <pageMargins left="1.69" right="0.62" top="0.96" bottom="0.41" header="0.66" footer="0.2"/>
  <pageSetup scale="61" orientation="landscape" r:id="rId1"/>
  <headerFooter alignWithMargins="0">
    <oddHeader>&amp;C&amp;"CG Times,Bold"              &amp;16SOMMAIRE FINANCIER EN GRAPHES
              ÉVOLUTION DU BILAN</oddHeader>
    <oddFooter>&amp;R&amp;P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workbookViewId="0"/>
  </sheetViews>
  <sheetFormatPr defaultRowHeight="15.75"/>
  <cols>
    <col min="1" max="5" width="11" customWidth="1"/>
    <col min="6" max="6" width="8.625" customWidth="1"/>
    <col min="7" max="256" width="11" customWidth="1"/>
  </cols>
  <sheetData/>
  <pageMargins left="1.67" right="0.59" top="1" bottom="0.53" header="0.62" footer="0.36"/>
  <pageSetup scale="60" orientation="landscape" r:id="rId1"/>
  <headerFooter alignWithMargins="0">
    <oddHeader>&amp;C&amp;"CG Times,Bold"              &amp;16SOMMAIRE FINANCIER EN GRAPHES
              ÉVOLUTION DES  RÉSULTATS</oddHeader>
    <oddFooter>&amp;R&amp;P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workbookViewId="0"/>
  </sheetViews>
  <sheetFormatPr defaultRowHeight="15.75"/>
  <cols>
    <col min="1" max="256" width="11" customWidth="1"/>
  </cols>
  <sheetData/>
  <pageMargins left="1.67" right="0.59" top="1" bottom="0.53" header="0.68" footer="0.36"/>
  <pageSetup scale="59" orientation="landscape" r:id="rId1"/>
  <headerFooter alignWithMargins="0">
    <oddHeader>&amp;C&amp;"CG Times,Bold"             &amp;16 SOMMAIRE FINANCIER EN GRAPHES
              ÉVOLUTION DES RÉSULTATS</oddHeader>
    <oddFooter>&amp;R&amp;P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workbookViewId="0"/>
  </sheetViews>
  <sheetFormatPr defaultRowHeight="15.75"/>
  <cols>
    <col min="1" max="256" width="11" customWidth="1"/>
  </cols>
  <sheetData/>
  <pageMargins left="1.67" right="0.59" top="0.98" bottom="0.53" header="0.68" footer="0.36"/>
  <pageSetup scale="60" orientation="landscape" r:id="rId1"/>
  <headerFooter alignWithMargins="0">
    <oddHeader>&amp;C&amp;"CG Times,Bold"             &amp;16 SOMMAIRE FINANCIER EN GRAPHES
              ÉVOLUTION DES  RÉSULTATS</oddHeader>
    <oddFooter>&amp;R&amp;P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workbookViewId="0"/>
  </sheetViews>
  <sheetFormatPr defaultRowHeight="15.75"/>
  <cols>
    <col min="1" max="4" width="11" customWidth="1"/>
    <col min="5" max="5" width="9.625" customWidth="1"/>
    <col min="6" max="256" width="11" customWidth="1"/>
  </cols>
  <sheetData/>
  <pageMargins left="1.67" right="0.59" top="0.98" bottom="0.53" header="0.59" footer="0.36"/>
  <pageSetup scale="58" orientation="landscape" r:id="rId1"/>
  <headerFooter alignWithMargins="0">
    <oddHeader>&amp;C&amp;"CG Times,Bold"             &amp;16 SOMMAIRE FINANCIER EN GRAPHES
              ÉVOLUTION DES  RÉSULTATS</oddHeader>
    <oddFooter>&amp;R&amp;P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workbookViewId="0"/>
  </sheetViews>
  <sheetFormatPr defaultRowHeight="15.75"/>
  <cols>
    <col min="1" max="256" width="11" customWidth="1"/>
  </cols>
  <sheetData/>
  <pageMargins left="1.67" right="0.59" top="1" bottom="0.53" header="0.68" footer="0.25"/>
  <pageSetup scale="59" orientation="landscape" r:id="rId1"/>
  <headerFooter alignWithMargins="0">
    <oddHeader>&amp;C&amp;"CG Times,Bold"              &amp;16SOMMAIRE FINANCIER EN GRAPHES
              ÉVOLUTION DES  RÉSULTATS</oddHeader>
    <oddFooter>&amp;R&amp;P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M27"/>
  <sheetViews>
    <sheetView workbookViewId="0"/>
  </sheetViews>
  <sheetFormatPr defaultRowHeight="15.75"/>
  <cols>
    <col min="1" max="9" width="11" customWidth="1"/>
    <col min="10" max="10" width="8.5" customWidth="1"/>
    <col min="11" max="13" width="11" customWidth="1"/>
    <col min="14" max="14" width="9.5" customWidth="1"/>
    <col min="15" max="256" width="11" customWidth="1"/>
  </cols>
  <sheetData>
    <row r="27" spans="13:13">
      <c r="M27" t="s">
        <v>0</v>
      </c>
    </row>
  </sheetData>
  <pageMargins left="1.67" right="0.59" top="1" bottom="0.46" header="0.68" footer="0.31"/>
  <pageSetup scale="60" orientation="landscape" r:id="rId1"/>
  <headerFooter alignWithMargins="0">
    <oddHeader>&amp;C&amp;"CG Times,Bold"             &amp;16 SOMMAIRE FINANCIER EN GRAPHES
              ÉVOLUTION DES  RÉSULTATS</oddHeader>
    <oddFooter>&amp;R&amp;P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AK49"/>
  <sheetViews>
    <sheetView topLeftCell="A30" workbookViewId="0">
      <pane xSplit="1" ySplit="3" topLeftCell="B35" activePane="bottomRight" state="frozen"/>
      <selection activeCell="A30" sqref="A30"/>
      <selection pane="topRight" activeCell="B30" sqref="B30"/>
      <selection pane="bottomLeft" activeCell="A33" sqref="A33"/>
      <selection pane="bottomRight" activeCell="B40" sqref="B40"/>
    </sheetView>
  </sheetViews>
  <sheetFormatPr defaultRowHeight="15.75"/>
  <cols>
    <col min="1" max="1" width="11.25" customWidth="1"/>
    <col min="2" max="2" width="8.125" customWidth="1"/>
    <col min="3" max="3" width="3.25" hidden="1" customWidth="1"/>
    <col min="4" max="4" width="6.875" customWidth="1"/>
    <col min="5" max="5" width="0.25" customWidth="1"/>
    <col min="6" max="6" width="5.5" customWidth="1"/>
    <col min="7" max="7" width="1.25" customWidth="1"/>
    <col min="8" max="8" width="4.75" customWidth="1"/>
    <col min="9" max="9" width="3.125" customWidth="1"/>
    <col min="10" max="10" width="7.5" customWidth="1"/>
    <col min="11" max="11" width="3.25" customWidth="1"/>
    <col min="12" max="12" width="10.75" customWidth="1"/>
    <col min="13" max="13" width="3" customWidth="1"/>
    <col min="14" max="14" width="9.375" customWidth="1"/>
    <col min="15" max="15" width="3.125" customWidth="1"/>
    <col min="16" max="16" width="9.875" customWidth="1"/>
    <col min="17" max="17" width="3" customWidth="1"/>
    <col min="18" max="18" width="10.875" customWidth="1"/>
    <col min="19" max="19" width="3.125" customWidth="1"/>
    <col min="20" max="20" width="10.625" customWidth="1"/>
    <col min="21" max="21" width="3.25" customWidth="1"/>
    <col min="22" max="22" width="9.5" customWidth="1"/>
    <col min="23" max="23" width="3.125" customWidth="1"/>
    <col min="24" max="24" width="5.5" customWidth="1"/>
    <col min="25" max="25" width="3.125" customWidth="1"/>
    <col min="26" max="26" width="9.25" customWidth="1"/>
    <col min="27" max="27" width="11.125" customWidth="1"/>
    <col min="28" max="256" width="11" customWidth="1"/>
  </cols>
  <sheetData>
    <row r="4" spans="6:6">
      <c r="F4" s="492"/>
    </row>
    <row r="8" spans="6:6">
      <c r="F8" s="492"/>
    </row>
    <row r="28" spans="1:27" ht="20.25">
      <c r="A28" s="481" t="s">
        <v>96</v>
      </c>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row>
    <row r="29" spans="1:27" ht="20.25">
      <c r="A29" s="481"/>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row>
    <row r="30" spans="1:27" ht="20.25">
      <c r="A30" s="481"/>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row>
    <row r="31" spans="1:27" ht="16.5" thickBot="1">
      <c r="A31" s="246" t="s">
        <v>97</v>
      </c>
      <c r="B31" s="34"/>
      <c r="C31" s="34"/>
      <c r="D31" s="34"/>
      <c r="E31" s="34"/>
      <c r="F31" s="34"/>
      <c r="G31" s="34"/>
      <c r="H31" s="34"/>
      <c r="I31" s="34"/>
      <c r="J31" s="34"/>
      <c r="K31" s="34"/>
      <c r="L31" s="34"/>
      <c r="M31" s="34"/>
      <c r="N31" s="34"/>
      <c r="O31" s="34"/>
      <c r="P31" s="34"/>
      <c r="Q31" s="34"/>
    </row>
    <row r="32" spans="1:27" s="2" customFormat="1" ht="16.5" thickBot="1">
      <c r="A32" s="456"/>
      <c r="B32" s="472" t="s">
        <v>98</v>
      </c>
      <c r="C32" s="473"/>
      <c r="D32" s="472" t="s">
        <v>99</v>
      </c>
      <c r="E32" s="473" t="s">
        <v>0</v>
      </c>
      <c r="F32" s="474" t="s">
        <v>100</v>
      </c>
      <c r="G32" s="473"/>
      <c r="H32" s="474" t="s">
        <v>101</v>
      </c>
      <c r="I32" s="473"/>
      <c r="J32" s="474" t="s">
        <v>102</v>
      </c>
      <c r="K32" s="473"/>
      <c r="L32" s="474" t="s">
        <v>103</v>
      </c>
      <c r="M32" s="473"/>
      <c r="N32" s="474" t="s">
        <v>104</v>
      </c>
      <c r="O32" s="473"/>
      <c r="P32" s="474" t="s">
        <v>105</v>
      </c>
      <c r="Q32" s="473"/>
      <c r="R32" s="474" t="s">
        <v>106</v>
      </c>
      <c r="S32" s="473"/>
      <c r="T32" s="474" t="s">
        <v>107</v>
      </c>
      <c r="U32" s="473"/>
      <c r="V32" s="474" t="s">
        <v>108</v>
      </c>
      <c r="W32" s="473"/>
      <c r="X32" s="474" t="s">
        <v>109</v>
      </c>
      <c r="Y32" s="473"/>
      <c r="Z32" s="475" t="s">
        <v>110</v>
      </c>
      <c r="AA32" s="498" t="s">
        <v>111</v>
      </c>
    </row>
    <row r="33" spans="1:37" s="2" customFormat="1" ht="16.5" thickTop="1">
      <c r="A33" s="458"/>
      <c r="B33" s="467"/>
      <c r="C33" s="463"/>
      <c r="D33" s="467"/>
      <c r="E33" s="463"/>
      <c r="F33" s="460"/>
      <c r="G33" s="463"/>
      <c r="H33" s="460"/>
      <c r="I33" s="463"/>
      <c r="J33" s="460"/>
      <c r="K33" s="463"/>
      <c r="L33" s="460"/>
      <c r="M33" s="463"/>
      <c r="N33" s="460"/>
      <c r="O33" s="463"/>
      <c r="P33" s="460"/>
      <c r="Q33" s="463"/>
      <c r="R33" s="460"/>
      <c r="S33" s="463"/>
      <c r="T33" s="460"/>
      <c r="U33" s="463"/>
      <c r="V33" s="460"/>
      <c r="W33" s="463"/>
      <c r="X33" s="460"/>
      <c r="Y33" s="463"/>
      <c r="Z33" s="465"/>
      <c r="AA33" s="499"/>
      <c r="AE33" s="2" t="s">
        <v>111</v>
      </c>
      <c r="AF33" s="2" t="s">
        <v>112</v>
      </c>
      <c r="AG33" s="2" t="s">
        <v>103</v>
      </c>
      <c r="AH33" s="2" t="s">
        <v>113</v>
      </c>
      <c r="AI33" s="2" t="s">
        <v>106</v>
      </c>
      <c r="AJ33" s="2" t="s">
        <v>107</v>
      </c>
      <c r="AK33" s="2" t="s">
        <v>114</v>
      </c>
    </row>
    <row r="34" spans="1:37" ht="34.9" customHeight="1">
      <c r="A34" s="503" t="s">
        <v>115</v>
      </c>
      <c r="B34" s="487">
        <v>0</v>
      </c>
      <c r="C34" s="488"/>
      <c r="D34" s="487">
        <v>0</v>
      </c>
      <c r="E34" s="477"/>
      <c r="F34" s="485">
        <v>0</v>
      </c>
      <c r="G34" s="488"/>
      <c r="H34" s="485">
        <v>0</v>
      </c>
      <c r="I34" s="488"/>
      <c r="J34" s="480">
        <f>(3013080/1000)</f>
        <v>3013.08</v>
      </c>
      <c r="K34" s="495"/>
      <c r="L34" s="485">
        <v>0</v>
      </c>
      <c r="M34" s="488"/>
      <c r="N34" s="485">
        <v>0</v>
      </c>
      <c r="O34" s="488"/>
      <c r="P34" s="480">
        <f>(8999989.05/1000)</f>
        <v>8999.9890500000001</v>
      </c>
      <c r="Q34" s="495"/>
      <c r="R34" s="485">
        <v>0</v>
      </c>
      <c r="S34" s="926" t="s">
        <v>0</v>
      </c>
      <c r="T34" s="480">
        <f>(2000000/1000)</f>
        <v>2000</v>
      </c>
      <c r="U34" s="495"/>
      <c r="V34" s="480">
        <f>(900000/1000)</f>
        <v>900</v>
      </c>
      <c r="W34" s="495"/>
      <c r="X34" s="480" t="s">
        <v>116</v>
      </c>
      <c r="Y34" s="495"/>
      <c r="Z34" s="480" t="s">
        <v>116</v>
      </c>
      <c r="AA34" s="500">
        <f>SUM(B34:Z34)</f>
        <v>14913.06905</v>
      </c>
      <c r="AC34" s="45">
        <f>+AE34/somfindétvan!J43</f>
        <v>7.3323509730431086E-2</v>
      </c>
      <c r="AE34">
        <f>SUM(AF34:AK34)</f>
        <v>14913.1</v>
      </c>
      <c r="AF34">
        <v>3013.1</v>
      </c>
      <c r="AG34">
        <v>0</v>
      </c>
      <c r="AH34">
        <v>9000</v>
      </c>
      <c r="AI34">
        <v>0</v>
      </c>
      <c r="AJ34">
        <v>2000</v>
      </c>
      <c r="AK34">
        <v>900</v>
      </c>
    </row>
    <row r="35" spans="1:37" ht="10.15" customHeight="1">
      <c r="A35" s="504"/>
      <c r="B35" s="489"/>
      <c r="C35" s="490"/>
      <c r="D35" s="489"/>
      <c r="E35" s="464"/>
      <c r="F35" s="213"/>
      <c r="G35" s="490"/>
      <c r="H35" s="213"/>
      <c r="I35" s="490"/>
      <c r="J35" s="213"/>
      <c r="K35" s="490"/>
      <c r="L35" s="213"/>
      <c r="M35" s="490"/>
      <c r="N35" s="213"/>
      <c r="O35" s="490"/>
      <c r="P35" s="496"/>
      <c r="Q35" s="490"/>
      <c r="R35" s="213"/>
      <c r="S35" s="490"/>
      <c r="T35" s="213"/>
      <c r="U35" s="490"/>
      <c r="V35" s="213"/>
      <c r="W35" s="490"/>
      <c r="X35" s="213"/>
      <c r="Y35" s="490"/>
      <c r="Z35" s="491"/>
      <c r="AA35" s="501"/>
    </row>
    <row r="36" spans="1:37" ht="34.9" customHeight="1">
      <c r="A36" s="503" t="s">
        <v>117</v>
      </c>
      <c r="B36" s="487">
        <v>0</v>
      </c>
      <c r="C36" s="488"/>
      <c r="D36" s="487">
        <v>0</v>
      </c>
      <c r="E36" s="477"/>
      <c r="F36" s="485">
        <v>0</v>
      </c>
      <c r="G36" s="488"/>
      <c r="H36" s="485">
        <v>0</v>
      </c>
      <c r="I36" s="488"/>
      <c r="J36" s="480">
        <f>(4039160/1000)</f>
        <v>4039.16</v>
      </c>
      <c r="K36" s="495"/>
      <c r="L36" s="485">
        <f>250</f>
        <v>250</v>
      </c>
      <c r="M36" s="488"/>
      <c r="N36" s="485">
        <v>0</v>
      </c>
      <c r="O36" s="488"/>
      <c r="P36" s="497">
        <f>(13500390/1000)</f>
        <v>13500.39</v>
      </c>
      <c r="Q36" s="495"/>
      <c r="R36" s="486">
        <v>10000</v>
      </c>
      <c r="S36" s="926" t="s">
        <v>118</v>
      </c>
      <c r="T36" s="480">
        <f>(2500000/1000)</f>
        <v>2500</v>
      </c>
      <c r="U36" s="495"/>
      <c r="V36" s="480">
        <f>(1500000/1000)</f>
        <v>1500</v>
      </c>
      <c r="W36" s="495"/>
      <c r="X36" s="480" t="s">
        <v>116</v>
      </c>
      <c r="Y36" s="495"/>
      <c r="Z36" s="480" t="s">
        <v>116</v>
      </c>
      <c r="AA36" s="500">
        <f>SUM(B36:Z36)</f>
        <v>31789.55</v>
      </c>
      <c r="AC36" s="45">
        <f>+AE36/somfindétvan!H43</f>
        <v>0.22792397094988148</v>
      </c>
      <c r="AE36">
        <f>SUM(AF36:AK36)</f>
        <v>21789.599999999999</v>
      </c>
      <c r="AF36">
        <v>4039.2</v>
      </c>
      <c r="AG36">
        <v>250</v>
      </c>
      <c r="AH36">
        <v>13500.4</v>
      </c>
      <c r="AI36">
        <v>0</v>
      </c>
      <c r="AJ36">
        <v>2500</v>
      </c>
      <c r="AK36">
        <v>1500</v>
      </c>
    </row>
    <row r="37" spans="1:37" ht="10.15" customHeight="1">
      <c r="A37" s="504"/>
      <c r="B37" s="489"/>
      <c r="C37" s="490"/>
      <c r="D37" s="489"/>
      <c r="E37" s="464"/>
      <c r="F37" s="213"/>
      <c r="G37" s="490"/>
      <c r="H37" s="213"/>
      <c r="I37" s="490"/>
      <c r="J37" s="213"/>
      <c r="K37" s="490"/>
      <c r="L37" s="213"/>
      <c r="M37" s="490"/>
      <c r="N37" s="213"/>
      <c r="O37" s="490"/>
      <c r="P37" s="496"/>
      <c r="Q37" s="490"/>
      <c r="R37" s="213"/>
      <c r="S37" s="490"/>
      <c r="T37" s="213"/>
      <c r="U37" s="490"/>
      <c r="V37" s="213"/>
      <c r="W37" s="490"/>
      <c r="X37" s="213"/>
      <c r="Y37" s="490"/>
      <c r="Z37" s="491"/>
      <c r="AA37" s="501"/>
    </row>
    <row r="38" spans="1:37" ht="34.9" customHeight="1">
      <c r="A38" s="503" t="s">
        <v>119</v>
      </c>
      <c r="B38" s="487">
        <v>0</v>
      </c>
      <c r="C38" s="488"/>
      <c r="D38" s="487">
        <v>0</v>
      </c>
      <c r="E38" s="477"/>
      <c r="F38" s="485">
        <v>0</v>
      </c>
      <c r="G38" s="488"/>
      <c r="H38" s="485">
        <v>0</v>
      </c>
      <c r="I38" s="488"/>
      <c r="J38" s="480">
        <f>(4921300/1000)</f>
        <v>4921.3</v>
      </c>
      <c r="K38" s="495"/>
      <c r="L38" s="480">
        <f>(12000000/1000)</f>
        <v>12000</v>
      </c>
      <c r="M38" s="926" t="s">
        <v>118</v>
      </c>
      <c r="N38" s="485">
        <v>0</v>
      </c>
      <c r="O38" s="488"/>
      <c r="P38" s="497">
        <f>(15502500/1000)</f>
        <v>15502.5</v>
      </c>
      <c r="Q38" s="495"/>
      <c r="R38" s="493">
        <v>5388.1</v>
      </c>
      <c r="S38" s="926" t="s">
        <v>118</v>
      </c>
      <c r="T38" s="480">
        <f>(4100000/1000)</f>
        <v>4100</v>
      </c>
      <c r="U38" s="495"/>
      <c r="V38" s="480">
        <f>(1800000/1000)</f>
        <v>1800</v>
      </c>
      <c r="W38" s="495"/>
      <c r="X38" s="480" t="s">
        <v>116</v>
      </c>
      <c r="Y38" s="495"/>
      <c r="Z38" s="480" t="s">
        <v>116</v>
      </c>
      <c r="AA38" s="500">
        <f>SUM(B38:Z38)</f>
        <v>43711.9</v>
      </c>
      <c r="AC38" s="45">
        <f>+AE38/somfindétvan!F43</f>
        <v>0.24864803119381834</v>
      </c>
      <c r="AE38">
        <f>SUM(AF38:AK38)</f>
        <v>48323.8</v>
      </c>
      <c r="AF38">
        <v>4921.3</v>
      </c>
      <c r="AG38">
        <v>12000</v>
      </c>
      <c r="AH38">
        <v>15502.5</v>
      </c>
      <c r="AI38">
        <v>10000</v>
      </c>
      <c r="AJ38">
        <v>4100</v>
      </c>
      <c r="AK38">
        <v>1800</v>
      </c>
    </row>
    <row r="39" spans="1:37" ht="34.9" customHeight="1">
      <c r="A39" s="503" t="s">
        <v>120</v>
      </c>
      <c r="B39" s="1032">
        <v>0</v>
      </c>
      <c r="C39" s="496"/>
      <c r="D39" s="496">
        <v>0</v>
      </c>
      <c r="E39" s="553"/>
      <c r="F39" s="496">
        <v>0</v>
      </c>
      <c r="G39" s="1033"/>
      <c r="H39" s="496">
        <v>0</v>
      </c>
      <c r="I39" s="1033"/>
      <c r="J39" s="1038">
        <v>0</v>
      </c>
      <c r="K39" s="1037"/>
      <c r="L39" s="497">
        <v>0</v>
      </c>
      <c r="M39" s="1039"/>
      <c r="N39" s="496">
        <v>5998.1</v>
      </c>
      <c r="O39" s="1033" t="s">
        <v>118</v>
      </c>
      <c r="P39" s="497">
        <v>23168.75</v>
      </c>
      <c r="Q39" s="1034"/>
      <c r="R39" s="493">
        <v>12704</v>
      </c>
      <c r="S39" s="926"/>
      <c r="T39" s="497">
        <v>0</v>
      </c>
      <c r="U39" s="1037"/>
      <c r="V39" s="497">
        <v>1800</v>
      </c>
      <c r="W39" s="1037"/>
      <c r="X39" s="480" t="s">
        <v>116</v>
      </c>
      <c r="Y39" s="495"/>
      <c r="Z39" s="480" t="s">
        <v>116</v>
      </c>
      <c r="AA39" s="500">
        <f>SUM(B39:Z39)</f>
        <v>43670.85</v>
      </c>
      <c r="AC39" s="45"/>
    </row>
    <row r="40" spans="1:37" ht="34.9" customHeight="1" thickBot="1">
      <c r="A40" s="505" t="s">
        <v>121</v>
      </c>
      <c r="B40" s="927">
        <v>0</v>
      </c>
      <c r="C40" s="212"/>
      <c r="D40" s="212">
        <v>0</v>
      </c>
      <c r="E40" s="19"/>
      <c r="F40" s="937">
        <v>0</v>
      </c>
      <c r="G40" s="928"/>
      <c r="H40" s="212">
        <v>0</v>
      </c>
      <c r="I40" s="928"/>
      <c r="J40" s="502">
        <v>0</v>
      </c>
      <c r="K40" s="929"/>
      <c r="L40" s="935">
        <v>0</v>
      </c>
      <c r="M40" s="1035"/>
      <c r="N40" s="1036">
        <v>7140</v>
      </c>
      <c r="O40" s="535" t="s">
        <v>118</v>
      </c>
      <c r="P40" s="1156">
        <v>25200</v>
      </c>
      <c r="Q40" s="1157"/>
      <c r="R40" s="1029">
        <v>15982.5</v>
      </c>
      <c r="S40" s="1030" t="s">
        <v>0</v>
      </c>
      <c r="T40" s="502">
        <v>7000</v>
      </c>
      <c r="U40" s="929"/>
      <c r="V40" s="936">
        <v>2400</v>
      </c>
      <c r="W40" s="930" t="s">
        <v>0</v>
      </c>
      <c r="X40" s="1029" t="s">
        <v>116</v>
      </c>
      <c r="Y40" s="535"/>
      <c r="Z40" s="1029" t="s">
        <v>116</v>
      </c>
      <c r="AA40" s="1031">
        <f>SUM(B40:Z40)</f>
        <v>57722.5</v>
      </c>
      <c r="AC40" s="45"/>
    </row>
    <row r="42" spans="1:37">
      <c r="A42" t="s">
        <v>122</v>
      </c>
    </row>
    <row r="43" spans="1:37">
      <c r="A43" s="964" t="s">
        <v>123</v>
      </c>
    </row>
    <row r="44" spans="1:37">
      <c r="A44" s="964"/>
    </row>
    <row r="45" spans="1:37">
      <c r="A45" t="s">
        <v>124</v>
      </c>
      <c r="L45" s="494" t="s">
        <v>0</v>
      </c>
    </row>
    <row r="46" spans="1:37">
      <c r="A46" t="s">
        <v>0</v>
      </c>
    </row>
    <row r="49" spans="1:1">
      <c r="A49" s="964"/>
    </row>
  </sheetData>
  <printOptions horizontalCentered="1"/>
  <pageMargins left="0.36" right="0.37" top="2.06" bottom="0.53" header="0.7" footer="0.36"/>
  <pageSetup scale="76" orientation="landscape" r:id="rId1"/>
  <headerFooter alignWithMargins="0">
    <oddFooter>&amp;R&amp;P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0:AE53"/>
  <sheetViews>
    <sheetView topLeftCell="A31" workbookViewId="0">
      <pane xSplit="2" ySplit="2" topLeftCell="C42" activePane="bottomRight" state="frozen"/>
      <selection activeCell="A31" sqref="A31"/>
      <selection pane="topRight" activeCell="C31" sqref="C31"/>
      <selection pane="bottomLeft" activeCell="A33" sqref="A33"/>
      <selection pane="bottomRight" activeCell="C52" sqref="C52"/>
    </sheetView>
  </sheetViews>
  <sheetFormatPr defaultRowHeight="15.75"/>
  <cols>
    <col min="1" max="1" width="13.75" customWidth="1"/>
    <col min="2" max="2" width="3.125" customWidth="1"/>
    <col min="3" max="3" width="11" customWidth="1"/>
    <col min="4" max="4" width="3.125" customWidth="1"/>
    <col min="5" max="5" width="11" customWidth="1"/>
    <col min="6" max="7" width="3.125" customWidth="1"/>
    <col min="8" max="9" width="11" customWidth="1"/>
    <col min="10" max="10" width="3.125" customWidth="1"/>
    <col min="11" max="11" width="11" customWidth="1"/>
    <col min="12" max="12" width="3.125" customWidth="1"/>
    <col min="13" max="13" width="11" customWidth="1"/>
    <col min="14" max="14" width="3.25" customWidth="1"/>
    <col min="15" max="15" width="12.5" customWidth="1"/>
    <col min="16" max="16" width="3.125" customWidth="1"/>
    <col min="17" max="17" width="10.625" customWidth="1"/>
    <col min="18" max="18" width="3.125" customWidth="1"/>
    <col min="19" max="19" width="9.875" customWidth="1"/>
    <col min="20" max="20" width="3" customWidth="1"/>
    <col min="21" max="21" width="11" customWidth="1"/>
    <col min="22" max="22" width="3.125" customWidth="1"/>
    <col min="23" max="23" width="12.75" customWidth="1"/>
    <col min="24" max="24" width="3.25" customWidth="1"/>
    <col min="25" max="26" width="9.5" customWidth="1"/>
    <col min="27" max="27" width="3.125" customWidth="1"/>
    <col min="28" max="28" width="10.375" customWidth="1"/>
    <col min="29" max="29" width="3.125" customWidth="1"/>
    <col min="30" max="30" width="11.25" customWidth="1"/>
    <col min="31" max="31" width="9.875" customWidth="1"/>
    <col min="32" max="256" width="11" customWidth="1"/>
  </cols>
  <sheetData>
    <row r="30" spans="1:31" ht="20.25">
      <c r="A30" s="481" t="s">
        <v>125</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row>
    <row r="31" spans="1:31" ht="16.5" thickBot="1">
      <c r="A31" s="114"/>
      <c r="B31" s="34"/>
      <c r="C31" s="34"/>
      <c r="D31" s="34"/>
      <c r="E31" s="34"/>
      <c r="F31" s="34"/>
      <c r="G31" s="34"/>
      <c r="H31" s="34"/>
      <c r="I31" s="34"/>
      <c r="J31" s="34"/>
      <c r="K31" s="34"/>
      <c r="L31" s="34"/>
      <c r="M31" s="34"/>
      <c r="N31" s="34"/>
      <c r="O31" s="34"/>
      <c r="P31" s="34"/>
      <c r="Q31" s="34"/>
      <c r="R31" s="34"/>
      <c r="S31" s="34"/>
      <c r="T31" s="34"/>
    </row>
    <row r="32" spans="1:31" s="2" customFormat="1" ht="16.5" thickBot="1">
      <c r="A32" s="456"/>
      <c r="B32" s="457"/>
      <c r="C32" s="472" t="s">
        <v>98</v>
      </c>
      <c r="D32" s="473"/>
      <c r="E32" s="474" t="s">
        <v>99</v>
      </c>
      <c r="F32" s="473" t="s">
        <v>0</v>
      </c>
      <c r="G32" s="474" t="s">
        <v>126</v>
      </c>
      <c r="H32" s="550"/>
      <c r="I32" s="474" t="s">
        <v>100</v>
      </c>
      <c r="J32" s="473"/>
      <c r="K32" s="474" t="s">
        <v>101</v>
      </c>
      <c r="L32" s="473"/>
      <c r="M32" s="474" t="s">
        <v>102</v>
      </c>
      <c r="N32" s="473"/>
      <c r="O32" s="474" t="s">
        <v>103</v>
      </c>
      <c r="P32" s="473"/>
      <c r="Q32" s="474" t="s">
        <v>104</v>
      </c>
      <c r="R32" s="473"/>
      <c r="S32" s="474" t="s">
        <v>105</v>
      </c>
      <c r="T32" s="473"/>
      <c r="U32" s="474" t="s">
        <v>106</v>
      </c>
      <c r="V32" s="473"/>
      <c r="W32" s="474" t="s">
        <v>107</v>
      </c>
      <c r="X32" s="473"/>
      <c r="Y32" s="474" t="s">
        <v>108</v>
      </c>
      <c r="Z32" s="1188" t="s">
        <v>127</v>
      </c>
      <c r="AA32" s="473"/>
      <c r="AB32" s="474" t="s">
        <v>109</v>
      </c>
      <c r="AC32" s="473"/>
      <c r="AD32" s="475" t="s">
        <v>110</v>
      </c>
      <c r="AE32" s="476" t="s">
        <v>111</v>
      </c>
    </row>
    <row r="33" spans="1:31" s="2" customFormat="1" ht="16.5" thickTop="1">
      <c r="A33" s="458"/>
      <c r="B33" s="459"/>
      <c r="C33" s="467"/>
      <c r="D33" s="463"/>
      <c r="E33" s="460"/>
      <c r="F33" s="463"/>
      <c r="G33" s="460"/>
      <c r="H33" s="552"/>
      <c r="I33" s="460"/>
      <c r="J33" s="463"/>
      <c r="K33" s="460"/>
      <c r="L33" s="463"/>
      <c r="M33" s="460"/>
      <c r="N33" s="463"/>
      <c r="O33" s="460"/>
      <c r="P33" s="463"/>
      <c r="Q33" s="460"/>
      <c r="R33" s="463"/>
      <c r="S33" s="460"/>
      <c r="T33" s="463"/>
      <c r="U33" s="460"/>
      <c r="V33" s="463"/>
      <c r="W33" s="460"/>
      <c r="X33" s="463"/>
      <c r="Y33" s="460"/>
      <c r="Z33" s="1189"/>
      <c r="AA33" s="463"/>
      <c r="AB33" s="460"/>
      <c r="AC33" s="463"/>
      <c r="AD33" s="465"/>
      <c r="AE33" s="461"/>
    </row>
    <row r="34" spans="1:31" ht="25.15" customHeight="1">
      <c r="A34" s="469" t="s">
        <v>115</v>
      </c>
      <c r="B34" s="470"/>
      <c r="C34" s="858">
        <v>10</v>
      </c>
      <c r="D34" s="859"/>
      <c r="E34" s="860">
        <v>71</v>
      </c>
      <c r="F34" s="859"/>
      <c r="G34" s="861"/>
      <c r="H34" s="862">
        <v>0</v>
      </c>
      <c r="I34" s="861">
        <v>513</v>
      </c>
      <c r="J34" s="859"/>
      <c r="K34" s="860">
        <v>63</v>
      </c>
      <c r="L34" s="859"/>
      <c r="M34" s="860">
        <v>182</v>
      </c>
      <c r="N34" s="859"/>
      <c r="O34" s="860">
        <v>67</v>
      </c>
      <c r="P34" s="859"/>
      <c r="Q34" s="863">
        <v>0</v>
      </c>
      <c r="R34" s="859"/>
      <c r="S34" s="860">
        <v>278</v>
      </c>
      <c r="T34" s="859"/>
      <c r="U34" s="860">
        <v>64</v>
      </c>
      <c r="V34" s="859"/>
      <c r="W34" s="860">
        <v>37</v>
      </c>
      <c r="X34" s="859"/>
      <c r="Y34" s="860">
        <v>30</v>
      </c>
      <c r="Z34" s="1192">
        <v>0</v>
      </c>
      <c r="AA34" s="859"/>
      <c r="AB34" s="860">
        <v>30</v>
      </c>
      <c r="AC34" s="859"/>
      <c r="AD34" s="864">
        <v>79</v>
      </c>
      <c r="AE34" s="865">
        <f>SUM(C34:AD34)</f>
        <v>1424</v>
      </c>
    </row>
    <row r="35" spans="1:31" ht="10.15" customHeight="1">
      <c r="A35" s="462"/>
      <c r="B35" s="20"/>
      <c r="C35" s="468"/>
      <c r="D35" s="464"/>
      <c r="E35" s="20"/>
      <c r="F35" s="464"/>
      <c r="G35" s="20"/>
      <c r="H35" s="553"/>
      <c r="I35" s="20"/>
      <c r="J35" s="464"/>
      <c r="K35" s="20"/>
      <c r="L35" s="464"/>
      <c r="M35" s="20"/>
      <c r="N35" s="464"/>
      <c r="O35" s="20"/>
      <c r="P35" s="464"/>
      <c r="Q35" s="20"/>
      <c r="R35" s="464"/>
      <c r="S35" s="20"/>
      <c r="T35" s="464"/>
      <c r="U35" s="20"/>
      <c r="V35" s="464"/>
      <c r="W35" s="20"/>
      <c r="X35" s="464"/>
      <c r="Y35" s="20"/>
      <c r="Z35" s="1193"/>
      <c r="AA35" s="464"/>
      <c r="AB35" s="20"/>
      <c r="AC35" s="464"/>
      <c r="AD35" s="466"/>
      <c r="AE35" s="461"/>
    </row>
    <row r="36" spans="1:31" ht="25.15" customHeight="1">
      <c r="A36" s="469" t="s">
        <v>117</v>
      </c>
      <c r="B36" s="470"/>
      <c r="C36" s="858">
        <v>10</v>
      </c>
      <c r="D36" s="859"/>
      <c r="E36" s="860">
        <v>71</v>
      </c>
      <c r="F36" s="859"/>
      <c r="G36" s="861"/>
      <c r="H36" s="490">
        <v>0</v>
      </c>
      <c r="I36" s="861">
        <v>492</v>
      </c>
      <c r="J36" s="859"/>
      <c r="K36" s="860">
        <v>79</v>
      </c>
      <c r="L36" s="859"/>
      <c r="M36" s="860">
        <v>222</v>
      </c>
      <c r="N36" s="859"/>
      <c r="O36" s="860">
        <v>118</v>
      </c>
      <c r="P36" s="859"/>
      <c r="Q36" s="860">
        <v>55</v>
      </c>
      <c r="R36" s="859"/>
      <c r="S36" s="860">
        <v>280</v>
      </c>
      <c r="T36" s="859"/>
      <c r="U36" s="860">
        <v>147</v>
      </c>
      <c r="V36" s="859"/>
      <c r="W36" s="860">
        <v>40</v>
      </c>
      <c r="X36" s="859"/>
      <c r="Y36" s="860">
        <v>35</v>
      </c>
      <c r="Z36" s="1192">
        <v>0</v>
      </c>
      <c r="AA36" s="859"/>
      <c r="AB36" s="860">
        <v>35</v>
      </c>
      <c r="AC36" s="859"/>
      <c r="AD36" s="864">
        <v>79</v>
      </c>
      <c r="AE36" s="865">
        <f>SUM(C36:AD36)</f>
        <v>1663</v>
      </c>
    </row>
    <row r="37" spans="1:31" ht="10.15" customHeight="1">
      <c r="A37" s="462"/>
      <c r="B37" s="20"/>
      <c r="C37" s="468"/>
      <c r="D37" s="464"/>
      <c r="E37" s="20"/>
      <c r="F37" s="464"/>
      <c r="G37" s="20"/>
      <c r="H37" s="553"/>
      <c r="I37" s="20"/>
      <c r="J37" s="464"/>
      <c r="K37" s="20"/>
      <c r="L37" s="464"/>
      <c r="M37" s="20"/>
      <c r="N37" s="464"/>
      <c r="O37" s="20"/>
      <c r="P37" s="464"/>
      <c r="Q37" s="20"/>
      <c r="R37" s="464"/>
      <c r="S37" s="20"/>
      <c r="T37" s="464"/>
      <c r="U37" s="20"/>
      <c r="V37" s="464"/>
      <c r="W37" s="20"/>
      <c r="X37" s="464"/>
      <c r="Y37" s="20"/>
      <c r="Z37" s="1193"/>
      <c r="AA37" s="464"/>
      <c r="AB37" s="20"/>
      <c r="AC37" s="464"/>
      <c r="AD37" s="466"/>
      <c r="AE37" s="461"/>
    </row>
    <row r="38" spans="1:31" ht="25.15" customHeight="1">
      <c r="A38" s="469" t="s">
        <v>119</v>
      </c>
      <c r="B38" s="470"/>
      <c r="C38" s="858">
        <v>9</v>
      </c>
      <c r="D38" s="859"/>
      <c r="E38" s="860">
        <v>70</v>
      </c>
      <c r="F38" s="866"/>
      <c r="G38" s="860"/>
      <c r="H38" s="512">
        <v>69</v>
      </c>
      <c r="I38" s="861">
        <v>501</v>
      </c>
      <c r="J38" s="859"/>
      <c r="K38" s="860">
        <v>89</v>
      </c>
      <c r="L38" s="859"/>
      <c r="M38" s="860">
        <v>310</v>
      </c>
      <c r="N38" s="859"/>
      <c r="O38" s="860">
        <v>140</v>
      </c>
      <c r="P38" s="859"/>
      <c r="Q38" s="860">
        <v>86</v>
      </c>
      <c r="R38" s="859"/>
      <c r="S38" s="860">
        <v>324</v>
      </c>
      <c r="T38" s="859"/>
      <c r="U38" s="860">
        <v>224</v>
      </c>
      <c r="V38" s="859"/>
      <c r="W38" s="860">
        <v>51</v>
      </c>
      <c r="X38" s="859"/>
      <c r="Y38" s="860">
        <v>36</v>
      </c>
      <c r="Z38" s="1192">
        <v>0</v>
      </c>
      <c r="AA38" s="859"/>
      <c r="AB38" s="860">
        <v>43</v>
      </c>
      <c r="AC38" s="859"/>
      <c r="AD38" s="864">
        <v>80</v>
      </c>
      <c r="AE38" s="865">
        <f>SUM(C38:AD38)</f>
        <v>2032</v>
      </c>
    </row>
    <row r="39" spans="1:31" ht="10.15" customHeight="1">
      <c r="A39" s="462"/>
      <c r="B39" s="20"/>
      <c r="C39" s="867"/>
      <c r="D39" s="553"/>
      <c r="E39" s="821"/>
      <c r="F39" s="553"/>
      <c r="G39" s="821"/>
      <c r="H39" s="553"/>
      <c r="I39" s="821"/>
      <c r="J39" s="553"/>
      <c r="K39" s="821"/>
      <c r="L39" s="553"/>
      <c r="M39" s="821"/>
      <c r="N39" s="553"/>
      <c r="O39" s="821"/>
      <c r="P39" s="553"/>
      <c r="Q39" s="821"/>
      <c r="R39" s="553"/>
      <c r="S39" s="821"/>
      <c r="T39" s="553"/>
      <c r="U39" s="821"/>
      <c r="V39" s="553"/>
      <c r="W39" s="821"/>
      <c r="X39" s="553"/>
      <c r="Y39" s="821"/>
      <c r="Z39" s="1032"/>
      <c r="AA39" s="553"/>
      <c r="AB39" s="821"/>
      <c r="AC39" s="553"/>
      <c r="AD39" s="868"/>
      <c r="AE39" s="575"/>
    </row>
    <row r="40" spans="1:31" ht="25.15" customHeight="1">
      <c r="A40" s="471" t="s">
        <v>120</v>
      </c>
      <c r="B40" s="470"/>
      <c r="C40" s="516">
        <v>9</v>
      </c>
      <c r="D40" s="512"/>
      <c r="E40" s="470">
        <v>155</v>
      </c>
      <c r="F40" s="512"/>
      <c r="G40" s="551"/>
      <c r="H40" s="490">
        <v>0</v>
      </c>
      <c r="I40" s="551">
        <v>474</v>
      </c>
      <c r="J40" s="512"/>
      <c r="K40" s="470">
        <v>99</v>
      </c>
      <c r="L40" s="512"/>
      <c r="M40" s="470">
        <v>299</v>
      </c>
      <c r="N40" s="512"/>
      <c r="O40" s="470">
        <v>172</v>
      </c>
      <c r="P40" s="512"/>
      <c r="Q40" s="470">
        <v>107</v>
      </c>
      <c r="R40" s="512"/>
      <c r="S40" s="470">
        <v>392</v>
      </c>
      <c r="T40" s="512"/>
      <c r="U40" s="470">
        <v>283</v>
      </c>
      <c r="V40" s="512"/>
      <c r="W40" s="470">
        <v>84</v>
      </c>
      <c r="X40" s="512"/>
      <c r="Y40" s="470">
        <v>43</v>
      </c>
      <c r="Z40" s="1194">
        <v>0</v>
      </c>
      <c r="AA40" s="512"/>
      <c r="AB40" s="470">
        <v>43</v>
      </c>
      <c r="AC40" s="512"/>
      <c r="AD40" s="513">
        <v>74</v>
      </c>
      <c r="AE40" s="514">
        <f>SUM(C40:AD40)</f>
        <v>2234</v>
      </c>
    </row>
    <row r="41" spans="1:31" ht="10.15" customHeight="1">
      <c r="A41" s="462"/>
      <c r="B41" s="20"/>
      <c r="C41" s="867"/>
      <c r="D41" s="553"/>
      <c r="E41" s="821"/>
      <c r="F41" s="553"/>
      <c r="G41" s="821"/>
      <c r="H41" s="553"/>
      <c r="I41" s="821"/>
      <c r="J41" s="553"/>
      <c r="K41" s="821"/>
      <c r="L41" s="553"/>
      <c r="M41" s="821"/>
      <c r="N41" s="553"/>
      <c r="O41" s="821"/>
      <c r="P41" s="553"/>
      <c r="Q41" s="821"/>
      <c r="R41" s="553"/>
      <c r="S41" s="821"/>
      <c r="T41" s="553"/>
      <c r="U41" s="821"/>
      <c r="V41" s="553"/>
      <c r="W41" s="821"/>
      <c r="X41" s="553"/>
      <c r="Y41" s="821"/>
      <c r="Z41" s="1032"/>
      <c r="AA41" s="553"/>
      <c r="AB41" s="821"/>
      <c r="AC41" s="553"/>
      <c r="AD41" s="868"/>
      <c r="AE41" s="575"/>
    </row>
    <row r="42" spans="1:31" ht="24.75" customHeight="1">
      <c r="A42" s="850" t="s">
        <v>121</v>
      </c>
      <c r="B42" s="470"/>
      <c r="C42" s="516">
        <v>10</v>
      </c>
      <c r="D42" s="512"/>
      <c r="E42" s="470">
        <v>163</v>
      </c>
      <c r="F42" s="512"/>
      <c r="G42" s="861"/>
      <c r="H42" s="884">
        <v>17</v>
      </c>
      <c r="I42" s="20">
        <v>543</v>
      </c>
      <c r="J42" s="851" t="s">
        <v>0</v>
      </c>
      <c r="K42" s="470">
        <v>102</v>
      </c>
      <c r="L42" s="512"/>
      <c r="M42" s="470">
        <v>335</v>
      </c>
      <c r="N42" s="512"/>
      <c r="O42" s="470">
        <v>165</v>
      </c>
      <c r="P42" s="512"/>
      <c r="Q42" s="470">
        <v>144</v>
      </c>
      <c r="R42" s="512"/>
      <c r="S42" s="470">
        <v>515</v>
      </c>
      <c r="T42" s="512"/>
      <c r="U42" s="470">
        <v>326</v>
      </c>
      <c r="V42" s="512"/>
      <c r="W42" s="470">
        <v>94</v>
      </c>
      <c r="X42" s="512"/>
      <c r="Y42" s="470">
        <v>44</v>
      </c>
      <c r="Z42" s="1194">
        <v>0</v>
      </c>
      <c r="AA42" s="512"/>
      <c r="AB42" s="470">
        <v>53</v>
      </c>
      <c r="AC42" s="512"/>
      <c r="AD42" s="869">
        <v>80</v>
      </c>
      <c r="AE42" s="514">
        <f>SUM(C42:AD42)</f>
        <v>2591</v>
      </c>
    </row>
    <row r="43" spans="1:31" ht="9" customHeight="1">
      <c r="A43" s="462"/>
      <c r="B43" s="20"/>
      <c r="C43" s="468"/>
      <c r="D43" s="464"/>
      <c r="E43" s="20"/>
      <c r="F43" s="464"/>
      <c r="G43" s="889"/>
      <c r="H43" s="870"/>
      <c r="I43" s="20"/>
      <c r="J43" s="464"/>
      <c r="K43" s="20"/>
      <c r="L43" s="464"/>
      <c r="M43" s="20"/>
      <c r="N43" s="464"/>
      <c r="O43" s="20"/>
      <c r="P43" s="464"/>
      <c r="Q43" s="20"/>
      <c r="R43" s="464"/>
      <c r="S43" s="20"/>
      <c r="T43" s="464"/>
      <c r="U43" s="20"/>
      <c r="V43" s="464"/>
      <c r="W43" s="20"/>
      <c r="X43" s="464"/>
      <c r="Y43" s="20"/>
      <c r="Z43" s="1193"/>
      <c r="AA43" s="464"/>
      <c r="AB43" s="20"/>
      <c r="AC43" s="464"/>
      <c r="AD43" s="466"/>
      <c r="AE43" s="575"/>
    </row>
    <row r="44" spans="1:31" ht="25.15" customHeight="1">
      <c r="A44" s="471" t="s">
        <v>128</v>
      </c>
      <c r="B44" s="470"/>
      <c r="C44" s="858">
        <v>10</v>
      </c>
      <c r="D44" s="859"/>
      <c r="E44" s="860">
        <v>164</v>
      </c>
      <c r="F44" s="859"/>
      <c r="G44" s="861"/>
      <c r="H44" s="884">
        <v>17</v>
      </c>
      <c r="I44" s="885">
        <v>452</v>
      </c>
      <c r="J44" s="859" t="s">
        <v>0</v>
      </c>
      <c r="K44" s="860">
        <v>111</v>
      </c>
      <c r="L44" s="859"/>
      <c r="M44" s="860">
        <v>364</v>
      </c>
      <c r="N44" s="859"/>
      <c r="O44" s="886">
        <v>163</v>
      </c>
      <c r="P44" s="866"/>
      <c r="Q44" s="860">
        <v>150</v>
      </c>
      <c r="R44" s="859"/>
      <c r="S44" s="860">
        <v>514</v>
      </c>
      <c r="T44" s="859"/>
      <c r="U44" s="886">
        <v>368</v>
      </c>
      <c r="V44" s="866"/>
      <c r="W44" s="860">
        <v>97</v>
      </c>
      <c r="X44" s="859"/>
      <c r="Y44" s="860">
        <v>46</v>
      </c>
      <c r="Z44" s="1192">
        <v>0</v>
      </c>
      <c r="AA44" s="859"/>
      <c r="AB44" s="860">
        <v>54</v>
      </c>
      <c r="AC44" s="859"/>
      <c r="AD44" s="864">
        <v>81</v>
      </c>
      <c r="AE44" s="514">
        <f>SUM(C44:AD44)</f>
        <v>2591</v>
      </c>
    </row>
    <row r="45" spans="1:31" ht="9" customHeight="1">
      <c r="A45" s="894"/>
      <c r="B45" s="470"/>
      <c r="C45" s="888"/>
      <c r="D45" s="515"/>
      <c r="E45" s="888"/>
      <c r="F45" s="515"/>
      <c r="G45" s="889"/>
      <c r="H45" s="870"/>
      <c r="I45" s="890"/>
      <c r="J45" s="515"/>
      <c r="K45" s="888"/>
      <c r="L45" s="878"/>
      <c r="M45" s="888"/>
      <c r="N45" s="515"/>
      <c r="O45" s="891"/>
      <c r="P45" s="527"/>
      <c r="Q45" s="888"/>
      <c r="R45" s="515"/>
      <c r="S45" s="888"/>
      <c r="T45" s="515"/>
      <c r="U45" s="891"/>
      <c r="V45" s="527"/>
      <c r="W45" s="888"/>
      <c r="X45" s="515"/>
      <c r="Y45" s="888"/>
      <c r="Z45" s="1195"/>
      <c r="AA45" s="515"/>
      <c r="AB45" s="888"/>
      <c r="AC45" s="515"/>
      <c r="AD45" s="887"/>
      <c r="AE45" s="880"/>
    </row>
    <row r="46" spans="1:31" ht="24.75" customHeight="1">
      <c r="A46" s="471" t="s">
        <v>129</v>
      </c>
      <c r="B46" s="512"/>
      <c r="C46" s="470">
        <v>10</v>
      </c>
      <c r="D46" s="512"/>
      <c r="E46" s="470">
        <v>158</v>
      </c>
      <c r="F46" s="512"/>
      <c r="G46" s="551"/>
      <c r="H46" s="884">
        <v>17</v>
      </c>
      <c r="I46" s="913">
        <v>454</v>
      </c>
      <c r="J46" s="512"/>
      <c r="K46" s="551">
        <v>105</v>
      </c>
      <c r="L46" s="512"/>
      <c r="M46" s="470">
        <v>371</v>
      </c>
      <c r="N46" s="512"/>
      <c r="O46" s="1048">
        <v>161</v>
      </c>
      <c r="P46" s="1049"/>
      <c r="Q46" s="551">
        <v>152</v>
      </c>
      <c r="R46" s="512"/>
      <c r="S46" s="470">
        <v>543</v>
      </c>
      <c r="T46" s="512"/>
      <c r="U46" s="1048">
        <v>392</v>
      </c>
      <c r="V46" s="1049"/>
      <c r="W46" s="470">
        <v>120</v>
      </c>
      <c r="X46" s="512"/>
      <c r="Y46" s="470">
        <v>49</v>
      </c>
      <c r="Z46" s="1194">
        <v>0</v>
      </c>
      <c r="AA46" s="512"/>
      <c r="AB46" s="470">
        <v>56</v>
      </c>
      <c r="AC46" s="512"/>
      <c r="AD46" s="513">
        <v>82</v>
      </c>
      <c r="AE46" s="514">
        <f>SUM(C46:AD46)</f>
        <v>2670</v>
      </c>
    </row>
    <row r="47" spans="1:31" ht="9" customHeight="1">
      <c r="A47" s="471"/>
      <c r="B47" s="470"/>
      <c r="C47" s="888"/>
      <c r="D47" s="515"/>
      <c r="E47" s="878"/>
      <c r="F47" s="515"/>
      <c r="G47" s="537"/>
      <c r="H47" s="870"/>
      <c r="I47" s="895"/>
      <c r="J47" s="515"/>
      <c r="K47" s="537"/>
      <c r="L47" s="515"/>
      <c r="M47" s="878"/>
      <c r="N47" s="515"/>
      <c r="O47" s="996"/>
      <c r="P47" s="527"/>
      <c r="Q47" s="537"/>
      <c r="R47" s="515"/>
      <c r="S47" s="878"/>
      <c r="T47" s="515"/>
      <c r="U47" s="996"/>
      <c r="V47" s="527"/>
      <c r="W47" s="878"/>
      <c r="X47" s="515"/>
      <c r="Y47" s="878"/>
      <c r="Z47" s="1195"/>
      <c r="AA47" s="515"/>
      <c r="AB47" s="878"/>
      <c r="AC47" s="515"/>
      <c r="AD47" s="997"/>
      <c r="AE47" s="998"/>
    </row>
    <row r="48" spans="1:31" ht="24.75" customHeight="1">
      <c r="A48" s="1076" t="s">
        <v>130</v>
      </c>
      <c r="B48" s="551"/>
      <c r="C48" s="888">
        <v>10</v>
      </c>
      <c r="D48" s="527"/>
      <c r="E48" s="497">
        <v>0</v>
      </c>
      <c r="F48" s="515"/>
      <c r="G48" s="537"/>
      <c r="H48" s="870">
        <v>0</v>
      </c>
      <c r="I48" s="895">
        <v>452</v>
      </c>
      <c r="J48" s="515"/>
      <c r="K48" s="537">
        <v>106</v>
      </c>
      <c r="L48" s="515"/>
      <c r="M48" s="1053">
        <v>376</v>
      </c>
      <c r="N48" s="527"/>
      <c r="O48" s="996">
        <v>160</v>
      </c>
      <c r="P48" s="527"/>
      <c r="Q48" s="537">
        <v>164</v>
      </c>
      <c r="R48" s="515" t="s">
        <v>0</v>
      </c>
      <c r="S48" s="878">
        <v>694</v>
      </c>
      <c r="T48" s="515"/>
      <c r="U48" s="996">
        <v>381</v>
      </c>
      <c r="V48" s="527"/>
      <c r="W48" s="1053">
        <v>124</v>
      </c>
      <c r="X48" s="527"/>
      <c r="Y48" s="878">
        <v>49</v>
      </c>
      <c r="Z48" s="1196">
        <v>0</v>
      </c>
      <c r="AA48" s="515"/>
      <c r="AB48" s="878">
        <v>56</v>
      </c>
      <c r="AC48" s="515"/>
      <c r="AD48" s="908">
        <v>82</v>
      </c>
      <c r="AE48" s="880">
        <f>SUM(C48:AD48)</f>
        <v>2654</v>
      </c>
    </row>
    <row r="49" spans="1:31" ht="9" customHeight="1">
      <c r="A49" s="1076"/>
      <c r="B49" s="551"/>
      <c r="C49" s="516"/>
      <c r="D49" s="1049"/>
      <c r="E49" s="1079"/>
      <c r="F49" s="512"/>
      <c r="G49" s="551"/>
      <c r="H49" s="884"/>
      <c r="I49" s="913"/>
      <c r="J49" s="512"/>
      <c r="K49" s="551"/>
      <c r="L49" s="512"/>
      <c r="M49" s="1080"/>
      <c r="N49" s="1049"/>
      <c r="O49" s="1048"/>
      <c r="P49" s="1049"/>
      <c r="Q49" s="551"/>
      <c r="R49" s="512"/>
      <c r="S49" s="470"/>
      <c r="T49" s="512"/>
      <c r="U49" s="1048"/>
      <c r="V49" s="1049"/>
      <c r="W49" s="1080"/>
      <c r="X49" s="1049"/>
      <c r="Y49" s="470"/>
      <c r="Z49" s="1197"/>
      <c r="AA49" s="859"/>
      <c r="AB49" s="470"/>
      <c r="AC49" s="512"/>
      <c r="AD49" s="220"/>
      <c r="AE49" s="1081"/>
    </row>
    <row r="50" spans="1:31" ht="24.75" customHeight="1">
      <c r="A50" s="1076" t="s">
        <v>131</v>
      </c>
      <c r="B50" s="551"/>
      <c r="C50" s="888">
        <v>10</v>
      </c>
      <c r="D50" s="527"/>
      <c r="E50" s="497">
        <v>0</v>
      </c>
      <c r="F50" s="515"/>
      <c r="G50" s="537"/>
      <c r="H50" s="870">
        <v>0</v>
      </c>
      <c r="I50" s="895">
        <v>316</v>
      </c>
      <c r="J50" s="515"/>
      <c r="K50" s="537">
        <v>107</v>
      </c>
      <c r="L50" s="515"/>
      <c r="M50" s="1053">
        <v>383</v>
      </c>
      <c r="N50" s="527"/>
      <c r="O50" s="996">
        <v>164</v>
      </c>
      <c r="P50" s="527"/>
      <c r="Q50" s="537">
        <v>177</v>
      </c>
      <c r="R50" s="515"/>
      <c r="S50" s="878">
        <v>750</v>
      </c>
      <c r="T50" s="515"/>
      <c r="U50" s="996">
        <v>412</v>
      </c>
      <c r="V50" s="527"/>
      <c r="W50" s="1053">
        <v>157</v>
      </c>
      <c r="X50" s="527"/>
      <c r="Y50" s="878">
        <v>48</v>
      </c>
      <c r="Z50" s="1196">
        <v>0</v>
      </c>
      <c r="AA50" s="515"/>
      <c r="AB50" s="908">
        <v>51</v>
      </c>
      <c r="AC50" s="515"/>
      <c r="AD50" s="997">
        <v>84</v>
      </c>
      <c r="AE50" s="880">
        <f>SUM(C50:AD50)</f>
        <v>2659</v>
      </c>
    </row>
    <row r="51" spans="1:31" ht="9" customHeight="1">
      <c r="A51" s="1076"/>
      <c r="B51" s="551"/>
      <c r="C51" s="516"/>
      <c r="D51" s="1049"/>
      <c r="E51" s="1079"/>
      <c r="F51" s="512"/>
      <c r="G51" s="551"/>
      <c r="H51" s="884"/>
      <c r="I51" s="913"/>
      <c r="J51" s="512"/>
      <c r="K51" s="551"/>
      <c r="L51" s="512"/>
      <c r="M51" s="1080"/>
      <c r="N51" s="1049"/>
      <c r="O51" s="1048"/>
      <c r="P51" s="1049"/>
      <c r="Q51" s="551"/>
      <c r="R51" s="512"/>
      <c r="S51" s="470"/>
      <c r="T51" s="512"/>
      <c r="U51" s="1048"/>
      <c r="V51" s="1049"/>
      <c r="W51" s="1080"/>
      <c r="X51" s="1049"/>
      <c r="Y51" s="470"/>
      <c r="Z51" s="1190"/>
      <c r="AA51" s="512"/>
      <c r="AB51" s="220"/>
      <c r="AC51" s="512"/>
      <c r="AD51" s="220"/>
      <c r="AE51" s="1081"/>
    </row>
    <row r="52" spans="1:31" ht="24.75" customHeight="1">
      <c r="A52" s="1076" t="s">
        <v>132</v>
      </c>
      <c r="B52" s="551"/>
      <c r="C52" s="888">
        <v>9</v>
      </c>
      <c r="D52" s="527"/>
      <c r="E52" s="497">
        <v>0</v>
      </c>
      <c r="F52" s="515"/>
      <c r="G52" s="537"/>
      <c r="H52" s="870">
        <v>0</v>
      </c>
      <c r="I52" s="895">
        <v>233</v>
      </c>
      <c r="J52" s="515"/>
      <c r="K52" s="537">
        <v>111</v>
      </c>
      <c r="L52" s="515"/>
      <c r="M52" s="1053">
        <v>385</v>
      </c>
      <c r="N52" s="527"/>
      <c r="O52" s="996">
        <v>164</v>
      </c>
      <c r="P52" s="527"/>
      <c r="Q52" s="537">
        <v>188</v>
      </c>
      <c r="R52" s="515"/>
      <c r="S52" s="878">
        <v>806</v>
      </c>
      <c r="T52" s="515"/>
      <c r="U52" s="996">
        <v>455</v>
      </c>
      <c r="V52" s="527"/>
      <c r="W52" s="1053">
        <v>146</v>
      </c>
      <c r="X52" s="527"/>
      <c r="Y52" s="878">
        <v>50</v>
      </c>
      <c r="Z52" s="887">
        <v>22</v>
      </c>
      <c r="AA52" s="515"/>
      <c r="AB52" s="908">
        <v>59</v>
      </c>
      <c r="AC52" s="515"/>
      <c r="AD52" s="997">
        <v>84</v>
      </c>
      <c r="AE52" s="880">
        <f>SUM(C52:AD52)</f>
        <v>2712</v>
      </c>
    </row>
    <row r="53" spans="1:31" ht="9" customHeight="1" thickBot="1">
      <c r="A53" s="1077"/>
      <c r="B53" s="19"/>
      <c r="C53" s="872"/>
      <c r="D53" s="873"/>
      <c r="E53" s="19"/>
      <c r="F53" s="873"/>
      <c r="G53" s="19"/>
      <c r="H53" s="873"/>
      <c r="I53" s="19"/>
      <c r="J53" s="873"/>
      <c r="K53" s="19"/>
      <c r="L53" s="873"/>
      <c r="M53" s="19"/>
      <c r="N53" s="873"/>
      <c r="O53" s="19"/>
      <c r="P53" s="873"/>
      <c r="Q53" s="19"/>
      <c r="R53" s="873"/>
      <c r="S53" s="19"/>
      <c r="T53" s="873"/>
      <c r="U53" s="19"/>
      <c r="V53" s="873"/>
      <c r="W53" s="19"/>
      <c r="X53" s="873"/>
      <c r="Y53" s="19"/>
      <c r="Z53" s="1191"/>
      <c r="AA53" s="873"/>
      <c r="AB53" s="19"/>
      <c r="AC53" s="873"/>
      <c r="AD53" s="19"/>
      <c r="AE53" s="1050"/>
    </row>
  </sheetData>
  <pageMargins left="0.77" right="0.28000000000000003" top="1" bottom="0.53" header="0.68" footer="0.36"/>
  <pageSetup scale="54" orientation="landscape" r:id="rId1"/>
  <headerFooter alignWithMargins="0">
    <oddHeader xml:space="preserve">&amp;C&amp;"CG Times,Bold"             &amp;16 SOMMAIRE FINANCIER EN GRAPHES
               </oddHeader>
    <oddFooter>&amp;R&amp;P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4:AD84"/>
  <sheetViews>
    <sheetView topLeftCell="A12" workbookViewId="0">
      <pane xSplit="1" ySplit="5" topLeftCell="B17" activePane="bottomRight" state="frozen"/>
      <selection activeCell="A12" sqref="A12"/>
      <selection pane="topRight" activeCell="B12" sqref="B12"/>
      <selection pane="bottomLeft" activeCell="A17" sqref="A17"/>
      <selection pane="bottomRight" activeCell="B26" sqref="B26"/>
    </sheetView>
  </sheetViews>
  <sheetFormatPr defaultRowHeight="15.75"/>
  <cols>
    <col min="1" max="1" width="13.75" customWidth="1"/>
    <col min="2" max="2" width="11" customWidth="1"/>
    <col min="3" max="3" width="3.125" customWidth="1"/>
    <col min="4" max="4" width="11" customWidth="1"/>
    <col min="5" max="5" width="2.625" customWidth="1"/>
    <col min="6" max="6" width="11" customWidth="1"/>
    <col min="7" max="7" width="2.125" customWidth="1"/>
    <col min="8" max="8" width="11" customWidth="1"/>
    <col min="9" max="9" width="3.125" customWidth="1"/>
    <col min="10" max="10" width="11" customWidth="1"/>
    <col min="11" max="11" width="3.125" customWidth="1"/>
    <col min="12" max="12" width="11" customWidth="1"/>
    <col min="13" max="13" width="3.25" customWidth="1"/>
    <col min="14" max="14" width="12.5" customWidth="1"/>
    <col min="15" max="15" width="3" customWidth="1"/>
    <col min="16" max="16" width="10.625" customWidth="1"/>
    <col min="17" max="17" width="3.125" customWidth="1"/>
    <col min="18" max="18" width="9.875" customWidth="1"/>
    <col min="19" max="19" width="3" customWidth="1"/>
    <col min="20" max="20" width="11" customWidth="1"/>
    <col min="21" max="21" width="3.125" customWidth="1"/>
    <col min="22" max="22" width="12.75" customWidth="1"/>
    <col min="23" max="23" width="3.25" customWidth="1"/>
    <col min="24" max="25" width="9.5" customWidth="1"/>
    <col min="26" max="26" width="3.125" customWidth="1"/>
    <col min="27" max="27" width="10.375" customWidth="1"/>
    <col min="28" max="28" width="3.125" customWidth="1"/>
    <col min="29" max="29" width="11.25" customWidth="1"/>
    <col min="30" max="30" width="9.875" customWidth="1"/>
    <col min="31" max="256" width="11" customWidth="1"/>
  </cols>
  <sheetData>
    <row r="14" spans="1:30" ht="20.25">
      <c r="A14" s="481" t="s">
        <v>133</v>
      </c>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row>
    <row r="15" spans="1:30" ht="16.5" thickBot="1">
      <c r="A15" s="114"/>
      <c r="B15" s="34"/>
      <c r="C15" s="34"/>
      <c r="D15" s="34"/>
      <c r="E15" s="34"/>
      <c r="F15" s="34"/>
      <c r="G15" s="34"/>
      <c r="H15" s="34"/>
      <c r="I15" s="34"/>
      <c r="J15" s="34"/>
      <c r="K15" s="34"/>
      <c r="L15" s="34"/>
      <c r="M15" s="34"/>
      <c r="N15" s="34"/>
      <c r="O15" s="34"/>
      <c r="P15" s="34"/>
      <c r="Q15" s="34"/>
      <c r="R15" s="34"/>
      <c r="S15" s="34"/>
    </row>
    <row r="16" spans="1:30" s="2" customFormat="1" ht="16.5" thickBot="1">
      <c r="A16" s="456"/>
      <c r="B16" s="472" t="s">
        <v>98</v>
      </c>
      <c r="C16" s="473"/>
      <c r="D16" s="473" t="s">
        <v>134</v>
      </c>
      <c r="E16" s="473"/>
      <c r="F16" s="517" t="s">
        <v>126</v>
      </c>
      <c r="G16" s="876"/>
      <c r="H16" s="474" t="s">
        <v>135</v>
      </c>
      <c r="I16" s="473"/>
      <c r="J16" s="474" t="s">
        <v>101</v>
      </c>
      <c r="K16" s="473"/>
      <c r="L16" s="474" t="s">
        <v>136</v>
      </c>
      <c r="M16" s="473"/>
      <c r="N16" s="473" t="s">
        <v>103</v>
      </c>
      <c r="O16" s="473"/>
      <c r="P16" s="474" t="s">
        <v>104</v>
      </c>
      <c r="Q16" s="473"/>
      <c r="R16" s="474" t="s">
        <v>105</v>
      </c>
      <c r="S16" s="473"/>
      <c r="T16" s="474" t="s">
        <v>106</v>
      </c>
      <c r="U16" s="473"/>
      <c r="V16" s="474" t="s">
        <v>107</v>
      </c>
      <c r="W16" s="473"/>
      <c r="X16" s="474" t="s">
        <v>108</v>
      </c>
      <c r="Y16" s="1188" t="s">
        <v>127</v>
      </c>
      <c r="Z16" s="473"/>
      <c r="AA16" s="474" t="s">
        <v>109</v>
      </c>
      <c r="AB16" s="473"/>
      <c r="AC16" s="475" t="s">
        <v>110</v>
      </c>
      <c r="AD16" s="476" t="s">
        <v>111</v>
      </c>
    </row>
    <row r="17" spans="1:30" s="2" customFormat="1" ht="16.5" thickTop="1">
      <c r="A17" s="458"/>
      <c r="B17" s="467"/>
      <c r="C17" s="463"/>
      <c r="D17" s="460"/>
      <c r="E17" s="463"/>
      <c r="F17" s="919"/>
      <c r="G17" s="463"/>
      <c r="H17" s="460"/>
      <c r="I17" s="463"/>
      <c r="J17" s="460"/>
      <c r="K17" s="463"/>
      <c r="L17" s="460"/>
      <c r="M17" s="463"/>
      <c r="N17" s="460"/>
      <c r="O17" s="463"/>
      <c r="P17" s="460"/>
      <c r="Q17" s="463"/>
      <c r="R17" s="460"/>
      <c r="S17" s="463"/>
      <c r="T17" s="460"/>
      <c r="U17" s="463"/>
      <c r="V17" s="460"/>
      <c r="W17" s="463"/>
      <c r="X17" s="460"/>
      <c r="Y17" s="1189"/>
      <c r="Z17" s="463"/>
      <c r="AA17" s="460"/>
      <c r="AB17" s="463"/>
      <c r="AC17" s="465"/>
      <c r="AD17" s="461"/>
    </row>
    <row r="18" spans="1:30" ht="25.15" customHeight="1">
      <c r="A18" s="1052" t="s">
        <v>128</v>
      </c>
      <c r="B18" s="944">
        <v>160</v>
      </c>
      <c r="C18" s="479"/>
      <c r="D18" s="896">
        <f>573+153</f>
        <v>726</v>
      </c>
      <c r="E18" s="899"/>
      <c r="F18" s="878">
        <v>36</v>
      </c>
      <c r="G18" s="479"/>
      <c r="H18" s="910">
        <f>8476+50</f>
        <v>8526</v>
      </c>
      <c r="I18" s="479"/>
      <c r="J18" s="896">
        <f>1353+314</f>
        <v>1667</v>
      </c>
      <c r="K18" s="479"/>
      <c r="L18" s="896">
        <v>2858</v>
      </c>
      <c r="M18" s="479"/>
      <c r="N18" s="896">
        <f>1017+503</f>
        <v>1520</v>
      </c>
      <c r="O18" s="899"/>
      <c r="P18" s="478">
        <f>416+299</f>
        <v>715</v>
      </c>
      <c r="Q18" s="479"/>
      <c r="R18" s="910">
        <f>651+1041</f>
        <v>1692</v>
      </c>
      <c r="S18" s="479"/>
      <c r="T18" s="910">
        <f>624+350</f>
        <v>974</v>
      </c>
      <c r="U18" s="479"/>
      <c r="V18" s="945">
        <f>624+63</f>
        <v>687</v>
      </c>
      <c r="W18" s="479"/>
      <c r="X18" s="478">
        <f>547+16</f>
        <v>563</v>
      </c>
      <c r="Y18" s="1200">
        <v>0</v>
      </c>
      <c r="Z18" s="479"/>
      <c r="AA18" s="478">
        <f>156+69</f>
        <v>225</v>
      </c>
      <c r="AB18" s="479"/>
      <c r="AC18" s="897">
        <f>1290+193</f>
        <v>1483</v>
      </c>
      <c r="AD18" s="482">
        <f>SUM(B18:AC18)</f>
        <v>21832</v>
      </c>
    </row>
    <row r="19" spans="1:30" ht="10.5" customHeight="1">
      <c r="A19" s="469"/>
      <c r="B19" s="914"/>
      <c r="C19" s="512"/>
      <c r="D19" s="916"/>
      <c r="E19" s="915"/>
      <c r="F19" s="470"/>
      <c r="G19" s="512"/>
      <c r="H19" s="913"/>
      <c r="I19" s="512"/>
      <c r="J19" s="916"/>
      <c r="K19" s="512"/>
      <c r="L19" s="916"/>
      <c r="M19" s="512"/>
      <c r="N19" s="916"/>
      <c r="O19" s="915"/>
      <c r="P19" s="470"/>
      <c r="Q19" s="512"/>
      <c r="R19" s="470"/>
      <c r="S19" s="512"/>
      <c r="T19" s="913"/>
      <c r="U19" s="512"/>
      <c r="V19" s="220"/>
      <c r="W19" s="512"/>
      <c r="X19" s="470"/>
      <c r="Y19" s="1190"/>
      <c r="Z19" s="512"/>
      <c r="AA19" s="470"/>
      <c r="AB19" s="512"/>
      <c r="AC19" s="917"/>
      <c r="AD19" s="514"/>
    </row>
    <row r="20" spans="1:30" ht="25.15" customHeight="1">
      <c r="A20" s="469" t="s">
        <v>129</v>
      </c>
      <c r="B20" s="999">
        <v>0</v>
      </c>
      <c r="C20" s="515"/>
      <c r="D20" s="879">
        <f>556+131</f>
        <v>687</v>
      </c>
      <c r="E20" s="900"/>
      <c r="F20" s="895">
        <v>40</v>
      </c>
      <c r="G20" s="515"/>
      <c r="H20" s="895">
        <f>7299+50</f>
        <v>7349</v>
      </c>
      <c r="I20" s="515"/>
      <c r="J20" s="879">
        <f>1374+318</f>
        <v>1692</v>
      </c>
      <c r="K20" s="515"/>
      <c r="L20" s="879">
        <f>2475+767</f>
        <v>3242</v>
      </c>
      <c r="M20" s="515"/>
      <c r="N20" s="879">
        <f>1035+516</f>
        <v>1551</v>
      </c>
      <c r="O20" s="900"/>
      <c r="P20" s="895">
        <f>476+302</f>
        <v>778</v>
      </c>
      <c r="Q20" s="515"/>
      <c r="R20" s="895">
        <f>662+942</f>
        <v>1604</v>
      </c>
      <c r="S20" s="515"/>
      <c r="T20" s="895">
        <f>621+402</f>
        <v>1023</v>
      </c>
      <c r="U20" s="515"/>
      <c r="V20" s="908">
        <f>564+109</f>
        <v>673</v>
      </c>
      <c r="W20" s="527"/>
      <c r="X20" s="895">
        <f>505+15</f>
        <v>520</v>
      </c>
      <c r="Y20" s="1198">
        <v>0</v>
      </c>
      <c r="Z20" s="515"/>
      <c r="AA20" s="895">
        <f>152+68</f>
        <v>220</v>
      </c>
      <c r="AB20" s="515"/>
      <c r="AC20" s="898">
        <f>1461+196</f>
        <v>1657</v>
      </c>
      <c r="AD20" s="998">
        <f>SUM(B20:AC20)</f>
        <v>21036</v>
      </c>
    </row>
    <row r="21" spans="1:30" ht="10.5" customHeight="1">
      <c r="A21" s="469"/>
      <c r="B21" s="1051"/>
      <c r="C21" s="512"/>
      <c r="D21" s="916"/>
      <c r="E21" s="915"/>
      <c r="F21" s="913"/>
      <c r="G21" s="512"/>
      <c r="H21" s="913"/>
      <c r="I21" s="512"/>
      <c r="J21" s="916"/>
      <c r="K21" s="512"/>
      <c r="L21" s="916"/>
      <c r="M21" s="512"/>
      <c r="N21" s="916"/>
      <c r="O21" s="915"/>
      <c r="P21" s="913"/>
      <c r="Q21" s="512"/>
      <c r="R21" s="913"/>
      <c r="S21" s="512"/>
      <c r="T21" s="913"/>
      <c r="U21" s="512"/>
      <c r="V21" s="220"/>
      <c r="W21" s="1049"/>
      <c r="X21" s="913"/>
      <c r="Y21" s="1199"/>
      <c r="Z21" s="512"/>
      <c r="AA21" s="913"/>
      <c r="AB21" s="512"/>
      <c r="AC21" s="917"/>
      <c r="AD21" s="514"/>
    </row>
    <row r="22" spans="1:30" ht="25.15" customHeight="1">
      <c r="A22" s="469" t="s">
        <v>130</v>
      </c>
      <c r="B22" s="999">
        <v>0</v>
      </c>
      <c r="C22" s="515"/>
      <c r="D22" s="879">
        <v>0</v>
      </c>
      <c r="E22" s="900"/>
      <c r="F22" s="895">
        <v>0</v>
      </c>
      <c r="G22" s="515"/>
      <c r="H22" s="895">
        <f>5962+50</f>
        <v>6012</v>
      </c>
      <c r="I22" s="515"/>
      <c r="J22" s="879">
        <f>1472+331</f>
        <v>1803</v>
      </c>
      <c r="K22" s="515"/>
      <c r="L22" s="879">
        <f>686+2533</f>
        <v>3219</v>
      </c>
      <c r="M22" s="515"/>
      <c r="N22" s="879">
        <f>932+533</f>
        <v>1465</v>
      </c>
      <c r="O22" s="900"/>
      <c r="P22" s="895">
        <f>531+267</f>
        <v>798</v>
      </c>
      <c r="Q22" s="515"/>
      <c r="R22" s="895">
        <f>1214+1070</f>
        <v>2284</v>
      </c>
      <c r="S22" s="515"/>
      <c r="T22" s="895">
        <f>573+402</f>
        <v>975</v>
      </c>
      <c r="U22" s="515"/>
      <c r="V22" s="879">
        <f>1306+134</f>
        <v>1440</v>
      </c>
      <c r="W22" s="527"/>
      <c r="X22" s="895">
        <f>495+13</f>
        <v>508</v>
      </c>
      <c r="Y22" s="1198">
        <v>0</v>
      </c>
      <c r="Z22" s="515"/>
      <c r="AA22" s="895">
        <f>256+76</f>
        <v>332</v>
      </c>
      <c r="AB22" s="515"/>
      <c r="AC22" s="898">
        <f>1425+200</f>
        <v>1625</v>
      </c>
      <c r="AD22" s="998">
        <f>SUM(B22:AC22)</f>
        <v>20461</v>
      </c>
    </row>
    <row r="23" spans="1:30" ht="10.5" customHeight="1">
      <c r="A23" s="469"/>
      <c r="B23" s="1051"/>
      <c r="C23" s="512"/>
      <c r="D23" s="916"/>
      <c r="E23" s="915"/>
      <c r="F23" s="913"/>
      <c r="G23" s="512"/>
      <c r="H23" s="913"/>
      <c r="I23" s="512"/>
      <c r="J23" s="916"/>
      <c r="K23" s="512"/>
      <c r="L23" s="916"/>
      <c r="M23" s="512"/>
      <c r="N23" s="916"/>
      <c r="O23" s="915"/>
      <c r="P23" s="913"/>
      <c r="Q23" s="512"/>
      <c r="R23" s="913"/>
      <c r="S23" s="512"/>
      <c r="T23" s="913"/>
      <c r="U23" s="512"/>
      <c r="V23" s="916"/>
      <c r="W23" s="1049"/>
      <c r="X23" s="913"/>
      <c r="Y23" s="1199"/>
      <c r="Z23" s="512"/>
      <c r="AA23" s="913"/>
      <c r="AB23" s="512"/>
      <c r="AC23" s="917"/>
      <c r="AD23" s="514"/>
    </row>
    <row r="24" spans="1:30" ht="25.15" customHeight="1">
      <c r="A24" s="469" t="s">
        <v>131</v>
      </c>
      <c r="B24" s="1088">
        <v>232</v>
      </c>
      <c r="C24" s="512"/>
      <c r="D24" s="916">
        <v>0</v>
      </c>
      <c r="E24" s="915"/>
      <c r="F24" s="913">
        <v>0</v>
      </c>
      <c r="G24" s="512"/>
      <c r="H24" s="913">
        <f>3906+50</f>
        <v>3956</v>
      </c>
      <c r="I24" s="512"/>
      <c r="J24" s="916">
        <f>1528+304</f>
        <v>1832</v>
      </c>
      <c r="K24" s="512"/>
      <c r="L24" s="916">
        <f>580+3149</f>
        <v>3729</v>
      </c>
      <c r="M24" s="512"/>
      <c r="N24" s="916">
        <f>1095+497</f>
        <v>1592</v>
      </c>
      <c r="O24" s="915"/>
      <c r="P24" s="913">
        <f>577+258</f>
        <v>835</v>
      </c>
      <c r="Q24" s="512"/>
      <c r="R24" s="913">
        <f>1181+428</f>
        <v>1609</v>
      </c>
      <c r="S24" s="512"/>
      <c r="T24" s="913">
        <f>622+434</f>
        <v>1056</v>
      </c>
      <c r="U24" s="512"/>
      <c r="V24" s="916">
        <f>712+110</f>
        <v>822</v>
      </c>
      <c r="W24" s="1049"/>
      <c r="X24" s="913">
        <f>552+14</f>
        <v>566</v>
      </c>
      <c r="Y24" s="1199">
        <v>0</v>
      </c>
      <c r="Z24" s="512"/>
      <c r="AA24" s="913">
        <f>175+81</f>
        <v>256</v>
      </c>
      <c r="AB24" s="512"/>
      <c r="AC24" s="917">
        <f>1450+200</f>
        <v>1650</v>
      </c>
      <c r="AD24" s="1081">
        <f>SUM(B24:AC24)</f>
        <v>18135</v>
      </c>
    </row>
    <row r="25" spans="1:30" ht="10.5" customHeight="1">
      <c r="A25" s="469"/>
      <c r="B25" s="1088"/>
      <c r="C25" s="512"/>
      <c r="D25" s="916"/>
      <c r="E25" s="915"/>
      <c r="F25" s="913"/>
      <c r="G25" s="512"/>
      <c r="H25" s="913"/>
      <c r="I25" s="512"/>
      <c r="J25" s="916"/>
      <c r="K25" s="512"/>
      <c r="L25" s="916"/>
      <c r="M25" s="512"/>
      <c r="N25" s="916"/>
      <c r="O25" s="915"/>
      <c r="P25" s="913"/>
      <c r="Q25" s="512"/>
      <c r="R25" s="913"/>
      <c r="S25" s="512"/>
      <c r="T25" s="913"/>
      <c r="U25" s="512"/>
      <c r="V25" s="916"/>
      <c r="W25" s="1049"/>
      <c r="X25" s="913"/>
      <c r="Y25" s="1199"/>
      <c r="Z25" s="512"/>
      <c r="AA25" s="913"/>
      <c r="AB25" s="512"/>
      <c r="AC25" s="917"/>
      <c r="AD25" s="514"/>
    </row>
    <row r="26" spans="1:30" ht="25.15" customHeight="1">
      <c r="A26" s="469" t="s">
        <v>132</v>
      </c>
      <c r="B26" s="1088">
        <f>226+4</f>
        <v>230</v>
      </c>
      <c r="C26" s="512"/>
      <c r="D26" s="916">
        <v>0</v>
      </c>
      <c r="E26" s="915"/>
      <c r="F26" s="913">
        <v>0</v>
      </c>
      <c r="G26" s="512"/>
      <c r="H26" s="913">
        <f>3717+50</f>
        <v>3767</v>
      </c>
      <c r="I26" s="512"/>
      <c r="J26" s="916">
        <f>1542+310</f>
        <v>1852</v>
      </c>
      <c r="K26" s="512"/>
      <c r="L26" s="916">
        <f>783+2969</f>
        <v>3752</v>
      </c>
      <c r="M26" s="512"/>
      <c r="N26" s="916">
        <v>0</v>
      </c>
      <c r="O26" s="915"/>
      <c r="P26" s="913">
        <f>610+250</f>
        <v>860</v>
      </c>
      <c r="Q26" s="512"/>
      <c r="R26" s="913">
        <f>1173+395</f>
        <v>1568</v>
      </c>
      <c r="S26" s="512"/>
      <c r="T26" s="913">
        <f>660+457</f>
        <v>1117</v>
      </c>
      <c r="U26" s="512"/>
      <c r="V26" s="916">
        <f>736+114</f>
        <v>850</v>
      </c>
      <c r="W26" s="1049"/>
      <c r="X26" s="913">
        <f>542+16</f>
        <v>558</v>
      </c>
      <c r="Y26" s="1199">
        <v>6</v>
      </c>
      <c r="Z26" s="512"/>
      <c r="AA26" s="913">
        <f>185+81</f>
        <v>266</v>
      </c>
      <c r="AB26" s="512"/>
      <c r="AC26" s="917">
        <f>1418+190</f>
        <v>1608</v>
      </c>
      <c r="AD26" s="1081">
        <f>SUM(B26:AC26)</f>
        <v>16434</v>
      </c>
    </row>
    <row r="27" spans="1:30" ht="10.15" customHeight="1" thickBot="1">
      <c r="A27" s="871"/>
      <c r="B27" s="872"/>
      <c r="C27" s="873"/>
      <c r="D27" s="19"/>
      <c r="E27" s="873"/>
      <c r="F27" s="19"/>
      <c r="G27" s="873"/>
      <c r="H27" s="19"/>
      <c r="I27" s="873"/>
      <c r="J27" s="19"/>
      <c r="K27" s="873"/>
      <c r="L27" s="19"/>
      <c r="M27" s="873"/>
      <c r="N27" s="19"/>
      <c r="O27" s="873"/>
      <c r="P27" s="19"/>
      <c r="Q27" s="873"/>
      <c r="R27" s="19"/>
      <c r="S27" s="873"/>
      <c r="T27" s="19"/>
      <c r="U27" s="873"/>
      <c r="V27" s="19"/>
      <c r="W27" s="873"/>
      <c r="X27" s="19"/>
      <c r="Y27" s="1191"/>
      <c r="Z27" s="873"/>
      <c r="AA27" s="19"/>
      <c r="AB27" s="873"/>
      <c r="AC27" s="874"/>
      <c r="AD27" s="875"/>
    </row>
    <row r="70" spans="6:10">
      <c r="H70" t="s">
        <v>137</v>
      </c>
      <c r="J70" t="s">
        <v>138</v>
      </c>
    </row>
    <row r="71" spans="6:10">
      <c r="F71" t="s">
        <v>110</v>
      </c>
      <c r="H71" s="856">
        <v>1327</v>
      </c>
      <c r="J71" s="856">
        <v>1348</v>
      </c>
    </row>
    <row r="72" spans="6:10">
      <c r="F72" t="s">
        <v>103</v>
      </c>
      <c r="H72" s="856">
        <v>1050</v>
      </c>
      <c r="J72" s="856">
        <v>1028</v>
      </c>
    </row>
    <row r="73" spans="6:10">
      <c r="F73" t="s">
        <v>105</v>
      </c>
      <c r="H73" s="856">
        <v>875</v>
      </c>
      <c r="J73" s="856">
        <v>869</v>
      </c>
    </row>
    <row r="74" spans="6:10">
      <c r="F74" t="s">
        <v>106</v>
      </c>
      <c r="H74" s="856">
        <v>862</v>
      </c>
      <c r="J74" s="856">
        <v>954</v>
      </c>
    </row>
    <row r="75" spans="6:10">
      <c r="F75" t="s">
        <v>107</v>
      </c>
      <c r="H75" s="856">
        <v>664</v>
      </c>
      <c r="J75" s="856"/>
    </row>
    <row r="76" spans="6:10">
      <c r="F76" t="s">
        <v>104</v>
      </c>
      <c r="H76" s="856">
        <v>624</v>
      </c>
      <c r="J76" s="856">
        <v>645</v>
      </c>
    </row>
    <row r="77" spans="6:10">
      <c r="F77" t="s">
        <v>108</v>
      </c>
      <c r="H77" s="856">
        <v>496</v>
      </c>
      <c r="J77" s="856">
        <v>518</v>
      </c>
    </row>
    <row r="78" spans="6:10">
      <c r="F78" t="s">
        <v>101</v>
      </c>
      <c r="H78" s="856">
        <v>278</v>
      </c>
      <c r="J78" s="856">
        <v>1539</v>
      </c>
    </row>
    <row r="79" spans="6:10">
      <c r="F79" t="s">
        <v>109</v>
      </c>
      <c r="H79" s="856">
        <v>171</v>
      </c>
      <c r="J79" s="856">
        <v>186</v>
      </c>
    </row>
    <row r="80" spans="6:10">
      <c r="F80" t="s">
        <v>98</v>
      </c>
      <c r="H80" s="856">
        <v>103</v>
      </c>
      <c r="J80" s="856"/>
    </row>
    <row r="81" spans="6:10">
      <c r="F81" t="s">
        <v>126</v>
      </c>
      <c r="H81" s="856">
        <v>12</v>
      </c>
      <c r="J81" s="856">
        <v>22</v>
      </c>
    </row>
    <row r="82" spans="6:10">
      <c r="F82" t="s">
        <v>99</v>
      </c>
      <c r="H82" s="856">
        <v>0</v>
      </c>
      <c r="J82" s="856">
        <v>636</v>
      </c>
    </row>
    <row r="83" spans="6:10">
      <c r="F83" t="s">
        <v>100</v>
      </c>
      <c r="H83" s="856">
        <v>0</v>
      </c>
      <c r="J83" s="856"/>
    </row>
    <row r="84" spans="6:10">
      <c r="F84" t="s">
        <v>102</v>
      </c>
      <c r="H84" s="856">
        <v>0</v>
      </c>
      <c r="J84" s="856">
        <v>2545</v>
      </c>
    </row>
  </sheetData>
  <pageMargins left="0.2" right="0.22" top="0.85" bottom="0.47" header="0.61" footer="0.28000000000000003"/>
  <pageSetup scale="57" orientation="landscape" r:id="rId1"/>
  <headerFooter alignWithMargins="0">
    <oddHeader xml:space="preserve">&amp;C&amp;"CG Times,Bold"             &amp;16 SOMMAIRE FINANCIER EN GRAPHES
               </oddHeader>
    <oddFooter>&amp;R&amp;P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4"/>
  <sheetViews>
    <sheetView zoomScale="75" workbookViewId="0">
      <pane xSplit="1" ySplit="5" topLeftCell="B6" activePane="bottomRight" state="frozen"/>
      <selection pane="topRight" activeCell="B1" sqref="B1"/>
      <selection pane="bottomLeft" activeCell="A6" sqref="A6"/>
      <selection pane="bottomRight" activeCell="B6" sqref="B6"/>
    </sheetView>
  </sheetViews>
  <sheetFormatPr defaultRowHeight="15.75" zeroHeight="1"/>
  <cols>
    <col min="1" max="1" width="12" style="102" customWidth="1"/>
    <col min="2" max="2" width="8.75" style="102" customWidth="1"/>
    <col min="3" max="3" width="11" style="102" customWidth="1"/>
    <col min="4" max="4" width="12.875" style="102" customWidth="1"/>
    <col min="5" max="5" width="12.625" style="102" customWidth="1"/>
    <col min="6" max="6" width="13.875" style="102" customWidth="1"/>
    <col min="7" max="7" width="13.375" style="102" customWidth="1"/>
    <col min="8" max="8" width="14.5" style="102" customWidth="1"/>
    <col min="9" max="9" width="15.5" style="102" customWidth="1"/>
    <col min="10" max="10" width="13.625" style="102" customWidth="1"/>
    <col min="11" max="12" width="12.5" style="102" customWidth="1"/>
    <col min="13" max="13" width="13.125" style="102" customWidth="1"/>
    <col min="14" max="14" width="10.75" style="102" customWidth="1"/>
    <col min="15" max="15" width="13.125" style="102" customWidth="1"/>
    <col min="16" max="16" width="10.75" style="102" customWidth="1"/>
    <col min="17" max="17" width="11.75" style="102" customWidth="1"/>
    <col min="18" max="18" width="11" style="102" customWidth="1"/>
    <col min="19" max="19" width="14" style="102" customWidth="1"/>
    <col min="20" max="20" width="11" style="102" customWidth="1"/>
    <col min="21" max="34" width="15.625" style="102" customWidth="1"/>
    <col min="35" max="58" width="11" style="102" customWidth="1"/>
    <col min="59" max="60" width="10" style="102" customWidth="1"/>
    <col min="61" max="61" width="10.75" style="102" customWidth="1"/>
    <col min="62" max="62" width="10" style="102" customWidth="1"/>
    <col min="63" max="63" width="10.75" style="102" customWidth="1"/>
    <col min="64" max="64" width="14.5" style="102" customWidth="1"/>
    <col min="65" max="65" width="12.625" style="102" customWidth="1"/>
    <col min="66" max="71" width="12.5" style="102" customWidth="1"/>
    <col min="72" max="256" width="11" style="102" customWidth="1"/>
    <col min="257" max="16384" width="9" style="102"/>
  </cols>
  <sheetData>
    <row r="1" spans="1:17">
      <c r="A1" s="966" t="s">
        <v>139</v>
      </c>
      <c r="B1" s="967"/>
      <c r="C1" s="967"/>
      <c r="D1" s="967"/>
      <c r="E1" s="967"/>
      <c r="F1" s="967"/>
      <c r="G1" s="967"/>
      <c r="H1" s="967"/>
      <c r="I1" s="967"/>
      <c r="J1" s="967"/>
      <c r="K1" s="967"/>
      <c r="L1" s="967"/>
      <c r="M1" s="967"/>
      <c r="N1" s="967"/>
      <c r="O1" s="967"/>
      <c r="P1" s="967"/>
      <c r="Q1" s="967"/>
    </row>
    <row r="2" spans="1:17">
      <c r="A2" s="966" t="s">
        <v>140</v>
      </c>
      <c r="B2" s="967"/>
      <c r="C2" s="967"/>
      <c r="D2" s="967"/>
      <c r="E2" s="967"/>
      <c r="F2" s="967"/>
      <c r="G2" s="967"/>
      <c r="H2" s="967"/>
      <c r="I2" s="967"/>
      <c r="J2" s="967"/>
      <c r="K2" s="967"/>
      <c r="L2" s="967"/>
      <c r="M2" s="967"/>
      <c r="N2" s="967"/>
      <c r="O2" s="967"/>
      <c r="P2" s="967"/>
      <c r="Q2" s="967"/>
    </row>
    <row r="3" spans="1:17">
      <c r="A3" s="966"/>
      <c r="B3" s="967"/>
      <c r="C3" s="967"/>
      <c r="D3" s="967"/>
      <c r="E3" s="967"/>
      <c r="F3" s="967"/>
      <c r="G3" s="967"/>
      <c r="H3" s="967"/>
      <c r="I3" s="967"/>
      <c r="J3" s="967"/>
      <c r="K3" s="967"/>
      <c r="L3" s="967"/>
      <c r="M3" s="967"/>
      <c r="N3" s="967"/>
      <c r="O3" s="967"/>
      <c r="P3" s="967"/>
      <c r="Q3" s="967"/>
    </row>
    <row r="4" spans="1:17" ht="16.5" thickBot="1">
      <c r="A4" s="967"/>
      <c r="B4" s="967"/>
      <c r="C4" s="967"/>
      <c r="D4" s="967"/>
      <c r="E4" s="967"/>
      <c r="F4" s="967"/>
      <c r="G4" s="967"/>
      <c r="H4" s="967"/>
      <c r="I4" s="967"/>
      <c r="J4" s="967"/>
      <c r="K4" s="967"/>
    </row>
    <row r="5" spans="1:17" ht="16.5" thickBot="1">
      <c r="A5" s="1006"/>
      <c r="B5" s="968" t="s">
        <v>98</v>
      </c>
      <c r="C5" s="969" t="s">
        <v>135</v>
      </c>
      <c r="D5" s="970" t="s">
        <v>101</v>
      </c>
      <c r="E5" s="969" t="s">
        <v>136</v>
      </c>
      <c r="F5" s="969" t="s">
        <v>103</v>
      </c>
      <c r="G5" s="969" t="s">
        <v>104</v>
      </c>
      <c r="H5" s="969" t="s">
        <v>105</v>
      </c>
      <c r="I5" s="969" t="s">
        <v>106</v>
      </c>
      <c r="J5" s="969" t="s">
        <v>141</v>
      </c>
      <c r="K5" s="1187" t="s">
        <v>127</v>
      </c>
      <c r="L5" s="969" t="s">
        <v>108</v>
      </c>
      <c r="M5" s="969" t="s">
        <v>109</v>
      </c>
      <c r="N5" s="971" t="s">
        <v>110</v>
      </c>
      <c r="O5" s="1016" t="s">
        <v>111</v>
      </c>
      <c r="P5"/>
      <c r="Q5"/>
    </row>
    <row r="6" spans="1:17" ht="30.75" customHeight="1" thickTop="1">
      <c r="A6" s="877" t="s">
        <v>142</v>
      </c>
      <c r="B6" s="972">
        <v>73</v>
      </c>
      <c r="C6" s="974">
        <v>8115</v>
      </c>
      <c r="D6" s="975">
        <v>1267</v>
      </c>
      <c r="E6" s="975">
        <v>8558</v>
      </c>
      <c r="F6" s="973">
        <v>0</v>
      </c>
      <c r="G6" s="973">
        <v>4818</v>
      </c>
      <c r="H6" s="973">
        <v>21526</v>
      </c>
      <c r="I6" s="973">
        <v>7058</v>
      </c>
      <c r="J6" s="973">
        <v>6444</v>
      </c>
      <c r="K6" s="973">
        <v>22</v>
      </c>
      <c r="L6" s="973">
        <v>3035</v>
      </c>
      <c r="M6" s="973">
        <v>1326</v>
      </c>
      <c r="N6" s="1017">
        <v>1713</v>
      </c>
      <c r="O6" s="982">
        <f>SUM(B6:N6)</f>
        <v>63955</v>
      </c>
      <c r="P6"/>
      <c r="Q6"/>
    </row>
    <row r="7" spans="1:17" ht="29.25" customHeight="1">
      <c r="A7" s="877" t="s">
        <v>143</v>
      </c>
      <c r="B7" s="972">
        <v>333</v>
      </c>
      <c r="C7" s="974">
        <v>78222</v>
      </c>
      <c r="D7" s="973">
        <v>11473</v>
      </c>
      <c r="E7" s="975">
        <v>67419</v>
      </c>
      <c r="F7" s="973">
        <v>0</v>
      </c>
      <c r="G7" s="973">
        <v>38359</v>
      </c>
      <c r="H7" s="973">
        <v>213483</v>
      </c>
      <c r="I7" s="973">
        <v>88573</v>
      </c>
      <c r="J7" s="973">
        <v>13579</v>
      </c>
      <c r="K7" s="973">
        <v>156</v>
      </c>
      <c r="L7" s="973">
        <v>9594</v>
      </c>
      <c r="M7" s="973">
        <v>4045</v>
      </c>
      <c r="N7" s="1018">
        <v>22389</v>
      </c>
      <c r="O7" s="982">
        <f>SUM(B7:N7)</f>
        <v>547625</v>
      </c>
      <c r="P7"/>
      <c r="Q7"/>
    </row>
    <row r="8" spans="1:17" ht="29.25" customHeight="1">
      <c r="A8" s="877" t="s">
        <v>144</v>
      </c>
      <c r="B8" s="1000">
        <v>0</v>
      </c>
      <c r="C8" s="1002">
        <v>241</v>
      </c>
      <c r="D8" s="1001">
        <v>212</v>
      </c>
      <c r="E8" s="1003">
        <v>1801</v>
      </c>
      <c r="F8" s="1001">
        <v>0</v>
      </c>
      <c r="G8" s="1001">
        <v>3547</v>
      </c>
      <c r="H8" s="1001">
        <v>6197</v>
      </c>
      <c r="I8" s="1001">
        <v>2715</v>
      </c>
      <c r="J8" s="1001">
        <v>391</v>
      </c>
      <c r="K8" s="1001">
        <v>0</v>
      </c>
      <c r="L8" s="1001">
        <v>675</v>
      </c>
      <c r="M8" s="1001">
        <v>678</v>
      </c>
      <c r="N8" s="1019">
        <v>575</v>
      </c>
      <c r="O8" s="1009">
        <f>SUM(B8:N8)</f>
        <v>17032</v>
      </c>
      <c r="P8"/>
      <c r="Q8"/>
    </row>
    <row r="9" spans="1:17" ht="29.25" customHeight="1" thickBot="1">
      <c r="A9" s="977" t="s">
        <v>111</v>
      </c>
      <c r="B9" s="978">
        <f t="shared" ref="B9:O9" si="0">SUM(B6:B8)</f>
        <v>406</v>
      </c>
      <c r="C9" s="978">
        <f t="shared" si="0"/>
        <v>86578</v>
      </c>
      <c r="D9" s="978">
        <f t="shared" si="0"/>
        <v>12952</v>
      </c>
      <c r="E9" s="978">
        <f t="shared" si="0"/>
        <v>77778</v>
      </c>
      <c r="F9" s="978">
        <f t="shared" si="0"/>
        <v>0</v>
      </c>
      <c r="G9" s="978">
        <f t="shared" si="0"/>
        <v>46724</v>
      </c>
      <c r="H9" s="978">
        <f t="shared" si="0"/>
        <v>241206</v>
      </c>
      <c r="I9" s="978">
        <f t="shared" si="0"/>
        <v>98346</v>
      </c>
      <c r="J9" s="978">
        <f t="shared" si="0"/>
        <v>20414</v>
      </c>
      <c r="K9" s="978">
        <f t="shared" si="0"/>
        <v>178</v>
      </c>
      <c r="L9" s="978">
        <f t="shared" si="0"/>
        <v>13304</v>
      </c>
      <c r="M9" s="978">
        <f t="shared" si="0"/>
        <v>6049</v>
      </c>
      <c r="N9" s="978">
        <f t="shared" si="0"/>
        <v>24677</v>
      </c>
      <c r="O9" s="1015">
        <f t="shared" si="0"/>
        <v>628612</v>
      </c>
      <c r="P9"/>
      <c r="Q9"/>
    </row>
    <row r="10" spans="1:17"/>
    <row r="11" spans="1:17"/>
    <row r="12" spans="1:17"/>
    <row r="13" spans="1:17"/>
    <row r="14" spans="1:17">
      <c r="A14" s="966" t="s">
        <v>145</v>
      </c>
      <c r="B14" s="967"/>
      <c r="C14" s="967"/>
      <c r="D14" s="967"/>
      <c r="E14" s="967"/>
      <c r="F14" s="967"/>
      <c r="G14" s="967"/>
      <c r="H14" s="967"/>
      <c r="I14" s="967"/>
      <c r="J14" s="967"/>
      <c r="K14" s="967"/>
      <c r="L14" s="967"/>
      <c r="M14" s="967"/>
      <c r="N14" s="967"/>
      <c r="O14" s="967"/>
      <c r="P14" s="967"/>
      <c r="Q14" s="967"/>
    </row>
    <row r="15" spans="1:17">
      <c r="A15" s="992"/>
      <c r="B15" s="211"/>
      <c r="C15" s="211"/>
      <c r="D15" s="211"/>
      <c r="E15" s="211"/>
      <c r="F15" s="211"/>
      <c r="G15" s="211"/>
      <c r="H15" s="211" t="s">
        <v>146</v>
      </c>
      <c r="I15" s="211"/>
      <c r="J15" s="991"/>
      <c r="K15" s="991"/>
      <c r="L15" s="991"/>
      <c r="M15" s="991"/>
      <c r="N15" s="991"/>
      <c r="O15" s="991"/>
      <c r="P15" s="991"/>
      <c r="Q15" s="991"/>
    </row>
    <row r="16" spans="1:17" ht="16.5" thickBot="1">
      <c r="A16" s="111"/>
      <c r="J16" s="183"/>
      <c r="K16" s="183"/>
      <c r="L16" s="183"/>
      <c r="M16" s="183"/>
      <c r="N16" s="183"/>
      <c r="O16" s="183"/>
      <c r="P16" s="183"/>
      <c r="Q16" s="183"/>
    </row>
    <row r="17" spans="1:37" ht="16.5" thickBot="1">
      <c r="A17" s="1005"/>
      <c r="B17" s="968" t="s">
        <v>98</v>
      </c>
      <c r="C17" s="969" t="s">
        <v>100</v>
      </c>
      <c r="D17" s="969" t="s">
        <v>101</v>
      </c>
      <c r="E17" s="969" t="s">
        <v>102</v>
      </c>
      <c r="F17" s="969" t="s">
        <v>103</v>
      </c>
      <c r="G17" s="979" t="s">
        <v>147</v>
      </c>
      <c r="H17" s="980" t="s">
        <v>105</v>
      </c>
      <c r="I17" s="980" t="s">
        <v>106</v>
      </c>
      <c r="J17" s="980" t="s">
        <v>107</v>
      </c>
      <c r="K17" s="1207" t="s">
        <v>127</v>
      </c>
      <c r="L17" s="980" t="s">
        <v>108</v>
      </c>
      <c r="M17" s="980" t="s">
        <v>109</v>
      </c>
      <c r="N17" s="969" t="s">
        <v>110</v>
      </c>
      <c r="O17" s="971" t="s">
        <v>111</v>
      </c>
      <c r="P17"/>
      <c r="Q17"/>
    </row>
    <row r="18" spans="1:37" ht="29.25" customHeight="1" thickTop="1">
      <c r="A18" s="1007" t="s">
        <v>142</v>
      </c>
      <c r="B18" s="983">
        <v>2186.9</v>
      </c>
      <c r="C18" s="983">
        <f>24951+10908+2333+172705</f>
        <v>210897</v>
      </c>
      <c r="D18" s="983">
        <v>442282.4</v>
      </c>
      <c r="E18" s="983">
        <f>98237+56266+41409+46880+19169</f>
        <v>261961</v>
      </c>
      <c r="F18" s="983">
        <f>211262+37632+55571+24026</f>
        <v>328491</v>
      </c>
      <c r="G18" s="1008">
        <f>287971.8+24157.3+8179.3+10885.5+17950.3+4075.5+21097.9+191.6</f>
        <v>374509.19999999995</v>
      </c>
      <c r="H18" s="983">
        <f>1075153.6-29184.7</f>
        <v>1045968.9000000001</v>
      </c>
      <c r="I18" s="983">
        <v>0</v>
      </c>
      <c r="J18" s="983">
        <v>303887</v>
      </c>
      <c r="K18" s="983">
        <v>550.20000000000005</v>
      </c>
      <c r="L18" s="983">
        <v>73981.399999999994</v>
      </c>
      <c r="M18" s="983">
        <v>299702</v>
      </c>
      <c r="N18" s="984">
        <v>172953</v>
      </c>
      <c r="O18" s="1009">
        <f>SUM(B18:N18)</f>
        <v>3517370.0000000005</v>
      </c>
      <c r="P18"/>
      <c r="Q18"/>
    </row>
    <row r="19" spans="1:37" ht="29.25" customHeight="1">
      <c r="A19" s="1007" t="s">
        <v>143</v>
      </c>
      <c r="B19" s="983">
        <v>3159.4</v>
      </c>
      <c r="C19" s="983">
        <f>5808+34633+16835+311269</f>
        <v>368545</v>
      </c>
      <c r="D19" s="983">
        <v>157311.20000000001</v>
      </c>
      <c r="E19" s="983">
        <f>181801+109163+82031+35921+38961</f>
        <v>447877</v>
      </c>
      <c r="F19" s="983">
        <f>199920+28467+15461+19738</f>
        <v>263586</v>
      </c>
      <c r="G19" s="1008">
        <f>233699+36483.4+47437.4+46329.6+42100.9+29086.2+26442.5+1673.7</f>
        <v>463252.70000000007</v>
      </c>
      <c r="H19" s="983">
        <f>2345279.7-84153.8</f>
        <v>2261125.9000000004</v>
      </c>
      <c r="I19" s="983">
        <f>1432076.3-75435.9-600.4-1277.7</f>
        <v>1354762.3000000003</v>
      </c>
      <c r="J19" s="983">
        <v>195472</v>
      </c>
      <c r="K19" s="983">
        <v>3725.8</v>
      </c>
      <c r="L19" s="983">
        <v>182910.2</v>
      </c>
      <c r="M19" s="983">
        <v>302496</v>
      </c>
      <c r="N19" s="984">
        <v>488394</v>
      </c>
      <c r="O19" s="1009">
        <f>SUM(B19:N19)</f>
        <v>6492617.5000000009</v>
      </c>
      <c r="P19"/>
      <c r="Q19"/>
    </row>
    <row r="20" spans="1:37" ht="30" customHeight="1">
      <c r="A20" s="1007" t="s">
        <v>148</v>
      </c>
      <c r="B20" s="1010">
        <v>0</v>
      </c>
      <c r="C20" s="983">
        <f>865+40+125445</f>
        <v>126350</v>
      </c>
      <c r="D20" s="983">
        <v>85188.2</v>
      </c>
      <c r="E20" s="983">
        <f>277623+95082+30606+35774+41666</f>
        <v>480751</v>
      </c>
      <c r="F20" s="983">
        <f>366125+48252+24956+13206</f>
        <v>452539</v>
      </c>
      <c r="G20" s="1008">
        <f>946226.4+131616+77860.1+40932.3+75550.6+17297.1+28276.1+1536.6</f>
        <v>1319295.2000000004</v>
      </c>
      <c r="H20" s="983">
        <f>1218134.9-41562.4</f>
        <v>1176572.5</v>
      </c>
      <c r="I20" s="983">
        <f>739038.8-26458.7-2749.7</f>
        <v>709830.40000000014</v>
      </c>
      <c r="J20" s="983">
        <v>374864</v>
      </c>
      <c r="K20" s="983">
        <v>0</v>
      </c>
      <c r="L20" s="983">
        <v>207787.3</v>
      </c>
      <c r="M20" s="983">
        <v>758290</v>
      </c>
      <c r="N20" s="984">
        <v>227441</v>
      </c>
      <c r="O20" s="1009">
        <f>SUM(B20:N20)</f>
        <v>5918908.6000000006</v>
      </c>
      <c r="P20"/>
      <c r="Q20"/>
    </row>
    <row r="21" spans="1:37" ht="29.25" customHeight="1" thickBot="1">
      <c r="A21" s="985" t="s">
        <v>111</v>
      </c>
      <c r="B21" s="986">
        <f t="shared" ref="B21:N21" si="1">+B18+B19+B20</f>
        <v>5346.3</v>
      </c>
      <c r="C21" s="986">
        <f t="shared" si="1"/>
        <v>705792</v>
      </c>
      <c r="D21" s="986">
        <f t="shared" si="1"/>
        <v>684781.8</v>
      </c>
      <c r="E21" s="986">
        <f t="shared" si="1"/>
        <v>1190589</v>
      </c>
      <c r="F21" s="986">
        <f t="shared" si="1"/>
        <v>1044616</v>
      </c>
      <c r="G21" s="986">
        <f t="shared" si="1"/>
        <v>2157057.1000000006</v>
      </c>
      <c r="H21" s="986">
        <f t="shared" si="1"/>
        <v>4483667.3000000007</v>
      </c>
      <c r="I21" s="986">
        <f t="shared" si="1"/>
        <v>2064592.7000000004</v>
      </c>
      <c r="J21" s="986">
        <f t="shared" si="1"/>
        <v>874223</v>
      </c>
      <c r="K21" s="986">
        <f t="shared" si="1"/>
        <v>4276</v>
      </c>
      <c r="L21" s="986">
        <f t="shared" si="1"/>
        <v>464678.9</v>
      </c>
      <c r="M21" s="986">
        <f t="shared" si="1"/>
        <v>1360488</v>
      </c>
      <c r="N21" s="987">
        <f t="shared" si="1"/>
        <v>888788</v>
      </c>
      <c r="O21" s="1015">
        <f>SUM(O18:O20)</f>
        <v>15928896.100000001</v>
      </c>
      <c r="P21"/>
      <c r="Q21"/>
      <c r="S21" s="1045" t="s">
        <v>0</v>
      </c>
    </row>
    <row r="22" spans="1:37">
      <c r="C22" s="981"/>
    </row>
    <row r="23" spans="1:37">
      <c r="C23" s="92"/>
    </row>
    <row r="24" spans="1:37">
      <c r="C24" s="92"/>
      <c r="G24" s="102" t="s">
        <v>0</v>
      </c>
      <c r="I24" s="102" t="s">
        <v>0</v>
      </c>
    </row>
    <row r="25" spans="1:37">
      <c r="E25" s="102" t="s">
        <v>0</v>
      </c>
      <c r="F25" s="102" t="s">
        <v>0</v>
      </c>
    </row>
    <row r="26" spans="1:37" ht="20.100000000000001" customHeight="1">
      <c r="A26" s="966" t="s">
        <v>149</v>
      </c>
      <c r="B26" s="967"/>
      <c r="C26" s="967"/>
      <c r="D26" s="967"/>
      <c r="E26" s="967"/>
      <c r="F26" s="967"/>
      <c r="G26" s="967"/>
      <c r="H26" s="967"/>
      <c r="I26" s="967"/>
      <c r="J26" s="967"/>
      <c r="K26" s="967"/>
      <c r="L26" s="967"/>
      <c r="M26" s="967"/>
      <c r="N26" s="967"/>
      <c r="O26" s="967"/>
      <c r="P26" s="967"/>
      <c r="Q26" s="967"/>
    </row>
    <row r="27" spans="1:37" ht="20.100000000000001" customHeight="1" thickBot="1">
      <c r="A27" s="990"/>
      <c r="B27" s="992"/>
      <c r="C27" s="211"/>
      <c r="D27" s="211"/>
      <c r="E27" s="211"/>
      <c r="F27" s="211"/>
      <c r="G27" s="211"/>
      <c r="H27" s="211" t="s">
        <v>146</v>
      </c>
      <c r="I27" s="991"/>
      <c r="J27" s="991"/>
      <c r="K27" s="991"/>
      <c r="L27" s="211"/>
      <c r="M27" s="211"/>
      <c r="N27" s="211"/>
      <c r="O27" s="211"/>
      <c r="P27" s="211"/>
      <c r="Q27" s="211"/>
    </row>
    <row r="28" spans="1:37" ht="20.100000000000001" customHeight="1" thickBot="1">
      <c r="A28" s="1012"/>
      <c r="B28" s="968" t="s">
        <v>98</v>
      </c>
      <c r="C28" s="971" t="s">
        <v>100</v>
      </c>
      <c r="D28" s="971" t="s">
        <v>101</v>
      </c>
      <c r="E28" s="971" t="s">
        <v>102</v>
      </c>
      <c r="F28" s="971" t="s">
        <v>103</v>
      </c>
      <c r="G28" s="971" t="s">
        <v>147</v>
      </c>
      <c r="H28" s="971" t="s">
        <v>150</v>
      </c>
      <c r="I28" s="971" t="s">
        <v>151</v>
      </c>
      <c r="J28" s="971" t="s">
        <v>107</v>
      </c>
      <c r="K28" s="971"/>
      <c r="L28" s="971" t="s">
        <v>108</v>
      </c>
      <c r="M28" s="971" t="s">
        <v>109</v>
      </c>
      <c r="N28" s="971" t="s">
        <v>110</v>
      </c>
      <c r="O28" s="971" t="s">
        <v>111</v>
      </c>
      <c r="P28"/>
      <c r="Q28"/>
      <c r="AJ28" s="183"/>
      <c r="AK28" s="183"/>
    </row>
    <row r="29" spans="1:37" ht="30" customHeight="1" thickTop="1">
      <c r="A29" s="1007" t="s">
        <v>142</v>
      </c>
      <c r="B29" s="988">
        <v>0</v>
      </c>
      <c r="C29" s="1011">
        <f>6339+39606+16239+14343+12746+8236+14290+10289+16181+3171+5317+13568</f>
        <v>160325</v>
      </c>
      <c r="D29" s="989">
        <v>0</v>
      </c>
      <c r="E29" s="1011">
        <f>62168+54126+27616+22581+5079</f>
        <v>171570</v>
      </c>
      <c r="F29" s="1011">
        <v>90334</v>
      </c>
      <c r="G29" s="1058">
        <f>18227.5+429.2+549.4</f>
        <v>19206.100000000002</v>
      </c>
      <c r="H29" s="1011">
        <v>29184.7</v>
      </c>
      <c r="I29" s="1011">
        <v>0</v>
      </c>
      <c r="J29" s="989">
        <v>0</v>
      </c>
      <c r="K29" s="989"/>
      <c r="L29" s="989">
        <v>0</v>
      </c>
      <c r="M29" s="989">
        <v>0</v>
      </c>
      <c r="N29" s="989">
        <v>0</v>
      </c>
      <c r="O29" s="976">
        <f>SUM(B29:N29)</f>
        <v>470619.8</v>
      </c>
      <c r="P29"/>
      <c r="Q29"/>
    </row>
    <row r="30" spans="1:37" ht="30" customHeight="1">
      <c r="A30" s="1007" t="s">
        <v>143</v>
      </c>
      <c r="B30" s="988">
        <v>0</v>
      </c>
      <c r="C30" s="1011">
        <f>11851+116399+102579+88023+67441+20209+34490+21067+39689+48131+32730+16559</f>
        <v>599168</v>
      </c>
      <c r="D30" s="989">
        <v>0</v>
      </c>
      <c r="E30" s="1011">
        <f>222960+108231+67651+52056+13191</f>
        <v>464089</v>
      </c>
      <c r="F30" s="1011">
        <v>134775</v>
      </c>
      <c r="G30" s="1058">
        <f>2173.5+80479.4+153.5</f>
        <v>82806.399999999994</v>
      </c>
      <c r="H30" s="1011">
        <v>84153.8</v>
      </c>
      <c r="I30" s="1011">
        <f>75435.9+600.4+1277.7</f>
        <v>77313.999999999985</v>
      </c>
      <c r="J30" s="989">
        <v>0</v>
      </c>
      <c r="K30" s="989"/>
      <c r="L30" s="989">
        <v>0</v>
      </c>
      <c r="M30" s="989">
        <v>0</v>
      </c>
      <c r="N30" s="989">
        <v>0</v>
      </c>
      <c r="O30" s="976">
        <f>SUM(B30:N30)</f>
        <v>1442306.2</v>
      </c>
      <c r="P30"/>
      <c r="Q30"/>
    </row>
    <row r="31" spans="1:37" ht="30" customHeight="1">
      <c r="A31" s="1007" t="s">
        <v>148</v>
      </c>
      <c r="B31" s="988">
        <v>0</v>
      </c>
      <c r="C31" s="1011">
        <f>3188+1187+932+1057+1055+200+261</f>
        <v>7880</v>
      </c>
      <c r="D31" s="989">
        <v>0</v>
      </c>
      <c r="E31" s="1011">
        <f>57069+32888+24886+13383+1887</f>
        <v>130113</v>
      </c>
      <c r="F31" s="1011">
        <v>85262</v>
      </c>
      <c r="G31" s="1058">
        <v>18645.099999999999</v>
      </c>
      <c r="H31" s="1011">
        <v>41561.4</v>
      </c>
      <c r="I31" s="1011">
        <f>26458.7+2749.7</f>
        <v>29208.400000000001</v>
      </c>
      <c r="J31" s="989">
        <v>0</v>
      </c>
      <c r="K31" s="989"/>
      <c r="L31" s="989">
        <v>0</v>
      </c>
      <c r="M31" s="989">
        <v>0</v>
      </c>
      <c r="N31" s="989">
        <v>0</v>
      </c>
      <c r="O31" s="1004">
        <f>SUM(B31:N31)</f>
        <v>312669.90000000002</v>
      </c>
      <c r="P31"/>
      <c r="Q31"/>
    </row>
    <row r="32" spans="1:37" ht="28.5" customHeight="1" thickBot="1">
      <c r="A32" s="985" t="s">
        <v>111</v>
      </c>
      <c r="B32" s="1013">
        <f t="shared" ref="B32:N32" si="2">+B29+B30+B31</f>
        <v>0</v>
      </c>
      <c r="C32" s="1014">
        <f t="shared" si="2"/>
        <v>767373</v>
      </c>
      <c r="D32" s="1013">
        <f t="shared" si="2"/>
        <v>0</v>
      </c>
      <c r="E32" s="1014">
        <f t="shared" si="2"/>
        <v>765772</v>
      </c>
      <c r="F32" s="1014">
        <f t="shared" si="2"/>
        <v>310371</v>
      </c>
      <c r="G32" s="1014">
        <f t="shared" si="2"/>
        <v>120657.60000000001</v>
      </c>
      <c r="H32" s="1014">
        <f t="shared" si="2"/>
        <v>154899.9</v>
      </c>
      <c r="I32" s="1014">
        <f t="shared" si="2"/>
        <v>106522.4</v>
      </c>
      <c r="J32" s="1013">
        <f t="shared" si="2"/>
        <v>0</v>
      </c>
      <c r="K32" s="1013"/>
      <c r="L32" s="1013">
        <f t="shared" si="2"/>
        <v>0</v>
      </c>
      <c r="M32" s="1013">
        <f t="shared" si="2"/>
        <v>0</v>
      </c>
      <c r="N32" s="1013">
        <f t="shared" si="2"/>
        <v>0</v>
      </c>
      <c r="O32" s="1015">
        <f>SUM(O29:O31)</f>
        <v>2225595.9</v>
      </c>
      <c r="P32"/>
      <c r="Q32"/>
    </row>
    <row r="33" spans="1:26" ht="20.100000000000001" customHeight="1">
      <c r="A33" s="102" t="s">
        <v>0</v>
      </c>
    </row>
    <row r="34" spans="1:26" ht="20.100000000000001" hidden="1" customHeight="1"/>
    <row r="35" spans="1:26" hidden="1">
      <c r="V35" s="981"/>
    </row>
    <row r="36" spans="1:26" hidden="1">
      <c r="V36" s="981"/>
    </row>
    <row r="37" spans="1:26" hidden="1"/>
    <row r="38" spans="1:26" hidden="1">
      <c r="Z38" s="183"/>
    </row>
    <row r="39" spans="1:26" hidden="1"/>
    <row r="40" spans="1:26" hidden="1"/>
    <row r="41" spans="1:26" hidden="1"/>
    <row r="42" spans="1:26" hidden="1"/>
    <row r="43" spans="1:26" hidden="1"/>
    <row r="44" spans="1:26" hidden="1"/>
    <row r="45" spans="1:26" hidden="1"/>
    <row r="46" spans="1:26" hidden="1"/>
    <row r="47" spans="1:26" hidden="1"/>
    <row r="48" spans="1:26" hidden="1"/>
    <row r="49" hidden="1"/>
    <row r="50" hidden="1"/>
    <row r="51" hidden="1"/>
    <row r="52" hidden="1"/>
    <row r="53" hidden="1"/>
    <row r="54" hidden="1"/>
    <row r="55" hidden="1"/>
    <row r="56" hidden="1"/>
    <row r="57" hidden="1"/>
    <row r="58" hidden="1"/>
    <row r="59" hidden="1"/>
    <row r="60" hidden="1"/>
    <row r="61" hidden="1"/>
    <row r="62" hidden="1"/>
    <row r="63" hidden="1"/>
    <row r="64" hidden="1"/>
    <row r="65" spans="4:5" hidden="1"/>
    <row r="66" spans="4:5" hidden="1"/>
    <row r="67" spans="4:5" hidden="1"/>
    <row r="68" spans="4:5" hidden="1"/>
    <row r="69" spans="4:5" hidden="1">
      <c r="D69" s="102" t="s">
        <v>110</v>
      </c>
      <c r="E69" s="110">
        <v>1327</v>
      </c>
    </row>
    <row r="70" spans="4:5" hidden="1">
      <c r="D70" s="102" t="s">
        <v>103</v>
      </c>
      <c r="E70" s="110">
        <v>1050</v>
      </c>
    </row>
    <row r="71" spans="4:5" hidden="1">
      <c r="D71" s="102" t="s">
        <v>105</v>
      </c>
      <c r="E71" s="110">
        <v>875</v>
      </c>
    </row>
    <row r="72" spans="4:5" hidden="1">
      <c r="D72" s="102" t="s">
        <v>106</v>
      </c>
      <c r="E72" s="110">
        <v>862</v>
      </c>
    </row>
    <row r="73" spans="4:5" hidden="1">
      <c r="D73" s="102" t="s">
        <v>107</v>
      </c>
      <c r="E73" s="110">
        <v>664</v>
      </c>
    </row>
    <row r="74" spans="4:5" hidden="1">
      <c r="D74" s="102" t="s">
        <v>104</v>
      </c>
      <c r="E74" s="110">
        <v>624</v>
      </c>
    </row>
    <row r="75" spans="4:5" hidden="1">
      <c r="D75" s="102" t="s">
        <v>108</v>
      </c>
      <c r="E75" s="110">
        <v>496</v>
      </c>
    </row>
    <row r="76" spans="4:5" hidden="1">
      <c r="D76" s="102" t="s">
        <v>101</v>
      </c>
      <c r="E76" s="110">
        <v>278</v>
      </c>
    </row>
    <row r="77" spans="4:5" hidden="1">
      <c r="D77" s="102" t="s">
        <v>109</v>
      </c>
      <c r="E77" s="110">
        <v>171</v>
      </c>
    </row>
    <row r="78" spans="4:5" hidden="1">
      <c r="D78" s="102" t="s">
        <v>98</v>
      </c>
      <c r="E78" s="110">
        <v>103</v>
      </c>
    </row>
    <row r="79" spans="4:5" hidden="1">
      <c r="D79" s="102" t="s">
        <v>126</v>
      </c>
      <c r="E79" s="110">
        <v>12</v>
      </c>
    </row>
    <row r="80" spans="4:5" hidden="1">
      <c r="D80" s="102" t="s">
        <v>99</v>
      </c>
      <c r="E80" s="110">
        <v>0</v>
      </c>
    </row>
    <row r="81" spans="4:5" hidden="1">
      <c r="D81" s="102" t="s">
        <v>100</v>
      </c>
      <c r="E81" s="110">
        <v>0</v>
      </c>
    </row>
    <row r="82" spans="4:5" hidden="1">
      <c r="D82" s="102" t="s">
        <v>102</v>
      </c>
      <c r="E82" s="110">
        <v>0</v>
      </c>
    </row>
    <row r="83" spans="4:5"/>
    <row r="84" spans="4:5"/>
    <row r="85" spans="4:5"/>
    <row r="86" spans="4:5"/>
    <row r="87" spans="4:5"/>
    <row r="88" spans="4:5"/>
    <row r="89" spans="4:5"/>
    <row r="90" spans="4:5"/>
    <row r="91" spans="4:5"/>
    <row r="92" spans="4:5"/>
    <row r="93" spans="4:5"/>
    <row r="94" spans="4:5"/>
  </sheetData>
  <printOptions horizontalCentered="1"/>
  <pageMargins left="0.72" right="0.22" top="0.82" bottom="0.54" header="0.28000000000000003" footer="0.18"/>
  <pageSetup scale="56" orientation="landscape" r:id="rId1"/>
  <headerFooter alignWithMargins="0">
    <oddHeader xml:space="preserve">&amp;C&amp;"CG Times,Bold"             &amp;16               </oddHeader>
    <oddFooter>&amp;R&amp;P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104"/>
  <sheetViews>
    <sheetView zoomScale="75" workbookViewId="0">
      <selection activeCell="E16" sqref="E16"/>
    </sheetView>
  </sheetViews>
  <sheetFormatPr defaultRowHeight="15.75" zeroHeight="1"/>
  <cols>
    <col min="1" max="1" width="11" style="102" customWidth="1"/>
    <col min="2" max="2" width="15.625" style="102" customWidth="1"/>
    <col min="3" max="3" width="19" style="102" customWidth="1"/>
    <col min="4" max="4" width="19.125" style="102" customWidth="1"/>
    <col min="5" max="5" width="17.625" style="102" customWidth="1"/>
    <col min="6" max="6" width="19.125" style="102" customWidth="1"/>
    <col min="7" max="7" width="17.5" style="102" customWidth="1"/>
    <col min="8" max="8" width="19.125" style="102" customWidth="1"/>
    <col min="9" max="9" width="17.5" style="102" customWidth="1"/>
    <col min="10" max="10" width="15.5" style="102" customWidth="1"/>
    <col min="11" max="12" width="12.5" style="102" customWidth="1"/>
    <col min="13" max="13" width="13.125" style="102" customWidth="1"/>
    <col min="14" max="14" width="10.75" style="102" customWidth="1"/>
    <col min="15" max="15" width="13.125" style="102" customWidth="1"/>
    <col min="16" max="16" width="10.75" style="102" customWidth="1"/>
    <col min="17" max="17" width="11.75" style="102" customWidth="1"/>
    <col min="18" max="18" width="11" style="102" customWidth="1"/>
    <col min="19" max="19" width="14" style="102" customWidth="1"/>
    <col min="20" max="20" width="11" style="102" customWidth="1"/>
    <col min="21" max="34" width="15.625" style="102" customWidth="1"/>
    <col min="35" max="58" width="11" style="102" customWidth="1"/>
    <col min="59" max="60" width="10" style="102" customWidth="1"/>
    <col min="61" max="61" width="10.75" style="102" customWidth="1"/>
    <col min="62" max="62" width="10" style="102" customWidth="1"/>
    <col min="63" max="63" width="10.75" style="102" customWidth="1"/>
    <col min="64" max="64" width="14.5" style="102" customWidth="1"/>
    <col min="65" max="65" width="12.625" style="102" customWidth="1"/>
    <col min="66" max="71" width="12.5" style="102" customWidth="1"/>
    <col min="72" max="256" width="11" style="102" customWidth="1"/>
    <col min="257" max="16384" width="9" style="102"/>
  </cols>
  <sheetData>
    <row r="1" spans="1:17">
      <c r="A1" s="966" t="s">
        <v>152</v>
      </c>
      <c r="B1" s="966"/>
      <c r="C1" s="966"/>
      <c r="D1" s="966"/>
      <c r="E1" s="966"/>
      <c r="F1" s="966"/>
      <c r="G1" s="966"/>
      <c r="H1" s="966"/>
      <c r="I1" s="966"/>
      <c r="J1" s="966"/>
      <c r="K1" s="966"/>
      <c r="L1" s="991"/>
      <c r="M1" s="991"/>
      <c r="N1" s="991"/>
      <c r="O1"/>
      <c r="P1"/>
      <c r="Q1"/>
    </row>
    <row r="2" spans="1:17">
      <c r="A2" s="966" t="s">
        <v>153</v>
      </c>
      <c r="B2" s="966"/>
      <c r="C2" s="966"/>
      <c r="D2" s="966"/>
      <c r="E2" s="966"/>
      <c r="F2" s="966"/>
      <c r="G2" s="966"/>
      <c r="H2" s="966"/>
      <c r="I2" s="966"/>
      <c r="J2" s="966"/>
      <c r="K2" s="966"/>
      <c r="L2" s="991"/>
      <c r="M2" s="991"/>
      <c r="N2" s="991"/>
      <c r="O2" s="966"/>
      <c r="P2" s="966"/>
      <c r="Q2" s="966"/>
    </row>
    <row r="3" spans="1:17">
      <c r="A3" s="966" t="s">
        <v>140</v>
      </c>
      <c r="B3" s="966"/>
      <c r="C3" s="966"/>
      <c r="D3" s="966"/>
      <c r="E3" s="966"/>
      <c r="F3" s="966"/>
      <c r="G3" s="966"/>
      <c r="H3" s="966"/>
      <c r="I3" s="966"/>
      <c r="J3" s="966"/>
      <c r="K3" s="966"/>
      <c r="L3" s="991"/>
      <c r="M3" s="991"/>
      <c r="N3" s="991"/>
      <c r="O3" s="966"/>
      <c r="P3" s="967"/>
      <c r="Q3" s="967"/>
    </row>
    <row r="4" spans="1:17">
      <c r="B4" s="966"/>
      <c r="C4" s="967"/>
      <c r="D4" s="967"/>
      <c r="E4" s="967"/>
      <c r="F4" s="967"/>
      <c r="G4" s="967"/>
      <c r="H4" s="967"/>
      <c r="I4" s="967"/>
      <c r="J4" s="967"/>
      <c r="K4" s="967"/>
      <c r="L4" s="967"/>
      <c r="M4" s="967"/>
      <c r="N4" s="967"/>
      <c r="O4" s="967"/>
      <c r="P4" s="967"/>
      <c r="Q4" s="967"/>
    </row>
    <row r="5" spans="1:17">
      <c r="B5" s="966"/>
      <c r="C5" s="967"/>
      <c r="D5" s="967"/>
      <c r="E5" s="967"/>
      <c r="F5" s="967"/>
      <c r="G5" s="967"/>
      <c r="H5" s="967"/>
      <c r="I5" s="967"/>
      <c r="J5" s="967"/>
      <c r="K5" s="967"/>
      <c r="L5" s="967"/>
      <c r="M5" s="967"/>
      <c r="N5" s="967"/>
      <c r="O5" s="967"/>
      <c r="P5" s="967"/>
      <c r="Q5" s="967"/>
    </row>
    <row r="6" spans="1:17">
      <c r="B6" s="1084" t="s">
        <v>0</v>
      </c>
      <c r="C6" s="967"/>
      <c r="D6" s="967"/>
      <c r="E6" s="967"/>
      <c r="F6" s="967"/>
      <c r="G6" s="967"/>
      <c r="H6" s="967"/>
      <c r="I6" s="967"/>
      <c r="J6" s="967"/>
      <c r="K6" s="967"/>
      <c r="L6" s="967"/>
      <c r="M6" s="967"/>
      <c r="N6" s="967"/>
      <c r="O6" s="967"/>
      <c r="P6" s="967"/>
      <c r="Q6" s="967"/>
    </row>
    <row r="7" spans="1:17" ht="15.75" customHeight="1" thickBot="1">
      <c r="B7" s="967"/>
      <c r="C7" s="967"/>
      <c r="D7" s="967"/>
      <c r="E7" s="967"/>
      <c r="F7" s="967"/>
      <c r="G7" s="967"/>
      <c r="H7" s="967"/>
      <c r="I7" s="967"/>
      <c r="J7" s="967"/>
      <c r="K7" s="967"/>
    </row>
    <row r="8" spans="1:17" ht="36.75" customHeight="1" thickBot="1">
      <c r="B8" s="1006"/>
      <c r="C8" s="968" t="s">
        <v>154</v>
      </c>
      <c r="D8" s="969" t="s">
        <v>155</v>
      </c>
      <c r="E8" s="1086" t="s">
        <v>156</v>
      </c>
      <c r="F8" s="969" t="s">
        <v>157</v>
      </c>
      <c r="G8" s="1086" t="s">
        <v>158</v>
      </c>
      <c r="H8" s="969" t="s">
        <v>159</v>
      </c>
      <c r="I8" s="1086" t="s">
        <v>160</v>
      </c>
      <c r="J8"/>
      <c r="K8"/>
      <c r="L8"/>
      <c r="M8"/>
      <c r="N8"/>
      <c r="O8"/>
      <c r="P8" t="s">
        <v>0</v>
      </c>
      <c r="Q8"/>
    </row>
    <row r="9" spans="1:17" ht="30.75" customHeight="1" thickTop="1">
      <c r="B9" s="877" t="s">
        <v>142</v>
      </c>
      <c r="C9" s="972">
        <v>54496</v>
      </c>
      <c r="D9" s="974">
        <v>55988</v>
      </c>
      <c r="E9" s="975">
        <f>+D9-C9</f>
        <v>1492</v>
      </c>
      <c r="F9" s="975">
        <v>48869</v>
      </c>
      <c r="G9" s="973">
        <f>+F9-D9</f>
        <v>-7119</v>
      </c>
      <c r="H9" s="973">
        <v>66281</v>
      </c>
      <c r="I9" s="973">
        <f>+H9-F9</f>
        <v>17412</v>
      </c>
      <c r="J9"/>
      <c r="K9"/>
      <c r="L9"/>
      <c r="M9"/>
      <c r="N9"/>
      <c r="O9"/>
      <c r="P9"/>
      <c r="Q9"/>
    </row>
    <row r="10" spans="1:17" ht="29.25" customHeight="1">
      <c r="B10" s="877" t="s">
        <v>143</v>
      </c>
      <c r="C10" s="972">
        <v>445925</v>
      </c>
      <c r="D10" s="974">
        <v>461262</v>
      </c>
      <c r="E10" s="975">
        <f>+D10-C10</f>
        <v>15337</v>
      </c>
      <c r="F10" s="975">
        <v>402545</v>
      </c>
      <c r="G10" s="973">
        <f>+F10-D10</f>
        <v>-58717</v>
      </c>
      <c r="H10" s="973">
        <v>549287</v>
      </c>
      <c r="I10" s="973">
        <f>+H10-F10</f>
        <v>146742</v>
      </c>
      <c r="J10"/>
      <c r="K10"/>
      <c r="L10"/>
      <c r="M10"/>
      <c r="N10"/>
      <c r="O10"/>
      <c r="P10"/>
      <c r="Q10"/>
    </row>
    <row r="11" spans="1:17" ht="29.25" customHeight="1">
      <c r="B11" s="877" t="s">
        <v>144</v>
      </c>
      <c r="C11" s="1085">
        <v>21506</v>
      </c>
      <c r="D11" s="1002">
        <v>17842</v>
      </c>
      <c r="E11" s="975">
        <f>+D11-C11</f>
        <v>-3664</v>
      </c>
      <c r="F11" s="1003">
        <v>15351</v>
      </c>
      <c r="G11" s="1083">
        <f>+F11-D11</f>
        <v>-2491</v>
      </c>
      <c r="H11" s="1001">
        <v>16922</v>
      </c>
      <c r="I11" s="1083">
        <f>+H11-F11</f>
        <v>1571</v>
      </c>
      <c r="J11"/>
      <c r="K11"/>
      <c r="L11"/>
      <c r="M11"/>
      <c r="N11"/>
      <c r="O11"/>
      <c r="P11"/>
      <c r="Q11"/>
    </row>
    <row r="12" spans="1:17" ht="29.25" customHeight="1" thickBot="1">
      <c r="B12" s="977" t="s">
        <v>111</v>
      </c>
      <c r="C12" s="978">
        <f>SUM(C9:C11)</f>
        <v>521927</v>
      </c>
      <c r="D12" s="978">
        <f>SUM(D9:D11)</f>
        <v>535092</v>
      </c>
      <c r="E12" s="1087">
        <f>+D12-C12</f>
        <v>13165</v>
      </c>
      <c r="F12" s="978">
        <f>SUM(F9:F11)</f>
        <v>466765</v>
      </c>
      <c r="G12" s="978">
        <f>SUM(G9:G11)</f>
        <v>-68327</v>
      </c>
      <c r="H12" s="978">
        <f>SUM(H9:H11)</f>
        <v>632490</v>
      </c>
      <c r="I12" s="978">
        <f>SUM(I9:I11)</f>
        <v>165725</v>
      </c>
      <c r="J12"/>
      <c r="K12"/>
      <c r="L12"/>
      <c r="M12"/>
      <c r="N12"/>
      <c r="O12"/>
      <c r="P12"/>
      <c r="Q12"/>
    </row>
    <row r="13" spans="1:17"/>
    <row r="14" spans="1:17"/>
    <row r="15" spans="1:17"/>
    <row r="16" spans="1:17"/>
    <row r="17" spans="1:19"/>
    <row r="18" spans="1:19"/>
    <row r="19" spans="1:19">
      <c r="A19" s="966" t="s">
        <v>161</v>
      </c>
      <c r="B19" s="966"/>
      <c r="C19" s="966"/>
      <c r="D19" s="966"/>
      <c r="E19" s="966"/>
      <c r="F19" s="966"/>
      <c r="G19" s="966"/>
      <c r="H19" s="966"/>
      <c r="I19" s="966"/>
      <c r="J19" s="966"/>
      <c r="K19" s="966"/>
      <c r="L19" s="967"/>
      <c r="M19" s="967"/>
      <c r="N19" s="967"/>
      <c r="O19" s="967"/>
      <c r="P19" s="967"/>
      <c r="Q19" s="967"/>
    </row>
    <row r="20" spans="1:19">
      <c r="A20" s="966" t="s">
        <v>97</v>
      </c>
      <c r="B20" s="966"/>
      <c r="C20" s="966"/>
      <c r="D20" s="966"/>
      <c r="E20" s="966"/>
      <c r="F20" s="966"/>
      <c r="G20" s="966"/>
      <c r="H20" s="966"/>
      <c r="I20" s="966"/>
      <c r="J20" s="966"/>
      <c r="K20" s="966"/>
      <c r="L20" s="1084"/>
      <c r="M20" s="1084"/>
      <c r="N20" s="1084"/>
      <c r="O20" s="1084"/>
      <c r="P20" s="1084"/>
      <c r="Q20" s="1084"/>
    </row>
    <row r="21" spans="1:19" ht="16.5" thickBot="1">
      <c r="B21" s="111"/>
      <c r="K21" s="183"/>
      <c r="L21" s="183"/>
      <c r="M21" s="183"/>
      <c r="N21" s="183"/>
      <c r="O21" s="183"/>
      <c r="P21" s="183"/>
      <c r="Q21" s="183"/>
    </row>
    <row r="22" spans="1:19" ht="36" customHeight="1" thickBot="1">
      <c r="B22" s="1006"/>
      <c r="C22" s="968" t="s">
        <v>154</v>
      </c>
      <c r="D22" s="969" t="s">
        <v>155</v>
      </c>
      <c r="E22" s="1086" t="s">
        <v>156</v>
      </c>
      <c r="F22" s="969" t="s">
        <v>157</v>
      </c>
      <c r="G22" s="1086" t="s">
        <v>158</v>
      </c>
      <c r="H22" s="969" t="s">
        <v>159</v>
      </c>
      <c r="I22" s="1086" t="s">
        <v>160</v>
      </c>
      <c r="J22"/>
      <c r="K22"/>
      <c r="L22"/>
      <c r="M22"/>
      <c r="N22"/>
      <c r="O22"/>
      <c r="P22"/>
      <c r="Q22"/>
    </row>
    <row r="23" spans="1:19" ht="29.25" customHeight="1" thickTop="1">
      <c r="B23" s="877" t="s">
        <v>142</v>
      </c>
      <c r="C23" s="972">
        <v>3017863</v>
      </c>
      <c r="D23" s="974">
        <v>3572929</v>
      </c>
      <c r="E23" s="975">
        <f>+D23-C23</f>
        <v>555066</v>
      </c>
      <c r="F23" s="975">
        <v>3708943</v>
      </c>
      <c r="G23" s="973">
        <f>+F23-D23</f>
        <v>136014</v>
      </c>
      <c r="H23" s="973">
        <v>4117178</v>
      </c>
      <c r="I23" s="973">
        <f>+H23-F23</f>
        <v>408235</v>
      </c>
      <c r="J23"/>
      <c r="K23"/>
      <c r="L23"/>
      <c r="M23"/>
      <c r="N23"/>
      <c r="O23"/>
      <c r="P23"/>
      <c r="Q23"/>
    </row>
    <row r="24" spans="1:19" ht="29.25" customHeight="1">
      <c r="B24" s="877" t="s">
        <v>143</v>
      </c>
      <c r="C24" s="972">
        <v>5027855</v>
      </c>
      <c r="D24" s="974">
        <v>5628730</v>
      </c>
      <c r="E24" s="975">
        <f>+D24-C24</f>
        <v>600875</v>
      </c>
      <c r="F24" s="975">
        <v>6294532</v>
      </c>
      <c r="G24" s="973">
        <f>+F24-D24</f>
        <v>665802</v>
      </c>
      <c r="H24" s="973">
        <v>6394257</v>
      </c>
      <c r="I24" s="973">
        <f>+H24-F24</f>
        <v>99725</v>
      </c>
      <c r="J24"/>
      <c r="K24"/>
      <c r="L24"/>
      <c r="M24"/>
      <c r="N24"/>
      <c r="O24"/>
      <c r="P24"/>
      <c r="Q24"/>
    </row>
    <row r="25" spans="1:19" ht="29.25" customHeight="1">
      <c r="B25" s="877" t="s">
        <v>144</v>
      </c>
      <c r="C25" s="1085">
        <v>3590303</v>
      </c>
      <c r="D25" s="1002">
        <v>4265958</v>
      </c>
      <c r="E25" s="975">
        <f>+D25-C25</f>
        <v>675655</v>
      </c>
      <c r="F25" s="1003">
        <v>5540918</v>
      </c>
      <c r="G25" s="1083">
        <f>+F25-D25</f>
        <v>1274960</v>
      </c>
      <c r="H25" s="1001">
        <v>5604916</v>
      </c>
      <c r="I25" s="1083">
        <f>+H25-F25</f>
        <v>63998</v>
      </c>
      <c r="J25"/>
      <c r="K25"/>
      <c r="L25"/>
      <c r="M25"/>
      <c r="N25"/>
      <c r="O25"/>
      <c r="P25"/>
      <c r="Q25"/>
    </row>
    <row r="26" spans="1:19" ht="30" customHeight="1" thickBot="1">
      <c r="B26" s="977" t="s">
        <v>111</v>
      </c>
      <c r="C26" s="978">
        <f>SUM(C23:C25)</f>
        <v>11636021</v>
      </c>
      <c r="D26" s="978">
        <f>SUM(D23:D25)</f>
        <v>13467617</v>
      </c>
      <c r="E26" s="1087">
        <f>+D26-C26</f>
        <v>1831596</v>
      </c>
      <c r="F26" s="978">
        <f>SUM(F23:F25)</f>
        <v>15544393</v>
      </c>
      <c r="G26" s="978">
        <f>SUM(G23:G25)</f>
        <v>2076776</v>
      </c>
      <c r="H26" s="978">
        <f>SUM(H23:H25)</f>
        <v>16116351</v>
      </c>
      <c r="I26" s="978">
        <f>SUM(I23:I25)</f>
        <v>571958</v>
      </c>
      <c r="J26"/>
      <c r="K26"/>
      <c r="L26"/>
      <c r="M26"/>
      <c r="N26"/>
      <c r="O26"/>
      <c r="P26"/>
      <c r="Q26"/>
    </row>
    <row r="27" spans="1:19" ht="29.25" customHeight="1">
      <c r="B27"/>
      <c r="C27"/>
      <c r="D27"/>
      <c r="E27"/>
      <c r="F27"/>
      <c r="G27"/>
      <c r="H27"/>
      <c r="I27"/>
      <c r="J27"/>
      <c r="K27"/>
      <c r="L27"/>
      <c r="M27"/>
      <c r="N27"/>
      <c r="O27"/>
      <c r="P27"/>
      <c r="Q27"/>
      <c r="S27" s="1045" t="s">
        <v>0</v>
      </c>
    </row>
    <row r="28" spans="1:19">
      <c r="C28" s="111"/>
      <c r="D28" s="92"/>
    </row>
    <row r="29" spans="1:19">
      <c r="C29" s="111"/>
      <c r="D29" s="92"/>
    </row>
    <row r="30" spans="1:19">
      <c r="C30" s="111"/>
      <c r="D30" s="92"/>
    </row>
    <row r="31" spans="1:19">
      <c r="D31" s="92"/>
    </row>
    <row r="32" spans="1:19">
      <c r="A32" s="966" t="s">
        <v>162</v>
      </c>
      <c r="B32" s="966"/>
      <c r="C32" s="966"/>
      <c r="D32" s="966"/>
      <c r="E32" s="966"/>
      <c r="F32" s="966"/>
      <c r="G32" s="966"/>
      <c r="H32" s="966"/>
      <c r="I32" s="966"/>
      <c r="J32" s="966"/>
      <c r="K32" s="966"/>
    </row>
    <row r="33" spans="1:37">
      <c r="A33" s="966" t="s">
        <v>97</v>
      </c>
      <c r="B33" s="967"/>
      <c r="C33" s="967"/>
      <c r="D33" s="967"/>
      <c r="E33" s="967"/>
      <c r="F33" s="967"/>
      <c r="G33" s="967"/>
      <c r="H33" s="967"/>
      <c r="I33" s="967"/>
      <c r="J33" s="967"/>
      <c r="K33" s="967"/>
    </row>
    <row r="34" spans="1:37" ht="20.100000000000001" customHeight="1">
      <c r="B34" s="1084" t="s">
        <v>0</v>
      </c>
      <c r="C34" s="967"/>
      <c r="D34" s="967"/>
      <c r="E34" s="967"/>
      <c r="F34" s="967"/>
      <c r="G34" s="967"/>
      <c r="H34" s="967"/>
      <c r="I34" s="967"/>
      <c r="J34" s="967"/>
      <c r="K34" s="967"/>
      <c r="L34" s="967"/>
      <c r="M34" s="967"/>
      <c r="N34" s="967"/>
      <c r="O34" s="967"/>
      <c r="P34" s="967"/>
      <c r="Q34" s="967"/>
    </row>
    <row r="35" spans="1:37" ht="20.100000000000001" customHeight="1" thickBot="1">
      <c r="B35" s="990"/>
      <c r="C35" s="992"/>
      <c r="D35" s="211"/>
      <c r="E35" s="211"/>
      <c r="F35" s="211"/>
      <c r="G35" s="211"/>
      <c r="H35" s="211"/>
      <c r="I35" s="211" t="s">
        <v>0</v>
      </c>
      <c r="J35" s="991"/>
      <c r="K35" s="991"/>
      <c r="L35" s="211"/>
      <c r="M35" s="211"/>
      <c r="N35" s="211"/>
      <c r="O35" s="211"/>
      <c r="P35" s="211"/>
      <c r="Q35" s="211"/>
    </row>
    <row r="36" spans="1:37" ht="36.75" customHeight="1" thickBot="1">
      <c r="B36" s="1006"/>
      <c r="C36" s="968" t="s">
        <v>154</v>
      </c>
      <c r="D36" s="969" t="s">
        <v>155</v>
      </c>
      <c r="E36" s="1086" t="s">
        <v>156</v>
      </c>
      <c r="F36" s="969" t="s">
        <v>157</v>
      </c>
      <c r="G36" s="1086" t="s">
        <v>158</v>
      </c>
      <c r="H36" s="969" t="s">
        <v>159</v>
      </c>
      <c r="I36" s="1086" t="s">
        <v>160</v>
      </c>
      <c r="J36"/>
      <c r="K36"/>
      <c r="L36"/>
      <c r="M36"/>
      <c r="N36"/>
      <c r="O36"/>
      <c r="P36"/>
      <c r="Q36"/>
      <c r="AJ36" s="183"/>
      <c r="AK36" s="183"/>
    </row>
    <row r="37" spans="1:37" ht="30" customHeight="1" thickTop="1">
      <c r="B37" s="877" t="s">
        <v>142</v>
      </c>
      <c r="C37" s="972">
        <v>350874</v>
      </c>
      <c r="D37" s="974">
        <v>372526</v>
      </c>
      <c r="E37" s="975">
        <f>+D37-C37</f>
        <v>21652</v>
      </c>
      <c r="F37" s="975">
        <v>405363</v>
      </c>
      <c r="G37" s="973">
        <f>+F37-D37</f>
        <v>32837</v>
      </c>
      <c r="H37" s="973">
        <v>431929</v>
      </c>
      <c r="I37" s="973">
        <f>+H37-F37</f>
        <v>26566</v>
      </c>
      <c r="J37"/>
      <c r="K37"/>
      <c r="L37"/>
      <c r="M37"/>
      <c r="N37"/>
      <c r="O37"/>
      <c r="P37"/>
      <c r="Q37"/>
    </row>
    <row r="38" spans="1:37" ht="30" customHeight="1">
      <c r="B38" s="877" t="s">
        <v>143</v>
      </c>
      <c r="C38" s="972">
        <v>1055877</v>
      </c>
      <c r="D38" s="974">
        <v>1162300</v>
      </c>
      <c r="E38" s="975">
        <f>+D38-C38</f>
        <v>106423</v>
      </c>
      <c r="F38" s="975">
        <v>1260638</v>
      </c>
      <c r="G38" s="973">
        <f>+F38-D38</f>
        <v>98338</v>
      </c>
      <c r="H38" s="973">
        <v>1352561</v>
      </c>
      <c r="I38" s="973">
        <f>+H38-F38</f>
        <v>91923</v>
      </c>
      <c r="J38"/>
      <c r="K38"/>
      <c r="L38"/>
      <c r="M38"/>
      <c r="N38"/>
      <c r="O38"/>
      <c r="P38"/>
      <c r="Q38"/>
    </row>
    <row r="39" spans="1:37" ht="30" customHeight="1">
      <c r="B39" s="877" t="s">
        <v>144</v>
      </c>
      <c r="C39" s="1085">
        <v>254189</v>
      </c>
      <c r="D39" s="1002">
        <v>252894</v>
      </c>
      <c r="E39" s="975">
        <f>+D39-C39</f>
        <v>-1295</v>
      </c>
      <c r="F39" s="1003">
        <v>267466</v>
      </c>
      <c r="G39" s="1083">
        <f>+F39-D39</f>
        <v>14572</v>
      </c>
      <c r="H39" s="1001">
        <v>284020</v>
      </c>
      <c r="I39" s="1083">
        <f>+H39-F39</f>
        <v>16554</v>
      </c>
      <c r="J39"/>
      <c r="K39"/>
      <c r="L39"/>
      <c r="M39"/>
      <c r="N39"/>
      <c r="O39"/>
      <c r="P39"/>
      <c r="Q39"/>
    </row>
    <row r="40" spans="1:37" ht="30" customHeight="1" thickBot="1">
      <c r="B40" s="977" t="s">
        <v>111</v>
      </c>
      <c r="C40" s="978">
        <f>SUM(C37:C39)</f>
        <v>1660940</v>
      </c>
      <c r="D40" s="978">
        <f>SUM(D37:D39)</f>
        <v>1787720</v>
      </c>
      <c r="E40" s="1087">
        <f>+D40-C40</f>
        <v>126780</v>
      </c>
      <c r="F40" s="978">
        <f>SUM(F37:F39)</f>
        <v>1933467</v>
      </c>
      <c r="G40" s="978">
        <f>SUM(G37:G39)</f>
        <v>145747</v>
      </c>
      <c r="H40" s="978">
        <f>SUM(H37:H39)</f>
        <v>2068510</v>
      </c>
      <c r="I40" s="978">
        <f>SUM(I37:I39)</f>
        <v>135043</v>
      </c>
      <c r="J40"/>
      <c r="K40"/>
      <c r="L40"/>
      <c r="M40"/>
      <c r="N40"/>
      <c r="O40"/>
      <c r="P40"/>
      <c r="Q40"/>
    </row>
    <row r="41" spans="1:37" ht="28.5" customHeight="1">
      <c r="B41"/>
      <c r="C41"/>
      <c r="D41"/>
      <c r="E41"/>
      <c r="F41"/>
      <c r="G41"/>
      <c r="H41"/>
      <c r="I41"/>
      <c r="J41"/>
      <c r="K41"/>
      <c r="L41"/>
      <c r="M41"/>
      <c r="N41"/>
      <c r="O41"/>
      <c r="P41"/>
      <c r="Q41"/>
    </row>
    <row r="42" spans="1:37" ht="20.100000000000001" customHeight="1">
      <c r="B42" s="102" t="s">
        <v>0</v>
      </c>
    </row>
    <row r="43" spans="1:37" ht="20.100000000000001" hidden="1" customHeight="1"/>
    <row r="44" spans="1:37" hidden="1">
      <c r="V44" s="981"/>
    </row>
    <row r="45" spans="1:37" hidden="1">
      <c r="V45" s="981"/>
    </row>
    <row r="46" spans="1:37" hidden="1"/>
    <row r="47" spans="1:37" hidden="1">
      <c r="Z47" s="183"/>
    </row>
    <row r="48" spans="1:37" hidden="1"/>
    <row r="49" hidden="1"/>
    <row r="50" hidden="1"/>
    <row r="51" hidden="1"/>
    <row r="52" hidden="1"/>
    <row r="53" hidden="1"/>
    <row r="54" hidden="1"/>
    <row r="55" hidden="1"/>
    <row r="56" hidden="1"/>
    <row r="57" hidden="1"/>
    <row r="58" hidden="1"/>
    <row r="59" hidden="1"/>
    <row r="60" hidden="1"/>
    <row r="61" hidden="1"/>
    <row r="62" hidden="1"/>
    <row r="63" hidden="1"/>
    <row r="64" hidden="1"/>
    <row r="65" spans="5:6" hidden="1"/>
    <row r="66" spans="5:6" hidden="1"/>
    <row r="67" spans="5:6" hidden="1"/>
    <row r="68" spans="5:6" hidden="1"/>
    <row r="69" spans="5:6" hidden="1"/>
    <row r="70" spans="5:6" hidden="1"/>
    <row r="71" spans="5:6" hidden="1"/>
    <row r="72" spans="5:6" hidden="1"/>
    <row r="73" spans="5:6" hidden="1"/>
    <row r="74" spans="5:6" hidden="1"/>
    <row r="75" spans="5:6" hidden="1"/>
    <row r="76" spans="5:6" hidden="1"/>
    <row r="77" spans="5:6" hidden="1"/>
    <row r="78" spans="5:6" hidden="1">
      <c r="E78" s="102" t="s">
        <v>110</v>
      </c>
      <c r="F78" s="110">
        <v>1327</v>
      </c>
    </row>
    <row r="79" spans="5:6" hidden="1">
      <c r="E79" s="102" t="s">
        <v>103</v>
      </c>
      <c r="F79" s="110">
        <v>1050</v>
      </c>
    </row>
    <row r="80" spans="5:6" hidden="1">
      <c r="E80" s="102" t="s">
        <v>105</v>
      </c>
      <c r="F80" s="110">
        <v>875</v>
      </c>
    </row>
    <row r="81" spans="5:6" hidden="1">
      <c r="E81" s="102" t="s">
        <v>106</v>
      </c>
      <c r="F81" s="110">
        <v>862</v>
      </c>
    </row>
    <row r="82" spans="5:6" hidden="1">
      <c r="E82" s="102" t="s">
        <v>107</v>
      </c>
      <c r="F82" s="110">
        <v>664</v>
      </c>
    </row>
    <row r="83" spans="5:6" hidden="1">
      <c r="E83" s="102" t="s">
        <v>104</v>
      </c>
      <c r="F83" s="110">
        <v>624</v>
      </c>
    </row>
    <row r="84" spans="5:6" hidden="1">
      <c r="E84" s="102" t="s">
        <v>108</v>
      </c>
      <c r="F84" s="110">
        <v>496</v>
      </c>
    </row>
    <row r="85" spans="5:6" hidden="1">
      <c r="E85" s="102" t="s">
        <v>101</v>
      </c>
      <c r="F85" s="110">
        <v>278</v>
      </c>
    </row>
    <row r="86" spans="5:6" hidden="1">
      <c r="E86" s="102" t="s">
        <v>109</v>
      </c>
      <c r="F86" s="110">
        <v>171</v>
      </c>
    </row>
    <row r="87" spans="5:6" hidden="1">
      <c r="E87" s="102" t="s">
        <v>98</v>
      </c>
      <c r="F87" s="110">
        <v>103</v>
      </c>
    </row>
    <row r="88" spans="5:6" hidden="1">
      <c r="E88" s="102" t="s">
        <v>126</v>
      </c>
      <c r="F88" s="110">
        <v>12</v>
      </c>
    </row>
    <row r="89" spans="5:6" hidden="1">
      <c r="E89" s="102" t="s">
        <v>99</v>
      </c>
      <c r="F89" s="110">
        <v>0</v>
      </c>
    </row>
    <row r="90" spans="5:6" hidden="1">
      <c r="E90" s="102" t="s">
        <v>100</v>
      </c>
      <c r="F90" s="110">
        <v>0</v>
      </c>
    </row>
    <row r="91" spans="5:6" hidden="1">
      <c r="E91" s="102" t="s">
        <v>102</v>
      </c>
      <c r="F91" s="110">
        <v>0</v>
      </c>
    </row>
    <row r="92" spans="5:6"/>
    <row r="93" spans="5:6"/>
    <row r="94" spans="5:6"/>
    <row r="95" spans="5:6"/>
    <row r="96" spans="5:6"/>
    <row r="97"/>
    <row r="98"/>
    <row r="99"/>
    <row r="100"/>
    <row r="101"/>
    <row r="102"/>
    <row r="103"/>
    <row r="104"/>
  </sheetData>
  <printOptions horizontalCentered="1" verticalCentered="1"/>
  <pageMargins left="2.35" right="0.22" top="0.71" bottom="0.54" header="0.28000000000000003" footer="0.18"/>
  <pageSetup scale="41" orientation="landscape" r:id="rId1"/>
  <headerFooter alignWithMargins="0">
    <oddHeader xml:space="preserve">&amp;C&amp;"CG Times,Bold"             &amp;16               </oddHeader>
    <oddFooter>&amp;R&amp;P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4"/>
  <sheetViews>
    <sheetView topLeftCell="A8" workbookViewId="0">
      <selection activeCell="A8" sqref="A8"/>
    </sheetView>
  </sheetViews>
  <sheetFormatPr defaultRowHeight="15.75"/>
  <cols>
    <col min="1" max="4" width="11" customWidth="1"/>
    <col min="5" max="5" width="55.875" customWidth="1"/>
    <col min="6" max="6" width="13.125" customWidth="1"/>
    <col min="7" max="256" width="11" customWidth="1"/>
  </cols>
  <sheetData>
    <row r="1" spans="1:9">
      <c r="A1" s="843"/>
      <c r="B1" s="843"/>
      <c r="C1" s="843"/>
      <c r="D1" s="843"/>
      <c r="E1" s="843"/>
      <c r="F1" s="843"/>
      <c r="G1" s="843"/>
      <c r="H1" s="843"/>
      <c r="I1" s="843"/>
    </row>
    <row r="2" spans="1:9">
      <c r="A2" s="843"/>
      <c r="B2" s="843"/>
      <c r="C2" s="843"/>
      <c r="D2" s="843"/>
      <c r="E2" s="843"/>
      <c r="F2" s="843"/>
      <c r="G2" s="843"/>
      <c r="H2" s="843"/>
      <c r="I2" s="843"/>
    </row>
    <row r="3" spans="1:9">
      <c r="A3" s="843"/>
      <c r="B3" s="843"/>
      <c r="C3" s="843"/>
      <c r="D3" s="843"/>
      <c r="E3" s="843"/>
      <c r="F3" s="843"/>
      <c r="G3" s="843"/>
      <c r="H3" s="843"/>
      <c r="I3" s="843"/>
    </row>
    <row r="4" spans="1:9">
      <c r="A4" s="843"/>
      <c r="B4" s="843"/>
      <c r="C4" s="843"/>
      <c r="D4" s="843"/>
      <c r="E4" s="843"/>
      <c r="F4" s="843"/>
      <c r="G4" s="843"/>
      <c r="H4" s="843"/>
      <c r="I4" s="843"/>
    </row>
    <row r="5" spans="1:9">
      <c r="A5" s="843"/>
      <c r="B5" s="843"/>
      <c r="C5" s="843"/>
      <c r="D5" s="843"/>
      <c r="E5" s="843"/>
      <c r="F5" s="843"/>
      <c r="G5" s="843"/>
      <c r="H5" s="843"/>
      <c r="I5" s="843"/>
    </row>
    <row r="6" spans="1:9">
      <c r="A6" s="843"/>
      <c r="B6" s="843"/>
      <c r="C6" s="843"/>
      <c r="D6" s="843"/>
      <c r="E6" s="843"/>
      <c r="F6" s="843"/>
      <c r="G6" s="843"/>
      <c r="H6" s="843"/>
      <c r="I6" s="843"/>
    </row>
    <row r="7" spans="1:9">
      <c r="A7" s="843"/>
      <c r="B7" s="843"/>
      <c r="C7" s="843"/>
      <c r="D7" s="843"/>
      <c r="E7" s="843"/>
      <c r="F7" s="843"/>
      <c r="G7" s="843"/>
      <c r="H7" s="843"/>
      <c r="I7" s="843"/>
    </row>
    <row r="8" spans="1:9">
      <c r="A8" s="843"/>
      <c r="B8" s="843"/>
      <c r="C8" s="843"/>
      <c r="D8" s="843"/>
      <c r="E8" s="843"/>
      <c r="F8" s="843"/>
      <c r="G8" s="843"/>
      <c r="H8" s="843"/>
      <c r="I8" s="843"/>
    </row>
    <row r="9" spans="1:9">
      <c r="A9" s="843"/>
      <c r="B9" s="843"/>
      <c r="C9" s="843"/>
      <c r="D9" s="843"/>
      <c r="E9" s="843"/>
      <c r="F9" s="843"/>
      <c r="G9" s="843"/>
      <c r="H9" s="843"/>
      <c r="I9" s="843"/>
    </row>
    <row r="10" spans="1:9">
      <c r="A10" s="843"/>
      <c r="B10" s="843"/>
      <c r="C10" s="843"/>
      <c r="D10" s="843"/>
      <c r="E10" s="843"/>
      <c r="F10" s="843"/>
      <c r="G10" s="843"/>
      <c r="H10" s="843"/>
      <c r="I10" s="843"/>
    </row>
    <row r="11" spans="1:9">
      <c r="A11" s="843"/>
      <c r="B11" s="843"/>
      <c r="C11" s="843"/>
      <c r="D11" s="843"/>
      <c r="E11" s="843"/>
      <c r="F11" s="843"/>
      <c r="G11" s="843"/>
      <c r="H11" s="843"/>
      <c r="I11" s="843"/>
    </row>
    <row r="12" spans="1:9">
      <c r="A12" s="843"/>
      <c r="B12" s="843"/>
      <c r="C12" s="843"/>
      <c r="D12" s="843"/>
      <c r="E12" s="843"/>
      <c r="F12" s="843"/>
      <c r="G12" s="843"/>
      <c r="H12" s="843"/>
      <c r="I12" s="843"/>
    </row>
    <row r="13" spans="1:9">
      <c r="A13" s="843"/>
      <c r="B13" s="843"/>
      <c r="C13" s="843"/>
      <c r="D13" s="843"/>
      <c r="E13" s="843"/>
      <c r="F13" s="843"/>
      <c r="G13" s="843"/>
      <c r="H13" s="843"/>
      <c r="I13" s="843"/>
    </row>
    <row r="14" spans="1:9">
      <c r="A14" s="843"/>
      <c r="B14" s="843"/>
      <c r="C14" s="843"/>
      <c r="D14" s="843"/>
      <c r="E14" s="843"/>
      <c r="F14" s="843"/>
      <c r="G14" s="843"/>
      <c r="H14" s="843"/>
      <c r="I14" s="843"/>
    </row>
    <row r="15" spans="1:9">
      <c r="A15" s="843"/>
      <c r="B15" s="843"/>
      <c r="C15" s="843"/>
      <c r="D15" s="843"/>
      <c r="E15" s="843"/>
      <c r="F15" s="843"/>
      <c r="G15" s="843"/>
      <c r="H15" s="843"/>
      <c r="I15" s="843"/>
    </row>
    <row r="16" spans="1:9" ht="25.5">
      <c r="A16" s="818" t="s">
        <v>44</v>
      </c>
      <c r="B16" s="812"/>
      <c r="C16" s="812"/>
      <c r="D16" s="812"/>
      <c r="E16" s="812"/>
      <c r="F16" s="812"/>
      <c r="G16" s="812"/>
      <c r="H16" s="812"/>
      <c r="I16" s="812"/>
    </row>
    <row r="17" spans="1:9">
      <c r="A17" s="843"/>
      <c r="B17" s="843"/>
      <c r="C17" s="843"/>
      <c r="D17" s="843"/>
      <c r="E17" s="843"/>
      <c r="F17" s="843"/>
      <c r="G17" s="843"/>
      <c r="H17" s="843"/>
      <c r="I17" s="843"/>
    </row>
    <row r="18" spans="1:9">
      <c r="A18" s="843"/>
      <c r="B18" s="843"/>
      <c r="C18" s="843"/>
      <c r="D18" s="843"/>
      <c r="E18" s="843"/>
      <c r="F18" s="843"/>
      <c r="G18" s="843"/>
      <c r="H18" s="843"/>
      <c r="I18" s="843"/>
    </row>
    <row r="19" spans="1:9" ht="20.25">
      <c r="A19" s="845" t="s">
        <v>45</v>
      </c>
      <c r="B19" s="844"/>
      <c r="C19" s="844"/>
      <c r="D19" s="844"/>
      <c r="E19" s="844"/>
      <c r="F19" s="844"/>
      <c r="G19" s="844"/>
      <c r="H19" s="844"/>
      <c r="I19" s="844"/>
    </row>
    <row r="20" spans="1:9">
      <c r="A20" s="843"/>
      <c r="B20" s="843"/>
      <c r="C20" s="843"/>
      <c r="D20" s="843"/>
      <c r="E20" s="843"/>
      <c r="F20" s="843"/>
      <c r="G20" s="843"/>
      <c r="H20" s="843"/>
      <c r="I20" s="843"/>
    </row>
    <row r="21" spans="1:9">
      <c r="A21" s="843"/>
      <c r="B21" s="843"/>
      <c r="C21" s="843"/>
      <c r="D21" s="843"/>
      <c r="E21" s="843"/>
      <c r="F21" s="843"/>
      <c r="G21" s="843"/>
      <c r="H21" s="843"/>
      <c r="I21" s="843"/>
    </row>
    <row r="22" spans="1:9">
      <c r="A22" s="843"/>
      <c r="B22" s="843"/>
      <c r="C22" s="843"/>
      <c r="D22" s="843"/>
      <c r="E22" s="843"/>
      <c r="F22" s="843"/>
      <c r="G22" s="843"/>
      <c r="H22" s="843"/>
      <c r="I22" s="843"/>
    </row>
    <row r="23" spans="1:9">
      <c r="A23" s="843"/>
      <c r="B23" s="844"/>
      <c r="C23" s="844"/>
      <c r="D23" s="844"/>
      <c r="E23" s="844"/>
      <c r="F23" s="844"/>
      <c r="G23" s="844"/>
      <c r="H23" s="844"/>
      <c r="I23" s="844"/>
    </row>
    <row r="24" spans="1:9">
      <c r="A24" s="843"/>
      <c r="B24" s="843"/>
      <c r="C24" s="843"/>
      <c r="D24" s="843"/>
      <c r="E24" s="843"/>
      <c r="F24" s="843"/>
      <c r="G24" s="843"/>
      <c r="H24" s="843"/>
      <c r="I24" s="843"/>
    </row>
    <row r="25" spans="1:9">
      <c r="A25" s="843"/>
      <c r="B25" s="843"/>
      <c r="C25" s="843"/>
      <c r="D25" s="843"/>
      <c r="E25" s="843"/>
      <c r="F25" s="843"/>
      <c r="G25" s="843"/>
      <c r="H25" s="843"/>
      <c r="I25" s="843"/>
    </row>
    <row r="26" spans="1:9">
      <c r="A26" s="843"/>
      <c r="B26" s="843"/>
      <c r="C26" s="843"/>
      <c r="D26" s="843"/>
      <c r="E26" s="843"/>
      <c r="F26" s="843"/>
      <c r="G26" s="843"/>
      <c r="H26" s="843"/>
      <c r="I26" s="843"/>
    </row>
    <row r="27" spans="1:9">
      <c r="A27" s="843"/>
      <c r="B27" s="843"/>
      <c r="C27" s="843"/>
      <c r="D27" s="843"/>
      <c r="E27" s="843"/>
      <c r="F27" s="843"/>
      <c r="G27" s="843"/>
      <c r="H27" s="843"/>
      <c r="I27" s="843"/>
    </row>
    <row r="28" spans="1:9">
      <c r="A28" s="843"/>
      <c r="B28" s="843"/>
      <c r="C28" s="843"/>
      <c r="D28" s="843"/>
      <c r="E28" s="843"/>
      <c r="F28" s="843"/>
      <c r="G28" s="843"/>
      <c r="H28" s="843"/>
      <c r="I28" s="843"/>
    </row>
    <row r="29" spans="1:9">
      <c r="A29" s="843"/>
      <c r="B29" s="843"/>
      <c r="C29" s="843"/>
      <c r="D29" s="843"/>
      <c r="E29" s="843"/>
      <c r="F29" s="843"/>
      <c r="G29" s="843"/>
      <c r="H29" s="843"/>
      <c r="I29" s="843"/>
    </row>
    <row r="30" spans="1:9">
      <c r="A30" s="843"/>
      <c r="B30" s="843"/>
      <c r="C30" s="843"/>
      <c r="D30" s="843"/>
      <c r="E30" s="843"/>
      <c r="F30" s="843"/>
      <c r="G30" s="843"/>
      <c r="H30" s="843"/>
      <c r="I30" s="843"/>
    </row>
    <row r="31" spans="1:9">
      <c r="A31" s="843"/>
      <c r="B31" s="843"/>
      <c r="C31" s="843"/>
      <c r="D31" s="843"/>
      <c r="E31" s="843"/>
      <c r="F31" s="843"/>
      <c r="G31" s="843"/>
      <c r="H31" s="843"/>
      <c r="I31" s="843"/>
    </row>
    <row r="32" spans="1:9">
      <c r="A32" s="843"/>
      <c r="B32" s="843"/>
      <c r="C32" s="843"/>
      <c r="D32" s="843"/>
      <c r="E32" s="843"/>
      <c r="F32" s="843"/>
      <c r="G32" s="843"/>
      <c r="H32" s="843"/>
      <c r="I32" s="843"/>
    </row>
    <row r="33" spans="1:9">
      <c r="A33" s="843"/>
      <c r="B33" s="843"/>
      <c r="C33" s="843"/>
      <c r="D33" s="843"/>
      <c r="E33" s="843"/>
      <c r="F33" s="843"/>
      <c r="G33" s="843"/>
      <c r="H33" s="843"/>
      <c r="I33" s="843"/>
    </row>
    <row r="34" spans="1:9">
      <c r="A34" s="843"/>
      <c r="B34" s="843"/>
      <c r="C34" s="843"/>
      <c r="D34" s="843"/>
      <c r="E34" s="843"/>
      <c r="F34" s="843"/>
      <c r="G34" s="843"/>
      <c r="H34" s="843"/>
      <c r="I34" s="843"/>
    </row>
  </sheetData>
  <sheetProtection password="C7D6" sheet="1" objects="1" scenarios="1"/>
  <pageMargins left="0.75" right="0.38" top="0.81" bottom="0.85" header="0.5" footer="0.44"/>
  <pageSetup scale="89"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84"/>
  <sheetViews>
    <sheetView workbookViewId="0"/>
  </sheetViews>
  <sheetFormatPr defaultRowHeight="15.75"/>
  <cols>
    <col min="1" max="1" width="37.25" customWidth="1"/>
    <col min="2" max="2" width="16.625" customWidth="1"/>
    <col min="3" max="3" width="11.125" customWidth="1"/>
    <col min="4" max="4" width="14.75" customWidth="1"/>
    <col min="5" max="5" width="12.5" customWidth="1"/>
    <col min="6" max="6" width="15.25" customWidth="1"/>
    <col min="7" max="7" width="8.875" customWidth="1"/>
    <col min="8" max="8" width="15.25" customWidth="1"/>
    <col min="9" max="9" width="11.625" customWidth="1"/>
    <col min="10" max="10" width="13.75" customWidth="1"/>
    <col min="11" max="11" width="11.375" customWidth="1"/>
    <col min="12" max="12" width="14.25" customWidth="1"/>
    <col min="13" max="13" width="11" customWidth="1"/>
    <col min="14" max="14" width="14.75" customWidth="1"/>
    <col min="15" max="15" width="13.125" customWidth="1"/>
    <col min="16" max="16" width="13.875" customWidth="1"/>
    <col min="17" max="17" width="11" customWidth="1"/>
    <col min="18" max="18" width="15.25" customWidth="1"/>
    <col min="19" max="19" width="9.375" customWidth="1"/>
    <col min="20" max="20" width="15.25" customWidth="1"/>
    <col min="21" max="256" width="11" customWidth="1"/>
  </cols>
  <sheetData>
    <row r="1" spans="1:27">
      <c r="A1" s="114" t="s">
        <v>163</v>
      </c>
      <c r="B1" s="34"/>
      <c r="C1" s="34"/>
      <c r="D1" s="34"/>
      <c r="E1" s="34"/>
      <c r="F1" s="34"/>
      <c r="G1" s="34"/>
      <c r="H1" s="34"/>
      <c r="I1" s="34"/>
      <c r="J1" s="34"/>
      <c r="K1" s="34"/>
      <c r="L1" s="34"/>
      <c r="M1" s="34"/>
      <c r="N1" s="34"/>
      <c r="O1" s="34"/>
      <c r="P1" s="34"/>
      <c r="Q1" s="34"/>
      <c r="R1" s="34"/>
      <c r="S1" s="34"/>
      <c r="T1" s="34"/>
    </row>
    <row r="2" spans="1:27">
      <c r="A2" s="114" t="s">
        <v>164</v>
      </c>
      <c r="B2" s="34"/>
      <c r="C2" s="34"/>
      <c r="D2" s="34"/>
      <c r="E2" s="34"/>
      <c r="F2" s="34"/>
      <c r="G2" s="34"/>
      <c r="H2" s="34"/>
      <c r="I2" s="34"/>
      <c r="J2" s="34"/>
      <c r="K2" s="34"/>
      <c r="L2" s="34"/>
      <c r="M2" s="34"/>
      <c r="N2" s="34"/>
      <c r="O2" s="34"/>
      <c r="P2" s="34"/>
      <c r="Q2" s="34"/>
      <c r="R2" s="34"/>
      <c r="S2" s="34"/>
      <c r="T2" s="34"/>
    </row>
    <row r="3" spans="1:27">
      <c r="A3" s="114" t="s">
        <v>165</v>
      </c>
      <c r="B3" s="34"/>
      <c r="C3" s="34"/>
      <c r="D3" s="34"/>
      <c r="E3" s="34"/>
      <c r="F3" s="34"/>
      <c r="G3" s="34"/>
      <c r="H3" s="34"/>
      <c r="I3" s="34"/>
      <c r="J3" s="34"/>
      <c r="K3" s="34"/>
      <c r="L3" s="34"/>
      <c r="M3" s="34"/>
      <c r="N3" s="34"/>
      <c r="O3" s="34"/>
      <c r="P3" s="34"/>
      <c r="Q3" s="34"/>
      <c r="R3" s="34"/>
      <c r="S3" s="34"/>
      <c r="T3" s="34"/>
    </row>
    <row r="4" spans="1:27">
      <c r="A4" s="114"/>
      <c r="B4" s="34" t="s">
        <v>0</v>
      </c>
      <c r="C4" s="34"/>
      <c r="D4" s="34"/>
      <c r="E4" s="34"/>
      <c r="F4" s="34"/>
      <c r="G4" s="34"/>
      <c r="H4" s="34"/>
      <c r="I4" s="34"/>
      <c r="J4" s="34"/>
      <c r="K4" s="34"/>
      <c r="L4" s="34"/>
      <c r="M4" s="34"/>
      <c r="N4" s="34"/>
      <c r="O4" s="34"/>
      <c r="P4" s="34"/>
      <c r="Q4" s="34"/>
      <c r="R4" s="34"/>
      <c r="S4" s="34"/>
      <c r="T4" s="34"/>
    </row>
    <row r="5" spans="1:27" ht="16.5" thickBot="1">
      <c r="I5" s="18" t="s">
        <v>166</v>
      </c>
      <c r="J5" s="175" t="s">
        <v>167</v>
      </c>
      <c r="K5" s="176"/>
      <c r="L5" s="176"/>
      <c r="M5" s="176"/>
      <c r="N5" s="176"/>
      <c r="O5" s="176"/>
      <c r="P5" s="176"/>
    </row>
    <row r="6" spans="1:27" ht="16.5" thickBot="1">
      <c r="B6" s="174" t="s">
        <v>168</v>
      </c>
      <c r="C6" s="174" t="s">
        <v>169</v>
      </c>
      <c r="D6" s="177" t="s">
        <v>170</v>
      </c>
      <c r="E6" s="174" t="s">
        <v>169</v>
      </c>
      <c r="F6" s="177" t="s">
        <v>171</v>
      </c>
      <c r="G6" s="174" t="s">
        <v>169</v>
      </c>
      <c r="H6" s="174" t="s">
        <v>172</v>
      </c>
      <c r="I6" s="174" t="s">
        <v>173</v>
      </c>
      <c r="J6" s="173" t="s">
        <v>174</v>
      </c>
      <c r="K6" s="174" t="s">
        <v>169</v>
      </c>
      <c r="L6" s="173" t="s">
        <v>175</v>
      </c>
      <c r="M6" s="174" t="s">
        <v>169</v>
      </c>
      <c r="N6" s="173" t="s">
        <v>176</v>
      </c>
      <c r="O6" s="174" t="s">
        <v>169</v>
      </c>
      <c r="P6" s="173" t="s">
        <v>177</v>
      </c>
    </row>
    <row r="7" spans="1:27">
      <c r="B7" s="18"/>
      <c r="D7" s="18"/>
      <c r="F7" s="18"/>
      <c r="H7" s="18"/>
      <c r="J7" s="48"/>
      <c r="L7" s="48"/>
      <c r="N7" s="48"/>
      <c r="P7" s="48"/>
    </row>
    <row r="8" spans="1:27">
      <c r="A8" s="2" t="s">
        <v>178</v>
      </c>
    </row>
    <row r="9" spans="1:27">
      <c r="A9" s="2" t="s">
        <v>179</v>
      </c>
      <c r="B9" s="9" t="s">
        <v>0</v>
      </c>
    </row>
    <row r="11" spans="1:27">
      <c r="A11" s="2" t="s">
        <v>48</v>
      </c>
    </row>
    <row r="12" spans="1:27">
      <c r="A12" t="s">
        <v>180</v>
      </c>
      <c r="B12" s="447">
        <f>+somfinbilsys!B22</f>
        <v>22211842.699999999</v>
      </c>
      <c r="C12" s="43">
        <v>0</v>
      </c>
      <c r="D12" s="12">
        <f>+somfinbilsys!D22</f>
        <v>0</v>
      </c>
      <c r="E12" s="43">
        <v>0</v>
      </c>
      <c r="F12" s="12">
        <f>+somfinbilsys!F22</f>
        <v>0</v>
      </c>
      <c r="G12" s="43">
        <v>0</v>
      </c>
      <c r="H12" s="12">
        <f>+somfinbilsys!H22</f>
        <v>0</v>
      </c>
      <c r="I12" s="46">
        <f>+(B12-J12)/ABS(J12)</f>
        <v>5.283455766112146E-2</v>
      </c>
      <c r="J12" s="12">
        <f>+somfinbilsys!J22</f>
        <v>21097182.400000002</v>
      </c>
      <c r="K12" s="46">
        <f>+(-L12+J12)/ABS(L12)</f>
        <v>0.15852143411138345</v>
      </c>
      <c r="L12" s="12">
        <f>+somfinbilsys!L22</f>
        <v>18210437.699999999</v>
      </c>
      <c r="M12" s="46">
        <f>+(-N12+L12)/ABS(N12)</f>
        <v>0.16605269161971364</v>
      </c>
      <c r="N12" s="12">
        <f>+somfinbilsys!N22</f>
        <v>15617165.357000003</v>
      </c>
      <c r="O12" s="46">
        <f>+(-P12+N12)/ABS(P12)</f>
        <v>0.19210934097051452</v>
      </c>
      <c r="P12" s="12">
        <f>+somfinbilsys!P22</f>
        <v>13100447.09849</v>
      </c>
      <c r="Q12" s="43"/>
      <c r="R12" s="43"/>
      <c r="S12" s="43"/>
      <c r="T12" s="43"/>
      <c r="U12" s="43"/>
      <c r="V12" s="43"/>
      <c r="W12" s="43"/>
      <c r="X12" s="43"/>
      <c r="Y12" s="43"/>
      <c r="Z12" s="43"/>
      <c r="AA12" s="43"/>
    </row>
    <row r="13" spans="1:27">
      <c r="A13" t="s">
        <v>181</v>
      </c>
      <c r="B13" s="12">
        <f>+somfinbilsys!B17</f>
        <v>2281970</v>
      </c>
      <c r="C13" s="43">
        <v>0</v>
      </c>
      <c r="D13" s="12">
        <f>+somfinbilsys!D17</f>
        <v>0</v>
      </c>
      <c r="E13" s="43">
        <v>0</v>
      </c>
      <c r="F13" s="12">
        <f>+somfinbilsys!F17</f>
        <v>0</v>
      </c>
      <c r="G13" s="43">
        <v>0</v>
      </c>
      <c r="H13" s="12">
        <f>+somfinbilsys!H17</f>
        <v>0</v>
      </c>
      <c r="I13" s="46">
        <f>+(B13-J13)/ABS(J13)</f>
        <v>-0.26378659983662428</v>
      </c>
      <c r="J13" s="12">
        <f>+somfinbilsys!J17</f>
        <v>3099604</v>
      </c>
      <c r="K13" s="46">
        <f>+(-L13+J13)/ABS(L13)</f>
        <v>0.86835684147076553</v>
      </c>
      <c r="L13" s="12">
        <f>+somfinbilsys!L17</f>
        <v>1659000</v>
      </c>
      <c r="M13" s="46">
        <f>+(-N13+L13)/ABS(N13)</f>
        <v>0.73899371069182385</v>
      </c>
      <c r="N13" s="12">
        <f>+somfinbilsys!N17</f>
        <v>954000</v>
      </c>
      <c r="O13" s="43">
        <v>0</v>
      </c>
      <c r="P13" s="12">
        <f>+somfinbilsys!P17</f>
        <v>0</v>
      </c>
      <c r="Q13" s="43"/>
      <c r="R13" s="43"/>
      <c r="S13" s="43"/>
      <c r="T13" s="43"/>
      <c r="U13" s="43"/>
      <c r="V13" s="43"/>
      <c r="W13" s="43"/>
      <c r="X13" s="43"/>
      <c r="Y13" s="43"/>
      <c r="Z13" s="43"/>
      <c r="AA13" s="43"/>
    </row>
    <row r="14" spans="1:27">
      <c r="A14" t="s">
        <v>182</v>
      </c>
      <c r="B14" s="12">
        <f>+somfinbilsys!B19</f>
        <v>8964023.4000000004</v>
      </c>
      <c r="C14" s="43">
        <v>0</v>
      </c>
      <c r="D14" s="12">
        <f>+somfinbilsys!D19</f>
        <v>0</v>
      </c>
      <c r="E14" s="43">
        <v>0</v>
      </c>
      <c r="F14" s="12">
        <f>+somfinbilsys!F19</f>
        <v>0</v>
      </c>
      <c r="G14" s="43">
        <v>0</v>
      </c>
      <c r="H14" s="12">
        <f>+somfinbilsys!H19</f>
        <v>0</v>
      </c>
      <c r="I14" s="46">
        <f>+(B14-J14)/ABS(J14)</f>
        <v>4.8864484300982648E-2</v>
      </c>
      <c r="J14" s="12">
        <f>+somfinbilsys!J19</f>
        <v>8546407.6000000015</v>
      </c>
      <c r="K14" s="46">
        <f>+(-L14+J14)/ABS(L14)</f>
        <v>7.3170757433814432E-2</v>
      </c>
      <c r="L14" s="12">
        <f>+somfinbilsys!L19</f>
        <v>7963697.7999999998</v>
      </c>
      <c r="M14" s="46">
        <f>+(-N14+L14)/ABS(N14)</f>
        <v>0.14804584054012673</v>
      </c>
      <c r="N14" s="12">
        <f>+somfinbilsys!N19</f>
        <v>6936742</v>
      </c>
      <c r="O14" s="46">
        <f>+(-P14+N14)/ABS(P14)</f>
        <v>0.38433214629721518</v>
      </c>
      <c r="P14" s="12">
        <f>+somfinbilsys!P19</f>
        <v>5010894.2557999995</v>
      </c>
      <c r="Q14" s="43"/>
      <c r="R14" s="43"/>
      <c r="S14" s="43"/>
      <c r="T14" s="43"/>
      <c r="U14" s="43"/>
      <c r="V14" s="43"/>
      <c r="W14" s="43"/>
      <c r="X14" s="43"/>
      <c r="Y14" s="43"/>
      <c r="Z14" s="43"/>
      <c r="AA14" s="43"/>
    </row>
    <row r="15" spans="1:27">
      <c r="A15" t="s">
        <v>183</v>
      </c>
      <c r="B15" s="12">
        <f>+somfinbilsys!B29</f>
        <v>19360739.799999997</v>
      </c>
      <c r="C15" s="43">
        <v>0</v>
      </c>
      <c r="D15" s="12">
        <f>+somfinbilsys!D29</f>
        <v>0</v>
      </c>
      <c r="E15" s="43">
        <v>0</v>
      </c>
      <c r="F15" s="12">
        <f>+somfinbilsys!F29</f>
        <v>0</v>
      </c>
      <c r="G15" s="43">
        <v>0</v>
      </c>
      <c r="H15" s="12">
        <f>+somfinbilsys!H29</f>
        <v>0</v>
      </c>
      <c r="I15" s="46">
        <f>+(B15-J15)/ABS(J15)</f>
        <v>6.3982202192374577E-2</v>
      </c>
      <c r="J15" s="12">
        <f>+somfinbilsys!J29</f>
        <v>18196488.399999999</v>
      </c>
      <c r="K15" s="46">
        <f>+(-L15+J15)/ABS(L15)</f>
        <v>0.18556207363366434</v>
      </c>
      <c r="L15" s="12">
        <f>+somfinbilsys!L29</f>
        <v>15348406.300000001</v>
      </c>
      <c r="M15" s="46">
        <f>+(-N15+L15)/ABS(N15)</f>
        <v>0.1773652671221336</v>
      </c>
      <c r="N15" s="12">
        <f>+somfinbilsys!N29</f>
        <v>13036231.600000001</v>
      </c>
      <c r="O15" s="46">
        <f>+(-P15+N15)/ABS(P15)</f>
        <v>0.22375042560673952</v>
      </c>
      <c r="P15" s="12">
        <f>+somfinbilsys!P29</f>
        <v>10652688.103080001</v>
      </c>
      <c r="Q15" s="43"/>
      <c r="R15" s="43"/>
      <c r="S15" s="43"/>
      <c r="T15" s="43"/>
      <c r="U15" s="43"/>
      <c r="V15" s="43"/>
      <c r="W15" s="43"/>
      <c r="X15" s="43"/>
      <c r="Y15" s="43"/>
      <c r="Z15" s="43"/>
      <c r="AA15" s="43"/>
    </row>
    <row r="16" spans="1:27">
      <c r="A16" t="s">
        <v>184</v>
      </c>
      <c r="B16" s="12">
        <f>+somfinbilsys!B51</f>
        <v>1129980.3999999999</v>
      </c>
      <c r="C16" s="43">
        <v>0</v>
      </c>
      <c r="D16" s="12">
        <f>+somfinbilsys!D51</f>
        <v>0</v>
      </c>
      <c r="E16" s="43">
        <v>0</v>
      </c>
      <c r="F16" s="12">
        <f>+somfinbilsys!F51</f>
        <v>0</v>
      </c>
      <c r="G16" s="43">
        <v>0</v>
      </c>
      <c r="H16" s="12">
        <f>+somfinbilsys!H51</f>
        <v>0</v>
      </c>
      <c r="I16" s="46">
        <f>+(B16-J16)/ABS(J16)</f>
        <v>3.8116629005959315E-2</v>
      </c>
      <c r="J16" s="12">
        <f>+somfinbilsys!J51</f>
        <v>1088490.8</v>
      </c>
      <c r="K16" s="46">
        <f>+(-L16+J16)/ABS(L16)</f>
        <v>5.1777964268235166E-2</v>
      </c>
      <c r="L16" s="12">
        <f>+somfinbilsys!L51</f>
        <v>1034905.5</v>
      </c>
      <c r="M16" s="46">
        <f>+(-N16+L16)/ABS(N16)</f>
        <v>0.21987402206676601</v>
      </c>
      <c r="N16" s="12">
        <f>+somfinbilsys!N51</f>
        <v>848370.8</v>
      </c>
      <c r="O16" s="46">
        <f>+(-P16+N16)/ABS(P16)</f>
        <v>0.41650878396708069</v>
      </c>
      <c r="P16" s="12">
        <f>+somfinbilsys!P51</f>
        <v>598916.72370999993</v>
      </c>
      <c r="Q16" s="43"/>
      <c r="R16" s="43"/>
      <c r="S16" s="43"/>
      <c r="T16" s="43"/>
      <c r="U16" s="43"/>
      <c r="V16" s="43"/>
      <c r="W16" s="43"/>
      <c r="X16" s="43"/>
      <c r="Y16" s="43"/>
      <c r="Z16" s="43"/>
      <c r="AA16" s="43"/>
    </row>
    <row r="17" spans="1:27" ht="10.9" customHeight="1">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row>
    <row r="18" spans="1:27" ht="7.15" customHeight="1" thickBot="1">
      <c r="B18" s="187"/>
      <c r="C18" s="187"/>
      <c r="D18" s="187"/>
      <c r="E18" s="187"/>
      <c r="F18" s="187"/>
      <c r="G18" s="187"/>
      <c r="H18" s="187"/>
      <c r="I18" s="187"/>
      <c r="J18" s="187"/>
      <c r="K18" s="187"/>
      <c r="L18" s="187"/>
      <c r="M18" s="187"/>
      <c r="N18" s="187"/>
      <c r="O18" s="187"/>
      <c r="P18" s="187"/>
      <c r="Q18" s="43"/>
      <c r="R18" s="43"/>
      <c r="S18" s="43"/>
      <c r="T18" s="43"/>
      <c r="U18" s="43"/>
      <c r="V18" s="43"/>
      <c r="W18" s="43"/>
      <c r="X18" s="43"/>
      <c r="Y18" s="43"/>
      <c r="Z18" s="43"/>
      <c r="AA18" s="43"/>
    </row>
    <row r="19" spans="1:27" ht="15.6" customHeight="1">
      <c r="B19" s="210"/>
      <c r="C19" s="210"/>
      <c r="D19" s="210"/>
      <c r="E19" s="210"/>
      <c r="F19" s="210"/>
      <c r="G19" s="210"/>
      <c r="H19" s="210"/>
      <c r="I19" s="210"/>
      <c r="J19" s="210"/>
      <c r="K19" s="210"/>
      <c r="L19" s="210"/>
      <c r="M19" s="210"/>
      <c r="N19" s="210"/>
      <c r="O19" s="210"/>
      <c r="P19" s="210"/>
      <c r="Q19" s="43"/>
      <c r="R19" s="43"/>
      <c r="S19" s="43"/>
      <c r="T19" s="43"/>
      <c r="U19" s="43"/>
      <c r="V19" s="43"/>
      <c r="W19" s="43"/>
      <c r="X19" s="43"/>
      <c r="Y19" s="43"/>
      <c r="Z19" s="43"/>
      <c r="AA19" s="43"/>
    </row>
    <row r="20" spans="1:27">
      <c r="B20" s="51" t="s">
        <v>185</v>
      </c>
      <c r="C20" s="43"/>
      <c r="D20" s="51" t="s">
        <v>174</v>
      </c>
      <c r="E20" s="43"/>
      <c r="F20" s="51" t="s">
        <v>185</v>
      </c>
      <c r="G20" s="43"/>
      <c r="H20" s="51" t="s">
        <v>174</v>
      </c>
      <c r="I20" s="43"/>
      <c r="J20" s="51" t="s">
        <v>185</v>
      </c>
      <c r="K20" s="43"/>
      <c r="L20" s="51" t="s">
        <v>174</v>
      </c>
      <c r="M20" s="43"/>
      <c r="N20" s="51" t="s">
        <v>185</v>
      </c>
      <c r="O20" s="43"/>
      <c r="P20" s="51" t="s">
        <v>174</v>
      </c>
      <c r="Q20" s="43"/>
      <c r="R20" s="51" t="s">
        <v>185</v>
      </c>
      <c r="S20" s="43"/>
      <c r="T20" s="51" t="s">
        <v>174</v>
      </c>
      <c r="U20" s="43"/>
      <c r="V20" s="43"/>
      <c r="W20" s="43"/>
      <c r="X20" s="43"/>
      <c r="Y20" s="43"/>
      <c r="Z20" s="43"/>
      <c r="AA20" s="43"/>
    </row>
    <row r="21" spans="1:27">
      <c r="B21" s="50" t="s">
        <v>186</v>
      </c>
      <c r="C21" s="50" t="s">
        <v>169</v>
      </c>
      <c r="D21" s="50" t="s">
        <v>186</v>
      </c>
      <c r="E21" s="43"/>
      <c r="F21" s="50" t="s">
        <v>187</v>
      </c>
      <c r="G21" s="50" t="s">
        <v>169</v>
      </c>
      <c r="H21" s="50" t="s">
        <v>187</v>
      </c>
      <c r="I21" s="43"/>
      <c r="J21" s="50" t="s">
        <v>188</v>
      </c>
      <c r="K21" s="180" t="s">
        <v>169</v>
      </c>
      <c r="L21" s="50" t="s">
        <v>188</v>
      </c>
      <c r="M21" s="43"/>
      <c r="N21" s="50" t="s">
        <v>189</v>
      </c>
      <c r="O21" s="50" t="s">
        <v>169</v>
      </c>
      <c r="P21" s="50" t="s">
        <v>189</v>
      </c>
      <c r="Q21" s="43"/>
      <c r="R21" s="50" t="s">
        <v>190</v>
      </c>
      <c r="S21" s="50" t="s">
        <v>169</v>
      </c>
      <c r="T21" s="50" t="s">
        <v>190</v>
      </c>
      <c r="U21" s="43"/>
      <c r="V21" s="43"/>
      <c r="W21" s="43"/>
      <c r="X21" s="43"/>
      <c r="Y21" s="43"/>
      <c r="Z21" s="43"/>
      <c r="AA21" s="43"/>
    </row>
    <row r="22" spans="1:27" ht="21" thickBot="1">
      <c r="B22" s="179" t="s">
        <v>191</v>
      </c>
      <c r="C22" s="178"/>
      <c r="D22" s="179" t="s">
        <v>192</v>
      </c>
      <c r="E22" s="43"/>
      <c r="F22" s="179" t="s">
        <v>193</v>
      </c>
      <c r="G22" s="178"/>
      <c r="H22" s="179" t="s">
        <v>194</v>
      </c>
      <c r="I22" s="43"/>
      <c r="J22" s="179" t="s">
        <v>195</v>
      </c>
      <c r="K22" s="179"/>
      <c r="L22" s="179" t="s">
        <v>196</v>
      </c>
      <c r="M22" s="43"/>
      <c r="N22" s="179" t="s">
        <v>197</v>
      </c>
      <c r="O22" s="178"/>
      <c r="P22" s="179" t="s">
        <v>198</v>
      </c>
      <c r="Q22" s="43"/>
      <c r="R22" s="326" t="s">
        <v>199</v>
      </c>
      <c r="S22" s="178"/>
      <c r="T22" s="326" t="s">
        <v>200</v>
      </c>
      <c r="U22" s="43"/>
      <c r="V22" s="43"/>
      <c r="W22" s="43"/>
      <c r="X22" s="43"/>
      <c r="Y22" s="43"/>
      <c r="Z22" s="43"/>
      <c r="AA22" s="43"/>
    </row>
    <row r="23" spans="1:27">
      <c r="A23" s="2" t="s">
        <v>52</v>
      </c>
      <c r="B23" s="43"/>
      <c r="C23" s="43"/>
      <c r="D23" s="43"/>
      <c r="E23" s="43"/>
      <c r="F23" s="43"/>
      <c r="G23" s="43"/>
      <c r="H23" s="43"/>
      <c r="I23" s="43"/>
      <c r="J23" s="43"/>
      <c r="K23" s="43"/>
      <c r="L23" s="43"/>
      <c r="M23" s="43"/>
      <c r="N23" s="43"/>
      <c r="O23" s="43"/>
      <c r="P23" s="43"/>
      <c r="Q23" s="43"/>
      <c r="R23" s="43"/>
      <c r="S23" s="47" t="s">
        <v>0</v>
      </c>
      <c r="T23" s="43"/>
      <c r="U23" s="43"/>
      <c r="V23" s="43"/>
      <c r="W23" s="43"/>
      <c r="X23" s="43"/>
      <c r="Y23" s="43"/>
      <c r="Z23" s="43"/>
      <c r="AA23" s="43"/>
    </row>
    <row r="24" spans="1:27">
      <c r="A24" t="s">
        <v>201</v>
      </c>
      <c r="B24" s="12">
        <f>+somfinrésys!B55</f>
        <v>310344.29999999993</v>
      </c>
      <c r="C24" s="46">
        <f>+(-D24+B24)/ABS(D24)</f>
        <v>0.26279213412738578</v>
      </c>
      <c r="D24" s="12">
        <f>+somfinrésys!D55</f>
        <v>245760.39999999997</v>
      </c>
      <c r="E24" s="43"/>
      <c r="F24" s="12">
        <f>+somfinrésys!F55</f>
        <v>0</v>
      </c>
      <c r="G24" s="43">
        <v>0</v>
      </c>
      <c r="H24" s="12">
        <f>+somfinrésys!H55</f>
        <v>253495.6</v>
      </c>
      <c r="I24" s="43"/>
      <c r="J24" s="12">
        <f>+somfinrésys!J55</f>
        <v>0</v>
      </c>
      <c r="K24" s="43">
        <v>0</v>
      </c>
      <c r="L24" s="12">
        <f>+somfinrésys!L55</f>
        <v>279357.69999999995</v>
      </c>
      <c r="M24" s="43"/>
      <c r="N24" s="43">
        <f>+somfinrésys!N55</f>
        <v>0</v>
      </c>
      <c r="O24" s="57">
        <v>0</v>
      </c>
      <c r="P24" s="12">
        <f>+somfinrésys!P55</f>
        <v>318794.30000000005</v>
      </c>
      <c r="Q24" s="43"/>
      <c r="R24" s="12">
        <f>+somfinrésys!R55</f>
        <v>310344.29999999993</v>
      </c>
      <c r="S24" s="46">
        <f>+(-T24+R24)/T24</f>
        <v>0.26279213412738578</v>
      </c>
      <c r="T24" s="12">
        <f>+somfinrésys!T55</f>
        <v>245760.39999999997</v>
      </c>
      <c r="U24" s="43"/>
      <c r="V24" s="43"/>
      <c r="W24" s="43"/>
      <c r="X24" s="43"/>
      <c r="Y24" s="43"/>
      <c r="Z24" s="43"/>
      <c r="AA24" s="43"/>
    </row>
    <row r="25" spans="1:27">
      <c r="A25" t="s">
        <v>202</v>
      </c>
      <c r="B25" s="12">
        <f>+somfinrésys!B61</f>
        <v>137512.50000000003</v>
      </c>
      <c r="C25" s="46">
        <f>+(-D25+B25)/ABS(D25)</f>
        <v>0.26647418009007312</v>
      </c>
      <c r="D25" s="12">
        <f>+somfinrésys!D61</f>
        <v>108578.99999999999</v>
      </c>
      <c r="E25" s="43"/>
      <c r="F25" s="12">
        <f>+somfinrésys!F61</f>
        <v>0</v>
      </c>
      <c r="G25" s="43">
        <v>0</v>
      </c>
      <c r="H25" s="12">
        <f>+somfinrésys!H61</f>
        <v>116050.4</v>
      </c>
      <c r="I25" s="43"/>
      <c r="J25" s="12">
        <f>+somfinrésys!J61</f>
        <v>0</v>
      </c>
      <c r="K25" s="43">
        <v>0</v>
      </c>
      <c r="L25" s="12">
        <f>+somfinrésys!L61</f>
        <v>118140.1</v>
      </c>
      <c r="M25" s="43"/>
      <c r="N25" s="43">
        <f>+somfinrésys!N61</f>
        <v>0</v>
      </c>
      <c r="O25" s="57">
        <v>0</v>
      </c>
      <c r="P25" s="12">
        <f>+somfinrésys!P61</f>
        <v>202203.6</v>
      </c>
      <c r="Q25" s="43"/>
      <c r="R25" s="12">
        <f>+somfinrésys!R61</f>
        <v>137512.50000000003</v>
      </c>
      <c r="S25" s="46">
        <f>+(-T25+R25)/T25</f>
        <v>0.26647418009007312</v>
      </c>
      <c r="T25" s="12">
        <f>+somfinrésys!T61</f>
        <v>108578.99999999999</v>
      </c>
      <c r="U25" s="43"/>
      <c r="V25" s="43"/>
      <c r="W25" s="43"/>
      <c r="X25" s="43"/>
      <c r="Y25" s="43"/>
      <c r="Z25" s="43"/>
      <c r="AA25" s="43"/>
    </row>
    <row r="26" spans="1:27">
      <c r="A26" t="s">
        <v>203</v>
      </c>
      <c r="B26" s="12">
        <f>+somfinrésys!B65</f>
        <v>16959.2</v>
      </c>
      <c r="C26" s="46">
        <f>+(-D26+B26)/ABS(D26)</f>
        <v>-0.1168371279188451</v>
      </c>
      <c r="D26" s="12">
        <f>+somfinrésys!D65</f>
        <v>19202.8</v>
      </c>
      <c r="E26" s="43"/>
      <c r="F26" s="12">
        <f>+somfinrésys!F65</f>
        <v>0</v>
      </c>
      <c r="G26" s="43">
        <v>0</v>
      </c>
      <c r="H26" s="12">
        <f>+somfinrésys!H65</f>
        <v>16492</v>
      </c>
      <c r="I26" s="43"/>
      <c r="J26" s="12">
        <f>+somfinrésys!J65</f>
        <v>0</v>
      </c>
      <c r="K26" s="43">
        <v>0</v>
      </c>
      <c r="L26" s="12">
        <f>+somfinrésys!L65</f>
        <v>36757.800000000003</v>
      </c>
      <c r="M26" s="43"/>
      <c r="N26" s="43">
        <f>+somfinrésys!N65</f>
        <v>0</v>
      </c>
      <c r="O26" s="57">
        <v>0</v>
      </c>
      <c r="P26" s="12">
        <f>+somfinrésys!P65</f>
        <v>36962.300000000003</v>
      </c>
      <c r="Q26" s="43"/>
      <c r="R26" s="12">
        <f>+somfinrésys!R65</f>
        <v>16959.2</v>
      </c>
      <c r="S26" s="46">
        <f>+(-T26+R26)/T26</f>
        <v>-0.1168371279188451</v>
      </c>
      <c r="T26" s="12">
        <f>+somfinrésys!T65</f>
        <v>19202.8</v>
      </c>
      <c r="U26" s="43"/>
      <c r="V26" s="43"/>
      <c r="W26" s="43"/>
      <c r="X26" s="43"/>
      <c r="Y26" s="43"/>
      <c r="Z26" s="43"/>
      <c r="AA26" s="43"/>
    </row>
    <row r="27" spans="1:27">
      <c r="A27" t="s">
        <v>204</v>
      </c>
      <c r="B27" s="12">
        <f>+somfinrésys!B75</f>
        <v>350534.3</v>
      </c>
      <c r="C27" s="46">
        <f>+(-D27+B27)/ABS(D27)</f>
        <v>0.13520176925176947</v>
      </c>
      <c r="D27" s="12">
        <f>+somfinrésys!D75</f>
        <v>308785.90000000002</v>
      </c>
      <c r="E27" s="43"/>
      <c r="F27" s="12">
        <f>+somfinrésys!F75</f>
        <v>0</v>
      </c>
      <c r="G27" s="43">
        <v>0</v>
      </c>
      <c r="H27" s="12">
        <f>+somfinrésys!H75</f>
        <v>296382.09999999998</v>
      </c>
      <c r="I27" s="43"/>
      <c r="J27" s="12">
        <f>+somfinrésys!J75</f>
        <v>0</v>
      </c>
      <c r="K27" s="43">
        <v>0</v>
      </c>
      <c r="L27" s="12">
        <f>+somfinrésys!L75</f>
        <v>293872.59999999998</v>
      </c>
      <c r="M27" s="43"/>
      <c r="N27" s="43">
        <f>+somfinrésys!N75</f>
        <v>0</v>
      </c>
      <c r="O27" s="57">
        <v>0</v>
      </c>
      <c r="P27" s="12">
        <f>+somfinrésys!P75</f>
        <v>381284.6</v>
      </c>
      <c r="Q27" s="43"/>
      <c r="R27" s="12">
        <f>+somfinrésys!R75</f>
        <v>350534.3</v>
      </c>
      <c r="S27" s="46">
        <f>+(-T27+R27)/T27</f>
        <v>0.13520176925176947</v>
      </c>
      <c r="T27" s="12">
        <f>+somfinrésys!T75</f>
        <v>308785.90000000002</v>
      </c>
      <c r="U27" s="43"/>
      <c r="V27" s="43"/>
      <c r="W27" s="43"/>
      <c r="X27" s="43"/>
      <c r="Y27" s="43"/>
      <c r="Z27" s="43"/>
      <c r="AA27" s="43"/>
    </row>
    <row r="28" spans="1:27">
      <c r="A28" t="s">
        <v>205</v>
      </c>
      <c r="B28" s="12">
        <f>+somfinrésys!B81</f>
        <v>59573.79999999993</v>
      </c>
      <c r="C28" s="46">
        <f>+(-D28+B28)/ABS(D28)</f>
        <v>2.9117370892018855</v>
      </c>
      <c r="D28" s="12">
        <f>+somfinrésys!D81</f>
        <v>15229.499999999953</v>
      </c>
      <c r="E28" s="43"/>
      <c r="F28" s="12">
        <f>+somfinrésys!F81</f>
        <v>0</v>
      </c>
      <c r="G28" s="43">
        <v>0</v>
      </c>
      <c r="H28" s="12">
        <f>+somfinrésys!H81</f>
        <v>38022.500000000022</v>
      </c>
      <c r="I28" s="43"/>
      <c r="J28" s="12">
        <f>+somfinrésys!J81</f>
        <v>0</v>
      </c>
      <c r="K28" s="43">
        <v>0</v>
      </c>
      <c r="L28" s="12">
        <f>+somfinrésys!L81</f>
        <v>52525.399999999965</v>
      </c>
      <c r="M28" s="43"/>
      <c r="N28" s="43">
        <f>+somfinrésys!N81</f>
        <v>0</v>
      </c>
      <c r="O28" s="57">
        <v>0</v>
      </c>
      <c r="P28" s="12">
        <f>+somfinrésys!P81</f>
        <v>88568.800000000061</v>
      </c>
      <c r="Q28" s="43"/>
      <c r="R28" s="12">
        <f>+somfinrésys!R81</f>
        <v>59573.79999999993</v>
      </c>
      <c r="S28" s="46">
        <f>+(-T28+R28)/T28</f>
        <v>2.9117370892018855</v>
      </c>
      <c r="T28" s="12">
        <f>+somfinrésys!T81</f>
        <v>15229.499999999953</v>
      </c>
      <c r="U28" s="43"/>
      <c r="V28" s="43"/>
      <c r="W28" s="43"/>
      <c r="X28" s="43"/>
      <c r="Y28" s="43"/>
      <c r="Z28" s="43"/>
      <c r="AA28" s="43"/>
    </row>
    <row r="29" spans="1:27" ht="10.15" customHeight="1">
      <c r="B29" s="210"/>
      <c r="C29" s="210"/>
      <c r="D29" s="210"/>
      <c r="E29" s="210"/>
      <c r="F29" s="210"/>
      <c r="G29" s="210"/>
      <c r="H29" s="210"/>
      <c r="I29" s="210"/>
      <c r="J29" s="210"/>
      <c r="K29" s="210"/>
      <c r="L29" s="210"/>
      <c r="M29" s="210"/>
      <c r="N29" s="210"/>
      <c r="O29" s="210"/>
      <c r="P29" s="210"/>
      <c r="Q29" s="210"/>
      <c r="R29" s="210"/>
      <c r="S29" s="210"/>
      <c r="T29" s="210"/>
      <c r="U29" s="43"/>
      <c r="V29" s="43"/>
      <c r="W29" s="43"/>
      <c r="X29" s="43"/>
      <c r="Y29" s="43"/>
      <c r="Z29" s="43"/>
      <c r="AA29" s="43"/>
    </row>
    <row r="30" spans="1:27" ht="8.4499999999999993" customHeight="1" thickBot="1">
      <c r="B30" s="187"/>
      <c r="C30" s="187"/>
      <c r="D30" s="187"/>
      <c r="E30" s="187"/>
      <c r="F30" s="187"/>
      <c r="G30" s="187"/>
      <c r="H30" s="187"/>
      <c r="I30" s="187"/>
      <c r="J30" s="187"/>
      <c r="K30" s="187"/>
      <c r="L30" s="187"/>
      <c r="M30" s="187"/>
      <c r="N30" s="187"/>
      <c r="O30" s="187"/>
      <c r="P30" s="187"/>
      <c r="Q30" s="187"/>
      <c r="R30" s="187"/>
      <c r="S30" s="187"/>
      <c r="T30" s="187"/>
      <c r="U30" s="43"/>
      <c r="V30" s="43"/>
      <c r="W30" s="43"/>
      <c r="X30" s="43"/>
      <c r="Y30" s="43"/>
      <c r="Z30" s="43"/>
      <c r="AA30" s="43"/>
    </row>
    <row r="31" spans="1:27" ht="9.6" customHeight="1">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row>
    <row r="32" spans="1:27" ht="15.6" customHeight="1">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row>
    <row r="33" spans="1:27">
      <c r="B33" s="51" t="s">
        <v>185</v>
      </c>
      <c r="C33" s="51" t="s">
        <v>174</v>
      </c>
      <c r="D33" s="43"/>
      <c r="E33" s="51" t="s">
        <v>185</v>
      </c>
      <c r="F33" s="51" t="s">
        <v>174</v>
      </c>
      <c r="G33" s="43"/>
      <c r="H33" s="51" t="s">
        <v>185</v>
      </c>
      <c r="I33" s="51" t="s">
        <v>174</v>
      </c>
      <c r="J33" s="43"/>
      <c r="K33" s="51" t="s">
        <v>185</v>
      </c>
      <c r="L33" s="51" t="s">
        <v>174</v>
      </c>
      <c r="M33" s="43"/>
      <c r="N33" s="51" t="s">
        <v>185</v>
      </c>
      <c r="O33" s="51" t="s">
        <v>174</v>
      </c>
      <c r="P33" s="43"/>
      <c r="U33" s="43"/>
      <c r="V33" s="43"/>
      <c r="W33" s="43"/>
      <c r="X33" s="43"/>
      <c r="Y33" s="43"/>
      <c r="Z33" s="43"/>
      <c r="AA33" s="43"/>
    </row>
    <row r="34" spans="1:27" ht="16.5" thickBot="1">
      <c r="B34" s="50" t="s">
        <v>186</v>
      </c>
      <c r="C34" s="50" t="s">
        <v>186</v>
      </c>
      <c r="D34" s="43"/>
      <c r="E34" s="50" t="s">
        <v>187</v>
      </c>
      <c r="F34" s="50" t="s">
        <v>187</v>
      </c>
      <c r="G34" s="43"/>
      <c r="H34" s="50" t="s">
        <v>188</v>
      </c>
      <c r="I34" s="50" t="s">
        <v>188</v>
      </c>
      <c r="J34" s="43"/>
      <c r="K34" s="50" t="s">
        <v>189</v>
      </c>
      <c r="L34" s="50" t="s">
        <v>189</v>
      </c>
      <c r="M34" s="43"/>
      <c r="N34" s="50" t="s">
        <v>190</v>
      </c>
      <c r="O34" s="50" t="s">
        <v>190</v>
      </c>
      <c r="P34" s="43"/>
      <c r="Q34" s="114" t="s">
        <v>206</v>
      </c>
      <c r="R34" s="114"/>
      <c r="S34" s="114"/>
      <c r="T34" s="114"/>
      <c r="U34" s="43"/>
      <c r="V34" s="43"/>
      <c r="W34" s="43"/>
      <c r="X34" s="43"/>
      <c r="Y34" s="43"/>
      <c r="Z34" s="43"/>
      <c r="AA34" s="43"/>
    </row>
    <row r="35" spans="1:27" ht="16.5" thickBot="1">
      <c r="B35" s="181" t="s">
        <v>191</v>
      </c>
      <c r="C35" s="181" t="s">
        <v>192</v>
      </c>
      <c r="D35" s="43"/>
      <c r="E35" s="181" t="s">
        <v>193</v>
      </c>
      <c r="F35" s="181" t="s">
        <v>194</v>
      </c>
      <c r="G35" s="43"/>
      <c r="H35" s="181" t="s">
        <v>195</v>
      </c>
      <c r="I35" s="181" t="s">
        <v>196</v>
      </c>
      <c r="J35" s="43"/>
      <c r="K35" s="181" t="s">
        <v>197</v>
      </c>
      <c r="L35" s="181" t="s">
        <v>198</v>
      </c>
      <c r="M35" s="43"/>
      <c r="N35" s="181" t="s">
        <v>199</v>
      </c>
      <c r="O35" s="181" t="s">
        <v>200</v>
      </c>
      <c r="P35" s="43"/>
      <c r="Q35" s="182" t="s">
        <v>174</v>
      </c>
      <c r="R35" s="182" t="s">
        <v>175</v>
      </c>
      <c r="S35" s="182" t="s">
        <v>176</v>
      </c>
      <c r="T35" s="182" t="s">
        <v>177</v>
      </c>
      <c r="U35" s="43"/>
      <c r="V35" s="43"/>
      <c r="W35" s="43"/>
      <c r="X35" s="43"/>
      <c r="Y35" s="43"/>
      <c r="Z35" s="43"/>
      <c r="AA35" s="43"/>
    </row>
    <row r="36" spans="1:27">
      <c r="A36" s="2" t="s">
        <v>207</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184" t="s">
        <v>208</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A38" s="184" t="s">
        <v>209</v>
      </c>
      <c r="B38" s="43"/>
      <c r="C38" s="43"/>
      <c r="D38" s="149"/>
      <c r="E38" s="149"/>
      <c r="F38" s="149"/>
      <c r="G38" s="149"/>
      <c r="H38" s="149"/>
      <c r="I38" s="149"/>
      <c r="J38" s="149"/>
      <c r="K38" s="149"/>
      <c r="L38" s="149"/>
      <c r="M38" s="149"/>
      <c r="N38" s="149"/>
      <c r="O38" s="149"/>
      <c r="P38" s="149"/>
      <c r="Q38" s="149"/>
      <c r="R38" s="149"/>
      <c r="S38" s="149"/>
      <c r="T38" s="149"/>
      <c r="U38" s="43"/>
      <c r="V38" s="43"/>
      <c r="W38" s="43"/>
      <c r="X38" s="43"/>
      <c r="Y38" s="43"/>
      <c r="Z38" s="43"/>
      <c r="AA38" s="43"/>
    </row>
    <row r="39" spans="1:27">
      <c r="A39" s="186"/>
      <c r="B39" s="43"/>
      <c r="C39" s="43"/>
      <c r="D39" s="149"/>
      <c r="E39" s="149"/>
      <c r="F39" s="149"/>
      <c r="G39" s="149"/>
      <c r="H39" s="149"/>
      <c r="I39" s="149"/>
      <c r="J39" s="149"/>
      <c r="K39" s="149"/>
      <c r="L39" s="149"/>
      <c r="M39" s="149"/>
      <c r="N39" s="149"/>
      <c r="O39" s="149"/>
      <c r="P39" s="149"/>
      <c r="Q39" s="149"/>
      <c r="R39" s="149"/>
      <c r="S39" s="149"/>
      <c r="T39" s="149"/>
      <c r="U39" s="43"/>
      <c r="V39" s="43"/>
      <c r="W39" s="43"/>
      <c r="X39" s="43"/>
      <c r="Y39" s="43"/>
      <c r="Z39" s="43"/>
      <c r="AA39" s="43"/>
    </row>
    <row r="40" spans="1:27">
      <c r="A40" s="2" t="s">
        <v>210</v>
      </c>
      <c r="B40" s="43"/>
      <c r="C40" s="43"/>
      <c r="D40" s="149"/>
      <c r="E40" s="149"/>
      <c r="F40" s="149"/>
      <c r="G40" s="149"/>
      <c r="H40" s="149"/>
      <c r="I40" s="149"/>
      <c r="J40" s="149"/>
      <c r="K40" s="149"/>
      <c r="L40" s="149"/>
      <c r="M40" s="149"/>
      <c r="N40" s="149"/>
      <c r="O40" s="149"/>
      <c r="P40" s="149"/>
      <c r="Q40" s="149"/>
      <c r="R40" s="149"/>
      <c r="S40" s="149"/>
      <c r="T40" s="149"/>
      <c r="U40" s="43"/>
      <c r="V40" s="43"/>
      <c r="W40" s="43"/>
      <c r="X40" s="43"/>
      <c r="Y40" s="43"/>
      <c r="Z40" s="43"/>
      <c r="AA40" s="43"/>
    </row>
    <row r="41" spans="1:27" ht="8.4499999999999993" customHeight="1">
      <c r="A41" s="2"/>
      <c r="B41" s="43"/>
      <c r="C41" s="43"/>
      <c r="D41" s="149"/>
      <c r="E41" s="149"/>
      <c r="F41" s="149"/>
      <c r="G41" s="149"/>
      <c r="H41" s="149"/>
      <c r="I41" s="149"/>
      <c r="J41" s="149"/>
      <c r="K41" s="149"/>
      <c r="L41" s="149"/>
      <c r="M41" s="149"/>
      <c r="N41" s="149"/>
      <c r="O41" s="149"/>
      <c r="P41" s="149"/>
      <c r="Q41" s="149"/>
      <c r="R41" s="149"/>
      <c r="S41" s="149"/>
      <c r="T41" s="149"/>
      <c r="U41" s="43"/>
      <c r="V41" s="43"/>
      <c r="W41" s="43"/>
      <c r="X41" s="43"/>
      <c r="Y41" s="43"/>
      <c r="Z41" s="43"/>
      <c r="AA41" s="43"/>
    </row>
    <row r="42" spans="1:27">
      <c r="A42" t="s">
        <v>211</v>
      </c>
      <c r="B42" s="57"/>
      <c r="C42" s="57"/>
      <c r="D42" s="59"/>
      <c r="E42" s="59"/>
      <c r="F42" s="59"/>
      <c r="G42" s="59"/>
      <c r="H42" s="59"/>
      <c r="I42" s="59"/>
      <c r="J42" s="59"/>
      <c r="K42" s="59"/>
      <c r="M42" s="59"/>
      <c r="N42" s="59"/>
      <c r="O42" s="59"/>
      <c r="P42" s="59"/>
      <c r="Q42" s="59"/>
      <c r="R42" s="59"/>
      <c r="S42" s="59"/>
      <c r="T42" s="59"/>
      <c r="U42" s="43"/>
      <c r="V42" s="43"/>
      <c r="W42" s="43"/>
      <c r="X42" s="43"/>
      <c r="Y42" s="43"/>
      <c r="Z42" s="43"/>
      <c r="AA42" s="43"/>
    </row>
    <row r="43" spans="1:27">
      <c r="A43" t="s">
        <v>212</v>
      </c>
      <c r="B43" s="58">
        <f>+somfinbilsys!B51/somfinbilsys!B22</f>
        <v>5.0872879628307471E-2</v>
      </c>
      <c r="C43" s="58">
        <v>6.0499999999999998E-2</v>
      </c>
      <c r="D43" s="59"/>
      <c r="E43" s="364">
        <v>0</v>
      </c>
      <c r="F43" s="59">
        <v>5.8799999999999998E-2</v>
      </c>
      <c r="G43" s="59"/>
      <c r="H43" s="57">
        <v>0</v>
      </c>
      <c r="I43" s="59">
        <v>5.21E-2</v>
      </c>
      <c r="J43" s="59"/>
      <c r="K43" s="57">
        <v>0</v>
      </c>
      <c r="L43" s="59">
        <v>5.16E-2</v>
      </c>
      <c r="M43" s="59"/>
      <c r="N43" s="59">
        <f>+B43</f>
        <v>5.0872879628307471E-2</v>
      </c>
      <c r="O43" s="59">
        <f>+C43</f>
        <v>6.0499999999999998E-2</v>
      </c>
      <c r="P43" s="59"/>
      <c r="Q43" s="59">
        <f>+somfinbilsys!J51/somfinbilsys!J22</f>
        <v>5.1594131356611866E-2</v>
      </c>
      <c r="R43" s="59">
        <v>5.7099999999999998E-2</v>
      </c>
      <c r="S43" s="59">
        <v>5.4300000000000001E-2</v>
      </c>
      <c r="T43" s="59">
        <v>4.5699999999999998E-2</v>
      </c>
      <c r="U43" s="43"/>
      <c r="V43" s="43"/>
      <c r="W43" s="43"/>
      <c r="X43" s="43"/>
      <c r="Y43" s="43"/>
      <c r="Z43" s="43"/>
      <c r="AA43" s="43"/>
    </row>
    <row r="44" spans="1:27" ht="8.4499999999999993" customHeight="1">
      <c r="B44" s="58"/>
      <c r="C44" s="58"/>
      <c r="D44" s="59"/>
      <c r="E44" s="364"/>
      <c r="F44" s="59"/>
      <c r="G44" s="59"/>
      <c r="H44" s="364" t="s">
        <v>0</v>
      </c>
      <c r="I44" s="59"/>
      <c r="J44" s="59"/>
      <c r="K44" s="364" t="s">
        <v>0</v>
      </c>
      <c r="L44" s="59"/>
      <c r="M44" s="59"/>
      <c r="N44" s="58" t="s">
        <v>0</v>
      </c>
      <c r="O44" s="59"/>
      <c r="P44" s="59"/>
      <c r="Q44" s="59"/>
      <c r="R44" s="59"/>
      <c r="S44" s="59"/>
      <c r="T44" s="59"/>
      <c r="U44" s="43"/>
      <c r="V44" s="43"/>
      <c r="W44" s="43"/>
      <c r="X44" s="43"/>
      <c r="Y44" s="43"/>
      <c r="Z44" s="43"/>
      <c r="AA44" s="43"/>
    </row>
    <row r="45" spans="1:27">
      <c r="A45" t="s">
        <v>213</v>
      </c>
      <c r="B45" s="58">
        <f>+somfinbilsys!B29/somfinbilsys!B22</f>
        <v>0.87164041549781002</v>
      </c>
      <c r="C45" s="59">
        <v>0.8629</v>
      </c>
      <c r="D45" s="59"/>
      <c r="E45" s="364">
        <v>0</v>
      </c>
      <c r="F45" s="59">
        <v>0.86439999999999995</v>
      </c>
      <c r="G45" s="59"/>
      <c r="H45" s="57">
        <v>0</v>
      </c>
      <c r="I45" s="59">
        <v>0.86329999999999996</v>
      </c>
      <c r="J45" s="59"/>
      <c r="K45" s="57">
        <v>0</v>
      </c>
      <c r="L45" s="59">
        <v>0.86250000000000004</v>
      </c>
      <c r="M45" s="59"/>
      <c r="N45" s="59">
        <f>+B45</f>
        <v>0.87164041549781002</v>
      </c>
      <c r="O45" s="59">
        <f>+C45</f>
        <v>0.8629</v>
      </c>
      <c r="P45" s="59"/>
      <c r="Q45" s="59">
        <f>+somfinbilsys!J29/somfinbilsys!J22</f>
        <v>0.8625079906404941</v>
      </c>
      <c r="R45" s="59">
        <v>0.84279999999999999</v>
      </c>
      <c r="S45" s="59">
        <v>0.8347</v>
      </c>
      <c r="T45" s="59">
        <v>0.81320000000000003</v>
      </c>
      <c r="U45" s="43"/>
      <c r="V45" s="43"/>
      <c r="W45" s="43"/>
      <c r="X45" s="43"/>
      <c r="Y45" s="43"/>
      <c r="Z45" s="43"/>
      <c r="AA45" s="43"/>
    </row>
    <row r="46" spans="1:27">
      <c r="A46" t="s">
        <v>0</v>
      </c>
      <c r="B46" s="57"/>
      <c r="C46" s="57"/>
      <c r="D46" s="59"/>
      <c r="E46" s="57"/>
      <c r="F46" s="59"/>
      <c r="G46" s="59"/>
      <c r="H46" s="364" t="s">
        <v>0</v>
      </c>
      <c r="I46" s="59"/>
      <c r="J46" s="59"/>
      <c r="K46" s="364" t="s">
        <v>0</v>
      </c>
      <c r="L46" s="59"/>
      <c r="M46" s="59"/>
      <c r="N46" s="58" t="s">
        <v>0</v>
      </c>
      <c r="O46" s="59"/>
      <c r="P46" s="59"/>
      <c r="Q46" s="59"/>
      <c r="R46" s="59"/>
      <c r="S46" s="59"/>
      <c r="T46" s="59"/>
      <c r="U46" s="43"/>
      <c r="V46" s="43"/>
      <c r="W46" s="43"/>
      <c r="X46" s="43"/>
      <c r="Y46" s="43"/>
      <c r="Z46" s="43"/>
      <c r="AA46" s="43"/>
    </row>
    <row r="47" spans="1:27">
      <c r="A47" s="2" t="s">
        <v>214</v>
      </c>
      <c r="B47" s="57"/>
      <c r="C47" s="57"/>
      <c r="D47" s="59"/>
      <c r="E47" s="57"/>
      <c r="F47" s="59"/>
      <c r="G47" s="59"/>
      <c r="H47" s="57"/>
      <c r="I47" s="59"/>
      <c r="J47" s="59"/>
      <c r="K47" s="57"/>
      <c r="L47" s="59"/>
      <c r="M47" s="59"/>
      <c r="N47" s="59"/>
      <c r="O47" s="59"/>
      <c r="P47" s="59"/>
      <c r="Q47" s="59"/>
      <c r="R47" s="59"/>
      <c r="S47" s="59"/>
      <c r="T47" s="59"/>
      <c r="U47" s="43"/>
      <c r="V47" s="43"/>
      <c r="W47" s="43"/>
      <c r="X47" s="43"/>
      <c r="Y47" s="43"/>
      <c r="Z47" s="43"/>
      <c r="AA47" s="43"/>
    </row>
    <row r="48" spans="1:27" ht="8.4499999999999993" customHeight="1">
      <c r="A48" s="2"/>
      <c r="B48" s="57"/>
      <c r="C48" s="57"/>
      <c r="D48" s="59"/>
      <c r="E48" s="57"/>
      <c r="F48" s="59"/>
      <c r="G48" s="59"/>
      <c r="H48" s="57"/>
      <c r="I48" s="59"/>
      <c r="J48" s="59"/>
      <c r="K48" s="57"/>
      <c r="L48" s="59"/>
      <c r="M48" s="59"/>
      <c r="N48" s="59"/>
      <c r="O48" s="59"/>
      <c r="P48" s="59"/>
      <c r="Q48" s="59"/>
      <c r="R48" s="59"/>
      <c r="S48" s="59"/>
      <c r="T48" s="59"/>
      <c r="U48" s="43"/>
      <c r="V48" s="43"/>
      <c r="W48" s="43"/>
      <c r="X48" s="43"/>
      <c r="Y48" s="43"/>
      <c r="Z48" s="43"/>
      <c r="AA48" s="43"/>
    </row>
    <row r="49" spans="1:27">
      <c r="A49" t="s">
        <v>215</v>
      </c>
      <c r="B49" s="57"/>
      <c r="C49" s="57"/>
      <c r="D49" s="59"/>
      <c r="E49" s="57"/>
      <c r="F49" s="59"/>
      <c r="G49" s="59"/>
      <c r="H49" s="57"/>
      <c r="I49" s="59"/>
      <c r="J49" s="59"/>
      <c r="K49" s="57"/>
      <c r="L49" s="59"/>
      <c r="M49" s="59"/>
      <c r="N49" s="59"/>
      <c r="O49" s="59"/>
      <c r="P49" s="59"/>
      <c r="Q49" s="59"/>
      <c r="R49" s="59"/>
      <c r="S49" s="59"/>
      <c r="T49" s="59"/>
      <c r="U49" s="43"/>
      <c r="V49" s="43"/>
      <c r="W49" s="43"/>
      <c r="X49" s="43"/>
      <c r="Y49" s="43"/>
      <c r="Z49" s="43"/>
      <c r="AA49" s="43"/>
    </row>
    <row r="50" spans="1:27">
      <c r="A50" t="s">
        <v>216</v>
      </c>
      <c r="B50" s="58">
        <f>+somfinbilsys!B62/somfinbilsys!B60</f>
        <v>8.559950886727806E-2</v>
      </c>
      <c r="C50" s="59">
        <v>8.0600000000000005E-2</v>
      </c>
      <c r="D50" s="59"/>
      <c r="E50" s="364">
        <v>0</v>
      </c>
      <c r="F50" s="59">
        <v>7.8799999999999995E-2</v>
      </c>
      <c r="G50" s="59"/>
      <c r="H50" s="364">
        <v>0</v>
      </c>
      <c r="I50" s="59">
        <v>8.0299999999999996E-2</v>
      </c>
      <c r="J50" s="59"/>
      <c r="K50" s="364">
        <v>0</v>
      </c>
      <c r="L50" s="59">
        <v>7.9299999999999995E-2</v>
      </c>
      <c r="M50" s="59"/>
      <c r="N50" s="59">
        <f>+B50</f>
        <v>8.559950886727806E-2</v>
      </c>
      <c r="O50" s="59">
        <f>+C50</f>
        <v>8.0600000000000005E-2</v>
      </c>
      <c r="P50" s="59"/>
      <c r="Q50" s="59">
        <v>7.9299999999999995E-2</v>
      </c>
      <c r="R50" s="56">
        <v>8.5900000000000004E-2</v>
      </c>
      <c r="S50" s="59">
        <v>4.87E-2</v>
      </c>
      <c r="T50" s="59">
        <v>4.7399999999999998E-2</v>
      </c>
      <c r="U50" s="43"/>
      <c r="V50" s="43"/>
      <c r="W50" s="43"/>
      <c r="X50" s="43"/>
      <c r="Y50" s="43"/>
      <c r="Z50" s="43"/>
      <c r="AA50" s="43"/>
    </row>
    <row r="51" spans="1:27" ht="9" customHeight="1">
      <c r="B51" s="57"/>
      <c r="C51" s="57"/>
      <c r="D51" s="59"/>
      <c r="E51" s="57"/>
      <c r="F51" s="59"/>
      <c r="G51" s="59"/>
      <c r="H51" s="57"/>
      <c r="I51" s="59"/>
      <c r="J51" s="59"/>
      <c r="K51" s="57"/>
      <c r="L51" s="59"/>
      <c r="M51" s="59"/>
      <c r="N51" s="59"/>
      <c r="O51" s="59"/>
      <c r="P51" s="59"/>
      <c r="Q51" s="59"/>
      <c r="R51" s="59"/>
      <c r="S51" s="59"/>
      <c r="T51" s="59"/>
      <c r="U51" s="43"/>
      <c r="V51" s="43"/>
      <c r="W51" s="43"/>
      <c r="X51" s="43"/>
      <c r="Y51" s="43"/>
      <c r="Z51" s="43"/>
      <c r="AA51" s="43"/>
    </row>
    <row r="52" spans="1:27">
      <c r="A52" t="s">
        <v>217</v>
      </c>
      <c r="B52" s="57"/>
      <c r="C52" s="57"/>
      <c r="D52" s="59"/>
      <c r="E52" s="57"/>
      <c r="F52" s="59"/>
      <c r="G52" s="59"/>
      <c r="H52" s="57"/>
      <c r="I52" s="59"/>
      <c r="J52" s="59"/>
      <c r="K52" s="57"/>
      <c r="L52" s="59"/>
      <c r="M52" s="59"/>
      <c r="N52" s="59"/>
      <c r="O52" s="59"/>
      <c r="P52" s="59"/>
      <c r="Q52" s="59"/>
      <c r="R52" s="59"/>
      <c r="S52" s="59"/>
      <c r="T52" s="59"/>
      <c r="U52" s="43"/>
      <c r="V52" s="43"/>
      <c r="W52" s="43"/>
      <c r="X52" s="43"/>
      <c r="Y52" s="43"/>
      <c r="Z52" s="43"/>
      <c r="AA52" s="43"/>
    </row>
    <row r="53" spans="1:27">
      <c r="A53" t="s">
        <v>218</v>
      </c>
      <c r="B53" s="58">
        <f>+somfinbilsys!B61/somfinbilsys!B62</f>
        <v>0.57184759420195019</v>
      </c>
      <c r="C53" s="59">
        <v>0.57020000000000004</v>
      </c>
      <c r="D53" s="59"/>
      <c r="E53" s="364">
        <v>0</v>
      </c>
      <c r="F53" s="59">
        <v>0.58579999999999999</v>
      </c>
      <c r="G53" s="59"/>
      <c r="H53" s="364">
        <v>0</v>
      </c>
      <c r="I53" s="59">
        <v>0.54239999999999999</v>
      </c>
      <c r="J53" s="59"/>
      <c r="K53" s="364">
        <v>0</v>
      </c>
      <c r="L53" s="59">
        <v>0.62309999999999999</v>
      </c>
      <c r="M53" s="59"/>
      <c r="N53" s="59">
        <f>+B53</f>
        <v>0.57184759420195019</v>
      </c>
      <c r="O53" s="59">
        <f>+C53</f>
        <v>0.57020000000000004</v>
      </c>
      <c r="P53" s="59"/>
      <c r="Q53" s="58">
        <v>0.62309999999999999</v>
      </c>
      <c r="R53" s="56">
        <v>0.56230000000000002</v>
      </c>
      <c r="S53" s="59">
        <v>0.79500000000000004</v>
      </c>
      <c r="T53" s="59">
        <v>0.95840000000000003</v>
      </c>
      <c r="U53" s="43"/>
      <c r="V53" s="43"/>
      <c r="W53" s="43"/>
      <c r="X53" s="43"/>
      <c r="Y53" s="43"/>
      <c r="Z53" s="43"/>
      <c r="AA53" s="43"/>
    </row>
    <row r="54" spans="1:27" ht="8.4499999999999993" customHeight="1">
      <c r="B54" s="57"/>
      <c r="C54" s="57"/>
      <c r="D54" s="59"/>
      <c r="E54" s="57"/>
      <c r="F54" s="59"/>
      <c r="G54" s="59"/>
      <c r="H54" s="57"/>
      <c r="I54" s="59"/>
      <c r="J54" s="59"/>
      <c r="K54" s="57"/>
      <c r="L54" s="59"/>
      <c r="M54" s="59"/>
      <c r="N54" s="59"/>
      <c r="O54" s="59"/>
      <c r="P54" s="59"/>
      <c r="Q54" s="58" t="s">
        <v>0</v>
      </c>
      <c r="R54" s="59"/>
      <c r="S54" s="59"/>
      <c r="T54" s="59"/>
      <c r="U54" s="43"/>
      <c r="V54" s="43"/>
      <c r="W54" s="43"/>
      <c r="X54" s="43"/>
      <c r="Y54" s="43"/>
      <c r="Z54" s="43"/>
      <c r="AA54" s="43"/>
    </row>
    <row r="55" spans="1:27">
      <c r="A55" t="s">
        <v>219</v>
      </c>
      <c r="B55" s="57"/>
      <c r="C55" s="57"/>
      <c r="D55" s="59"/>
      <c r="E55" s="57"/>
      <c r="F55" s="59"/>
      <c r="G55" s="59"/>
      <c r="H55" s="57"/>
      <c r="I55" s="59"/>
      <c r="J55" s="59"/>
      <c r="K55" s="57"/>
      <c r="L55" s="59"/>
      <c r="M55" s="59"/>
      <c r="N55" s="59"/>
      <c r="O55" s="59"/>
      <c r="P55" s="59"/>
      <c r="Q55" s="59"/>
      <c r="R55" s="59"/>
      <c r="S55" s="59"/>
      <c r="T55" s="59"/>
      <c r="U55" s="43"/>
      <c r="V55" s="43"/>
      <c r="W55" s="43"/>
      <c r="X55" s="43"/>
      <c r="Y55" s="43"/>
      <c r="Z55" s="43"/>
      <c r="AA55" s="43"/>
    </row>
    <row r="56" spans="1:27">
      <c r="A56" t="s">
        <v>220</v>
      </c>
      <c r="B56" s="58">
        <f>+(somfinbilsys!B62-somfinbilsys!B61)/somfinbilsys!B51</f>
        <v>0.30570202810597419</v>
      </c>
      <c r="C56" s="58">
        <v>0.26490000000000002</v>
      </c>
      <c r="D56" s="59"/>
      <c r="E56" s="364">
        <v>0</v>
      </c>
      <c r="F56" s="59">
        <v>0.2487</v>
      </c>
      <c r="G56" s="59"/>
      <c r="H56" s="364">
        <v>0</v>
      </c>
      <c r="I56" s="59">
        <v>0.31109999999999999</v>
      </c>
      <c r="J56" s="59"/>
      <c r="K56" s="364">
        <v>0</v>
      </c>
      <c r="L56" s="59">
        <v>0.24690000000000001</v>
      </c>
      <c r="M56" s="59"/>
      <c r="N56" s="59">
        <f>+B56</f>
        <v>0.30570202810597419</v>
      </c>
      <c r="O56" s="59">
        <f>+C56</f>
        <v>0.26490000000000002</v>
      </c>
      <c r="P56" s="59"/>
      <c r="Q56" s="59">
        <v>0.24690000000000001</v>
      </c>
      <c r="R56" s="56">
        <v>0.30259999999999998</v>
      </c>
      <c r="S56" s="59">
        <v>8.4900000000000003E-2</v>
      </c>
      <c r="T56" s="59">
        <v>1.7299999999999999E-2</v>
      </c>
      <c r="U56" s="43"/>
      <c r="V56" s="43"/>
      <c r="W56" s="43"/>
      <c r="X56" s="43"/>
      <c r="Y56" s="43"/>
      <c r="Z56" s="43"/>
      <c r="AA56" s="43"/>
    </row>
    <row r="57" spans="1:27">
      <c r="A57" t="s">
        <v>0</v>
      </c>
      <c r="B57" s="57"/>
      <c r="C57" s="57"/>
      <c r="D57" s="59"/>
      <c r="E57" s="57"/>
      <c r="F57" s="59"/>
      <c r="G57" s="59"/>
      <c r="H57" s="57"/>
      <c r="I57" s="59"/>
      <c r="J57" s="59"/>
      <c r="K57" s="57"/>
      <c r="L57" s="59"/>
      <c r="M57" s="59"/>
      <c r="N57" s="59"/>
      <c r="O57" s="59"/>
      <c r="P57" s="59"/>
      <c r="Q57" s="59"/>
      <c r="R57" s="59"/>
      <c r="S57" s="59"/>
      <c r="T57" s="59"/>
      <c r="U57" s="43"/>
      <c r="V57" s="43"/>
      <c r="W57" s="43"/>
      <c r="X57" s="43"/>
      <c r="Y57" s="43"/>
      <c r="Z57" s="43"/>
      <c r="AA57" s="43"/>
    </row>
    <row r="58" spans="1:27">
      <c r="A58" s="2" t="s">
        <v>221</v>
      </c>
      <c r="B58" s="57"/>
      <c r="C58" s="57"/>
      <c r="D58" s="59"/>
      <c r="E58" s="57"/>
      <c r="F58" s="59"/>
      <c r="G58" s="59"/>
      <c r="H58" s="57"/>
      <c r="I58" s="59"/>
      <c r="J58" s="59"/>
      <c r="K58" s="57"/>
      <c r="L58" s="59"/>
      <c r="M58" s="59"/>
      <c r="N58" s="59"/>
      <c r="O58" s="59"/>
      <c r="P58" s="59"/>
      <c r="Q58" s="59"/>
      <c r="R58" s="59"/>
      <c r="S58" s="59"/>
      <c r="T58" s="59"/>
      <c r="U58" s="43"/>
      <c r="V58" s="43"/>
      <c r="W58" s="43"/>
      <c r="X58" s="43"/>
      <c r="Y58" s="43"/>
      <c r="Z58" s="43"/>
      <c r="AA58" s="43"/>
    </row>
    <row r="59" spans="1:27">
      <c r="A59" s="2"/>
      <c r="B59" s="57"/>
      <c r="C59" s="57"/>
      <c r="D59" s="59"/>
      <c r="E59" s="57"/>
      <c r="F59" s="59"/>
      <c r="G59" s="59"/>
      <c r="H59" s="57"/>
      <c r="I59" s="59"/>
      <c r="J59" s="59"/>
      <c r="K59" s="57"/>
      <c r="L59" s="59"/>
      <c r="M59" s="59"/>
      <c r="N59" s="59"/>
      <c r="O59" s="59"/>
      <c r="P59" s="59"/>
      <c r="Q59" s="59"/>
      <c r="R59" s="59"/>
      <c r="S59" s="59"/>
      <c r="T59" s="59"/>
      <c r="U59" s="43"/>
      <c r="V59" s="43"/>
      <c r="W59" s="43"/>
      <c r="X59" s="43"/>
      <c r="Y59" s="43"/>
      <c r="Z59" s="43"/>
      <c r="AA59" s="43"/>
    </row>
    <row r="60" spans="1:27">
      <c r="A60" t="s">
        <v>222</v>
      </c>
      <c r="B60" s="58">
        <f>+(somfinrésys!B41/((somfinbilsys!B22+somfinbilsys!J22)/2)*4)</f>
        <v>1.1004413027066716E-2</v>
      </c>
      <c r="C60" s="58">
        <v>3.5999999999999999E-3</v>
      </c>
      <c r="D60" s="59"/>
      <c r="E60" s="364">
        <v>0</v>
      </c>
      <c r="F60" s="59">
        <v>8.0000000000000002E-3</v>
      </c>
      <c r="G60" s="59"/>
      <c r="H60" s="364">
        <v>0</v>
      </c>
      <c r="I60" s="59">
        <v>1.06E-2</v>
      </c>
      <c r="J60" s="59"/>
      <c r="K60" s="57">
        <v>0</v>
      </c>
      <c r="L60" s="59">
        <v>1.7100000000000001E-2</v>
      </c>
      <c r="M60" s="59"/>
      <c r="N60" s="59">
        <f>+'sysratfinclé '!R37</f>
        <v>1.100441302706673E-2</v>
      </c>
      <c r="O60" s="59">
        <f>+'sysratfinclé '!R38</f>
        <v>3.5999999999999999E-3</v>
      </c>
      <c r="P60" s="59"/>
      <c r="Q60" s="59">
        <v>0.01</v>
      </c>
      <c r="R60" s="58">
        <v>5.7000000000000002E-3</v>
      </c>
      <c r="S60" s="59">
        <v>1.4200000000000001E-2</v>
      </c>
      <c r="T60" s="59">
        <v>1.1599999999999999E-2</v>
      </c>
      <c r="U60" s="43"/>
      <c r="V60" s="43"/>
      <c r="W60" s="43"/>
      <c r="X60" s="43"/>
      <c r="Y60" s="43"/>
      <c r="Z60" s="43"/>
      <c r="AA60" s="43"/>
    </row>
    <row r="61" spans="1:27" ht="7.15" customHeight="1">
      <c r="B61" s="57"/>
      <c r="C61" s="57"/>
      <c r="D61" s="59"/>
      <c r="E61" s="57"/>
      <c r="F61" s="59"/>
      <c r="G61" s="59"/>
      <c r="H61" s="57"/>
      <c r="I61" s="59"/>
      <c r="J61" s="59"/>
      <c r="K61" s="57"/>
      <c r="L61" s="59"/>
      <c r="M61" s="59"/>
      <c r="N61" s="59"/>
      <c r="O61" s="59"/>
      <c r="P61" s="59"/>
      <c r="Q61" s="59"/>
      <c r="R61" s="59"/>
      <c r="S61" s="59"/>
      <c r="T61" s="58" t="s">
        <v>0</v>
      </c>
      <c r="U61" s="43"/>
      <c r="V61" s="43"/>
      <c r="W61" s="43"/>
      <c r="X61" s="43"/>
      <c r="Y61" s="43"/>
      <c r="Z61" s="43"/>
      <c r="AA61" s="43"/>
    </row>
    <row r="62" spans="1:27">
      <c r="A62" t="s">
        <v>223</v>
      </c>
      <c r="B62" s="58">
        <f>+(somfinrésys!B41/((somfinbilsys!B51+somfinbilsys!J51)/2)*4)</f>
        <v>0.2148283015799346</v>
      </c>
      <c r="C62" s="59">
        <v>6.1699999999999998E-2</v>
      </c>
      <c r="D62" s="59"/>
      <c r="E62" s="364">
        <v>0</v>
      </c>
      <c r="F62" s="59">
        <v>0.13489999999999999</v>
      </c>
      <c r="G62" s="59"/>
      <c r="H62" s="57">
        <v>0</v>
      </c>
      <c r="I62" s="59">
        <v>0.19109999999999999</v>
      </c>
      <c r="J62" s="59"/>
      <c r="K62" s="57">
        <v>0</v>
      </c>
      <c r="L62" s="59">
        <v>0.3306</v>
      </c>
      <c r="M62" s="59"/>
      <c r="N62" s="59">
        <f>+'sysratfinclé '!R43</f>
        <v>0.21482830157993479</v>
      </c>
      <c r="O62" s="59">
        <f>+'sysratfinclé '!R44</f>
        <v>6.1665071399247783E-2</v>
      </c>
      <c r="P62" s="59"/>
      <c r="Q62" s="59">
        <v>0.18479999999999999</v>
      </c>
      <c r="R62" s="56">
        <v>0.1013</v>
      </c>
      <c r="S62" s="59">
        <v>0.28110000000000002</v>
      </c>
      <c r="T62" s="59">
        <v>0.2591</v>
      </c>
      <c r="U62" s="43"/>
      <c r="V62" s="43"/>
      <c r="W62" s="43"/>
      <c r="X62" s="43"/>
      <c r="Y62" s="43"/>
      <c r="Z62" s="43"/>
      <c r="AA62" s="43"/>
    </row>
    <row r="63" spans="1:27" ht="7.15" customHeight="1">
      <c r="B63" s="57"/>
      <c r="C63" s="57"/>
      <c r="D63" s="59"/>
      <c r="E63" s="57"/>
      <c r="F63" s="59"/>
      <c r="G63" s="59"/>
      <c r="H63" s="57"/>
      <c r="I63" s="59"/>
      <c r="J63" s="59"/>
      <c r="K63" s="57"/>
      <c r="L63" s="59"/>
      <c r="M63" s="59"/>
      <c r="N63" s="59"/>
      <c r="O63" s="59"/>
      <c r="P63" s="59"/>
      <c r="Q63" s="59"/>
      <c r="R63" s="59"/>
      <c r="S63" s="59"/>
      <c r="T63" s="59"/>
      <c r="U63" s="43"/>
      <c r="V63" s="43"/>
      <c r="W63" s="43"/>
      <c r="X63" s="43"/>
      <c r="Y63" s="43"/>
      <c r="Z63" s="43"/>
      <c r="AA63" s="43"/>
    </row>
    <row r="64" spans="1:27">
      <c r="A64" t="s">
        <v>224</v>
      </c>
      <c r="B64" s="57"/>
      <c r="C64" s="57"/>
      <c r="D64" s="59"/>
      <c r="E64" s="57"/>
      <c r="F64" s="59"/>
      <c r="G64" s="59"/>
      <c r="H64" s="57"/>
      <c r="I64" s="59"/>
      <c r="J64" s="59"/>
      <c r="K64" s="57"/>
      <c r="L64" s="59"/>
      <c r="M64" s="59"/>
      <c r="N64" s="59"/>
      <c r="O64" s="59"/>
      <c r="P64" s="59"/>
      <c r="Q64" s="59"/>
      <c r="R64" s="59"/>
      <c r="S64" s="59"/>
      <c r="T64" s="59"/>
      <c r="U64" s="43"/>
      <c r="V64" s="43"/>
      <c r="W64" s="43"/>
      <c r="X64" s="43"/>
      <c r="Y64" s="43"/>
      <c r="Z64" s="43"/>
      <c r="AA64" s="43"/>
    </row>
    <row r="65" spans="1:27">
      <c r="A65" t="s">
        <v>225</v>
      </c>
      <c r="B65" s="58">
        <f>+somfinrésys!B15/somfinrésys!B13</f>
        <v>0.64022150193544969</v>
      </c>
      <c r="C65" s="59">
        <v>0.5171</v>
      </c>
      <c r="D65" s="59"/>
      <c r="E65" s="364">
        <v>0</v>
      </c>
      <c r="F65" s="59">
        <v>0.58530000000000004</v>
      </c>
      <c r="G65" s="59"/>
      <c r="H65" s="364">
        <v>0</v>
      </c>
      <c r="I65" s="59">
        <v>0.63849999999999996</v>
      </c>
      <c r="J65" s="59"/>
      <c r="K65" s="364">
        <v>0</v>
      </c>
      <c r="L65" s="59">
        <v>0.66859999999999997</v>
      </c>
      <c r="M65" s="59"/>
      <c r="N65" s="59">
        <f>+'sysratfinclé '!R50</f>
        <v>0.64022150193544991</v>
      </c>
      <c r="O65" s="59">
        <f>+'sysratfinclé '!R51</f>
        <v>0.51705123902956263</v>
      </c>
      <c r="P65" s="59"/>
      <c r="Q65" s="59">
        <v>0.60170000000000001</v>
      </c>
      <c r="R65" s="56">
        <v>0.5575</v>
      </c>
      <c r="S65" s="59">
        <v>0.59340000000000004</v>
      </c>
      <c r="T65" s="59">
        <v>0.55620000000000003</v>
      </c>
      <c r="U65" s="43"/>
      <c r="V65" s="43"/>
      <c r="W65" s="43"/>
      <c r="X65" s="43"/>
      <c r="Y65" s="43"/>
      <c r="Z65" s="43"/>
      <c r="AA65" s="43"/>
    </row>
    <row r="66" spans="1:27" ht="7.15" customHeight="1">
      <c r="B66" s="57"/>
      <c r="C66" s="57"/>
      <c r="D66" s="59"/>
      <c r="E66" s="57"/>
      <c r="F66" s="59"/>
      <c r="G66" s="59"/>
      <c r="H66" s="57"/>
      <c r="I66" s="59"/>
      <c r="J66" s="59"/>
      <c r="K66" s="57"/>
      <c r="L66" s="59"/>
      <c r="M66" s="59"/>
      <c r="N66" s="59"/>
      <c r="O66" s="59"/>
      <c r="P66" s="59"/>
      <c r="Q66" s="59"/>
      <c r="R66" s="59"/>
      <c r="S66" s="59"/>
      <c r="T66" s="59"/>
      <c r="U66" s="43"/>
      <c r="V66" s="43"/>
      <c r="W66" s="43"/>
      <c r="X66" s="43"/>
      <c r="Y66" s="43"/>
      <c r="Z66" s="43"/>
      <c r="AA66" s="43"/>
    </row>
    <row r="67" spans="1:27">
      <c r="A67" t="s">
        <v>226</v>
      </c>
      <c r="B67" s="58">
        <f>+(somfinrésys!B10/((somfinbilsys!B60+somfinbilsys!J60)/2)*4)</f>
        <v>0.16140050230624747</v>
      </c>
      <c r="C67" s="56">
        <v>0.18909999999999999</v>
      </c>
      <c r="D67" s="56"/>
      <c r="E67" s="364">
        <v>0</v>
      </c>
      <c r="F67" s="56">
        <v>0.17030000000000001</v>
      </c>
      <c r="G67" s="56"/>
      <c r="H67" s="49">
        <v>0</v>
      </c>
      <c r="I67" s="56">
        <v>0.16470000000000001</v>
      </c>
      <c r="J67" s="56"/>
      <c r="K67" s="49">
        <v>0</v>
      </c>
      <c r="L67" s="56">
        <v>0.17349999999999999</v>
      </c>
      <c r="M67" s="56"/>
      <c r="N67" s="59">
        <f>+'sysratfinclé '!R56</f>
        <v>0.16140050230624747</v>
      </c>
      <c r="O67" s="59">
        <f>+'sysratfinclé '!R57</f>
        <v>0.18909999999999999</v>
      </c>
      <c r="P67" s="56"/>
      <c r="Q67" s="56">
        <v>0.16500000000000001</v>
      </c>
      <c r="R67" s="56">
        <v>0.19309999999999999</v>
      </c>
      <c r="S67" s="56">
        <v>0.19489999999999999</v>
      </c>
      <c r="T67" s="56">
        <v>0.2064</v>
      </c>
    </row>
    <row r="68" spans="1:27" ht="7.15" customHeight="1">
      <c r="B68" s="9"/>
      <c r="C68" s="9"/>
      <c r="D68" s="56"/>
      <c r="E68" s="49"/>
      <c r="F68" s="56"/>
      <c r="G68" s="56"/>
      <c r="H68" s="49"/>
      <c r="I68" s="56"/>
      <c r="J68" s="56"/>
      <c r="K68" s="49"/>
      <c r="L68" s="56"/>
      <c r="M68" s="56"/>
      <c r="N68" s="56"/>
      <c r="O68" s="56"/>
      <c r="P68" s="56"/>
      <c r="Q68" s="56"/>
      <c r="R68" s="56"/>
      <c r="S68" s="56"/>
      <c r="T68" s="56"/>
    </row>
    <row r="69" spans="1:27">
      <c r="A69" t="s">
        <v>227</v>
      </c>
      <c r="B69" s="58">
        <f>(+somfinrésys!B14/((somfinbilsys!B29+somfinbilsys!J29)/2)*4)</f>
        <v>3.7148833044074327E-2</v>
      </c>
      <c r="C69" s="56">
        <v>5.8900000000000001E-2</v>
      </c>
      <c r="D69" s="56"/>
      <c r="E69" s="364">
        <v>0</v>
      </c>
      <c r="F69" s="56">
        <v>4.3999999999999997E-2</v>
      </c>
      <c r="G69" s="56"/>
      <c r="H69" s="49">
        <v>0</v>
      </c>
      <c r="I69" s="56">
        <v>3.6900000000000002E-2</v>
      </c>
      <c r="J69" s="56"/>
      <c r="K69" s="49">
        <v>0</v>
      </c>
      <c r="L69" s="56">
        <v>3.5499999999999997E-2</v>
      </c>
      <c r="M69" s="56"/>
      <c r="N69" s="59">
        <f>+'sysratfinclé '!R62</f>
        <v>3.714883304407432E-2</v>
      </c>
      <c r="O69" s="59">
        <f>+'sysratfinclé '!R63</f>
        <v>5.8900000000000001E-2</v>
      </c>
      <c r="P69" s="56"/>
      <c r="Q69" s="56">
        <v>4.1700000000000001E-2</v>
      </c>
      <c r="R69" s="56">
        <v>5.7099999999999998E-2</v>
      </c>
      <c r="S69" s="56">
        <v>4.5699999999999998E-2</v>
      </c>
      <c r="T69" s="56">
        <v>4.3499999999999997E-2</v>
      </c>
    </row>
    <row r="70" spans="1:27" ht="6" customHeight="1">
      <c r="B70" s="9"/>
      <c r="C70" s="9"/>
      <c r="D70" s="56"/>
      <c r="E70" s="49"/>
      <c r="F70" s="56"/>
      <c r="G70" s="56"/>
      <c r="H70" s="49"/>
      <c r="I70" s="56"/>
      <c r="J70" s="56"/>
      <c r="K70" s="49"/>
      <c r="L70" s="56"/>
      <c r="M70" s="56"/>
      <c r="N70" s="56"/>
      <c r="O70" s="56"/>
      <c r="P70" s="56"/>
      <c r="Q70" s="56"/>
      <c r="R70" s="56"/>
      <c r="S70" s="56"/>
      <c r="T70" s="56"/>
    </row>
    <row r="71" spans="1:27">
      <c r="A71" t="s">
        <v>204</v>
      </c>
      <c r="B71" s="9"/>
      <c r="C71" s="9"/>
      <c r="D71" s="56"/>
      <c r="E71" s="49"/>
      <c r="F71" s="56"/>
      <c r="G71" s="56"/>
      <c r="H71" s="49"/>
      <c r="I71" s="56"/>
      <c r="J71" s="56"/>
      <c r="K71" s="49"/>
      <c r="L71" s="56"/>
      <c r="M71" s="56"/>
      <c r="N71" s="56"/>
      <c r="O71" s="56"/>
      <c r="P71" s="56"/>
      <c r="Q71" s="56"/>
      <c r="R71" s="56"/>
      <c r="S71" s="56"/>
      <c r="T71" s="56"/>
    </row>
    <row r="72" spans="1:27">
      <c r="A72" t="s">
        <v>228</v>
      </c>
      <c r="B72" s="58">
        <f>+somfinrésys!B35/somfinrésys!B23</f>
        <v>0.78269281609657382</v>
      </c>
      <c r="C72" s="56">
        <v>0.87139999999999995</v>
      </c>
      <c r="D72" s="56"/>
      <c r="E72" s="364">
        <v>0</v>
      </c>
      <c r="F72" s="56">
        <v>0.80200000000000005</v>
      </c>
      <c r="G72" s="56"/>
      <c r="H72" s="364">
        <v>0</v>
      </c>
      <c r="I72" s="56">
        <v>0.73929999999999996</v>
      </c>
      <c r="J72" s="56"/>
      <c r="K72" s="364">
        <v>0</v>
      </c>
      <c r="L72" s="56">
        <v>0.73180000000000001</v>
      </c>
      <c r="M72" s="56"/>
      <c r="N72" s="59">
        <f>+'sysratfinclé '!R70</f>
        <v>0.78269281609657371</v>
      </c>
      <c r="O72" s="59">
        <f>+'sysratfinclé '!R71</f>
        <v>0.87144105340811673</v>
      </c>
      <c r="P72" s="56"/>
      <c r="Q72" s="56">
        <v>0.7722</v>
      </c>
      <c r="R72" s="56">
        <v>0.78400000000000003</v>
      </c>
      <c r="S72" s="56">
        <v>0.75490000000000002</v>
      </c>
      <c r="T72" s="56">
        <v>0.75019999999999998</v>
      </c>
    </row>
    <row r="73" spans="1:27">
      <c r="A73" t="s">
        <v>229</v>
      </c>
      <c r="B73" s="9"/>
      <c r="C73" s="9"/>
      <c r="D73" s="56"/>
      <c r="E73" s="49"/>
      <c r="F73" s="56"/>
      <c r="G73" s="56"/>
      <c r="H73" s="49"/>
      <c r="J73" s="56"/>
      <c r="K73" s="49"/>
      <c r="L73" s="56"/>
      <c r="M73" s="56"/>
      <c r="N73" s="56"/>
      <c r="O73" s="56"/>
      <c r="P73" s="56"/>
      <c r="S73" s="56"/>
      <c r="T73" s="56"/>
    </row>
    <row r="74" spans="1:27">
      <c r="B74" s="9"/>
      <c r="C74" s="9"/>
      <c r="D74" s="56"/>
      <c r="E74" s="49"/>
      <c r="F74" s="56"/>
      <c r="G74" s="56"/>
      <c r="H74" s="49"/>
      <c r="J74" s="56"/>
      <c r="K74" s="49"/>
      <c r="L74" s="56"/>
      <c r="M74" s="56"/>
      <c r="N74" s="56"/>
      <c r="O74" s="56"/>
      <c r="P74" s="56"/>
      <c r="S74" s="56"/>
      <c r="T74" s="56"/>
    </row>
    <row r="75" spans="1:27">
      <c r="A75" t="s">
        <v>230</v>
      </c>
      <c r="B75" s="446">
        <v>667.07</v>
      </c>
      <c r="C75" s="49">
        <v>565.25</v>
      </c>
      <c r="D75" s="56"/>
      <c r="E75" s="446">
        <v>0</v>
      </c>
      <c r="F75" s="49">
        <v>561.94000000000005</v>
      </c>
      <c r="G75" s="56"/>
      <c r="H75" s="49">
        <v>0</v>
      </c>
      <c r="I75" s="41">
        <v>597.29</v>
      </c>
      <c r="J75" s="56"/>
      <c r="K75" s="49">
        <v>0</v>
      </c>
      <c r="L75" s="567">
        <v>784.49</v>
      </c>
      <c r="M75" s="56"/>
      <c r="N75" s="57">
        <f>+'sysratfinclé '!R76</f>
        <v>667.07398994600635</v>
      </c>
      <c r="O75" s="57">
        <f>+'sysratfinclé '!R77</f>
        <v>565.25</v>
      </c>
      <c r="P75" s="56"/>
      <c r="Q75" s="89">
        <v>606.52</v>
      </c>
      <c r="R75" s="41">
        <v>594.61</v>
      </c>
      <c r="S75" s="434">
        <v>634.35</v>
      </c>
      <c r="T75" s="49">
        <v>427.82</v>
      </c>
    </row>
    <row r="76" spans="1:27">
      <c r="B76" s="9"/>
      <c r="C76" s="9"/>
      <c r="D76" s="56"/>
      <c r="E76" s="49"/>
      <c r="F76" s="56"/>
      <c r="G76" s="56"/>
      <c r="H76" s="49"/>
      <c r="J76" s="56"/>
      <c r="K76" s="49"/>
      <c r="L76" s="56"/>
      <c r="M76" s="56"/>
      <c r="N76" s="56"/>
      <c r="O76" s="56"/>
      <c r="P76" s="56"/>
      <c r="S76" s="56"/>
      <c r="T76" s="56"/>
    </row>
    <row r="77" spans="1:27">
      <c r="A77" t="s">
        <v>231</v>
      </c>
      <c r="B77" s="9"/>
      <c r="C77" s="9"/>
      <c r="D77" s="56"/>
      <c r="E77" s="49"/>
      <c r="F77" s="56"/>
      <c r="G77" s="56"/>
      <c r="H77" s="49"/>
      <c r="J77" s="56"/>
      <c r="K77" s="49"/>
      <c r="L77" s="56"/>
      <c r="M77" s="56"/>
      <c r="N77" s="56"/>
      <c r="O77" s="56"/>
      <c r="P77" s="56"/>
      <c r="S77" s="56"/>
      <c r="T77" s="56"/>
    </row>
    <row r="78" spans="1:27">
      <c r="A78" t="s">
        <v>232</v>
      </c>
      <c r="B78" s="56">
        <f>7388622.8/22211842.7</f>
        <v>0.33264339657870889</v>
      </c>
      <c r="C78" s="56">
        <v>0.28199999999999997</v>
      </c>
      <c r="D78" s="56"/>
      <c r="E78" s="49">
        <v>0</v>
      </c>
      <c r="F78" s="56">
        <v>0.29099999999999998</v>
      </c>
      <c r="G78" s="56"/>
      <c r="H78" s="49">
        <v>0</v>
      </c>
      <c r="I78" s="56">
        <v>0.29349999999999998</v>
      </c>
      <c r="J78" s="56"/>
      <c r="K78" s="49">
        <v>0</v>
      </c>
      <c r="L78" s="56">
        <v>0.31</v>
      </c>
      <c r="M78" s="56"/>
      <c r="N78" s="56">
        <f>+B78</f>
        <v>0.33264339657870889</v>
      </c>
      <c r="O78" s="56">
        <v>0.28899999999999998</v>
      </c>
      <c r="P78" s="56"/>
      <c r="Q78" s="142">
        <v>0.31</v>
      </c>
      <c r="R78" s="41">
        <v>0</v>
      </c>
      <c r="S78" s="49">
        <v>0</v>
      </c>
      <c r="T78" s="49">
        <v>0</v>
      </c>
    </row>
    <row r="79" spans="1:27">
      <c r="A79" t="s">
        <v>233</v>
      </c>
      <c r="B79" s="56">
        <f>6533524.8/19360739.8</f>
        <v>0.33746255915282741</v>
      </c>
      <c r="C79" s="56">
        <v>0.30299999999999999</v>
      </c>
      <c r="D79" s="56"/>
      <c r="E79" s="49">
        <v>0</v>
      </c>
      <c r="F79" s="56">
        <v>0.30399999999999999</v>
      </c>
      <c r="G79" s="56"/>
      <c r="H79" s="49">
        <v>0</v>
      </c>
      <c r="I79" s="56">
        <v>0.30759999999999998</v>
      </c>
      <c r="J79" s="56"/>
      <c r="K79" s="49">
        <v>0</v>
      </c>
      <c r="L79" s="56">
        <v>0.31540000000000001</v>
      </c>
      <c r="M79" s="56"/>
      <c r="N79" s="56">
        <f>+B79</f>
        <v>0.33746255915282741</v>
      </c>
      <c r="O79" s="56">
        <v>0.29499999999999998</v>
      </c>
      <c r="P79" s="56"/>
      <c r="Q79" s="142">
        <v>0.31540000000000001</v>
      </c>
      <c r="R79" s="41">
        <v>0</v>
      </c>
      <c r="S79" s="49">
        <v>0</v>
      </c>
      <c r="T79" s="49">
        <v>0</v>
      </c>
    </row>
    <row r="80" spans="1:27">
      <c r="A80" t="s">
        <v>234</v>
      </c>
      <c r="B80" s="921" t="s">
        <v>235</v>
      </c>
      <c r="C80" s="804">
        <v>86</v>
      </c>
      <c r="D80" s="56"/>
      <c r="E80" s="939">
        <v>0</v>
      </c>
      <c r="F80" s="921" t="s">
        <v>236</v>
      </c>
      <c r="G80" s="56"/>
      <c r="H80" s="939">
        <v>0</v>
      </c>
      <c r="I80" s="921">
        <v>0</v>
      </c>
      <c r="J80" s="56"/>
      <c r="K80" s="939">
        <v>0</v>
      </c>
      <c r="L80" s="921">
        <v>0</v>
      </c>
      <c r="M80" s="56"/>
      <c r="N80" s="939" t="s">
        <v>236</v>
      </c>
      <c r="O80" s="804" t="s">
        <v>237</v>
      </c>
      <c r="P80" s="56"/>
      <c r="Q80" s="939">
        <v>0</v>
      </c>
      <c r="R80" s="9">
        <v>82</v>
      </c>
      <c r="S80" s="9">
        <v>68</v>
      </c>
      <c r="T80" s="921" t="s">
        <v>238</v>
      </c>
    </row>
    <row r="81" spans="1:20" ht="16.5" thickBot="1">
      <c r="B81" s="188"/>
      <c r="C81" s="188"/>
      <c r="D81" s="189"/>
      <c r="E81" s="189"/>
      <c r="F81" s="189"/>
      <c r="G81" s="189"/>
      <c r="H81" s="189"/>
      <c r="I81" s="19"/>
      <c r="J81" s="189"/>
      <c r="K81" s="189"/>
      <c r="L81" s="189"/>
      <c r="M81" s="189"/>
      <c r="N81" s="189"/>
      <c r="O81" s="189"/>
      <c r="P81" s="189"/>
      <c r="Q81" s="19"/>
      <c r="R81" s="19"/>
      <c r="S81" s="189"/>
      <c r="T81" s="189"/>
    </row>
    <row r="84" spans="1:20">
      <c r="A84" t="s">
        <v>239</v>
      </c>
    </row>
  </sheetData>
  <pageMargins left="0.2" right="0.2" top="0.64" bottom="0.44" header="0.54" footer="0.2"/>
  <pageSetup scale="44"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73"/>
  <sheetViews>
    <sheetView workbookViewId="0"/>
  </sheetViews>
  <sheetFormatPr defaultRowHeight="15.75"/>
  <cols>
    <col min="1" max="1" width="28.125" customWidth="1"/>
    <col min="2" max="2" width="15.625" customWidth="1"/>
    <col min="3" max="4" width="11" customWidth="1"/>
    <col min="5" max="5" width="25.625" customWidth="1"/>
    <col min="6" max="6" width="17.125" customWidth="1"/>
    <col min="7" max="8" width="11" customWidth="1"/>
    <col min="9" max="9" width="25.75" customWidth="1"/>
    <col min="10" max="10" width="16.75" customWidth="1"/>
    <col min="11" max="12" width="11" customWidth="1"/>
    <col min="13" max="13" width="29" customWidth="1"/>
    <col min="14" max="14" width="18.125" customWidth="1"/>
    <col min="15" max="256" width="11" customWidth="1"/>
  </cols>
  <sheetData>
    <row r="1" spans="1:16">
      <c r="A1" s="114" t="s">
        <v>163</v>
      </c>
      <c r="B1" s="34"/>
      <c r="C1" s="34"/>
      <c r="D1" s="34"/>
      <c r="E1" s="34"/>
      <c r="F1" s="34"/>
      <c r="G1" s="34"/>
      <c r="H1" s="34"/>
      <c r="I1" s="34"/>
      <c r="J1" s="34"/>
      <c r="K1" s="34"/>
      <c r="L1" s="34"/>
      <c r="M1" s="34"/>
      <c r="N1" s="34"/>
      <c r="O1" s="34"/>
      <c r="P1" s="34"/>
    </row>
    <row r="2" spans="1:16">
      <c r="A2" s="114" t="s">
        <v>164</v>
      </c>
      <c r="B2" s="34"/>
      <c r="C2" s="34"/>
      <c r="D2" s="34"/>
      <c r="E2" s="34"/>
      <c r="F2" s="34"/>
      <c r="G2" s="34"/>
      <c r="H2" s="34"/>
      <c r="I2" s="34"/>
      <c r="J2" s="34"/>
      <c r="K2" s="34"/>
      <c r="L2" s="34"/>
      <c r="M2" s="34"/>
      <c r="N2" s="34"/>
      <c r="O2" s="34"/>
      <c r="P2" s="34"/>
    </row>
    <row r="3" spans="1:16">
      <c r="A3" s="114" t="s">
        <v>240</v>
      </c>
      <c r="B3" s="34"/>
      <c r="C3" s="34"/>
      <c r="D3" s="34"/>
      <c r="E3" s="34"/>
      <c r="F3" s="34"/>
      <c r="G3" s="34"/>
      <c r="H3" s="34"/>
      <c r="I3" s="34"/>
      <c r="J3" s="34"/>
      <c r="K3" s="34"/>
      <c r="L3" s="34"/>
      <c r="M3" s="34"/>
      <c r="N3" s="34"/>
      <c r="O3" s="34"/>
      <c r="P3" s="34"/>
    </row>
    <row r="4" spans="1:16">
      <c r="A4" s="114" t="s">
        <v>241</v>
      </c>
      <c r="B4" s="114"/>
      <c r="C4" s="114"/>
      <c r="D4" s="114"/>
      <c r="E4" s="114"/>
      <c r="F4" s="114"/>
      <c r="G4" s="114"/>
      <c r="H4" s="114"/>
      <c r="I4" s="114"/>
      <c r="J4" s="114"/>
      <c r="K4" s="114"/>
      <c r="L4" s="114"/>
      <c r="M4" s="114"/>
      <c r="N4" s="114"/>
      <c r="O4" s="114"/>
      <c r="P4" s="114"/>
    </row>
    <row r="5" spans="1:16" ht="16.5" thickBot="1">
      <c r="A5" s="19"/>
      <c r="B5" s="19"/>
      <c r="C5" s="19"/>
      <c r="D5" s="19"/>
      <c r="E5" s="19"/>
      <c r="F5" s="19"/>
      <c r="G5" s="19"/>
      <c r="H5" s="19"/>
      <c r="I5" s="19"/>
      <c r="J5" s="19"/>
      <c r="K5" s="19"/>
      <c r="L5" s="19"/>
      <c r="M5" s="19"/>
      <c r="N5" s="19"/>
      <c r="O5" s="19"/>
      <c r="P5" s="19"/>
    </row>
    <row r="6" spans="1:16">
      <c r="A6" s="20"/>
      <c r="B6" s="20"/>
      <c r="C6" s="20"/>
      <c r="D6" s="20"/>
      <c r="E6" s="20"/>
      <c r="F6" s="20"/>
      <c r="G6" s="20"/>
      <c r="H6" s="20"/>
      <c r="I6" s="20"/>
      <c r="J6" s="20"/>
      <c r="K6" s="20"/>
      <c r="L6" s="20"/>
      <c r="M6" s="20"/>
      <c r="N6" s="20"/>
      <c r="O6" s="20"/>
      <c r="P6" s="20"/>
    </row>
    <row r="7" spans="1:16">
      <c r="A7" s="2" t="s">
        <v>242</v>
      </c>
    </row>
    <row r="8" spans="1:16">
      <c r="B8" s="114" t="s">
        <v>243</v>
      </c>
      <c r="C8" s="114"/>
      <c r="D8" s="114"/>
      <c r="F8" s="114" t="s">
        <v>244</v>
      </c>
      <c r="G8" s="114"/>
      <c r="H8" s="114"/>
      <c r="J8" s="114" t="s">
        <v>245</v>
      </c>
      <c r="K8" s="114"/>
      <c r="L8" s="114"/>
      <c r="N8" s="114" t="s">
        <v>246</v>
      </c>
      <c r="O8" s="114"/>
      <c r="P8" s="114"/>
    </row>
    <row r="9" spans="1:16" ht="16.5" thickBot="1">
      <c r="B9" s="174" t="s">
        <v>247</v>
      </c>
      <c r="C9" s="174" t="s">
        <v>248</v>
      </c>
      <c r="D9" s="174" t="s">
        <v>249</v>
      </c>
      <c r="F9" s="174" t="s">
        <v>247</v>
      </c>
      <c r="G9" s="174" t="s">
        <v>248</v>
      </c>
      <c r="H9" s="174" t="s">
        <v>249</v>
      </c>
      <c r="J9" s="174" t="s">
        <v>247</v>
      </c>
      <c r="K9" s="174" t="s">
        <v>248</v>
      </c>
      <c r="L9" s="174" t="s">
        <v>249</v>
      </c>
      <c r="N9" s="174" t="s">
        <v>247</v>
      </c>
      <c r="O9" s="174" t="s">
        <v>248</v>
      </c>
      <c r="P9" s="174" t="s">
        <v>249</v>
      </c>
    </row>
    <row r="10" spans="1:16" ht="9.6" customHeight="1">
      <c r="B10" s="18"/>
      <c r="C10" s="18"/>
      <c r="D10" s="18"/>
      <c r="F10" s="18"/>
      <c r="G10" s="18"/>
      <c r="H10" s="18"/>
      <c r="J10" s="18"/>
      <c r="K10" s="18"/>
      <c r="L10" s="18"/>
      <c r="N10" s="18"/>
      <c r="O10" s="18"/>
      <c r="P10" s="18"/>
    </row>
    <row r="11" spans="1:16">
      <c r="A11" s="211" t="s">
        <v>105</v>
      </c>
      <c r="B11" s="3">
        <f>+sogebkvar!B22</f>
        <v>5401096</v>
      </c>
      <c r="C11" s="142">
        <f>+B11/somfinbilsys!$B$22</f>
        <v>0.24316289616079445</v>
      </c>
      <c r="D11" s="18">
        <v>1</v>
      </c>
      <c r="E11" s="9" t="s">
        <v>105</v>
      </c>
      <c r="F11" s="3">
        <f>+sogebkvar!B60</f>
        <v>1811936</v>
      </c>
      <c r="G11" s="142">
        <f>+F11/somfinbilsys!$B$60</f>
        <v>0.19223979064559543</v>
      </c>
      <c r="H11" s="18">
        <v>1</v>
      </c>
      <c r="I11" s="9" t="s">
        <v>105</v>
      </c>
      <c r="J11" s="3">
        <f>+sogebkvar!B29</f>
        <v>4638569</v>
      </c>
      <c r="K11" s="142">
        <f>+J11/somfinbilsys!$B$29</f>
        <v>0.23958635093066025</v>
      </c>
      <c r="L11" s="18">
        <v>1</v>
      </c>
      <c r="M11" s="9" t="s">
        <v>106</v>
      </c>
      <c r="N11" s="3">
        <f>+'unibkgdes&amp;$'!B29</f>
        <v>1623639.9000000001</v>
      </c>
      <c r="O11" s="142">
        <f>+N11/'bilsysbandéc.99$ '!$R$29</f>
        <v>0.24850902838847416</v>
      </c>
      <c r="P11" s="18">
        <v>1</v>
      </c>
    </row>
    <row r="12" spans="1:16">
      <c r="A12" s="211" t="s">
        <v>106</v>
      </c>
      <c r="B12" s="3">
        <f>+unibkvar!B22</f>
        <v>3742086.6999999997</v>
      </c>
      <c r="C12" s="142">
        <f>+B12/somfinbilsys!$B$22</f>
        <v>0.16847259142529403</v>
      </c>
      <c r="D12" s="18">
        <v>2</v>
      </c>
      <c r="E12" s="9" t="s">
        <v>106</v>
      </c>
      <c r="F12" s="3">
        <f>+unibkvar!B60</f>
        <v>1518202.6</v>
      </c>
      <c r="G12" s="142">
        <f>+F12/somfinbilsys!$B$60</f>
        <v>0.16107574990595622</v>
      </c>
      <c r="H12" s="18">
        <v>2</v>
      </c>
      <c r="I12" s="9" t="s">
        <v>106</v>
      </c>
      <c r="J12" s="3">
        <f>+unibkvar!B29</f>
        <v>3371393</v>
      </c>
      <c r="K12" s="142">
        <f>+J12/somfinbilsys!$B$29</f>
        <v>0.17413554620469618</v>
      </c>
      <c r="L12" s="18">
        <v>2</v>
      </c>
      <c r="M12" s="9" t="s">
        <v>105</v>
      </c>
      <c r="N12" s="3">
        <f>+'sogebkgdes&amp;$  '!B29</f>
        <v>1435058</v>
      </c>
      <c r="O12" s="142">
        <f>+N12/'bilsysbandéc.99$ '!$R$29</f>
        <v>0.21964529774188657</v>
      </c>
      <c r="P12" s="18">
        <v>2</v>
      </c>
    </row>
    <row r="13" spans="1:16">
      <c r="A13" s="211" t="s">
        <v>104</v>
      </c>
      <c r="B13" s="3">
        <f>+socabkvar!B22</f>
        <v>2520617.6999999997</v>
      </c>
      <c r="C13" s="142">
        <f>+B13/somfinbilsys!$B$22</f>
        <v>0.11348080094228291</v>
      </c>
      <c r="D13" s="18">
        <v>3</v>
      </c>
      <c r="E13" s="9" t="s">
        <v>104</v>
      </c>
      <c r="F13" s="3">
        <f>+socabkvar!B60</f>
        <v>1516685.5</v>
      </c>
      <c r="G13" s="142">
        <f>+F13/somfinbilsys!$B$60</f>
        <v>0.16091479113788248</v>
      </c>
      <c r="H13" s="18">
        <v>3</v>
      </c>
      <c r="I13" s="9" t="s">
        <v>104</v>
      </c>
      <c r="J13" s="3">
        <f>+socabkvar!B29</f>
        <v>2284054.7999999998</v>
      </c>
      <c r="K13" s="142">
        <f>+J13/somfinbilsys!$B$29</f>
        <v>0.11797352909004026</v>
      </c>
      <c r="L13" s="18">
        <v>3</v>
      </c>
      <c r="M13" s="9" t="s">
        <v>104</v>
      </c>
      <c r="N13" s="3">
        <f>+'socabkgdes&amp;$ '!B29</f>
        <v>1037123.2000000001</v>
      </c>
      <c r="O13" s="142">
        <f>+N13/'bilsysbandéc.99$ '!$R$29</f>
        <v>0.15873869492314469</v>
      </c>
      <c r="P13" s="18">
        <v>3</v>
      </c>
    </row>
    <row r="14" spans="1:16">
      <c r="A14" s="211" t="s">
        <v>102</v>
      </c>
      <c r="B14" s="3">
        <f>+buhvar!B22</f>
        <v>2115184</v>
      </c>
      <c r="C14" s="142">
        <f>+B14/somfinbilsys!$B$22</f>
        <v>9.5227758838756768E-2</v>
      </c>
      <c r="D14" s="18">
        <v>4</v>
      </c>
      <c r="E14" s="9" t="s">
        <v>103</v>
      </c>
      <c r="F14" s="3">
        <f>+promobkvar!B60</f>
        <v>832528</v>
      </c>
      <c r="G14" s="142">
        <f>+F14/somfinbilsys!$B$60</f>
        <v>8.8328179597180187E-2</v>
      </c>
      <c r="H14" s="18">
        <v>4</v>
      </c>
      <c r="I14" s="9" t="s">
        <v>102</v>
      </c>
      <c r="J14" s="3">
        <f>+buhvar!B29</f>
        <v>1956363</v>
      </c>
      <c r="K14" s="142">
        <f>+J14/somfinbilsys!$B$29</f>
        <v>0.10104794652526658</v>
      </c>
      <c r="L14" s="18">
        <v>4</v>
      </c>
      <c r="M14" s="9" t="s">
        <v>109</v>
      </c>
      <c r="N14" s="3">
        <f>+'cbnagdes&amp;$'!B29</f>
        <v>636523</v>
      </c>
      <c r="O14" s="142">
        <f>+N14/'bilsysbandéc.99$ '!$R$29</f>
        <v>9.7424134672298157E-2</v>
      </c>
      <c r="P14" s="18">
        <v>4</v>
      </c>
    </row>
    <row r="15" spans="1:16">
      <c r="A15" s="211" t="s">
        <v>100</v>
      </c>
      <c r="B15" s="3">
        <f>+bncvar!B22</f>
        <v>1812734</v>
      </c>
      <c r="C15" s="142">
        <f>+B15/somfinbilsys!$B$22</f>
        <v>8.1611148812970838E-2</v>
      </c>
      <c r="D15" s="18">
        <v>5</v>
      </c>
      <c r="E15" s="9" t="s">
        <v>102</v>
      </c>
      <c r="F15" s="3">
        <f>+buhvar!B60</f>
        <v>785886</v>
      </c>
      <c r="G15" s="142">
        <f>+F15/somfinbilsys!$B$60</f>
        <v>8.3379633779175649E-2</v>
      </c>
      <c r="H15" s="18">
        <v>5</v>
      </c>
      <c r="I15" s="9" t="s">
        <v>100</v>
      </c>
      <c r="J15" s="3">
        <f>+bncvar!B29</f>
        <v>1472739</v>
      </c>
      <c r="K15" s="142">
        <f>+J15/somfinbilsys!$B$29</f>
        <v>7.6068322554492473E-2</v>
      </c>
      <c r="L15" s="18">
        <v>5</v>
      </c>
      <c r="M15" s="9" t="s">
        <v>103</v>
      </c>
      <c r="N15" s="3">
        <f>+'promobkgdes&amp;$'!B29</f>
        <v>575210</v>
      </c>
      <c r="O15" s="142">
        <f>+N15/'bilsysbandéc.99$ '!$R$29</f>
        <v>8.8039766834588265E-2</v>
      </c>
      <c r="P15" s="18">
        <v>5</v>
      </c>
    </row>
    <row r="16" spans="1:16">
      <c r="A16" s="211" t="s">
        <v>109</v>
      </c>
      <c r="B16" s="3">
        <f>+cbnavar!B22</f>
        <v>1606782</v>
      </c>
      <c r="C16" s="142">
        <f>+B16/somfinbilsys!$B$22</f>
        <v>7.233897798132706E-2</v>
      </c>
      <c r="D16" s="18">
        <v>6</v>
      </c>
      <c r="E16" s="9" t="s">
        <v>109</v>
      </c>
      <c r="F16" s="3">
        <f>+cbnavar!B60</f>
        <v>755842</v>
      </c>
      <c r="G16" s="142">
        <f>+F16/somfinbilsys!$B$60</f>
        <v>8.0192075129115012E-2</v>
      </c>
      <c r="H16" s="18">
        <v>6</v>
      </c>
      <c r="I16" s="9" t="s">
        <v>109</v>
      </c>
      <c r="J16" s="3">
        <f>+cbnavar!B29</f>
        <v>1360488</v>
      </c>
      <c r="K16" s="142">
        <f>+J16/somfinbilsys!$B$29</f>
        <v>7.0270455264317952E-2</v>
      </c>
      <c r="L16" s="18">
        <v>6</v>
      </c>
      <c r="M16" s="9" t="s">
        <v>102</v>
      </c>
      <c r="N16" s="3">
        <f>+'buhgdes&amp;$'!B29</f>
        <v>512195</v>
      </c>
      <c r="O16" s="142">
        <f>+N16/'bilsysbandéc.99$ '!$R$29</f>
        <v>7.8394896427116945E-2</v>
      </c>
      <c r="P16" s="18">
        <v>6</v>
      </c>
    </row>
    <row r="17" spans="1:16">
      <c r="A17" s="211" t="s">
        <v>103</v>
      </c>
      <c r="B17" s="3">
        <f>+promobkvar!B22</f>
        <v>1567981</v>
      </c>
      <c r="C17" s="142">
        <f>+B17/somfinbilsys!$B$22</f>
        <v>7.0592117060148285E-2</v>
      </c>
      <c r="D17" s="18">
        <v>7</v>
      </c>
      <c r="E17" s="9" t="s">
        <v>110</v>
      </c>
      <c r="F17" s="3">
        <f>+scotiavar!B60</f>
        <v>518016</v>
      </c>
      <c r="G17" s="142">
        <f>+F17/somfinbilsys!$B$60</f>
        <v>5.4959605301218566E-2</v>
      </c>
      <c r="H17" s="18">
        <v>7</v>
      </c>
      <c r="I17" s="9" t="s">
        <v>103</v>
      </c>
      <c r="J17" s="3">
        <f>+promobkvar!B29</f>
        <v>1355039</v>
      </c>
      <c r="K17" s="142">
        <f>+J17/somfinbilsys!$B$29</f>
        <v>6.9989009407584735E-2</v>
      </c>
      <c r="L17" s="18">
        <v>7</v>
      </c>
      <c r="M17" s="9" t="s">
        <v>107</v>
      </c>
      <c r="N17" s="3">
        <f>+'capitalbkgdes&amp;$'!B29</f>
        <v>339704</v>
      </c>
      <c r="O17" s="142">
        <f>+N17/'bilsysbandéc.99$ '!$R$29</f>
        <v>5.1993986461947764E-2</v>
      </c>
      <c r="P17" s="18">
        <v>7</v>
      </c>
    </row>
    <row r="18" spans="1:16">
      <c r="A18" s="211" t="s">
        <v>107</v>
      </c>
      <c r="B18" s="3">
        <f>+capitalbkvar!B22</f>
        <v>1113063</v>
      </c>
      <c r="C18" s="142">
        <f>+B18/somfinbilsys!$B$22</f>
        <v>5.0111240883224877E-2</v>
      </c>
      <c r="D18" s="18">
        <v>8</v>
      </c>
      <c r="E18" s="9" t="s">
        <v>107</v>
      </c>
      <c r="F18" s="3">
        <f>+capitalbkvar!B60</f>
        <v>509125</v>
      </c>
      <c r="G18" s="142">
        <f>+F18/somfinbilsys!$B$60</f>
        <v>5.4016302679806998E-2</v>
      </c>
      <c r="H18" s="18">
        <v>8</v>
      </c>
      <c r="I18" s="9" t="s">
        <v>110</v>
      </c>
      <c r="J18" s="3">
        <f>+scotiavar!B29</f>
        <v>888788</v>
      </c>
      <c r="K18" s="142">
        <f>+J18/somfinbilsys!$B$29</f>
        <v>4.5906716849735262E-2</v>
      </c>
      <c r="L18" s="18">
        <v>8</v>
      </c>
      <c r="M18" s="9" t="s">
        <v>108</v>
      </c>
      <c r="N18" s="3">
        <f>+'sgbelgdes&amp;$'!B29</f>
        <v>125932.3</v>
      </c>
      <c r="O18" s="142">
        <f>+N18/'bilsysbandéc.99$ '!$R$29</f>
        <v>1.9274787171543298E-2</v>
      </c>
      <c r="P18" s="18">
        <v>8</v>
      </c>
    </row>
    <row r="19" spans="1:16">
      <c r="A19" s="211" t="s">
        <v>110</v>
      </c>
      <c r="B19" s="3">
        <f>+scotiavar!B22</f>
        <v>957538</v>
      </c>
      <c r="C19" s="142">
        <f>+B19/somfinbilsys!$B$22</f>
        <v>4.3109345448408026E-2</v>
      </c>
      <c r="D19" s="18">
        <v>9</v>
      </c>
      <c r="E19" s="9" t="s">
        <v>100</v>
      </c>
      <c r="F19" s="3">
        <f>+bncvar!B60</f>
        <v>463471</v>
      </c>
      <c r="G19" s="142">
        <f>+F19/somfinbilsys!$B$60</f>
        <v>4.9172580052664533E-2</v>
      </c>
      <c r="H19" s="18">
        <v>9</v>
      </c>
      <c r="I19" s="9" t="s">
        <v>107</v>
      </c>
      <c r="J19" s="3">
        <f>+capitalbkvar!B29</f>
        <v>874223</v>
      </c>
      <c r="K19" s="142">
        <f>+J19/somfinbilsys!$B$29</f>
        <v>4.5154421216899991E-2</v>
      </c>
      <c r="L19" s="18">
        <v>9</v>
      </c>
      <c r="M19" s="9" t="s">
        <v>110</v>
      </c>
      <c r="N19" s="3">
        <f>+'scotiagdes&amp;$'!B29</f>
        <v>111867</v>
      </c>
      <c r="O19" s="142">
        <f>+N19/'bilsysbandéc.99$ '!$R$29</f>
        <v>1.7121998220623574E-2</v>
      </c>
      <c r="P19" s="18">
        <v>9</v>
      </c>
    </row>
    <row r="20" spans="1:16">
      <c r="A20" s="211" t="s">
        <v>101</v>
      </c>
      <c r="B20" s="3">
        <f>+bphvar!B22</f>
        <v>800349.7</v>
      </c>
      <c r="C20" s="142">
        <f>+B20/somfinbilsys!$B$22</f>
        <v>3.6032566537129308E-2</v>
      </c>
      <c r="D20" s="18">
        <v>10</v>
      </c>
      <c r="E20" s="211" t="s">
        <v>108</v>
      </c>
      <c r="F20" s="3">
        <f>+sgbelvar!B60</f>
        <v>353363.6</v>
      </c>
      <c r="G20" s="142">
        <f>+F20/somfinbilsys!$B$60</f>
        <v>3.7490587132091822E-2</v>
      </c>
      <c r="H20" s="18">
        <v>10</v>
      </c>
      <c r="I20" s="9" t="s">
        <v>101</v>
      </c>
      <c r="J20" s="3">
        <f>+bphvar!B29</f>
        <v>684781.8</v>
      </c>
      <c r="K20" s="142">
        <f>+J20/somfinbilsys!$B$29</f>
        <v>3.5369609171649531E-2</v>
      </c>
      <c r="L20" s="18">
        <v>10</v>
      </c>
      <c r="M20" s="9" t="s">
        <v>101</v>
      </c>
      <c r="N20" s="3">
        <f>+'bphgdes&amp;$'!B29</f>
        <v>69658.7</v>
      </c>
      <c r="O20" s="142">
        <f>+N20/'bilsysbandéc.99$ '!$R$29</f>
        <v>1.0661733464300922E-2</v>
      </c>
      <c r="P20" s="18">
        <v>10</v>
      </c>
    </row>
    <row r="21" spans="1:16">
      <c r="A21" s="211" t="s">
        <v>108</v>
      </c>
      <c r="B21" s="3">
        <f>+sgbelvar!B22</f>
        <v>534932.6</v>
      </c>
      <c r="C21" s="142">
        <f>+B21/somfinbilsys!$B$22</f>
        <v>2.4083215752288754E-2</v>
      </c>
      <c r="D21" s="18">
        <v>11</v>
      </c>
      <c r="E21" s="9" t="s">
        <v>101</v>
      </c>
      <c r="F21" s="3">
        <f>+bphvar!B60</f>
        <v>351036.3</v>
      </c>
      <c r="G21" s="142">
        <f>+F21/somfinbilsys!$B$60</f>
        <v>3.7243669103657319E-2</v>
      </c>
      <c r="H21" s="18">
        <v>11</v>
      </c>
      <c r="I21" s="211" t="s">
        <v>108</v>
      </c>
      <c r="J21" s="3">
        <f>+sgbelvar!B29</f>
        <v>464678.89999999997</v>
      </c>
      <c r="K21" s="142">
        <f>+J21/somfinbilsys!$B$29</f>
        <v>2.4001092148348589E-2</v>
      </c>
      <c r="L21" s="18">
        <v>11</v>
      </c>
      <c r="M21" s="9" t="s">
        <v>100</v>
      </c>
      <c r="N21" s="3">
        <f>+'bncgdes&amp;$ '!B29</f>
        <v>63845</v>
      </c>
      <c r="O21" s="100">
        <f>+N21/'bilsysbandéc.99$ '!$R$29</f>
        <v>9.7719075008332393E-3</v>
      </c>
      <c r="P21" s="18">
        <v>11</v>
      </c>
    </row>
    <row r="22" spans="1:16">
      <c r="A22" s="211" t="s">
        <v>250</v>
      </c>
      <c r="B22" s="3">
        <f>+'bhdvar  '!B22</f>
        <v>28161.600000000002</v>
      </c>
      <c r="C22" s="142">
        <f>+B22/somfinbilsys!$B$22</f>
        <v>1.2678641921050522E-3</v>
      </c>
      <c r="D22" s="18">
        <v>12</v>
      </c>
      <c r="E22" s="9" t="s">
        <v>98</v>
      </c>
      <c r="F22" s="3">
        <f>+bichvar!B60</f>
        <v>3752.9</v>
      </c>
      <c r="G22" s="142">
        <f>+F22/somfinbilsys!$B$60</f>
        <v>3.9816898075531096E-4</v>
      </c>
      <c r="H22" s="18">
        <v>12</v>
      </c>
      <c r="I22" s="9" t="s">
        <v>98</v>
      </c>
      <c r="J22" s="3">
        <f>+bichvar!B29</f>
        <v>5346.3</v>
      </c>
      <c r="K22" s="142">
        <f>+J22/somfinbilsys!$B$29</f>
        <v>2.7614130736884347E-4</v>
      </c>
      <c r="L22" s="18">
        <v>12</v>
      </c>
      <c r="M22" s="211" t="s">
        <v>250</v>
      </c>
      <c r="N22" s="3">
        <f>+'bhdgdes&amp;$'!B29</f>
        <v>2768.7</v>
      </c>
      <c r="O22" s="100">
        <f>+N22/'bilsysbandéc.99$ '!$R$29</f>
        <v>4.2376819324233672E-4</v>
      </c>
      <c r="P22" s="18">
        <v>12</v>
      </c>
    </row>
    <row r="23" spans="1:16">
      <c r="A23" s="211" t="s">
        <v>98</v>
      </c>
      <c r="B23" s="3">
        <f>+bichvar!B22</f>
        <v>11316.400000000001</v>
      </c>
      <c r="C23" s="142">
        <f>+B23/somfinbilsys!$B$22</f>
        <v>5.0947596526964428E-4</v>
      </c>
      <c r="D23" s="991">
        <v>13</v>
      </c>
      <c r="E23" s="211" t="s">
        <v>250</v>
      </c>
      <c r="F23" s="3">
        <f>+'bhdvar  '!B60</f>
        <v>5550.3</v>
      </c>
      <c r="G23" s="142">
        <f>+F23/somfinbilsys!$B$60</f>
        <v>5.8886655490053097E-4</v>
      </c>
      <c r="H23" s="18">
        <v>13</v>
      </c>
      <c r="I23" s="211" t="s">
        <v>250</v>
      </c>
      <c r="J23" s="3">
        <f>+'bhdvar  '!B29</f>
        <v>4276</v>
      </c>
      <c r="K23" s="142">
        <f>+J23/somfinbilsys!$B$29</f>
        <v>2.2085932893948612E-4</v>
      </c>
      <c r="L23" s="18">
        <v>13</v>
      </c>
      <c r="M23" s="9" t="s">
        <v>98</v>
      </c>
      <c r="N23" s="3">
        <f>+'bichgdes&amp;$'!B29</f>
        <v>0</v>
      </c>
      <c r="O23" s="142">
        <f>+N23/'bilsysbandéc.99$ '!$R$29</f>
        <v>0</v>
      </c>
      <c r="P23" s="18">
        <v>13</v>
      </c>
    </row>
    <row r="24" spans="1:16">
      <c r="A24" s="211" t="s">
        <v>0</v>
      </c>
      <c r="B24" s="3" t="s">
        <v>0</v>
      </c>
      <c r="C24" s="142" t="s">
        <v>0</v>
      </c>
      <c r="D24" s="18" t="s">
        <v>0</v>
      </c>
      <c r="E24" s="211" t="s">
        <v>0</v>
      </c>
      <c r="F24" s="3" t="s">
        <v>0</v>
      </c>
      <c r="G24" s="142" t="s">
        <v>0</v>
      </c>
      <c r="H24" s="18" t="s">
        <v>0</v>
      </c>
      <c r="I24" s="211" t="s">
        <v>0</v>
      </c>
      <c r="J24" s="3" t="s">
        <v>0</v>
      </c>
      <c r="K24" s="142" t="s">
        <v>0</v>
      </c>
      <c r="L24" s="18" t="s">
        <v>0</v>
      </c>
      <c r="M24" s="9" t="s">
        <v>0</v>
      </c>
      <c r="N24" s="3" t="s">
        <v>0</v>
      </c>
      <c r="O24" s="100" t="s">
        <v>0</v>
      </c>
      <c r="P24" s="18" t="s">
        <v>0</v>
      </c>
    </row>
    <row r="25" spans="1:16">
      <c r="D25" s="18" t="s">
        <v>0</v>
      </c>
      <c r="H25" s="18" t="s">
        <v>0</v>
      </c>
      <c r="L25" s="18" t="s">
        <v>0</v>
      </c>
      <c r="P25" s="18" t="s">
        <v>0</v>
      </c>
    </row>
    <row r="26" spans="1:16">
      <c r="A26" s="9"/>
      <c r="B26" s="3"/>
      <c r="C26" s="142"/>
      <c r="D26" s="18"/>
      <c r="E26" s="9"/>
      <c r="F26" s="3"/>
      <c r="G26" s="142"/>
      <c r="H26" s="18"/>
      <c r="I26" s="9"/>
      <c r="J26" s="3"/>
      <c r="K26" s="142"/>
      <c r="L26" s="18"/>
      <c r="M26" s="9"/>
      <c r="N26" s="21"/>
      <c r="O26" s="142"/>
      <c r="P26" s="18"/>
    </row>
    <row r="27" spans="1:16" ht="16.5" thickBot="1">
      <c r="A27" s="19"/>
      <c r="B27" s="19"/>
      <c r="C27" s="19"/>
      <c r="D27" s="19"/>
      <c r="E27" s="19"/>
      <c r="F27" s="19"/>
      <c r="G27" s="19"/>
      <c r="H27" s="19"/>
      <c r="I27" s="19"/>
      <c r="J27" s="19"/>
      <c r="K27" s="19"/>
      <c r="L27" s="19"/>
      <c r="M27" s="19"/>
      <c r="N27" s="19"/>
      <c r="O27" s="19"/>
      <c r="P27" s="19"/>
    </row>
    <row r="28" spans="1:16">
      <c r="A28" s="20"/>
      <c r="B28" s="20"/>
      <c r="C28" s="20"/>
      <c r="D28" s="20"/>
      <c r="E28" s="20"/>
      <c r="F28" s="20"/>
      <c r="G28" s="20"/>
      <c r="H28" s="20"/>
      <c r="I28" s="20"/>
      <c r="J28" s="20"/>
      <c r="K28" s="20"/>
      <c r="L28" s="20"/>
      <c r="M28" s="20"/>
      <c r="N28" s="20"/>
      <c r="O28" s="20"/>
      <c r="P28" s="20"/>
    </row>
    <row r="29" spans="1:16">
      <c r="A29" s="2" t="s">
        <v>251</v>
      </c>
    </row>
    <row r="30" spans="1:16">
      <c r="B30" s="114" t="s">
        <v>243</v>
      </c>
      <c r="C30" s="114"/>
      <c r="D30" s="114"/>
      <c r="F30" s="114" t="s">
        <v>252</v>
      </c>
      <c r="G30" s="114"/>
      <c r="H30" s="114"/>
      <c r="J30" s="114" t="s">
        <v>245</v>
      </c>
      <c r="K30" s="114"/>
      <c r="L30" s="114"/>
      <c r="N30" s="114" t="s">
        <v>246</v>
      </c>
      <c r="O30" s="114"/>
      <c r="P30" s="114"/>
    </row>
    <row r="31" spans="1:16" ht="16.5" thickBot="1">
      <c r="B31" s="214" t="s">
        <v>247</v>
      </c>
      <c r="C31" s="174" t="s">
        <v>248</v>
      </c>
      <c r="D31" s="174" t="s">
        <v>249</v>
      </c>
      <c r="F31" s="174" t="s">
        <v>247</v>
      </c>
      <c r="G31" s="174" t="s">
        <v>248</v>
      </c>
      <c r="H31" s="174" t="s">
        <v>249</v>
      </c>
      <c r="J31" s="174" t="s">
        <v>247</v>
      </c>
      <c r="K31" s="174" t="s">
        <v>248</v>
      </c>
      <c r="L31" s="174" t="s">
        <v>249</v>
      </c>
      <c r="N31" s="174" t="s">
        <v>247</v>
      </c>
      <c r="O31" s="174" t="s">
        <v>248</v>
      </c>
      <c r="P31" s="174" t="s">
        <v>249</v>
      </c>
    </row>
    <row r="32" spans="1:16">
      <c r="B32" s="18"/>
      <c r="C32" s="18"/>
      <c r="D32" s="18"/>
      <c r="F32" s="18"/>
      <c r="G32" s="18"/>
      <c r="H32" s="18"/>
      <c r="J32" s="18"/>
      <c r="K32" s="18"/>
      <c r="L32" s="18"/>
    </row>
    <row r="33" spans="1:16">
      <c r="A33" s="211" t="s">
        <v>105</v>
      </c>
      <c r="B33" s="3">
        <f>+sogebkvar!J22</f>
        <v>5177237</v>
      </c>
      <c r="C33" s="142">
        <f>+B33/somfinbilsys!$J$22</f>
        <v>0.24539945201402816</v>
      </c>
      <c r="D33" s="18">
        <v>1</v>
      </c>
      <c r="E33" s="9" t="s">
        <v>105</v>
      </c>
      <c r="F33" s="3">
        <f>+sogebkvar!J60</f>
        <v>1773624</v>
      </c>
      <c r="G33" s="142">
        <f>+F33/somfinbilsys!$J$60</f>
        <v>0.1972705470994798</v>
      </c>
      <c r="H33" s="18">
        <v>1</v>
      </c>
      <c r="I33" s="9" t="s">
        <v>105</v>
      </c>
      <c r="J33" s="3">
        <f>+sogebkvar!J29</f>
        <v>4573439</v>
      </c>
      <c r="K33" s="142">
        <f>+J33/somfinbilsys!$J$29</f>
        <v>0.25133635124895859</v>
      </c>
      <c r="L33" s="18">
        <v>1</v>
      </c>
      <c r="M33" s="9" t="s">
        <v>106</v>
      </c>
      <c r="N33" s="3">
        <f>+'unibkgdes&amp;$'!H29</f>
        <v>1511766.4000000001</v>
      </c>
      <c r="O33" s="142">
        <f>+N33/$N$71</f>
        <v>0.26342631506156444</v>
      </c>
      <c r="P33" s="18">
        <v>1</v>
      </c>
    </row>
    <row r="34" spans="1:16">
      <c r="A34" s="211" t="s">
        <v>106</v>
      </c>
      <c r="B34" s="3">
        <f>+unibkvar!J22</f>
        <v>3400856.3000000003</v>
      </c>
      <c r="C34" s="142">
        <f>+B34/somfinbilsys!$J$22</f>
        <v>0.16119954956639138</v>
      </c>
      <c r="D34" s="18">
        <v>2</v>
      </c>
      <c r="E34" s="9" t="s">
        <v>106</v>
      </c>
      <c r="F34" s="3">
        <f>+unibkvar!J60</f>
        <v>1530776.8</v>
      </c>
      <c r="G34" s="142">
        <f>+F34/somfinbilsys!$J$60</f>
        <v>0.17025997439321466</v>
      </c>
      <c r="H34" s="18">
        <v>2</v>
      </c>
      <c r="I34" s="9" t="s">
        <v>106</v>
      </c>
      <c r="J34" s="3">
        <f>+unibkvar!J29</f>
        <v>3059196</v>
      </c>
      <c r="K34" s="142">
        <f>+J34/somfinbilsys!$J$29</f>
        <v>0.16812013025546182</v>
      </c>
      <c r="L34" s="18">
        <v>2</v>
      </c>
      <c r="M34" s="9" t="s">
        <v>105</v>
      </c>
      <c r="N34" s="3">
        <f>+'sogebkgdes&amp;$  '!H29</f>
        <v>1331722</v>
      </c>
      <c r="O34" s="142">
        <f>+N34/$N$71</f>
        <v>0.23205345690075971</v>
      </c>
      <c r="P34" s="18">
        <v>2</v>
      </c>
    </row>
    <row r="35" spans="1:16">
      <c r="A35" s="211" t="s">
        <v>104</v>
      </c>
      <c r="B35" s="3">
        <f>+socabkvar!J22</f>
        <v>2294099.7000000002</v>
      </c>
      <c r="C35" s="142">
        <f>+B35/somfinbilsys!$J$22</f>
        <v>0.10873962487047559</v>
      </c>
      <c r="D35" s="18">
        <v>3</v>
      </c>
      <c r="E35" s="9" t="s">
        <v>104</v>
      </c>
      <c r="F35" s="3">
        <f>+socabkvar!J60</f>
        <v>1265008.2</v>
      </c>
      <c r="G35" s="142">
        <f>+F35/somfinbilsys!$J$60</f>
        <v>0.14069997908199716</v>
      </c>
      <c r="H35" s="18">
        <v>3</v>
      </c>
      <c r="I35" s="9" t="s">
        <v>104</v>
      </c>
      <c r="J35" s="3">
        <f>+socabkvar!J29</f>
        <v>2017277.8</v>
      </c>
      <c r="K35" s="142">
        <f>+J35/somfinbilsys!$J$29</f>
        <v>0.1108608296092998</v>
      </c>
      <c r="L35" s="18">
        <v>3</v>
      </c>
      <c r="M35" s="9" t="s">
        <v>104</v>
      </c>
      <c r="N35" s="3">
        <f>+'socabkgdes&amp;$ '!H29</f>
        <v>819292.7</v>
      </c>
      <c r="O35" s="142">
        <f t="shared" ref="O35:O42" si="0">+N35/$N$71</f>
        <v>0.14276230568283549</v>
      </c>
      <c r="P35" s="18">
        <v>3</v>
      </c>
    </row>
    <row r="36" spans="1:16">
      <c r="A36" s="211" t="s">
        <v>102</v>
      </c>
      <c r="B36" s="3">
        <f>+buhvar!J22</f>
        <v>2068939</v>
      </c>
      <c r="C36" s="142">
        <f>+B36/somfinbilsys!$J$22</f>
        <v>9.8067076483161084E-2</v>
      </c>
      <c r="D36" s="18">
        <v>4</v>
      </c>
      <c r="E36" s="9" t="s">
        <v>109</v>
      </c>
      <c r="F36" s="3">
        <f>+cbnavar!J60</f>
        <v>768118</v>
      </c>
      <c r="G36" s="142">
        <f>+F36/somfinbilsys!$J$60</f>
        <v>8.5433585752650074E-2</v>
      </c>
      <c r="H36" s="18">
        <v>4</v>
      </c>
      <c r="I36" s="9" t="s">
        <v>102</v>
      </c>
      <c r="J36" s="3">
        <f>+buhvar!J29</f>
        <v>1820256</v>
      </c>
      <c r="K36" s="142">
        <f>+J36/somfinbilsys!$J$29</f>
        <v>0.10003336687753446</v>
      </c>
      <c r="L36" s="18">
        <v>4</v>
      </c>
      <c r="M36" s="9" t="s">
        <v>109</v>
      </c>
      <c r="N36" s="3">
        <f>+'cbnagdes&amp;$'!H29</f>
        <v>534729</v>
      </c>
      <c r="O36" s="142">
        <f t="shared" si="0"/>
        <v>9.3176888986655132E-2</v>
      </c>
      <c r="P36" s="18">
        <v>4</v>
      </c>
    </row>
    <row r="37" spans="1:16">
      <c r="A37" s="211" t="s">
        <v>100</v>
      </c>
      <c r="B37" s="3">
        <f>+bncvar!J22</f>
        <v>1904429</v>
      </c>
      <c r="C37" s="142">
        <f>+B37/somfinbilsys!$J$22</f>
        <v>9.0269352745416837E-2</v>
      </c>
      <c r="D37" s="18">
        <v>5</v>
      </c>
      <c r="E37" s="9" t="s">
        <v>103</v>
      </c>
      <c r="F37" s="3">
        <f>+promobkvar!J60</f>
        <v>740189</v>
      </c>
      <c r="G37" s="142">
        <f>+F37/somfinbilsys!$J$60</f>
        <v>8.2327195046422955E-2</v>
      </c>
      <c r="H37" s="18">
        <v>5</v>
      </c>
      <c r="I37" s="9" t="s">
        <v>100</v>
      </c>
      <c r="J37" s="3">
        <f>+bncvar!J29</f>
        <v>1440211</v>
      </c>
      <c r="K37" s="142">
        <f>+J37/somfinbilsys!$J$29</f>
        <v>7.9147743693228204E-2</v>
      </c>
      <c r="L37" s="18">
        <v>5</v>
      </c>
      <c r="M37" s="9" t="s">
        <v>103</v>
      </c>
      <c r="N37" s="3">
        <f>+'promobkgdes&amp;$'!H29</f>
        <v>483595</v>
      </c>
      <c r="O37" s="142">
        <f t="shared" si="0"/>
        <v>8.4266754990848611E-2</v>
      </c>
      <c r="P37" s="18">
        <v>5</v>
      </c>
    </row>
    <row r="38" spans="1:16">
      <c r="A38" s="211" t="s">
        <v>103</v>
      </c>
      <c r="B38" s="3">
        <f>+promobkvar!J22</f>
        <v>1508802</v>
      </c>
      <c r="C38" s="142">
        <f>+B38/somfinbilsys!$J$22</f>
        <v>7.1516753820168893E-2</v>
      </c>
      <c r="D38" s="18">
        <v>6</v>
      </c>
      <c r="E38" s="9" t="s">
        <v>102</v>
      </c>
      <c r="F38" s="3">
        <f>+buhvar!J60</f>
        <v>737060</v>
      </c>
      <c r="G38" s="142">
        <f>+F38/somfinbilsys!$J$60</f>
        <v>8.197917340154541E-2</v>
      </c>
      <c r="H38" s="18">
        <v>6</v>
      </c>
      <c r="I38" s="9" t="s">
        <v>103</v>
      </c>
      <c r="J38" s="3">
        <f>+promobkvar!J29</f>
        <v>1269716</v>
      </c>
      <c r="K38" s="142">
        <f>+J38/somfinbilsys!$J$29</f>
        <v>6.9778078719847952E-2</v>
      </c>
      <c r="L38" s="18">
        <v>6</v>
      </c>
      <c r="M38" s="9" t="s">
        <v>102</v>
      </c>
      <c r="N38" s="3">
        <f>+'buhgdes&amp;$'!H29</f>
        <v>435304</v>
      </c>
      <c r="O38" s="142">
        <f>+N38/$N$71</f>
        <v>7.5852015662974934E-2</v>
      </c>
      <c r="P38" s="18">
        <v>6</v>
      </c>
    </row>
    <row r="39" spans="1:16">
      <c r="A39" s="211" t="s">
        <v>109</v>
      </c>
      <c r="B39" s="3">
        <f>+cbnavar!J22</f>
        <v>1453792</v>
      </c>
      <c r="C39" s="142">
        <f>+B39/somfinbilsys!$J$22</f>
        <v>6.8909296627212166E-2</v>
      </c>
      <c r="D39" s="18">
        <v>7</v>
      </c>
      <c r="E39" s="9" t="s">
        <v>107</v>
      </c>
      <c r="F39" s="3">
        <f>+capitalbkvar!J60</f>
        <v>514316</v>
      </c>
      <c r="G39" s="142">
        <f>+F39/somfinbilsys!$J$60</f>
        <v>5.720457024826911E-2</v>
      </c>
      <c r="H39" s="18">
        <v>7</v>
      </c>
      <c r="I39" s="9" t="s">
        <v>253</v>
      </c>
      <c r="J39" s="3">
        <f>+cbnavar!J29</f>
        <v>1205052</v>
      </c>
      <c r="K39" s="142">
        <f>+J39/somfinbilsys!$J$29</f>
        <v>6.6224426027166869E-2</v>
      </c>
      <c r="L39" s="18">
        <v>7</v>
      </c>
      <c r="M39" s="9" t="s">
        <v>107</v>
      </c>
      <c r="N39" s="3">
        <f>+'capitalbkgdes&amp;$'!H29</f>
        <v>295071</v>
      </c>
      <c r="O39" s="142">
        <f>+N39/$N$71</f>
        <v>5.1416320809571418E-2</v>
      </c>
      <c r="P39" s="18">
        <v>7</v>
      </c>
    </row>
    <row r="40" spans="1:16">
      <c r="A40" s="211" t="s">
        <v>107</v>
      </c>
      <c r="B40" s="3">
        <f>+capitalbkvar!J22</f>
        <v>1029883</v>
      </c>
      <c r="C40" s="142">
        <f>+B40/somfinbilsys!$J$22</f>
        <v>4.8816139542880374E-2</v>
      </c>
      <c r="D40" s="18">
        <v>8</v>
      </c>
      <c r="E40" s="9" t="s">
        <v>110</v>
      </c>
      <c r="F40" s="3">
        <f>+scotiavar!J60</f>
        <v>506411</v>
      </c>
      <c r="G40" s="142">
        <f>+F40/somfinbilsys!$J$60</f>
        <v>5.6325340109963928E-2</v>
      </c>
      <c r="H40" s="18">
        <v>8</v>
      </c>
      <c r="I40" s="9" t="s">
        <v>110</v>
      </c>
      <c r="J40" s="3">
        <f>+scotiavar!J29</f>
        <v>883693</v>
      </c>
      <c r="K40" s="142">
        <f>+J40/somfinbilsys!$J$29</f>
        <v>4.8563930609820304E-2</v>
      </c>
      <c r="L40" s="18">
        <v>8</v>
      </c>
      <c r="M40" s="9" t="s">
        <v>110</v>
      </c>
      <c r="N40" s="3">
        <f>+'scotiagdes&amp;$'!H29</f>
        <v>105677</v>
      </c>
      <c r="O40" s="142">
        <f>+N40/$N$71</f>
        <v>1.8414288541378443E-2</v>
      </c>
      <c r="P40" s="18">
        <v>8</v>
      </c>
    </row>
    <row r="41" spans="1:16">
      <c r="A41" s="211" t="s">
        <v>110</v>
      </c>
      <c r="B41" s="3">
        <f>+scotiavar!J22</f>
        <v>920200</v>
      </c>
      <c r="C41" s="142">
        <f>+B41/somfinbilsys!$J$22</f>
        <v>4.3617198854004308E-2</v>
      </c>
      <c r="D41" s="18">
        <v>9</v>
      </c>
      <c r="E41" s="9" t="s">
        <v>100</v>
      </c>
      <c r="F41" s="3">
        <f>+bncvar!J60</f>
        <v>476103</v>
      </c>
      <c r="G41" s="142">
        <f>+F41/somfinbilsys!$J$60</f>
        <v>5.2954346178053315E-2</v>
      </c>
      <c r="H41" s="18">
        <v>9</v>
      </c>
      <c r="I41" s="9" t="s">
        <v>107</v>
      </c>
      <c r="J41" s="3">
        <f>+capitalbkvar!J29</f>
        <v>801700</v>
      </c>
      <c r="K41" s="142">
        <f>+J41/somfinbilsys!$J$29</f>
        <v>4.4057951313287463E-2</v>
      </c>
      <c r="L41" s="18">
        <v>9</v>
      </c>
      <c r="M41" s="211" t="s">
        <v>108</v>
      </c>
      <c r="N41" s="3">
        <f>+'sgbelgdes&amp;$'!H29</f>
        <v>94910.5</v>
      </c>
      <c r="O41" s="142">
        <f>+N41/$N$71</f>
        <v>1.653821865312697E-2</v>
      </c>
      <c r="P41" s="18">
        <v>9</v>
      </c>
    </row>
    <row r="42" spans="1:16">
      <c r="A42" s="211" t="s">
        <v>101</v>
      </c>
      <c r="B42" s="3">
        <f>+bphvar!J22</f>
        <v>819659.6</v>
      </c>
      <c r="C42" s="142">
        <f>+B42/somfinbilsys!$J$22</f>
        <v>3.8851614611816597E-2</v>
      </c>
      <c r="D42" s="18">
        <v>10</v>
      </c>
      <c r="E42" s="211" t="s">
        <v>108</v>
      </c>
      <c r="F42" s="3">
        <f>+sgbelvar!J60</f>
        <v>342138.7</v>
      </c>
      <c r="G42" s="142">
        <f>+F42/somfinbilsys!$J$60</f>
        <v>3.8054225998805154E-2</v>
      </c>
      <c r="H42" s="18">
        <v>10</v>
      </c>
      <c r="I42" s="9" t="s">
        <v>101</v>
      </c>
      <c r="J42" s="3">
        <f>+bphvar!J29</f>
        <v>696137.5</v>
      </c>
      <c r="K42" s="142">
        <f>+J42/somfinbilsys!$J$29</f>
        <v>3.8256694626859988E-2</v>
      </c>
      <c r="L42" s="18">
        <v>10</v>
      </c>
      <c r="M42" s="9" t="s">
        <v>101</v>
      </c>
      <c r="N42" s="3">
        <f>+'bphgdes&amp;$'!H29</f>
        <v>66186.100000000006</v>
      </c>
      <c r="O42" s="142">
        <f t="shared" si="0"/>
        <v>1.153297257519165E-2</v>
      </c>
      <c r="P42" s="18">
        <v>10</v>
      </c>
    </row>
    <row r="43" spans="1:16">
      <c r="A43" s="211" t="s">
        <v>108</v>
      </c>
      <c r="B43" s="3">
        <f>+sgbelvar!J22</f>
        <v>509206.19999999995</v>
      </c>
      <c r="C43" s="142">
        <f>+B43/somfinbilsys!$J$22</f>
        <v>2.4136218303729501E-2</v>
      </c>
      <c r="D43" s="18">
        <v>11</v>
      </c>
      <c r="E43" s="9" t="s">
        <v>101</v>
      </c>
      <c r="F43" s="3">
        <f>+bphvar!J60</f>
        <v>333313.7</v>
      </c>
      <c r="G43" s="142">
        <f>+F43/somfinbilsys!$J$60</f>
        <v>3.7072669266288619E-2</v>
      </c>
      <c r="H43" s="18">
        <v>11</v>
      </c>
      <c r="I43" s="211" t="s">
        <v>108</v>
      </c>
      <c r="J43" s="3">
        <f>+sgbelvar!J29</f>
        <v>425651.6</v>
      </c>
      <c r="K43" s="142">
        <f>+J43/somfinbilsys!$J$29</f>
        <v>2.3391963913213059E-2</v>
      </c>
      <c r="L43" s="18">
        <v>11</v>
      </c>
      <c r="M43" s="9" t="s">
        <v>100</v>
      </c>
      <c r="N43" s="3">
        <f>+'bncgdes&amp;$ '!H29</f>
        <v>60605</v>
      </c>
      <c r="O43" s="142">
        <f>+N43/$N$71</f>
        <v>1.0560462135093167E-2</v>
      </c>
      <c r="P43" s="18">
        <v>11</v>
      </c>
    </row>
    <row r="44" spans="1:16">
      <c r="A44" s="9" t="s">
        <v>98</v>
      </c>
      <c r="B44" s="3">
        <f>+bichvar!J22</f>
        <v>10078.599999999999</v>
      </c>
      <c r="C44" s="142">
        <f>+B44/somfinbilsys!$J$22</f>
        <v>4.777225607150269E-4</v>
      </c>
      <c r="D44" s="18">
        <v>12</v>
      </c>
      <c r="E44" s="9" t="s">
        <v>98</v>
      </c>
      <c r="F44" s="3">
        <f>+bichvar!J60</f>
        <v>3761.7</v>
      </c>
      <c r="G44" s="142">
        <f>+F44/somfinbilsys!$J$60</f>
        <v>4.1839342330962659E-4</v>
      </c>
      <c r="H44" s="18">
        <v>12</v>
      </c>
      <c r="I44" s="9" t="s">
        <v>98</v>
      </c>
      <c r="J44" s="3">
        <f>+bichvar!J29</f>
        <v>4158.5</v>
      </c>
      <c r="K44" s="142">
        <f>+J44/somfinbilsys!$J$29</f>
        <v>2.2853310532157406E-4</v>
      </c>
      <c r="L44" s="18">
        <v>12</v>
      </c>
      <c r="M44" s="9" t="s">
        <v>98</v>
      </c>
      <c r="N44" s="3">
        <f>+'bidcgdes&amp;$ '!H29</f>
        <v>0</v>
      </c>
      <c r="O44" s="142">
        <f>+N44/$N$71</f>
        <v>0</v>
      </c>
      <c r="P44" s="18">
        <v>12</v>
      </c>
    </row>
    <row r="45" spans="1:16">
      <c r="A45" s="9"/>
      <c r="B45" s="3"/>
      <c r="C45" s="142"/>
      <c r="D45" s="18"/>
      <c r="E45" s="9"/>
      <c r="F45" s="3"/>
      <c r="G45" s="142"/>
      <c r="H45" s="18"/>
      <c r="I45" s="9"/>
      <c r="J45" s="3"/>
      <c r="K45" s="142"/>
      <c r="L45" s="18"/>
      <c r="M45" s="9"/>
      <c r="N45" s="21"/>
      <c r="O45" s="142"/>
      <c r="P45" s="18"/>
    </row>
    <row r="46" spans="1:16" ht="16.5" thickBot="1">
      <c r="A46" s="19"/>
      <c r="B46" s="19"/>
      <c r="C46" s="19"/>
      <c r="D46" s="19"/>
      <c r="E46" s="19"/>
      <c r="F46" s="19"/>
      <c r="G46" s="19"/>
      <c r="H46" s="19"/>
      <c r="I46" s="19"/>
      <c r="J46" s="19"/>
      <c r="K46" s="19"/>
      <c r="L46" s="19"/>
      <c r="M46" s="19"/>
      <c r="N46" s="212"/>
      <c r="O46" s="19"/>
      <c r="P46" s="19"/>
    </row>
    <row r="47" spans="1:16">
      <c r="A47" s="20"/>
      <c r="B47" s="20"/>
      <c r="C47" s="20"/>
      <c r="D47" s="20"/>
      <c r="E47" s="20"/>
      <c r="F47" s="20"/>
      <c r="G47" s="20"/>
      <c r="H47" s="20"/>
      <c r="I47" s="20"/>
      <c r="J47" s="20"/>
      <c r="K47" s="20"/>
      <c r="L47" s="20"/>
      <c r="M47" s="20"/>
      <c r="N47" s="213"/>
      <c r="O47" s="20"/>
      <c r="P47" s="20"/>
    </row>
    <row r="48" spans="1:16">
      <c r="A48" s="2" t="s">
        <v>254</v>
      </c>
    </row>
    <row r="49" spans="1:16">
      <c r="B49" s="114" t="s">
        <v>243</v>
      </c>
      <c r="C49" s="114"/>
      <c r="D49" s="114"/>
      <c r="F49" s="114" t="s">
        <v>252</v>
      </c>
      <c r="G49" s="114"/>
      <c r="H49" s="114"/>
      <c r="J49" s="114" t="s">
        <v>245</v>
      </c>
      <c r="K49" s="114"/>
      <c r="L49" s="114"/>
      <c r="N49" s="114" t="s">
        <v>246</v>
      </c>
      <c r="O49" s="114"/>
      <c r="P49" s="114"/>
    </row>
    <row r="50" spans="1:16" ht="16.5" thickBot="1">
      <c r="B50" s="174" t="s">
        <v>247</v>
      </c>
      <c r="C50" s="174" t="s">
        <v>248</v>
      </c>
      <c r="D50" s="174" t="s">
        <v>249</v>
      </c>
      <c r="F50" s="174" t="s">
        <v>247</v>
      </c>
      <c r="G50" s="174" t="s">
        <v>248</v>
      </c>
      <c r="H50" s="174" t="s">
        <v>249</v>
      </c>
      <c r="J50" s="174" t="s">
        <v>247</v>
      </c>
      <c r="K50" s="174" t="s">
        <v>248</v>
      </c>
      <c r="L50" s="174" t="s">
        <v>249</v>
      </c>
      <c r="N50" s="174" t="s">
        <v>247</v>
      </c>
      <c r="O50" s="174" t="s">
        <v>248</v>
      </c>
      <c r="P50" s="174" t="s">
        <v>249</v>
      </c>
    </row>
    <row r="51" spans="1:16">
      <c r="B51" s="18"/>
      <c r="C51" s="18"/>
      <c r="D51" s="18"/>
      <c r="F51" s="18"/>
      <c r="G51" s="18"/>
      <c r="H51" s="18"/>
      <c r="J51" s="18"/>
      <c r="K51" s="18"/>
      <c r="L51" s="18"/>
      <c r="N51" s="18"/>
      <c r="O51" s="18"/>
      <c r="P51" s="18"/>
    </row>
    <row r="52" spans="1:16">
      <c r="A52" s="211" t="s">
        <v>105</v>
      </c>
      <c r="B52" s="3">
        <f>+sogebkvar!L22</f>
        <v>3732347</v>
      </c>
      <c r="C52" s="142">
        <f>+B52/somfinbilsys!$L$22</f>
        <v>0.20495646845435242</v>
      </c>
      <c r="D52" s="18">
        <v>1</v>
      </c>
      <c r="E52" s="9" t="s">
        <v>105</v>
      </c>
      <c r="F52" s="3">
        <f>+sogebkvar!L60</f>
        <v>1294742</v>
      </c>
      <c r="G52" s="142">
        <f>+F52/somfinbilsys!$L$60</f>
        <v>0.15473373485038622</v>
      </c>
      <c r="H52" s="18">
        <v>1</v>
      </c>
      <c r="I52" s="9" t="s">
        <v>105</v>
      </c>
      <c r="J52" s="3">
        <f>+sogebkvar!L29</f>
        <v>3255590</v>
      </c>
      <c r="K52" s="142">
        <f>+J52/somfinbilsys!$L$29</f>
        <v>0.21211257614414336</v>
      </c>
      <c r="L52" s="18">
        <v>1</v>
      </c>
      <c r="M52" s="9" t="s">
        <v>151</v>
      </c>
      <c r="N52" s="3">
        <v>981414.1</v>
      </c>
      <c r="O52" s="58">
        <f t="shared" ref="O52:O65" si="1">+N52/$N$73</f>
        <v>0.2752370583229436</v>
      </c>
      <c r="P52" s="18">
        <v>1</v>
      </c>
    </row>
    <row r="53" spans="1:16">
      <c r="A53" s="211" t="s">
        <v>106</v>
      </c>
      <c r="B53" s="3">
        <f>+unibkvar!L22</f>
        <v>2848935.6999999997</v>
      </c>
      <c r="C53" s="142">
        <f>+B53/somfinbilsys!$L$22</f>
        <v>0.15644520724507352</v>
      </c>
      <c r="D53" s="18">
        <v>2</v>
      </c>
      <c r="E53" s="9" t="s">
        <v>106</v>
      </c>
      <c r="F53" s="3">
        <f>+unibkvar!L60</f>
        <v>1262841.3</v>
      </c>
      <c r="G53" s="142">
        <f>+F53/somfinbilsys!$L$60</f>
        <v>0.15092130391407479</v>
      </c>
      <c r="H53" s="18">
        <v>2</v>
      </c>
      <c r="I53" s="9" t="s">
        <v>106</v>
      </c>
      <c r="J53" s="3">
        <f>+unibkvar!L29</f>
        <v>2526434.2000000002</v>
      </c>
      <c r="K53" s="142">
        <f>+J53/somfinbilsys!$L$29</f>
        <v>0.16460563726411126</v>
      </c>
      <c r="L53" s="18">
        <v>2</v>
      </c>
      <c r="M53" s="9" t="s">
        <v>105</v>
      </c>
      <c r="N53" s="3">
        <v>671929</v>
      </c>
      <c r="O53" s="58">
        <f t="shared" si="1"/>
        <v>0.18844212790694281</v>
      </c>
      <c r="P53" s="18">
        <v>2</v>
      </c>
    </row>
    <row r="54" spans="1:16">
      <c r="A54" s="211" t="s">
        <v>100</v>
      </c>
      <c r="B54" s="3">
        <f>+bncvar!L22</f>
        <v>1857039</v>
      </c>
      <c r="C54" s="142">
        <f>+B54/somfinbilsys!$L$22</f>
        <v>0.10197662629492975</v>
      </c>
      <c r="D54" s="18">
        <v>3</v>
      </c>
      <c r="E54" s="9" t="s">
        <v>104</v>
      </c>
      <c r="F54" s="3">
        <f>+socabkvar!L60</f>
        <v>869336.9</v>
      </c>
      <c r="G54" s="142">
        <f>+F54/somfinbilsys!$L$60</f>
        <v>0.10389386100107721</v>
      </c>
      <c r="H54" s="18">
        <v>3</v>
      </c>
      <c r="I54" s="9" t="s">
        <v>102</v>
      </c>
      <c r="J54" s="3">
        <f>+buhvar!L29</f>
        <v>1579057</v>
      </c>
      <c r="K54" s="142">
        <f>+J54/somfinbilsys!$L$29</f>
        <v>0.10288084437795994</v>
      </c>
      <c r="L54" s="18">
        <v>3</v>
      </c>
      <c r="M54" s="9" t="s">
        <v>103</v>
      </c>
      <c r="N54" s="3">
        <v>411469.1</v>
      </c>
      <c r="O54" s="58">
        <f t="shared" si="1"/>
        <v>0.11539628855422915</v>
      </c>
      <c r="P54" s="18">
        <v>3</v>
      </c>
    </row>
    <row r="55" spans="1:16">
      <c r="A55" s="211" t="s">
        <v>102</v>
      </c>
      <c r="B55" s="3">
        <f>+buhvar!L22</f>
        <v>1804916</v>
      </c>
      <c r="C55" s="142">
        <f>+B55/somfinbilsys!$L$22</f>
        <v>9.9114366701905252E-2</v>
      </c>
      <c r="D55" s="18">
        <v>4</v>
      </c>
      <c r="E55" s="9" t="s">
        <v>103</v>
      </c>
      <c r="F55" s="3">
        <f>+promobkvar!L60</f>
        <v>773504</v>
      </c>
      <c r="G55" s="142">
        <f>+F55/somfinbilsys!$L$60</f>
        <v>9.2440936373202637E-2</v>
      </c>
      <c r="H55" s="18">
        <v>4</v>
      </c>
      <c r="I55" s="9" t="s">
        <v>100</v>
      </c>
      <c r="J55" s="3">
        <f>+bncvar!L29</f>
        <v>1366513</v>
      </c>
      <c r="K55" s="142">
        <f>+J55/somfinbilsys!$L$29</f>
        <v>8.9032891968725117E-2</v>
      </c>
      <c r="L55" s="18">
        <v>4</v>
      </c>
      <c r="M55" s="9" t="s">
        <v>104</v>
      </c>
      <c r="N55" s="3">
        <v>396463.6</v>
      </c>
      <c r="O55" s="58">
        <f t="shared" si="1"/>
        <v>0.11118800412193403</v>
      </c>
      <c r="P55" s="18">
        <v>4</v>
      </c>
    </row>
    <row r="56" spans="1:16">
      <c r="A56" s="211" t="s">
        <v>104</v>
      </c>
      <c r="B56" s="3">
        <f>+socabkvar!L22</f>
        <v>1499702.6</v>
      </c>
      <c r="C56" s="142">
        <f>+B56/somfinbilsys!$L$22</f>
        <v>8.2354011732513166E-2</v>
      </c>
      <c r="D56" s="18">
        <v>5</v>
      </c>
      <c r="E56" s="9" t="s">
        <v>100</v>
      </c>
      <c r="F56" s="3">
        <f>+bncvar!L60</f>
        <v>738188</v>
      </c>
      <c r="G56" s="142">
        <f>+F56/somfinbilsys!$L$60</f>
        <v>8.8220345259315672E-2</v>
      </c>
      <c r="H56" s="18">
        <v>5</v>
      </c>
      <c r="I56" s="9" t="s">
        <v>104</v>
      </c>
      <c r="J56" s="3">
        <f>+socabkvar!L29</f>
        <v>1338220.1000000001</v>
      </c>
      <c r="K56" s="142">
        <f>+J56/somfinbilsys!$L$29</f>
        <v>8.7189514914001204E-2</v>
      </c>
      <c r="L56" s="18">
        <v>5</v>
      </c>
      <c r="M56" s="9" t="s">
        <v>109</v>
      </c>
      <c r="N56" s="3">
        <v>302783.40000000002</v>
      </c>
      <c r="O56" s="58">
        <f t="shared" si="1"/>
        <v>8.4915442243003403E-2</v>
      </c>
      <c r="P56" s="18">
        <v>5</v>
      </c>
    </row>
    <row r="57" spans="1:16">
      <c r="A57" s="211" t="s">
        <v>103</v>
      </c>
      <c r="B57" s="3">
        <f>+promobkvar!L22</f>
        <v>1333543</v>
      </c>
      <c r="C57" s="142">
        <f>+B57/somfinbilsys!$L$22</f>
        <v>7.3229596233153699E-2</v>
      </c>
      <c r="D57" s="18">
        <v>6</v>
      </c>
      <c r="E57" s="9" t="s">
        <v>102</v>
      </c>
      <c r="F57" s="3">
        <f>+buhvar!L60</f>
        <v>700240</v>
      </c>
      <c r="G57" s="142">
        <f>+F57/somfinbilsys!$L$60</f>
        <v>8.3685205617516412E-2</v>
      </c>
      <c r="H57" s="18">
        <v>6</v>
      </c>
      <c r="I57" s="9" t="s">
        <v>103</v>
      </c>
      <c r="J57" s="3">
        <f>+promobkvar!L29</f>
        <v>1116804</v>
      </c>
      <c r="K57" s="142">
        <f>+J57/somfinbilsys!$L$29</f>
        <v>7.2763515518871821E-2</v>
      </c>
      <c r="L57" s="18">
        <v>6</v>
      </c>
      <c r="M57" s="9" t="s">
        <v>99</v>
      </c>
      <c r="N57" s="3">
        <v>250987.8</v>
      </c>
      <c r="O57" s="58">
        <f t="shared" si="1"/>
        <v>7.038939398460578E-2</v>
      </c>
      <c r="P57" s="18">
        <v>6</v>
      </c>
    </row>
    <row r="58" spans="1:16">
      <c r="A58" s="211" t="s">
        <v>99</v>
      </c>
      <c r="B58" s="3">
        <f>+bidcvar!L22</f>
        <v>1313005.7000000002</v>
      </c>
      <c r="C58" s="142">
        <f>+B58/somfinbilsys!$L$22</f>
        <v>7.2101819935937089E-2</v>
      </c>
      <c r="D58" s="18">
        <v>7</v>
      </c>
      <c r="E58" s="9" t="s">
        <v>109</v>
      </c>
      <c r="F58" s="3">
        <f>+cbnavar!L60</f>
        <v>678131</v>
      </c>
      <c r="G58" s="142">
        <f>+F58/somfinbilsys!$L$60</f>
        <v>8.1042974081189337E-2</v>
      </c>
      <c r="H58" s="18">
        <v>7</v>
      </c>
      <c r="I58" s="9" t="s">
        <v>99</v>
      </c>
      <c r="J58" s="3">
        <f>+bidcvar!L29</f>
        <v>1053355.7</v>
      </c>
      <c r="K58" s="142">
        <f>+J58/somfinbilsys!$L$29</f>
        <v>6.8629646584218967E-2</v>
      </c>
      <c r="L58" s="18">
        <v>7</v>
      </c>
      <c r="M58" s="9" t="s">
        <v>102</v>
      </c>
      <c r="N58" s="3">
        <v>236393.5</v>
      </c>
      <c r="O58" s="58">
        <f t="shared" si="1"/>
        <v>6.6296430371914128E-2</v>
      </c>
      <c r="P58" s="18">
        <v>7</v>
      </c>
    </row>
    <row r="59" spans="1:16">
      <c r="A59" s="211" t="s">
        <v>109</v>
      </c>
      <c r="B59" s="3">
        <f>+cbnavar!L22</f>
        <v>1104605</v>
      </c>
      <c r="C59" s="142">
        <f>+B59/somfinbilsys!$L$22</f>
        <v>6.0657795172051249E-2</v>
      </c>
      <c r="D59" s="18">
        <v>8</v>
      </c>
      <c r="E59" s="9" t="s">
        <v>99</v>
      </c>
      <c r="F59" s="3">
        <f>+bidcvar!L60</f>
        <v>624668.80000000005</v>
      </c>
      <c r="G59" s="142">
        <f>+F59/somfinbilsys!$L$60</f>
        <v>7.4653742960766656E-2</v>
      </c>
      <c r="H59" s="18">
        <v>8</v>
      </c>
      <c r="I59" s="9" t="s">
        <v>109</v>
      </c>
      <c r="J59" s="3">
        <f>+cbnavar!L29</f>
        <v>874586</v>
      </c>
      <c r="K59" s="142">
        <f>+J59/somfinbilsys!$L$29</f>
        <v>5.6982202771111157E-2</v>
      </c>
      <c r="L59" s="18">
        <v>8</v>
      </c>
      <c r="M59" s="9" t="s">
        <v>107</v>
      </c>
      <c r="N59" s="3">
        <v>112819.9</v>
      </c>
      <c r="O59" s="58">
        <f t="shared" si="1"/>
        <v>3.1640280485361542E-2</v>
      </c>
      <c r="P59" s="18">
        <v>8</v>
      </c>
    </row>
    <row r="60" spans="1:16">
      <c r="A60" s="211" t="s">
        <v>101</v>
      </c>
      <c r="B60" s="3">
        <f>+bphvar!L22</f>
        <v>756731.9</v>
      </c>
      <c r="C60" s="142">
        <f>+B60/somfinbilsys!$L$22</f>
        <v>4.1554844121072389E-2</v>
      </c>
      <c r="D60" s="18">
        <v>9</v>
      </c>
      <c r="E60" s="9" t="s">
        <v>110</v>
      </c>
      <c r="F60" s="3">
        <f>+scotiavar!L60</f>
        <v>441171</v>
      </c>
      <c r="G60" s="142">
        <f>+F60/somfinbilsys!$L$60</f>
        <v>5.2724045823553833E-2</v>
      </c>
      <c r="H60" s="18">
        <v>9</v>
      </c>
      <c r="I60" s="9" t="s">
        <v>110</v>
      </c>
      <c r="J60" s="3">
        <f>+scotiavar!L29</f>
        <v>704747</v>
      </c>
      <c r="K60" s="142">
        <f>+J60/somfinbilsys!$L$29</f>
        <v>4.5916623929873418E-2</v>
      </c>
      <c r="L60" s="18">
        <v>9</v>
      </c>
      <c r="M60" s="9" t="s">
        <v>110</v>
      </c>
      <c r="N60" s="3">
        <v>79387.7</v>
      </c>
      <c r="O60" s="58">
        <f t="shared" si="1"/>
        <v>2.2264237914479065E-2</v>
      </c>
      <c r="P60" s="18">
        <v>9</v>
      </c>
    </row>
    <row r="61" spans="1:16">
      <c r="A61" s="211" t="s">
        <v>110</v>
      </c>
      <c r="B61" s="3">
        <f>+scotiavar!L22</f>
        <v>756337</v>
      </c>
      <c r="C61" s="142">
        <f>+B61/somfinbilsys!$L$22</f>
        <v>4.153315875543178E-2</v>
      </c>
      <c r="D61" s="18">
        <v>10</v>
      </c>
      <c r="E61" s="9" t="s">
        <v>107</v>
      </c>
      <c r="F61" s="3">
        <f>+capitalbkvar!L60</f>
        <v>381362</v>
      </c>
      <c r="G61" s="142">
        <f>+F61/somfinbilsys!$L$60</f>
        <v>4.5576312956568173E-2</v>
      </c>
      <c r="H61" s="18">
        <v>10</v>
      </c>
      <c r="I61" s="9" t="s">
        <v>101</v>
      </c>
      <c r="J61" s="3">
        <f>+bphvar!L29</f>
        <v>626707.1</v>
      </c>
      <c r="K61" s="142">
        <f>+J61/somfinbilsys!$L$29</f>
        <v>4.0832063456646958E-2</v>
      </c>
      <c r="L61" s="18">
        <v>10</v>
      </c>
      <c r="M61" s="9" t="s">
        <v>101</v>
      </c>
      <c r="N61" s="3">
        <v>52002.6</v>
      </c>
      <c r="O61" s="58">
        <f t="shared" si="1"/>
        <v>1.4584101297448963E-2</v>
      </c>
      <c r="P61" s="18">
        <v>10</v>
      </c>
    </row>
    <row r="62" spans="1:16">
      <c r="A62" s="211" t="s">
        <v>107</v>
      </c>
      <c r="B62" s="3">
        <f>+capitalbkvar!L22</f>
        <v>688033</v>
      </c>
      <c r="C62" s="142">
        <f>+B62/somfinbilsys!$L$22</f>
        <v>3.7782342815406357E-2</v>
      </c>
      <c r="D62" s="18">
        <v>11</v>
      </c>
      <c r="E62" s="211" t="s">
        <v>108</v>
      </c>
      <c r="F62" s="3">
        <f>+sgbelvar!L60</f>
        <v>304003.90000000002</v>
      </c>
      <c r="G62" s="142">
        <f>+F62/somfinbilsys!$L$60</f>
        <v>3.6331299097490721E-2</v>
      </c>
      <c r="H62" s="18">
        <v>11</v>
      </c>
      <c r="I62" s="9" t="s">
        <v>107</v>
      </c>
      <c r="J62" s="3">
        <f>+capitalbkvar!L29</f>
        <v>516946</v>
      </c>
      <c r="K62" s="142">
        <f>+J62/somfinbilsys!$L$29</f>
        <v>3.368076071845974E-2</v>
      </c>
      <c r="L62" s="18">
        <v>11</v>
      </c>
      <c r="M62" s="9" t="s">
        <v>108</v>
      </c>
      <c r="N62" s="3">
        <v>40279.9</v>
      </c>
      <c r="O62" s="58">
        <f t="shared" si="1"/>
        <v>1.1296476365626229E-2</v>
      </c>
      <c r="P62" s="18">
        <v>11</v>
      </c>
    </row>
    <row r="63" spans="1:16">
      <c r="A63" s="211" t="s">
        <v>108</v>
      </c>
      <c r="B63" s="3">
        <f>+sgbelvar!L22</f>
        <v>445156.99999999994</v>
      </c>
      <c r="C63" s="142">
        <f>+B63/somfinbilsys!$L$22</f>
        <v>2.4445156526907642E-2</v>
      </c>
      <c r="D63" s="18">
        <v>12</v>
      </c>
      <c r="E63" s="9" t="s">
        <v>101</v>
      </c>
      <c r="F63" s="3">
        <f>+bphvar!L60</f>
        <v>288964.7</v>
      </c>
      <c r="G63" s="142">
        <f>+F63/somfinbilsys!$L$60</f>
        <v>3.4533974545447196E-2</v>
      </c>
      <c r="H63" s="18">
        <v>12</v>
      </c>
      <c r="I63" s="211" t="s">
        <v>108</v>
      </c>
      <c r="J63" s="3">
        <f>+sgbelvar!L29</f>
        <v>354222.6</v>
      </c>
      <c r="K63" s="142">
        <f>+J63/somfinbilsys!$L$29</f>
        <v>2.3078787013867359E-2</v>
      </c>
      <c r="L63" s="18">
        <v>12</v>
      </c>
      <c r="M63" s="9" t="s">
        <v>100</v>
      </c>
      <c r="N63" s="3">
        <v>29774.2</v>
      </c>
      <c r="O63" s="58">
        <f t="shared" si="1"/>
        <v>8.3501584315112121E-3</v>
      </c>
      <c r="P63" s="18">
        <v>12</v>
      </c>
    </row>
    <row r="64" spans="1:16">
      <c r="A64" s="211" t="s">
        <v>98</v>
      </c>
      <c r="B64" s="3">
        <f>+bichvar!L22</f>
        <v>10221.599999999999</v>
      </c>
      <c r="C64" s="142">
        <f>+B64/somfinbilsys!$L$22</f>
        <v>5.6130446551540052E-4</v>
      </c>
      <c r="D64" s="18">
        <v>13</v>
      </c>
      <c r="E64" s="9" t="s">
        <v>98</v>
      </c>
      <c r="F64" s="3">
        <f>+bichvar!L60</f>
        <v>3150.3</v>
      </c>
      <c r="G64" s="142">
        <f>+F64/somfinbilsys!$L$60</f>
        <v>3.7649020800991371E-4</v>
      </c>
      <c r="H64" s="18">
        <v>13</v>
      </c>
      <c r="I64" s="9" t="s">
        <v>98</v>
      </c>
      <c r="J64" s="3">
        <f>+bichvar!L29</f>
        <v>4445.3999999999996</v>
      </c>
      <c r="K64" s="142">
        <f>+J64/somfinbilsys!$L$29</f>
        <v>2.8963267671640926E-4</v>
      </c>
      <c r="L64" s="18">
        <v>13</v>
      </c>
      <c r="M64" s="9" t="s">
        <v>255</v>
      </c>
      <c r="N64" s="3">
        <v>0</v>
      </c>
      <c r="O64" s="58">
        <f t="shared" si="1"/>
        <v>0</v>
      </c>
      <c r="P64" s="18">
        <v>13</v>
      </c>
    </row>
    <row r="65" spans="1:16">
      <c r="A65" s="211" t="s">
        <v>255</v>
      </c>
      <c r="B65" s="3">
        <v>0</v>
      </c>
      <c r="C65" s="142">
        <f>+B65/somfinbilsys!$L$22</f>
        <v>0</v>
      </c>
      <c r="D65" s="18">
        <v>14</v>
      </c>
      <c r="E65" s="9" t="s">
        <v>255</v>
      </c>
      <c r="F65" s="3">
        <v>0</v>
      </c>
      <c r="G65" s="142">
        <f>+F65/somfinbilsys!$L$60</f>
        <v>0</v>
      </c>
      <c r="H65" s="18">
        <v>14</v>
      </c>
      <c r="I65" s="9" t="s">
        <v>255</v>
      </c>
      <c r="J65" s="3">
        <v>0</v>
      </c>
      <c r="K65" s="142">
        <f>+J65/somfinbilsys!$L$29</f>
        <v>0</v>
      </c>
      <c r="L65" s="18">
        <v>14</v>
      </c>
      <c r="M65" s="9" t="s">
        <v>98</v>
      </c>
      <c r="N65" s="3">
        <v>0</v>
      </c>
      <c r="O65" s="58">
        <f t="shared" si="1"/>
        <v>0</v>
      </c>
      <c r="P65" s="18">
        <v>14</v>
      </c>
    </row>
    <row r="66" spans="1:16" ht="16.5" thickBot="1">
      <c r="A66" s="188" t="s">
        <v>0</v>
      </c>
      <c r="B66" s="212" t="s">
        <v>0</v>
      </c>
      <c r="C66" s="19"/>
      <c r="D66" s="19"/>
      <c r="E66" s="19"/>
      <c r="F66" s="19"/>
      <c r="G66" s="19"/>
      <c r="H66" s="19"/>
      <c r="I66" s="19"/>
      <c r="J66" s="19"/>
      <c r="K66" s="19"/>
      <c r="L66" s="19"/>
      <c r="M66" s="19" t="s">
        <v>0</v>
      </c>
      <c r="N66" s="19"/>
      <c r="O66" s="19"/>
      <c r="P66" s="19"/>
    </row>
    <row r="68" spans="1:16">
      <c r="A68" s="2" t="s">
        <v>0</v>
      </c>
      <c r="N68" s="2" t="s">
        <v>0</v>
      </c>
    </row>
    <row r="69" spans="1:16">
      <c r="A69" s="2" t="s">
        <v>0</v>
      </c>
    </row>
    <row r="71" spans="1:16">
      <c r="N71" s="121">
        <f>SUM(N33:N44)</f>
        <v>5738858.7000000002</v>
      </c>
    </row>
    <row r="73" spans="1:16">
      <c r="N73" s="121">
        <f>SUM(N52:N65)</f>
        <v>3565704.8000000003</v>
      </c>
    </row>
  </sheetData>
  <pageMargins left="0.32" right="0.23" top="0.65" bottom="0.38" header="0.54" footer="0.21"/>
  <pageSetup scale="48" orientation="landscape" r:id="rId1"/>
  <headerFooter alignWithMargins="0">
    <oddFooter>&amp;R&amp;16&amp;P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3"/>
  <sheetViews>
    <sheetView workbookViewId="0"/>
  </sheetViews>
  <sheetFormatPr defaultRowHeight="15.75"/>
  <cols>
    <col min="1" max="1" width="33.25" customWidth="1"/>
    <col min="2" max="2" width="17.375" style="12" customWidth="1"/>
    <col min="3" max="3" width="12" style="13" customWidth="1"/>
    <col min="4" max="4" width="15.75" style="12" customWidth="1"/>
    <col min="5" max="5" width="9.75" style="13" customWidth="1"/>
    <col min="6" max="6" width="15.75" style="12" customWidth="1"/>
    <col min="7" max="7" width="9.75" style="13" customWidth="1"/>
    <col min="8" max="8" width="14.75" style="12" customWidth="1"/>
    <col min="9" max="9" width="10.2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8" width="15.75" style="12" customWidth="1"/>
    <col min="19" max="21" width="15.75" customWidth="1"/>
    <col min="22" max="256" width="11" customWidth="1"/>
  </cols>
  <sheetData>
    <row r="1" spans="1:21" ht="16.5" thickBot="1">
      <c r="J1" s="226" t="s">
        <v>256</v>
      </c>
      <c r="L1" s="228" t="s">
        <v>257</v>
      </c>
      <c r="N1" s="228" t="s">
        <v>258</v>
      </c>
      <c r="P1" s="228" t="s">
        <v>259</v>
      </c>
    </row>
    <row r="2" spans="1:21">
      <c r="A2" s="114" t="s">
        <v>163</v>
      </c>
      <c r="B2" s="37"/>
      <c r="C2" s="38"/>
      <c r="D2" s="37"/>
      <c r="E2" s="38"/>
      <c r="F2" s="37"/>
      <c r="G2" s="38"/>
      <c r="H2" s="37"/>
      <c r="I2" s="38"/>
      <c r="J2" s="37"/>
      <c r="K2" s="38"/>
      <c r="L2" s="37"/>
      <c r="M2" s="38"/>
      <c r="N2" s="37"/>
      <c r="O2" s="38"/>
      <c r="P2" s="37"/>
    </row>
    <row r="3" spans="1:21">
      <c r="A3" s="114" t="s">
        <v>164</v>
      </c>
      <c r="B3" s="37"/>
      <c r="C3" s="38"/>
      <c r="D3" s="37"/>
      <c r="E3" s="38"/>
      <c r="F3" s="37"/>
      <c r="G3" s="38"/>
      <c r="H3" s="37"/>
      <c r="I3" s="38"/>
      <c r="J3" s="37"/>
      <c r="K3" s="38"/>
      <c r="L3" s="37"/>
      <c r="M3" s="38"/>
      <c r="N3" s="37"/>
      <c r="O3" s="38"/>
      <c r="P3" s="37"/>
    </row>
    <row r="4" spans="1:21">
      <c r="A4" s="114" t="s">
        <v>260</v>
      </c>
      <c r="B4" s="37"/>
      <c r="C4" s="38"/>
      <c r="D4" s="37"/>
      <c r="E4" s="38"/>
      <c r="F4" s="37"/>
      <c r="G4" s="38"/>
      <c r="H4" s="37"/>
      <c r="I4" s="38"/>
      <c r="J4" s="37"/>
      <c r="K4" s="38"/>
      <c r="L4" s="37"/>
      <c r="M4" s="38"/>
      <c r="N4" s="37"/>
      <c r="O4" s="38"/>
      <c r="P4" s="37"/>
    </row>
    <row r="5" spans="1:21">
      <c r="A5" s="114" t="s">
        <v>179</v>
      </c>
      <c r="B5" s="37"/>
      <c r="C5" s="38"/>
      <c r="D5" s="37"/>
      <c r="E5" s="38"/>
      <c r="F5" s="37"/>
      <c r="G5" s="38"/>
      <c r="H5" s="37"/>
      <c r="I5" s="38"/>
      <c r="J5" s="37"/>
      <c r="K5" s="38"/>
      <c r="L5" s="37"/>
      <c r="M5" s="38"/>
      <c r="N5" s="37"/>
      <c r="O5" s="38"/>
      <c r="P5" s="37"/>
    </row>
    <row r="6" spans="1:21" ht="16.5" thickBot="1">
      <c r="B6" s="239" t="s">
        <v>0</v>
      </c>
      <c r="C6" s="217"/>
      <c r="D6" s="218"/>
      <c r="E6" s="217"/>
      <c r="F6" s="218"/>
      <c r="G6" s="217"/>
      <c r="H6" s="218"/>
      <c r="I6" s="506" t="s">
        <v>166</v>
      </c>
      <c r="J6" s="123" t="s">
        <v>167</v>
      </c>
      <c r="K6" s="38"/>
      <c r="L6" s="37"/>
      <c r="M6" s="38"/>
      <c r="N6" s="37"/>
      <c r="O6" s="38"/>
      <c r="P6" s="37"/>
    </row>
    <row r="7" spans="1:21" ht="16.5" thickBot="1">
      <c r="B7" s="223" t="s">
        <v>168</v>
      </c>
      <c r="C7" s="224" t="s">
        <v>169</v>
      </c>
      <c r="D7" s="225" t="s">
        <v>170</v>
      </c>
      <c r="E7" s="224" t="s">
        <v>169</v>
      </c>
      <c r="F7" s="225" t="s">
        <v>171</v>
      </c>
      <c r="G7" s="224" t="s">
        <v>169</v>
      </c>
      <c r="H7" s="225" t="s">
        <v>172</v>
      </c>
      <c r="I7" s="229" t="s">
        <v>173</v>
      </c>
      <c r="J7" s="226">
        <v>1999</v>
      </c>
      <c r="K7" s="227" t="s">
        <v>169</v>
      </c>
      <c r="L7" s="228" t="s">
        <v>261</v>
      </c>
      <c r="M7" s="227" t="s">
        <v>169</v>
      </c>
      <c r="N7" s="228" t="s">
        <v>262</v>
      </c>
      <c r="O7" s="227" t="s">
        <v>169</v>
      </c>
      <c r="P7" s="228" t="s">
        <v>263</v>
      </c>
      <c r="Q7" s="14"/>
      <c r="R7" s="14"/>
      <c r="S7" s="9"/>
      <c r="T7" s="9"/>
      <c r="U7" s="9"/>
    </row>
    <row r="8" spans="1:21">
      <c r="A8" s="87" t="s">
        <v>243</v>
      </c>
      <c r="B8" s="125"/>
      <c r="C8" s="124"/>
      <c r="D8" s="219"/>
      <c r="E8" s="124"/>
      <c r="F8" s="219"/>
      <c r="G8" s="124"/>
      <c r="H8" s="219"/>
      <c r="I8" s="124"/>
      <c r="J8" s="220"/>
      <c r="K8" s="124"/>
      <c r="L8" s="219"/>
      <c r="M8" s="124"/>
      <c r="N8" s="219"/>
      <c r="O8" s="124"/>
      <c r="P8" s="219"/>
      <c r="Q8" s="14"/>
      <c r="R8" s="14"/>
      <c r="S8" s="9"/>
      <c r="T8" s="9"/>
      <c r="U8" s="9"/>
    </row>
    <row r="9" spans="1:21">
      <c r="A9" s="1" t="s">
        <v>264</v>
      </c>
      <c r="B9"/>
    </row>
    <row r="10" spans="1:21">
      <c r="A10" s="1" t="s">
        <v>265</v>
      </c>
      <c r="B10" s="12">
        <f>+scotiavar!B10+cbnavar!B10+'bhdvar  '!B10+sgbelvar!B10+capitalbkvar!B10+bichvar!B10+promobkvar!B10+unibkvar!B10+bphvar!B10+socabkvar!B10+sogebkvar!B10+bncvar!B10+buhvar!B10</f>
        <v>1346705</v>
      </c>
      <c r="C10" s="44">
        <v>0</v>
      </c>
      <c r="D10" s="12">
        <f>+scotiavar!D10+cbnavar!D10+'bhdvar  '!D10+sgbelvar!D10+capitalbkvar!D10+bichvar!D10+promobkvar!D10+unibkvar!D10+bphvar!D10+socabkvar!D10+sogebkvar!D10+bncvar!D10+buhvar!D10</f>
        <v>0</v>
      </c>
      <c r="E10" s="44">
        <v>0</v>
      </c>
      <c r="F10" s="12">
        <f>+scotiavar!F10+cbnavar!F10+'bhdvar  '!F10+sgbelvar!F10+capitalbkvar!F10+bichvar!F10+promobkvar!F10+unibkvar!F10+bphvar!F10+socabkvar!F10+sogebkvar!F10+bncvar!F10+buhvar!F10</f>
        <v>0</v>
      </c>
      <c r="G10" s="44">
        <v>0</v>
      </c>
      <c r="H10" s="12">
        <f>+scotiavar!H10+cbnavar!H10+'bhdvar  '!H10+sgbelvar!H10+capitalbkvar!H10+bichvar!H10+promobkvar!H10+unibkvar!H10+bphvar!H10+socabkvar!H10+sogebkvar!H10+bncvar!H10+buhvar!H10</f>
        <v>0</v>
      </c>
      <c r="I10" s="47">
        <f t="shared" ref="I10:I15" si="0">+(B10-J10)/ABS(J10)</f>
        <v>0.27107813868867336</v>
      </c>
      <c r="J10" s="12">
        <f>+scotiavar!J10+cbnavar!J10+sgbelvar!J10+capitalbkvar!J10+bichvar!J10+promobkvar!J10+unibkvar!J10+bphvar!J10+bidcvar!J10+socabkvar!J10+sogebkvar!J10+bncvar!J10+buhvar!J10+'bmhvar '!J10</f>
        <v>1059498.2000000002</v>
      </c>
      <c r="K10" s="47">
        <f t="shared" ref="K10:K15" si="1">+(J10-L10)/ABS(L10)</f>
        <v>0.10230855744551165</v>
      </c>
      <c r="L10" s="12">
        <f>+scotiavar!L10+cbnavar!L10+sgbelvar!L10+capitalbkvar!L10+bichvar!L10+promobkvar!L10+unibkvar!L10+bphvar!L10+bidcvar!L10+socabkvar!L10+sogebkvar!L10+bncvar!L10+buhvar!L10+'bmhvar '!L10</f>
        <v>961162.99999999988</v>
      </c>
      <c r="M10" s="47">
        <f t="shared" ref="M10:M15" si="2">+(L10-N10)/ABS(N10)</f>
        <v>8.915777168688141E-2</v>
      </c>
      <c r="N10" s="12">
        <f>+scotiavar!N10+cbnavar!N10+sgbelvar!N10+capitalbkvar!N10+bichvar!N10+promobkvar!N10+unibkvar!N10+bphvar!N10+bidcvar!N10+socabkvar!N10+sogebkvar!N10+bncvar!N10+buhvar!N10+'bmhvar '!N10</f>
        <v>882482.8</v>
      </c>
      <c r="O10" s="47">
        <f t="shared" ref="O10:O15" si="3">+(N10-P10)/ABS(P10)</f>
        <v>-0.1555344941900253</v>
      </c>
      <c r="P10" s="12">
        <f>+scotiavar!P10+cbnavar!P10+sgbelvar!P10+capitalbkvar!P10+bichvar!P10+promobkvar!P10+unibkvar!P10+bphvar!P10+bidcvar!P10+socabkvar!P10+sogebkvar!P10+bncvar!P10+buhvar!P10+'bmhvar '!P10</f>
        <v>1045019.35713</v>
      </c>
    </row>
    <row r="11" spans="1:21">
      <c r="A11" s="1" t="s">
        <v>266</v>
      </c>
      <c r="B11" s="12">
        <f>+scotiavar!B11+cbnavar!B11+'bhdvar  '!B11+sgbelvar!B11+capitalbkvar!B11+bichvar!B11+promobkvar!B11+unibkvar!B11+bphvar!B11+socabkvar!B11+sogebkvar!B11+bncvar!B11+buhvar!B11</f>
        <v>3878804.6</v>
      </c>
      <c r="C11" s="44">
        <v>0</v>
      </c>
      <c r="D11" s="12">
        <f>+scotiavar!D11+cbnavar!D11+'bhdvar  '!D11+sgbelvar!D11+capitalbkvar!D11+bichvar!D11+promobkvar!D11+unibkvar!D11+bphvar!D11+socabkvar!D11+sogebkvar!D11+bncvar!D11+buhvar!D11</f>
        <v>0</v>
      </c>
      <c r="E11" s="44">
        <v>0</v>
      </c>
      <c r="F11" s="12">
        <f>+scotiavar!F11+cbnavar!F11+'bhdvar  '!F11+sgbelvar!F11+capitalbkvar!F11+bichvar!F11+promobkvar!F11+unibkvar!F11+bphvar!F11+socabkvar!F11+sogebkvar!F11+bncvar!F11+buhvar!F11</f>
        <v>0</v>
      </c>
      <c r="G11" s="44">
        <v>0</v>
      </c>
      <c r="H11" s="12">
        <f>+scotiavar!H11+cbnavar!H11+'bhdvar  '!H11+sgbelvar!H11+capitalbkvar!H11+bichvar!H11+promobkvar!H11+unibkvar!H11+bphvar!H11+socabkvar!H11+sogebkvar!H11+bncvar!H11+buhvar!H11</f>
        <v>0</v>
      </c>
      <c r="I11" s="47">
        <f t="shared" si="0"/>
        <v>0.18557018406392364</v>
      </c>
      <c r="J11" s="12">
        <f>+scotiavar!J11+cbnavar!J11+sgbelvar!J11+capitalbkvar!J11+bichvar!J11+promobkvar!J11+unibkvar!J11+bphvar!J11+bidcvar!J11+socabkvar!J11+sogebkvar!J11+bncvar!J11+buhvar!J11+'bmhvar '!J11</f>
        <v>3271678.6</v>
      </c>
      <c r="K11" s="47">
        <f t="shared" si="1"/>
        <v>3.7851818775413298E-3</v>
      </c>
      <c r="L11" s="12">
        <f>+scotiavar!L11+cbnavar!L11+sgbelvar!L11+capitalbkvar!L11+bichvar!L11+promobkvar!L11+unibkvar!L11+bphvar!L11+bidcvar!L11+socabkvar!L11+sogebkvar!L11+bncvar!L11+buhvar!L11+'bmhvar '!L11</f>
        <v>3259341.4</v>
      </c>
      <c r="M11" s="47">
        <f t="shared" si="2"/>
        <v>0.24443718673029038</v>
      </c>
      <c r="N11" s="12">
        <f>+scotiavar!N11+cbnavar!N11+sgbelvar!N11+capitalbkvar!N11+bichvar!N11+promobkvar!N11+unibkvar!N11+bphvar!N11+bidcvar!N11+socabkvar!N11+sogebkvar!N11+bncvar!N11+buhvar!N11+'bmhvar '!N11</f>
        <v>2619128.9</v>
      </c>
      <c r="O11" s="47">
        <f t="shared" si="3"/>
        <v>-0.21730609098877268</v>
      </c>
      <c r="P11" s="12">
        <f>+scotiavar!P11+cbnavar!P11+sgbelvar!P11+capitalbkvar!P11+bichvar!P11+promobkvar!P11+unibkvar!P11+bphvar!P11+bidcvar!P11+socabkvar!P11+sogebkvar!P11+bncvar!P11+buhvar!P11+'bmhvar '!P11</f>
        <v>3346300.3478699997</v>
      </c>
    </row>
    <row r="12" spans="1:21">
      <c r="A12" s="1" t="s">
        <v>267</v>
      </c>
      <c r="B12" s="12">
        <f>+scotiavar!B12+cbnavar!B12+'bhdvar  '!B12+sgbelvar!B12+capitalbkvar!B12+bichvar!B12+promobkvar!B12+unibkvar!B12+bphvar!B12+socabkvar!B12+sogebkvar!B12+bncvar!B12+buhvar!B12</f>
        <v>1135810.7</v>
      </c>
      <c r="C12" s="44">
        <v>0</v>
      </c>
      <c r="D12" s="12">
        <f>+scotiavar!D12+cbnavar!D12+'bhdvar  '!D12+sgbelvar!D12+capitalbkvar!D12+bichvar!D12+promobkvar!D12+unibkvar!D12+bphvar!D12+socabkvar!D12+sogebkvar!D12+bncvar!D12+buhvar!D12</f>
        <v>0</v>
      </c>
      <c r="E12" s="44">
        <v>0</v>
      </c>
      <c r="F12" s="12">
        <f>+scotiavar!F12+cbnavar!F12+'bhdvar  '!F12+sgbelvar!F12+capitalbkvar!F12+bichvar!F12+promobkvar!F12+unibkvar!F12+bphvar!F12+socabkvar!F12+sogebkvar!F12+bncvar!F12+buhvar!F12</f>
        <v>0</v>
      </c>
      <c r="G12" s="44">
        <v>0</v>
      </c>
      <c r="H12" s="12">
        <f>+scotiavar!H12+cbnavar!H12+'bhdvar  '!H12+sgbelvar!H12+capitalbkvar!H12+bichvar!H12+promobkvar!H12+unibkvar!H12+bphvar!H12+socabkvar!H12+sogebkvar!H12+bncvar!H12+buhvar!H12</f>
        <v>0</v>
      </c>
      <c r="I12" s="47">
        <f t="shared" si="0"/>
        <v>0.30236270310526525</v>
      </c>
      <c r="J12" s="12">
        <f>+scotiavar!J12+cbnavar!J12+sgbelvar!J12+capitalbkvar!J12+bichvar!J12+promobkvar!J12+unibkvar!J12+bphvar!J12+bidcvar!J12+socabkvar!J12+sogebkvar!J12+bncvar!J12+buhvar!J12+'bmhvar '!J12</f>
        <v>872115.5</v>
      </c>
      <c r="K12" s="47">
        <f t="shared" si="1"/>
        <v>-3.595819752037515E-2</v>
      </c>
      <c r="L12" s="12">
        <f>+scotiavar!L12+cbnavar!L12+sgbelvar!L12+capitalbkvar!L12+bichvar!L12+promobkvar!L12+unibkvar!L12+bphvar!L12+bidcvar!L12+socabkvar!L12+sogebkvar!L12+bncvar!L12+buhvar!L12+'bmhvar '!L12</f>
        <v>904644.9</v>
      </c>
      <c r="M12" s="47">
        <f t="shared" si="2"/>
        <v>3.7226036177052176E-2</v>
      </c>
      <c r="N12" s="12">
        <f>+scotiavar!N12+cbnavar!N12+sgbelvar!N12+capitalbkvar!N12+bichvar!N12+promobkvar!N12+unibkvar!N12+bphvar!N12+bidcvar!N12+socabkvar!N12+sogebkvar!N12+bncvar!N12+buhvar!N12+'bmhvar '!N12</f>
        <v>872177.2</v>
      </c>
      <c r="O12" s="47">
        <f t="shared" si="3"/>
        <v>-0.33693485533735956</v>
      </c>
      <c r="P12" s="12">
        <f>+scotiavar!P12+cbnavar!P12+sgbelvar!P12+capitalbkvar!P12+bichvar!P12+promobkvar!P12+unibkvar!P12+bphvar!P12+bidcvar!P12+socabkvar!P12+sogebkvar!P12+bncvar!P12+buhvar!P12+'bmhvar '!P12</f>
        <v>1315371.8107799999</v>
      </c>
    </row>
    <row r="13" spans="1:21">
      <c r="A13" s="1" t="s">
        <v>268</v>
      </c>
      <c r="B13" s="12">
        <f>+scotiavar!B13+cbnavar!B13+'bhdvar  '!B13+sgbelvar!B13+capitalbkvar!B13+bichvar!B13+promobkvar!B13+unibkvar!B13+bphvar!B13+socabkvar!B13+sogebkvar!B13+bncvar!B13+buhvar!B13</f>
        <v>197570.2</v>
      </c>
      <c r="C13" s="44">
        <v>0</v>
      </c>
      <c r="D13" s="12">
        <f>+scotiavar!D13+cbnavar!D13+'bhdvar  '!D13+sgbelvar!D13+capitalbkvar!D13+bichvar!D13+promobkvar!D13+unibkvar!D13+bphvar!D13+socabkvar!D13+sogebkvar!D13+bncvar!D13+buhvar!D13</f>
        <v>0</v>
      </c>
      <c r="E13" s="44">
        <v>0</v>
      </c>
      <c r="F13" s="12">
        <f>+scotiavar!F13+cbnavar!F13+'bhdvar  '!F13+sgbelvar!F13+capitalbkvar!F13+bichvar!F13+promobkvar!F13+unibkvar!F13+bphvar!F13+socabkvar!F13+sogebkvar!F13+bncvar!F13+buhvar!F13</f>
        <v>0</v>
      </c>
      <c r="G13" s="44">
        <v>0</v>
      </c>
      <c r="H13" s="12">
        <f>+scotiavar!H13+cbnavar!H13+'bhdvar  '!H13+sgbelvar!H13+capitalbkvar!H13+bichvar!H13+promobkvar!H13+unibkvar!H13+bphvar!H13+socabkvar!H13+sogebkvar!H13+bncvar!H13+buhvar!H13</f>
        <v>0</v>
      </c>
      <c r="I13" s="47">
        <f t="shared" si="0"/>
        <v>-0.17792495436504052</v>
      </c>
      <c r="J13" s="12">
        <f>+scotiavar!J13+cbnavar!J13+sgbelvar!J13+capitalbkvar!J13+bichvar!J13+promobkvar!J13+unibkvar!J13+bphvar!J13+bidcvar!J13+socabkvar!J13+sogebkvar!J13+bncvar!J13+buhvar!J13+'bmhvar '!J13</f>
        <v>240331.1</v>
      </c>
      <c r="K13" s="47">
        <f t="shared" si="1"/>
        <v>4.3371368263300229E-2</v>
      </c>
      <c r="L13" s="12">
        <f>+scotiavar!L13+cbnavar!L13+sgbelvar!L13+capitalbkvar!L13+bichvar!L13+promobkvar!L13+unibkvar!L13+bphvar!L13+bidcvar!L13+socabkvar!L13+sogebkvar!L13+bncvar!L13+buhvar!L13+'bmhvar '!L13</f>
        <v>230340.9</v>
      </c>
      <c r="M13" s="47">
        <f t="shared" si="2"/>
        <v>-0.13822116733648762</v>
      </c>
      <c r="N13" s="12">
        <f>+scotiavar!N13+cbnavar!N13+sgbelvar!N13+capitalbkvar!N13+bichvar!N13+promobkvar!N13+unibkvar!N13+bphvar!N13+bidcvar!N13+socabkvar!N13+sogebkvar!N13+bncvar!N13+buhvar!N13+'bmhvar '!N13</f>
        <v>267285.40000000002</v>
      </c>
      <c r="O13" s="47">
        <f t="shared" si="3"/>
        <v>-0.33062163795123523</v>
      </c>
      <c r="P13" s="12">
        <f>+scotiavar!P13+cbnavar!P13+sgbelvar!P13+capitalbkvar!P13+bichvar!P13+promobkvar!P13+unibkvar!P13+bphvar!P13+bidcvar!P13+socabkvar!P13+sogebkvar!P13+bncvar!P13+buhvar!P13+'bmhvar '!P13</f>
        <v>399303.91412999999</v>
      </c>
    </row>
    <row r="14" spans="1:21">
      <c r="A14" s="1" t="s">
        <v>269</v>
      </c>
      <c r="B14" s="240">
        <f>+scotiavar!B14+cbnavar!B14+'bhdvar  '!B14+sgbelvar!B14+capitalbkvar!B14+bichvar!B14+promobkvar!B14+unibkvar!B14+bphvar!B14+socabkvar!B14+sogebkvar!B14+bncvar!B14+buhvar!B14</f>
        <v>543178.19999999995</v>
      </c>
      <c r="C14" s="44">
        <v>0</v>
      </c>
      <c r="D14" s="240">
        <f>+scotiavar!D14+cbnavar!D14+'bhdvar  '!D14+sgbelvar!D14+capitalbkvar!D14+bichvar!D14+promobkvar!D14+unibkvar!D14+bphvar!D14+socabkvar!D14+sogebkvar!D14+bncvar!D14+buhvar!D14</f>
        <v>0</v>
      </c>
      <c r="E14" s="44">
        <v>0</v>
      </c>
      <c r="F14" s="240">
        <f>+scotiavar!F14+cbnavar!F14+'bhdvar  '!F14+sgbelvar!F14+capitalbkvar!F14+bichvar!F14+promobkvar!F14+unibkvar!F14+bphvar!F14+socabkvar!F14+sogebkvar!F14+bncvar!F14+buhvar!F14</f>
        <v>0</v>
      </c>
      <c r="G14" s="44">
        <v>0</v>
      </c>
      <c r="H14" s="240">
        <f>+scotiavar!H14+cbnavar!H14+'bhdvar  '!H14+sgbelvar!H14+capitalbkvar!H14+bichvar!H14+promobkvar!H14+unibkvar!H14+bphvar!H14+socabkvar!H14+sogebkvar!H14+bncvar!H14+buhvar!H14</f>
        <v>0</v>
      </c>
      <c r="I14" s="47">
        <f t="shared" si="0"/>
        <v>0.16048467989783383</v>
      </c>
      <c r="J14" s="240">
        <f>+scotiavar!J14+cbnavar!J14+sgbelvar!J14+capitalbkvar!J14+bichvar!J14+promobkvar!J14+unibkvar!J14+bphvar!J14+bidcvar!J14+socabkvar!J14+sogebkvar!J14+bncvar!J14+buhvar!J14+'bmhvar '!J14</f>
        <v>468061.5</v>
      </c>
      <c r="K14" s="47">
        <f t="shared" si="1"/>
        <v>0.1008526017984346</v>
      </c>
      <c r="L14" s="12">
        <f>+scotiavar!L14+cbnavar!L14+sgbelvar!L14+capitalbkvar!L14+bichvar!L14+promobkvar!L14+unibkvar!L14+bphvar!L14+bidcvar!L14+socabkvar!L14+sogebkvar!L14+bncvar!L14+buhvar!L14+'bmhvar '!L14</f>
        <v>425180.89999999997</v>
      </c>
      <c r="M14" s="47">
        <f t="shared" si="2"/>
        <v>2.7327114004121827E-2</v>
      </c>
      <c r="N14" s="240">
        <f>+scotiavar!N14+cbnavar!N14+sgbelvar!N14+capitalbkvar!N14+bichvar!N14+promobkvar!N14+unibkvar!N14+bphvar!N14+bidcvar!N14+socabkvar!N14+sogebkvar!N14+bncvar!N14+buhvar!N14+'bmhvar '!N14</f>
        <v>413871.00000000006</v>
      </c>
      <c r="O14" s="47">
        <f t="shared" si="3"/>
        <v>0.66386717158617226</v>
      </c>
      <c r="P14" s="240">
        <f>+scotiavar!P14+cbnavar!P14+sgbelvar!P14+capitalbkvar!P14+bichvar!P14+promobkvar!P14+unibkvar!P14+bphvar!P14+bidcvar!P14+socabkvar!P14+sogebkvar!P14+bncvar!P14+buhvar!P14+'bmhvar '!P14</f>
        <v>248740.40852999999</v>
      </c>
    </row>
    <row r="15" spans="1:21" ht="15.6" customHeight="1">
      <c r="A15" s="1"/>
      <c r="B15" s="12">
        <f>SUM(B10:B14)</f>
        <v>7102068.7000000002</v>
      </c>
      <c r="C15" s="44">
        <v>0</v>
      </c>
      <c r="D15" s="12">
        <f>SUM(D10:D14)</f>
        <v>0</v>
      </c>
      <c r="E15" s="44">
        <v>0</v>
      </c>
      <c r="F15" s="12">
        <f>SUM(F10:F14)</f>
        <v>0</v>
      </c>
      <c r="G15" s="44">
        <v>0</v>
      </c>
      <c r="H15" s="12">
        <f>SUM(H10:H14)</f>
        <v>0</v>
      </c>
      <c r="I15" s="47">
        <f t="shared" si="0"/>
        <v>0.20136117200698564</v>
      </c>
      <c r="J15" s="12">
        <f>SUM(J10:J14)</f>
        <v>5911684.9000000004</v>
      </c>
      <c r="K15" s="47">
        <f t="shared" si="1"/>
        <v>2.2664115936296705E-2</v>
      </c>
      <c r="L15" s="12">
        <f>SUM(L10:L14)</f>
        <v>5780671.1000000006</v>
      </c>
      <c r="M15" s="47">
        <f t="shared" si="2"/>
        <v>0.14356748825748911</v>
      </c>
      <c r="N15" s="12">
        <f>SUM(N10:N14)</f>
        <v>5054945.3000000007</v>
      </c>
      <c r="O15" s="47">
        <f t="shared" si="3"/>
        <v>-0.20453887800929896</v>
      </c>
      <c r="P15" s="12">
        <f>SUM(P10:P14)</f>
        <v>6354735.8384400001</v>
      </c>
    </row>
    <row r="16" spans="1:21" ht="7.9" customHeight="1">
      <c r="A16" s="1"/>
      <c r="C16" s="44" t="s">
        <v>0</v>
      </c>
      <c r="E16" s="44" t="s">
        <v>0</v>
      </c>
      <c r="G16" s="44" t="s">
        <v>0</v>
      </c>
      <c r="I16" s="47" t="s">
        <v>0</v>
      </c>
      <c r="K16" s="47" t="s">
        <v>0</v>
      </c>
      <c r="M16" s="47" t="s">
        <v>0</v>
      </c>
      <c r="O16" s="47" t="s">
        <v>0</v>
      </c>
    </row>
    <row r="17" spans="1:16" ht="15.6" customHeight="1">
      <c r="A17" s="1" t="s">
        <v>270</v>
      </c>
      <c r="B17" s="12">
        <f>+scotiavar!B17+cbnavar!B17+'bhdvar  '!B17+sgbelvar!B17+capitalbkvar!B17+bichvar!B17+promobkvar!B17+unibkvar!B17+bphvar!B17+socabkvar!B17+sogebkvar!B17+bncvar!B17+buhvar!B17</f>
        <v>2281970</v>
      </c>
      <c r="C17" s="44">
        <v>0</v>
      </c>
      <c r="D17" s="12">
        <f>+scotiavar!D17+cbnavar!D17+'bhdvar  '!D17+sgbelvar!D17+capitalbkvar!D17+bichvar!D17+promobkvar!D17+unibkvar!D17+bphvar!D17+socabkvar!D17+sogebkvar!D17+bncvar!D17+buhvar!D17</f>
        <v>0</v>
      </c>
      <c r="E17" s="44">
        <v>0</v>
      </c>
      <c r="F17" s="12">
        <f>+scotiavar!F17+cbnavar!F17+'bhdvar  '!F17+sgbelvar!F17+capitalbkvar!F17+bichvar!F17+promobkvar!F17+unibkvar!F17+bphvar!F17+socabkvar!F17+sogebkvar!F17+bncvar!F17+buhvar!F17</f>
        <v>0</v>
      </c>
      <c r="G17" s="44">
        <v>0</v>
      </c>
      <c r="H17" s="12">
        <f>+scotiavar!H17+cbnavar!H17+'bhdvar  '!H17+sgbelvar!H17+capitalbkvar!H17+bichvar!H17+promobkvar!H17+unibkvar!H17+bphvar!H17+socabkvar!H17+sogebkvar!H17+bncvar!H17+buhvar!H17</f>
        <v>0</v>
      </c>
      <c r="I17" s="47">
        <f t="shared" ref="I17:I22" si="4">+(B17-J17)/ABS(J17)</f>
        <v>-0.26378659983662428</v>
      </c>
      <c r="J17" s="12">
        <f>+scotiavar!J17+cbnavar!J17+sgbelvar!J17+capitalbkvar!J17+bichvar!J17+promobkvar!J17+unibkvar!J17+bphvar!J17+bidcvar!J17+socabkvar!J17+sogebkvar!J17+bncvar!J17+buhvar!J17+'bmhvar '!J17</f>
        <v>3099604</v>
      </c>
      <c r="K17" s="47">
        <f t="shared" ref="K17:K22" si="5">+(J17-L17)/ABS(L17)</f>
        <v>0.86835684147076553</v>
      </c>
      <c r="L17" s="12">
        <f>+scotiavar!L17+cbnavar!L17+sgbelvar!L17+capitalbkvar!L17+bichvar!L17+promobkvar!L17+unibkvar!L17+bphvar!L17+bidcvar!L17+socabkvar!L17+sogebkvar!L17+bncvar!L17+buhvar!L17+'bmhvar '!L17</f>
        <v>1659000</v>
      </c>
      <c r="M17" s="44">
        <v>0</v>
      </c>
      <c r="N17" s="12">
        <f>+scotiavar!N17+cbnavar!N17+sgbelvar!N17+capitalbkvar!N17+bichvar!N17+promobkvar!N17+unibkvar!N17+bphvar!N17+bidcvar!N17+socabkvar!N17+sogebkvar!N17+bncvar!N17+buhvar!N17+'bmhvar '!N17</f>
        <v>954000</v>
      </c>
      <c r="O17" s="44">
        <v>0</v>
      </c>
      <c r="P17" s="12">
        <f>+scotiavar!P17+cbnavar!P17+sgbelvar!P17+capitalbkvar!P17+bichvar!P17+promobkvar!P17+unibkvar!P17+bphvar!P17+bidcvar!P17+socabkvar!P17+sogebkvar!P17+bncvar!P17+buhvar!P17+'bmhvar '!P17</f>
        <v>0</v>
      </c>
    </row>
    <row r="18" spans="1:16">
      <c r="A18" s="1" t="s">
        <v>271</v>
      </c>
      <c r="B18" s="12">
        <f>+scotiavar!B18+cbnavar!B18+'bhdvar  '!B18+sgbelvar!B18+capitalbkvar!B18+bichvar!B18+promobkvar!B18+unibkvar!B18+bphvar!B18+socabkvar!B18+sogebkvar!B18+bncvar!B18+buhvar!B18</f>
        <v>1463531.1</v>
      </c>
      <c r="C18" s="44">
        <v>0</v>
      </c>
      <c r="D18" s="12">
        <f>+scotiavar!D18+cbnavar!D18+'bhdvar  '!D18+sgbelvar!D18+capitalbkvar!D18+bichvar!D18+promobkvar!D18+unibkvar!D18+bphvar!D18+socabkvar!D18+sogebkvar!D18+bncvar!D18+buhvar!D18</f>
        <v>0</v>
      </c>
      <c r="E18" s="44">
        <v>0</v>
      </c>
      <c r="F18" s="12">
        <f>+scotiavar!F18+cbnavar!F18+'bhdvar  '!F18+sgbelvar!F18+capitalbkvar!F18+bichvar!F18+promobkvar!F18+unibkvar!F18+bphvar!F18+socabkvar!F18+sogebkvar!F18+bncvar!F18+buhvar!F18</f>
        <v>0</v>
      </c>
      <c r="G18" s="44">
        <v>0</v>
      </c>
      <c r="H18" s="12">
        <f>+scotiavar!H18+cbnavar!H18+'bhdvar  '!H18+sgbelvar!H18+capitalbkvar!H18+bichvar!H18+promobkvar!H18+unibkvar!H18+bphvar!H18+socabkvar!H18+sogebkvar!H18+bncvar!H18+buhvar!H18</f>
        <v>0</v>
      </c>
      <c r="I18" s="47">
        <f t="shared" si="4"/>
        <v>6.8931194503582677E-2</v>
      </c>
      <c r="J18" s="12">
        <f>+bichvar!J18+bidcvar!J18+'bmhvar '!J18+bncvar!J18+bphvar!J18+buhvar!J18+capitalbkvar!J18+cbnavar!J18+promobkvar!J18+scotiavar!J18+socabkvar!J18+sogebkvar!J18+sgbelvar!J18+unibkvar!J18</f>
        <v>1369153.7000000002</v>
      </c>
      <c r="K18" s="47">
        <f t="shared" si="5"/>
        <v>0.2833518737645962</v>
      </c>
      <c r="L18" s="12">
        <f>+scotiavar!L18+cbnavar!L18+sgbelvar!L18+capitalbkvar!L18+bichvar!L18+promobkvar!L18+unibkvar!L18+bphvar!L18+bidcvar!L18+socabkvar!L18+sogebkvar!L18+bncvar!L18+buhvar!L18+'bmhvar '!L18</f>
        <v>1066857.6000000001</v>
      </c>
      <c r="M18" s="47">
        <f>+(L18-N18)/ABS(N18)</f>
        <v>6.1871728309893827E-3</v>
      </c>
      <c r="N18" s="12">
        <f>+scotiavar!N18+cbnavar!N18+sgbelvar!N18+capitalbkvar!N18+bichvar!N18+promobkvar!N18+unibkvar!N18+bphvar!N18+bidcvar!N18+socabkvar!N18+sogebkvar!N18+bncvar!N18+buhvar!N18+'bmhvar '!N18</f>
        <v>1060297.3569999998</v>
      </c>
      <c r="O18" s="47">
        <f>+(N18-P18)/ABS(P18)</f>
        <v>1.0676106744939455</v>
      </c>
      <c r="P18" s="12">
        <f>+scotiavar!P18+cbnavar!P18+sgbelvar!P18+capitalbkvar!P18+bichvar!P18+promobkvar!P18+unibkvar!P18+bphvar!P18+bidcvar!P18+socabkvar!P18+sogebkvar!P18+bncvar!P18+buhvar!P18+'bmhvar '!P18</f>
        <v>512812.86660000001</v>
      </c>
    </row>
    <row r="19" spans="1:16">
      <c r="A19" s="1" t="s">
        <v>272</v>
      </c>
      <c r="B19" s="12">
        <f>+scotiavar!B19+cbnavar!B19+'bhdvar  '!B19+sgbelvar!B19+capitalbkvar!B19+bichvar!B19+promobkvar!B19+unibkvar!B19+bphvar!B19+socabkvar!B19+sogebkvar!B19+bncvar!B19+buhvar!B19</f>
        <v>8964023.4000000004</v>
      </c>
      <c r="C19" s="44">
        <v>0</v>
      </c>
      <c r="D19" s="12">
        <f>+scotiavar!D19+cbnavar!D19+'bhdvar  '!D19+sgbelvar!D19+capitalbkvar!D19+bichvar!D19+promobkvar!D19+unibkvar!D19+bphvar!D19+socabkvar!D19+sogebkvar!D19+bncvar!D19+buhvar!D19</f>
        <v>0</v>
      </c>
      <c r="E19" s="44">
        <v>0</v>
      </c>
      <c r="F19" s="12">
        <f>+scotiavar!F19+cbnavar!F19+'bhdvar  '!F19+sgbelvar!F19+capitalbkvar!F19+bichvar!F19+promobkvar!F19+unibkvar!F19+bphvar!F19+socabkvar!F19+sogebkvar!F19+bncvar!F19+buhvar!F19</f>
        <v>0</v>
      </c>
      <c r="G19" s="44">
        <v>0</v>
      </c>
      <c r="H19" s="12">
        <f>+scotiavar!H19+cbnavar!H19+'bhdvar  '!H19+sgbelvar!H19+capitalbkvar!H19+bichvar!H19+promobkvar!H19+unibkvar!H19+bphvar!H19+socabkvar!H19+sogebkvar!H19+bncvar!H19+buhvar!H19</f>
        <v>0</v>
      </c>
      <c r="I19" s="47">
        <f t="shared" si="4"/>
        <v>4.8864484300982648E-2</v>
      </c>
      <c r="J19" s="12">
        <f>+bichvar!J19+bidcvar!J19+'bmhvar '!J19+bncvar!J19+bphvar!J19+buhvar!J19+capitalbkvar!J19+cbnavar!J19+promobkvar!J19+scotiavar!J19+socabkvar!J19+sogebkvar!J19+sgbelvar!J19+unibkvar!J19</f>
        <v>8546407.6000000015</v>
      </c>
      <c r="K19" s="47">
        <f t="shared" si="5"/>
        <v>7.3170757433814432E-2</v>
      </c>
      <c r="L19" s="12">
        <f>+scotiavar!L19+cbnavar!L19+sgbelvar!L19+capitalbkvar!L19+bichvar!L19+promobkvar!L19+unibkvar!L19+bphvar!L19+bidcvar!L19+socabkvar!L19+sogebkvar!L19+bncvar!L19+buhvar!L19+'bmhvar '!L19</f>
        <v>7963697.7999999998</v>
      </c>
      <c r="M19" s="47">
        <f>+(L19-N19)/ABS(N19)</f>
        <v>0.14804584054012673</v>
      </c>
      <c r="N19" s="12">
        <f>+scotiavar!N19+cbnavar!N19+sgbelvar!N19+capitalbkvar!N19+bichvar!N19+promobkvar!N19+unibkvar!N19+bphvar!N19+bidcvar!N19+socabkvar!N19+sogebkvar!N19+bncvar!N19+buhvar!N19+'bmhvar '!N19</f>
        <v>6936742</v>
      </c>
      <c r="O19" s="47">
        <f>+(N19-P19)/ABS(P19)</f>
        <v>0.38433214629721518</v>
      </c>
      <c r="P19" s="12">
        <f>+scotiavar!P19+cbnavar!P19+sgbelvar!P19+capitalbkvar!P19+bichvar!P19+promobkvar!P19+unibkvar!P19+bphvar!P19+bidcvar!P19+socabkvar!P19+sogebkvar!P19+bncvar!P19+buhvar!P19+'bmhvar '!P19</f>
        <v>5010894.2557999995</v>
      </c>
    </row>
    <row r="20" spans="1:16">
      <c r="A20" s="1" t="s">
        <v>273</v>
      </c>
      <c r="B20" s="12">
        <f>+scotiavar!B20+cbnavar!B20+'bhdvar  '!B20+sgbelvar!B20+capitalbkvar!B20+bichvar!B20+promobkvar!B20+unibkvar!B20+bphvar!B20+socabkvar!B20+sogebkvar!B20+bncvar!B20+buhvar!B20</f>
        <v>1349205.7</v>
      </c>
      <c r="C20" s="44">
        <v>0</v>
      </c>
      <c r="D20" s="12">
        <f>+scotiavar!D20+cbnavar!D20+'bhdvar  '!D20+sgbelvar!D20+capitalbkvar!D20+bichvar!D20+promobkvar!D20+unibkvar!D20+bphvar!D20+socabkvar!D20+sogebkvar!D20+bncvar!D20+buhvar!D20</f>
        <v>0</v>
      </c>
      <c r="E20" s="44">
        <v>0</v>
      </c>
      <c r="F20" s="12">
        <f>+scotiavar!F20+cbnavar!F20+'bhdvar  '!F20+sgbelvar!F20+capitalbkvar!F20+bichvar!F20+promobkvar!F20+unibkvar!F20+bphvar!F20+socabkvar!F20+sogebkvar!F20+bncvar!F20+buhvar!F20</f>
        <v>0</v>
      </c>
      <c r="G20" s="44">
        <v>0</v>
      </c>
      <c r="H20" s="12">
        <f>+scotiavar!H20+cbnavar!H20+'bhdvar  '!H20+sgbelvar!H20+capitalbkvar!H20+bichvar!H20+promobkvar!H20+unibkvar!H20+bphvar!H20+socabkvar!H20+sogebkvar!H20+bncvar!H20+buhvar!H20</f>
        <v>0</v>
      </c>
      <c r="I20" s="47">
        <f t="shared" si="4"/>
        <v>0.11707255037630647</v>
      </c>
      <c r="J20" s="12">
        <f>+bichvar!J20+bidcvar!J20+'bmhvar '!J20+bncvar!J20+bphvar!J20+buhvar!J20+capitalbkvar!J20+cbnavar!J20+promobkvar!J20+scotiavar!J20+socabkvar!J20+sogebkvar!J20+sgbelvar!J20+unibkvar!J20</f>
        <v>1207804.9000000001</v>
      </c>
      <c r="K20" s="47">
        <f t="shared" si="5"/>
        <v>0.18321184186679873</v>
      </c>
      <c r="L20" s="12">
        <f>+scotiavar!L20+cbnavar!L20+sgbelvar!L20+capitalbkvar!L20+bichvar!L20+promobkvar!L20+unibkvar!L20+bphvar!L20+bidcvar!L20+socabkvar!L20+sogebkvar!L20+bncvar!L20+buhvar!L20+'bmhvar '!L20</f>
        <v>1020785</v>
      </c>
      <c r="M20" s="47">
        <f>+(L20-N20)/ABS(N20)</f>
        <v>0.23421719156328585</v>
      </c>
      <c r="N20" s="12">
        <f>+scotiavar!N20+cbnavar!N20+sgbelvar!N20+capitalbkvar!N20+bichvar!N20+promobkvar!N20+unibkvar!N20+bphvar!N20+bidcvar!N20+socabkvar!N20+sogebkvar!N20+bncvar!N20+buhvar!N20+'bmhvar '!N20</f>
        <v>827070.79999999993</v>
      </c>
      <c r="O20" s="47">
        <f>+(N20-P20)/ABS(P20)</f>
        <v>0.29964224333927281</v>
      </c>
      <c r="P20" s="12">
        <f>+scotiavar!P20+cbnavar!P20+sgbelvar!P20+capitalbkvar!P20+bichvar!P20+promobkvar!P20+unibkvar!P20+bphvar!P20+bidcvar!P20+socabkvar!P20+sogebkvar!P20+bncvar!P20+buhvar!P20+'bmhvar '!P20</f>
        <v>636383.43877999997</v>
      </c>
    </row>
    <row r="21" spans="1:16" ht="16.5" thickBot="1">
      <c r="A21" s="1" t="s">
        <v>274</v>
      </c>
      <c r="B21" s="76">
        <f>+scotiavar!B21+cbnavar!B21+'bhdvar  '!B21+sgbelvar!B21+capitalbkvar!B21+bichvar!B21+promobkvar!B21+unibkvar!B21+bphvar!B21+socabkvar!B21+sogebkvar!B21+bncvar!B21+buhvar!B21</f>
        <v>1051043.8</v>
      </c>
      <c r="C21" s="44">
        <v>0</v>
      </c>
      <c r="D21" s="76">
        <f>+scotiavar!D21+cbnavar!D21+'bhdvar  '!D21+sgbelvar!D21+capitalbkvar!D21+bichvar!D21+promobkvar!D21+unibkvar!D21+bphvar!D21+socabkvar!D21+sogebkvar!D21+bncvar!D21+buhvar!D21</f>
        <v>0</v>
      </c>
      <c r="E21" s="44">
        <v>0</v>
      </c>
      <c r="F21" s="76">
        <f>+scotiavar!F21+cbnavar!F21+'bhdvar  '!F21+sgbelvar!F21+capitalbkvar!F21+bichvar!F21+promobkvar!F21+unibkvar!F21+bphvar!F21+socabkvar!F21+sogebkvar!F21+bncvar!F21+buhvar!F21</f>
        <v>0</v>
      </c>
      <c r="G21" s="44">
        <v>0</v>
      </c>
      <c r="H21" s="76">
        <f>+scotiavar!H21+cbnavar!H21+'bhdvar  '!H21+sgbelvar!H21+capitalbkvar!H21+bichvar!H21+promobkvar!H21+unibkvar!H21+bphvar!H21+socabkvar!H21+sogebkvar!H21+bncvar!H21+buhvar!H21</f>
        <v>0</v>
      </c>
      <c r="I21" s="47">
        <f t="shared" si="4"/>
        <v>9.1962586411834885E-2</v>
      </c>
      <c r="J21" s="76">
        <f>+bichvar!J21+bidcvar!J21+'bmhvar '!J21+bncvar!J21+bphvar!J21+buhvar!J21+capitalbkvar!J21+cbnavar!J21+promobkvar!J21+scotiavar!J21+socabkvar!J21+sogebkvar!J21+sgbelvar!J21+unibkvar!J21</f>
        <v>962527.29999999993</v>
      </c>
      <c r="K21" s="47">
        <f t="shared" si="5"/>
        <v>0.33790971193431651</v>
      </c>
      <c r="L21" s="76">
        <f>+scotiavar!L21+cbnavar!L21+sgbelvar!L21+capitalbkvar!L21+bichvar!L21+promobkvar!L21+unibkvar!L21+bphvar!L21+bidcvar!L21+socabkvar!L21+sogebkvar!L21+bncvar!L21+buhvar!L21+'bmhvar '!L21</f>
        <v>719426.2</v>
      </c>
      <c r="M21" s="47">
        <f>+(L21-N21)/ABS(N21)</f>
        <v>-8.2493155615048441E-2</v>
      </c>
      <c r="N21" s="76">
        <f>+scotiavar!N21+cbnavar!N21+sgbelvar!N21+capitalbkvar!N21+bichvar!N21+promobkvar!N21+unibkvar!N21+bphvar!N21+bidcvar!N21+socabkvar!N21+sogebkvar!N21+bncvar!N21+buhvar!N21+'bmhvar '!N21</f>
        <v>784109.9</v>
      </c>
      <c r="O21" s="47">
        <f>+(N21-P21)/ABS(P21)</f>
        <v>0.3389381582874379</v>
      </c>
      <c r="P21" s="76">
        <f>+scotiavar!P21+cbnavar!P21+sgbelvar!P21+capitalbkvar!P21+bichvar!P21+promobkvar!P21+unibkvar!P21+bphvar!P21+bidcvar!P21+socabkvar!P21+sogebkvar!P21+bncvar!P21+buhvar!P21+'bmhvar '!P21</f>
        <v>585620.69886999996</v>
      </c>
    </row>
    <row r="22" spans="1:16">
      <c r="A22" s="1" t="s">
        <v>275</v>
      </c>
      <c r="B22" s="4">
        <f>SUM(B15:B21)</f>
        <v>22211842.699999999</v>
      </c>
      <c r="C22" s="44">
        <v>0</v>
      </c>
      <c r="D22" s="4">
        <f>SUM(D15:D21)</f>
        <v>0</v>
      </c>
      <c r="E22" s="44">
        <v>0</v>
      </c>
      <c r="F22" s="4">
        <f>SUM(F15:F21)</f>
        <v>0</v>
      </c>
      <c r="G22" s="44">
        <v>0</v>
      </c>
      <c r="H22" s="4">
        <f>SUM(H15:H21)</f>
        <v>0</v>
      </c>
      <c r="I22" s="47">
        <f t="shared" si="4"/>
        <v>5.283455766112146E-2</v>
      </c>
      <c r="J22" s="4">
        <f>SUM(J15:J21)</f>
        <v>21097182.400000002</v>
      </c>
      <c r="K22" s="112">
        <f t="shared" si="5"/>
        <v>0.15852143411138345</v>
      </c>
      <c r="L22" s="4">
        <f>SUM(L15:L21)</f>
        <v>18210437.699999999</v>
      </c>
      <c r="M22" s="112">
        <f>+(L22-N22)/ABS(N22)</f>
        <v>0.16605269161971364</v>
      </c>
      <c r="N22" s="4">
        <f>SUM(N15:N21)</f>
        <v>15617165.357000003</v>
      </c>
      <c r="O22" s="112">
        <f>+(N22-P22)/ABS(P22)</f>
        <v>0.19210934097051452</v>
      </c>
      <c r="P22" s="4">
        <f>SUM(P15:P21)</f>
        <v>13100447.09849</v>
      </c>
    </row>
    <row r="23" spans="1:16" ht="15.6" customHeight="1">
      <c r="A23" s="1"/>
      <c r="C23" s="44" t="s">
        <v>0</v>
      </c>
      <c r="E23" s="44" t="s">
        <v>0</v>
      </c>
      <c r="G23" s="44" t="s">
        <v>0</v>
      </c>
      <c r="I23" s="47" t="s">
        <v>0</v>
      </c>
      <c r="K23" s="47" t="s">
        <v>0</v>
      </c>
      <c r="M23" s="47" t="s">
        <v>0</v>
      </c>
      <c r="O23" s="47" t="s">
        <v>0</v>
      </c>
    </row>
    <row r="24" spans="1:16">
      <c r="A24" s="87" t="s">
        <v>276</v>
      </c>
      <c r="C24" s="44" t="s">
        <v>0</v>
      </c>
      <c r="E24" s="44" t="s">
        <v>0</v>
      </c>
      <c r="G24" s="44" t="s">
        <v>0</v>
      </c>
      <c r="I24" s="47" t="s">
        <v>0</v>
      </c>
      <c r="K24" s="47" t="s">
        <v>0</v>
      </c>
      <c r="M24" s="47" t="s">
        <v>0</v>
      </c>
      <c r="O24" s="47" t="s">
        <v>0</v>
      </c>
    </row>
    <row r="25" spans="1:16">
      <c r="A25" s="1" t="s">
        <v>277</v>
      </c>
      <c r="C25" s="44" t="s">
        <v>0</v>
      </c>
      <c r="E25" s="44" t="s">
        <v>0</v>
      </c>
      <c r="G25" s="44" t="s">
        <v>0</v>
      </c>
      <c r="I25" s="47" t="s">
        <v>0</v>
      </c>
      <c r="K25" s="47" t="s">
        <v>0</v>
      </c>
      <c r="M25" s="47" t="s">
        <v>0</v>
      </c>
      <c r="O25" s="47" t="s">
        <v>0</v>
      </c>
    </row>
    <row r="26" spans="1:16">
      <c r="A26" s="1" t="s">
        <v>278</v>
      </c>
      <c r="B26" s="12">
        <f>+scotiavar!B26+cbnavar!B26+'bhdvar  '!B26+sgbelvar!B26+capitalbkvar!B26+bichvar!B26+promobkvar!B26+unibkvar!B26+bphvar!B26+socabkvar!B26+sogebkvar!B26+bncvar!B26+buhvar!B26</f>
        <v>4822957.5</v>
      </c>
      <c r="C26" s="44">
        <v>0</v>
      </c>
      <c r="D26" s="12">
        <f>+scotiavar!D26+cbnavar!D26+'bhdvar  '!D26+sgbelvar!D26+capitalbkvar!D26+bichvar!D26+promobkvar!D26+unibkvar!D26+bphvar!D26+socabkvar!D26+sogebkvar!D26+bncvar!D26+buhvar!D26</f>
        <v>0</v>
      </c>
      <c r="E26" s="44">
        <v>0</v>
      </c>
      <c r="F26" s="12">
        <f>+scotiavar!F26+cbnavar!F26+'bhdvar  '!F26+sgbelvar!F26+capitalbkvar!F26+bichvar!F26+promobkvar!F26+unibkvar!F26+bphvar!F26+socabkvar!F26+sogebkvar!F26+bncvar!F26+buhvar!F26</f>
        <v>0</v>
      </c>
      <c r="G26" s="44">
        <v>0</v>
      </c>
      <c r="H26" s="12">
        <f>+scotiavar!H26+cbnavar!H26+'bhdvar  '!H26+sgbelvar!H26+capitalbkvar!H26+bichvar!H26+promobkvar!H26+unibkvar!H26+bphvar!H26+socabkvar!H26+sogebkvar!H26+bncvar!H26+buhvar!H26</f>
        <v>0</v>
      </c>
      <c r="I26" s="47">
        <f>+(B26-J26)/ABS(J26)</f>
        <v>5.7496060995279027E-2</v>
      </c>
      <c r="J26" s="12">
        <f>+scotiavar!J26+cbnavar!J26+sgbelvar!J26+capitalbkvar!J26+bichvar!J26+promobkvar!J26+unibkvar!J26+bphvar!J26+bidcvar!J26+socabkvar!J26+sogebkvar!J26+bncvar!J26+buhvar!J26+'bmhvar '!J26</f>
        <v>4560733.3</v>
      </c>
      <c r="K26" s="47">
        <f>+(J26-L26)/ABS(L26)</f>
        <v>0.20296552430484585</v>
      </c>
      <c r="L26" s="12">
        <f>+scotiavar!L26+cbnavar!L26+sgbelvar!L26+capitalbkvar!L26+bichvar!L26+promobkvar!L26+unibkvar!L26+bphvar!L26+bidcvar!L26+socabkvar!L26+sogebkvar!L26+bncvar!L26+buhvar!L26+'bmhvar '!L26</f>
        <v>3791241.9</v>
      </c>
      <c r="M26" s="47">
        <f>+(L26-N26)/ABS(N26)</f>
        <v>0.12397048086265154</v>
      </c>
      <c r="N26" s="12">
        <f>+scotiavar!N26+cbnavar!N26+sgbelvar!N26+capitalbkvar!N26+bichvar!N26+promobkvar!N26+unibkvar!N26+bphvar!N26+bidcvar!N26+socabkvar!N26+sogebkvar!N26+bncvar!N26+buhvar!N26+'bmhvar '!N26</f>
        <v>3373079.5999999996</v>
      </c>
      <c r="O26" s="47">
        <f>+(N26-P26)/ABS(P26)</f>
        <v>0.11639934475173815</v>
      </c>
      <c r="P26" s="12">
        <f>+scotiavar!P26+cbnavar!P26+sgbelvar!P26+capitalbkvar!P26+bichvar!P26+promobkvar!P26+unibkvar!P26+bphvar!P26+bidcvar!P26+socabkvar!P26+sogebkvar!P26+bncvar!P26+buhvar!P26+'bmhvar '!P26</f>
        <v>3021391.5977800004</v>
      </c>
    </row>
    <row r="27" spans="1:16">
      <c r="A27" s="1" t="s">
        <v>279</v>
      </c>
      <c r="B27" s="12">
        <f>+scotiavar!B27+cbnavar!B27+'bhdvar  '!B27+sgbelvar!B27+capitalbkvar!B27+bichvar!B27+promobkvar!B27+unibkvar!B27+bphvar!B27+socabkvar!B27+sogebkvar!B27+bncvar!B27+buhvar!B27</f>
        <v>8032203.2000000002</v>
      </c>
      <c r="C27" s="44">
        <v>0</v>
      </c>
      <c r="D27" s="12">
        <f>+scotiavar!D27+cbnavar!D27+'bhdvar  '!D27+sgbelvar!D27+capitalbkvar!D27+bichvar!D27+promobkvar!D27+unibkvar!D27+bphvar!D27+socabkvar!D27+sogebkvar!D27+bncvar!D27+buhvar!D27</f>
        <v>0</v>
      </c>
      <c r="E27" s="44">
        <v>0</v>
      </c>
      <c r="F27" s="12">
        <f>+scotiavar!F27+cbnavar!F27+'bhdvar  '!F27+sgbelvar!F27+capitalbkvar!F27+bichvar!F27+promobkvar!F27+unibkvar!F27+bphvar!F27+socabkvar!F27+sogebkvar!F27+bncvar!F27+buhvar!F27</f>
        <v>0</v>
      </c>
      <c r="G27" s="44">
        <v>0</v>
      </c>
      <c r="H27" s="12">
        <f>+scotiavar!H27+cbnavar!H27+'bhdvar  '!H27+sgbelvar!H27+capitalbkvar!H27+bichvar!H27+promobkvar!H27+unibkvar!H27+bphvar!H27+socabkvar!H27+sogebkvar!H27+bncvar!H27+buhvar!H27</f>
        <v>0</v>
      </c>
      <c r="I27" s="47">
        <f>+(B27-J27)/ABS(J27)</f>
        <v>3.683882140277054E-2</v>
      </c>
      <c r="J27" s="12">
        <f>+scotiavar!J27+cbnavar!J27+sgbelvar!J27+capitalbkvar!J27+bichvar!J27+promobkvar!J27+unibkvar!J27+bphvar!J27+bidcvar!J27+socabkvar!J27+sogebkvar!J27+bncvar!J27+buhvar!J27+'bmhvar '!J27</f>
        <v>7746819.5</v>
      </c>
      <c r="K27" s="47">
        <f>+(J27-L27)/ABS(L27)</f>
        <v>0.19602197866260648</v>
      </c>
      <c r="L27" s="12">
        <f>+scotiavar!L27+cbnavar!L27+sgbelvar!L27+capitalbkvar!L27+bichvar!L27+promobkvar!L27+unibkvar!L27+bphvar!L27+bidcvar!L27+socabkvar!L27+sogebkvar!L27+bncvar!L27+buhvar!L27+'bmhvar '!L27</f>
        <v>6477154.8000000007</v>
      </c>
      <c r="M27" s="47">
        <f>+(L27-N27)/ABS(N27)</f>
        <v>7.8078264314505E-2</v>
      </c>
      <c r="N27" s="12">
        <f>+scotiavar!N27+cbnavar!N27+sgbelvar!N27+capitalbkvar!N27+bichvar!N27+promobkvar!N27+unibkvar!N27+bphvar!N27+bidcvar!N27+socabkvar!N27+sogebkvar!N27+bncvar!N27+buhvar!N27+'bmhvar '!N27</f>
        <v>6008056.2000000002</v>
      </c>
      <c r="O27" s="47">
        <f>+(N27-P27)/ABS(P27)</f>
        <v>0.14106024093236616</v>
      </c>
      <c r="P27" s="12">
        <f>+scotiavar!P27+cbnavar!P27+sgbelvar!P27+capitalbkvar!P27+bichvar!P27+promobkvar!P27+unibkvar!P27+bphvar!P27+bidcvar!P27+socabkvar!P27+sogebkvar!P27+bncvar!P27+buhvar!P27+'bmhvar '!P27</f>
        <v>5265327.7929400001</v>
      </c>
    </row>
    <row r="28" spans="1:16">
      <c r="A28" s="1" t="s">
        <v>280</v>
      </c>
      <c r="B28" s="240">
        <f>+scotiavar!B28+cbnavar!B28+'bhdvar  '!B28+sgbelvar!B28+capitalbkvar!B28+bichvar!B28+promobkvar!B28+unibkvar!B28+bphvar!B28+socabkvar!B28+sogebkvar!B28+bncvar!B28+buhvar!B28</f>
        <v>6505579.0999999996</v>
      </c>
      <c r="C28" s="44">
        <v>0</v>
      </c>
      <c r="D28" s="240">
        <f>+scotiavar!D28+cbnavar!D28+'bhdvar  '!D28+sgbelvar!D28+capitalbkvar!D28+bichvar!D28+promobkvar!D28+unibkvar!D28+bphvar!D28+socabkvar!D28+sogebkvar!D28+bncvar!D28+buhvar!D28</f>
        <v>0</v>
      </c>
      <c r="E28" s="44">
        <v>0</v>
      </c>
      <c r="F28" s="240">
        <f>+scotiavar!F28+cbnavar!F28+'bhdvar  '!F28+sgbelvar!F28+capitalbkvar!F28+bichvar!F28+promobkvar!F28+unibkvar!F28+bphvar!F28+socabkvar!F28+sogebkvar!F28+bncvar!F28+buhvar!F28</f>
        <v>0</v>
      </c>
      <c r="G28" s="44">
        <v>0</v>
      </c>
      <c r="H28" s="240">
        <f>+scotiavar!H28+cbnavar!H28+'bhdvar  '!H28+sgbelvar!H28+capitalbkvar!H28+bichvar!H28+promobkvar!H28+unibkvar!H28+bphvar!H28+socabkvar!H28+sogebkvar!H28+bncvar!H28+buhvar!H28</f>
        <v>0</v>
      </c>
      <c r="I28" s="47">
        <f>+(B28-J28)/ABS(J28)</f>
        <v>0.10471221658460657</v>
      </c>
      <c r="J28" s="240">
        <f>+scotiavar!J28+cbnavar!J28+sgbelvar!J28+capitalbkvar!J28+bichvar!J28+promobkvar!J28+unibkvar!J28+bphvar!J28+bidcvar!J28+socabkvar!J28+sogebkvar!J28+bncvar!J28+buhvar!J28+'bmhvar '!J28</f>
        <v>5888935.5999999996</v>
      </c>
      <c r="K28" s="47">
        <f>+(J28-L28)/ABS(L28)</f>
        <v>0.159237100654298</v>
      </c>
      <c r="L28" s="240">
        <f>+scotiavar!L28+cbnavar!L28+sgbelvar!L28+capitalbkvar!L28+bichvar!L28+promobkvar!L28+unibkvar!L28+bphvar!L28+bidcvar!L28+socabkvar!L28+sogebkvar!L28+bncvar!L28+buhvar!L28+'bmhvar '!L28</f>
        <v>5080009.5999999996</v>
      </c>
      <c r="M28" s="47">
        <f>+(L28-N28)/ABS(N28)</f>
        <v>0.38984307880521213</v>
      </c>
      <c r="N28" s="240">
        <f>+scotiavar!N28+cbnavar!N28+sgbelvar!N28+capitalbkvar!N28+bichvar!N28+promobkvar!N28+unibkvar!N28+bphvar!N28+bidcvar!N28+socabkvar!N28+sogebkvar!N28+bncvar!N28+buhvar!N28+'bmhvar '!N28</f>
        <v>3655095.8</v>
      </c>
      <c r="O28" s="47">
        <f>+(N28-P28)/ABS(P28)</f>
        <v>0.54486227180668223</v>
      </c>
      <c r="P28" s="240">
        <f>+scotiavar!P28+cbnavar!P28+sgbelvar!P28+capitalbkvar!P28+bichvar!P28+promobkvar!P28+unibkvar!P28+bphvar!P28+bidcvar!P28+socabkvar!P28+sogebkvar!P28+bncvar!P28+buhvar!P28+'bmhvar '!P28</f>
        <v>2365968.7123599998</v>
      </c>
    </row>
    <row r="29" spans="1:16">
      <c r="A29" s="1"/>
      <c r="B29" s="12">
        <f>SUM(B26:B28)</f>
        <v>19360739.799999997</v>
      </c>
      <c r="C29" s="44">
        <v>0</v>
      </c>
      <c r="D29" s="12">
        <f>SUM(D26:D28)</f>
        <v>0</v>
      </c>
      <c r="E29" s="44">
        <v>0</v>
      </c>
      <c r="F29" s="12">
        <f>SUM(F26:F28)</f>
        <v>0</v>
      </c>
      <c r="G29" s="44">
        <v>0</v>
      </c>
      <c r="H29" s="12">
        <f>SUM(H26:H28)</f>
        <v>0</v>
      </c>
      <c r="I29" s="47">
        <f>+(B29-J29)/ABS(J29)</f>
        <v>6.3982202192374577E-2</v>
      </c>
      <c r="J29" s="12">
        <f>SUM(J26:J28)</f>
        <v>18196488.399999999</v>
      </c>
      <c r="K29" s="47">
        <f>+(J29-L29)/ABS(L29)</f>
        <v>0.18556207363366434</v>
      </c>
      <c r="L29" s="12">
        <f>SUM(L26:L28)</f>
        <v>15348406.300000001</v>
      </c>
      <c r="M29" s="47">
        <f>+(L29-N29)/ABS(N29)</f>
        <v>0.1773652671221336</v>
      </c>
      <c r="N29" s="12">
        <f>SUM(N26:N28)</f>
        <v>13036231.600000001</v>
      </c>
      <c r="O29" s="47">
        <f>+(N29-P29)/ABS(P29)</f>
        <v>0.22375042560673952</v>
      </c>
      <c r="P29" s="12">
        <f>SUM(P26:P28)</f>
        <v>10652688.103080001</v>
      </c>
    </row>
    <row r="30" spans="1:16" ht="7.9" customHeight="1">
      <c r="A30" s="1"/>
      <c r="C30" s="44" t="s">
        <v>0</v>
      </c>
      <c r="E30" s="44" t="s">
        <v>0</v>
      </c>
      <c r="G30" s="44" t="s">
        <v>0</v>
      </c>
      <c r="I30" s="47" t="s">
        <v>0</v>
      </c>
      <c r="K30" s="47" t="s">
        <v>0</v>
      </c>
      <c r="M30" s="47" t="s">
        <v>0</v>
      </c>
      <c r="O30" s="47" t="s">
        <v>0</v>
      </c>
    </row>
    <row r="31" spans="1:16">
      <c r="A31" s="1" t="s">
        <v>281</v>
      </c>
      <c r="C31" s="44" t="s">
        <v>0</v>
      </c>
      <c r="E31" s="44" t="s">
        <v>0</v>
      </c>
      <c r="G31" s="44" t="s">
        <v>0</v>
      </c>
      <c r="I31" s="47" t="s">
        <v>0</v>
      </c>
      <c r="K31" s="47" t="s">
        <v>0</v>
      </c>
      <c r="M31" s="47" t="s">
        <v>0</v>
      </c>
      <c r="O31" s="47" t="s">
        <v>0</v>
      </c>
    </row>
    <row r="32" spans="1:16">
      <c r="A32" s="1" t="s">
        <v>282</v>
      </c>
      <c r="B32" s="12">
        <f>+scotiavar!B32+cbnavar!B32+'bhdvar  '!B32+sgbelvar!B32+capitalbkvar!B32+bichvar!B32+promobkvar!B32+unibkvar!B32+bphvar!B32+socabkvar!B32+sogebkvar!B32+bncvar!B32+buhvar!B32</f>
        <v>29000</v>
      </c>
      <c r="C32" s="44">
        <v>0</v>
      </c>
      <c r="D32" s="12">
        <f>+scotiavar!D32+cbnavar!D32+'bhdvar  '!D32+sgbelvar!D32+capitalbkvar!D32+bichvar!D32+promobkvar!D32+unibkvar!D32+bphvar!D32+socabkvar!D32+sogebkvar!D32+bncvar!D32+buhvar!D32</f>
        <v>0</v>
      </c>
      <c r="E32" s="44">
        <v>0</v>
      </c>
      <c r="F32" s="12">
        <f>+scotiavar!F32+cbnavar!F32+'bhdvar  '!F32+sgbelvar!F32+capitalbkvar!F32+bichvar!F32+promobkvar!F32+unibkvar!F32+bphvar!F32+socabkvar!F32+sogebkvar!F32+bncvar!F32+buhvar!F32</f>
        <v>0</v>
      </c>
      <c r="G32" s="44">
        <v>0</v>
      </c>
      <c r="H32" s="12">
        <f>+scotiavar!H32+cbnavar!H32+'bhdvar  '!H32+sgbelvar!H32+capitalbkvar!H32+bichvar!H32+promobkvar!H32+unibkvar!H32+bphvar!H32+socabkvar!H32+sogebkvar!H32+bncvar!H32+buhvar!H32</f>
        <v>0</v>
      </c>
      <c r="I32" s="47">
        <f>+(B32-J32)/ABS(J32)</f>
        <v>-0.52066115702479343</v>
      </c>
      <c r="J32" s="12">
        <f>+scotiavar!J32+cbnavar!J32+sgbelvar!J32+capitalbkvar!J32+bichvar!J32+promobkvar!J32+unibkvar!J32+bphvar!J32+bidcvar!J32+socabkvar!J32+sogebkvar!J32+bncvar!J32+buhvar!J32+'bmhvar '!J32</f>
        <v>60500</v>
      </c>
      <c r="K32" s="47">
        <f>+(J32-L32)/ABS(L32)</f>
        <v>-0.81557087824538099</v>
      </c>
      <c r="L32" s="12">
        <f>+scotiavar!L32+cbnavar!L32+sgbelvar!L32+capitalbkvar!L32+bichvar!L32+promobkvar!L32+unibkvar!L32+bphvar!L32+bidcvar!L32+socabkvar!L32+sogebkvar!L32+bncvar!L32+buhvar!L32+'bmhvar '!L32</f>
        <v>328039.3</v>
      </c>
      <c r="M32" s="47">
        <f>+(L32-N32)/ABS(N32)</f>
        <v>2.8239341679672271E-2</v>
      </c>
      <c r="N32" s="12">
        <f>+scotiavar!N32+cbnavar!N32+sgbelvar!N32+capitalbkvar!N32+bichvar!N32+promobkvar!N32+unibkvar!N32+bphvar!N32+bidcvar!N32+socabkvar!N32+sogebkvar!N32+bncvar!N32+buhvar!N32+'bmhvar '!N32</f>
        <v>319030.09999999998</v>
      </c>
      <c r="O32" s="47">
        <f>+(N32-P32)/ABS(P32)</f>
        <v>-0.45476819097218624</v>
      </c>
      <c r="P32" s="12">
        <f>+scotiavar!P32+cbnavar!P32+sgbelvar!P32+capitalbkvar!P32+bichvar!P32+promobkvar!P32+unibkvar!P32+bphvar!P32+bidcvar!P32+socabkvar!P32+sogebkvar!P32+bncvar!P32+buhvar!P32+'bmhvar '!P32</f>
        <v>585127.45353000006</v>
      </c>
    </row>
    <row r="33" spans="1:21">
      <c r="A33" s="1" t="s">
        <v>283</v>
      </c>
      <c r="B33" s="12">
        <f>+scotiavar!B33+cbnavar!B33+'bhdvar  '!B33+sgbelvar!B33+capitalbkvar!B33+bichvar!B33+promobkvar!B33+unibkvar!B33+bphvar!B33+socabkvar!B33+sogebkvar!B33+bncvar!B33+buhvar!B33</f>
        <v>0</v>
      </c>
      <c r="C33" s="44">
        <v>0</v>
      </c>
      <c r="D33" s="12">
        <f>+scotiavar!D33+cbnavar!D33+'bhdvar  '!D33+sgbelvar!D33+capitalbkvar!D33+bichvar!D33+promobkvar!D33+unibkvar!D33+bphvar!D33+socabkvar!D33+sogebkvar!D33+bncvar!D33+buhvar!D33</f>
        <v>0</v>
      </c>
      <c r="E33" s="44">
        <v>0</v>
      </c>
      <c r="F33" s="12">
        <f>+scotiavar!F33+cbnavar!F33+'bhdvar  '!F33+sgbelvar!F33+capitalbkvar!F33+bichvar!F33+promobkvar!F33+unibkvar!F33+bphvar!F33+socabkvar!F33+sogebkvar!F33+bncvar!F33+buhvar!F33</f>
        <v>0</v>
      </c>
      <c r="G33" s="44">
        <v>0</v>
      </c>
      <c r="H33" s="12">
        <f>+scotiavar!H33+cbnavar!H33+'bhdvar  '!H33+sgbelvar!H33+capitalbkvar!H33+bichvar!H33+promobkvar!H33+unibkvar!H33+bphvar!H33+socabkvar!H33+sogebkvar!H33+bncvar!H33+buhvar!H33</f>
        <v>0</v>
      </c>
      <c r="I33" s="44">
        <v>0</v>
      </c>
      <c r="J33" s="12">
        <f>+scotiavar!J33+cbnavar!J33+sgbelvar!J33+capitalbkvar!J33+bichvar!J33+promobkvar!J33+unibkvar!J33+bphvar!J33+bidcvar!J33+socabkvar!J33+sogebkvar!J33+bncvar!J33+buhvar!J33+'bmhvar '!J33</f>
        <v>0</v>
      </c>
      <c r="K33" s="47">
        <f>+(J33-L33)/ABS(L33)</f>
        <v>-1</v>
      </c>
      <c r="L33" s="12">
        <f>+scotiavar!L33+cbnavar!L33+sgbelvar!L33+capitalbkvar!L33+bichvar!L33+promobkvar!L33+unibkvar!L33+bphvar!L33+bidcvar!L33+socabkvar!L33+sogebkvar!L33+bncvar!L33+buhvar!L33+'bmhvar '!L33</f>
        <v>13805</v>
      </c>
      <c r="M33" s="47">
        <f>+(L33-N33)/ABS(N33)</f>
        <v>778.9435028248588</v>
      </c>
      <c r="N33" s="12">
        <f>+scotiavar!N33+cbnavar!N33+sgbelvar!N33+capitalbkvar!N33+bichvar!N33+promobkvar!N33+unibkvar!N33+bphvar!N33+bidcvar!N33+socabkvar!N33+sogebkvar!N33+bncvar!N33+buhvar!N33+'bmhvar '!N33</f>
        <v>17.7</v>
      </c>
      <c r="O33" s="47">
        <f>+(N33-P33)/ABS(P33)</f>
        <v>-0.33538625135691968</v>
      </c>
      <c r="P33" s="12">
        <f>+scotiavar!P33+cbnavar!P33+sgbelvar!P33+capitalbkvar!P33+bichvar!P33+promobkvar!P33+unibkvar!P33+bphvar!P33+bidcvar!P33+socabkvar!P33+sogebkvar!P33+bncvar!P33+buhvar!P33+'bmhvar '!P33</f>
        <v>26.632009999999998</v>
      </c>
    </row>
    <row r="34" spans="1:21" ht="18">
      <c r="A34" s="1" t="s">
        <v>284</v>
      </c>
      <c r="B34" s="240">
        <f>+scotiavar!B34+cbnavar!B34+'bhdvar  '!B34+sgbelvar!B34+capitalbkvar!B34+bichvar!B34+promobkvar!B34+unibkvar!B34+bphvar!B34+socabkvar!B34+sogebkvar!B34+bncvar!B34+buhvar!B34</f>
        <v>1102399</v>
      </c>
      <c r="C34" s="44">
        <v>0</v>
      </c>
      <c r="D34" s="240">
        <f>+scotiavar!D34+cbnavar!D34+'bhdvar  '!D34+sgbelvar!D34+capitalbkvar!D34+bichvar!D34+promobkvar!D34+unibkvar!D34+bphvar!D34+socabkvar!D34+sogebkvar!D34+bncvar!D34+buhvar!D34</f>
        <v>0</v>
      </c>
      <c r="E34" s="44">
        <v>0</v>
      </c>
      <c r="F34" s="240">
        <f>+scotiavar!F34+cbnavar!F34+'bhdvar  '!F34+sgbelvar!F34+capitalbkvar!F34+bichvar!F34+promobkvar!F34+unibkvar!F34+bphvar!F34+socabkvar!F34+sogebkvar!F34+bncvar!F34+buhvar!F34</f>
        <v>0</v>
      </c>
      <c r="G34" s="44">
        <v>0</v>
      </c>
      <c r="H34" s="240">
        <f>+scotiavar!H34+cbnavar!H34+'bhdvar  '!H34+sgbelvar!H34+capitalbkvar!H34+bichvar!H34+promobkvar!H34+unibkvar!H34+bphvar!H34+socabkvar!H34+sogebkvar!H34+bncvar!H34+buhvar!H34</f>
        <v>0</v>
      </c>
      <c r="I34" s="47">
        <f>+(B34-J34)/ABS(J34)</f>
        <v>-8.0320986953960949E-2</v>
      </c>
      <c r="J34" s="240">
        <f>+scotiavar!J34+cbnavar!J34+sgbelvar!J34+capitalbkvar!J34+bichvar!J34+promobkvar!J34+unibkvar!J34+bphvar!J34+bidcvar!J34+socabkvar!J34+sogebkvar!J34+bncvar!J34+buhvar!J34+'bmhvar '!J34</f>
        <v>1198678</v>
      </c>
      <c r="K34" s="47">
        <f>+(J34-L34)/ABS(L34)</f>
        <v>0.31901591046064726</v>
      </c>
      <c r="L34" s="240">
        <f>+scotiavar!L34+cbnavar!L34+sgbelvar!L34+capitalbkvar!L34+bichvar!L34+promobkvar!L34+unibkvar!L34+bphvar!L34+bidcvar!L34+socabkvar!L34+sogebkvar!L34+bncvar!L34+buhvar!L34+'bmhvar '!L34</f>
        <v>908766.9</v>
      </c>
      <c r="M34" s="47">
        <f>+(L34-N34)/ABS(N34)</f>
        <v>0.17472605316190931</v>
      </c>
      <c r="N34" s="240">
        <f>+scotiavar!N34+cbnavar!N34+sgbelvar!N34+capitalbkvar!N34+bichvar!N34+promobkvar!N34+unibkvar!N34+bphvar!N34+bidcvar!N34+socabkvar!N34+sogebkvar!N34+bncvar!N34+buhvar!N34+'bmhvar '!N34</f>
        <v>773599.00000000012</v>
      </c>
      <c r="O34" s="47">
        <f>+(N34-P34)/ABS(P34)</f>
        <v>-0.11027268515823192</v>
      </c>
      <c r="P34" s="240">
        <f>+scotiavar!P34+cbnavar!P34+sgbelvar!P34+capitalbkvar!P34+bichvar!P34+promobkvar!P34+unibkvar!P34+bphvar!P34+bidcvar!P34+socabkvar!P34+sogebkvar!P34+bncvar!P34+buhvar!P34+'bmhvar '!P34</f>
        <v>869478.75725000014</v>
      </c>
      <c r="Q34" s="6"/>
      <c r="R34" s="6"/>
      <c r="S34" s="7"/>
      <c r="T34" s="7"/>
      <c r="U34" s="7"/>
    </row>
    <row r="35" spans="1:21">
      <c r="A35" s="1"/>
      <c r="B35" s="12">
        <f>SUM(B32:B34)</f>
        <v>1131399</v>
      </c>
      <c r="C35" s="44">
        <v>0</v>
      </c>
      <c r="D35" s="12">
        <f>SUM(D32:D34)</f>
        <v>0</v>
      </c>
      <c r="E35" s="44">
        <v>0</v>
      </c>
      <c r="F35" s="12">
        <f>SUM(F32:F34)</f>
        <v>0</v>
      </c>
      <c r="G35" s="44">
        <v>0</v>
      </c>
      <c r="H35" s="12">
        <f>SUM(H32:H34)</f>
        <v>0</v>
      </c>
      <c r="I35" s="47">
        <f>+(B35-J35)/ABS(J35)</f>
        <v>-0.10147810714609054</v>
      </c>
      <c r="J35" s="12">
        <f>SUM(J32:J34)</f>
        <v>1259178</v>
      </c>
      <c r="K35" s="47">
        <f>+(J35-L35)/ABS(L35)</f>
        <v>6.8500905797101823E-3</v>
      </c>
      <c r="L35" s="12">
        <f>SUM(L32:L34)</f>
        <v>1250611.2</v>
      </c>
      <c r="M35" s="47">
        <f>+(L35-N35)/ABS(N35)</f>
        <v>0.14457041378787719</v>
      </c>
      <c r="N35" s="12">
        <f>SUM(N32:N34)</f>
        <v>1092646.8</v>
      </c>
      <c r="O35" s="47">
        <f>+(N35-P35)/ABS(P35)</f>
        <v>-0.24885045362767094</v>
      </c>
      <c r="P35" s="12">
        <f>SUM(P32:P34)</f>
        <v>1454632.8427900001</v>
      </c>
    </row>
    <row r="36" spans="1:21" ht="7.15" customHeight="1">
      <c r="A36" s="1"/>
      <c r="C36" s="44" t="s">
        <v>0</v>
      </c>
      <c r="E36" s="44" t="s">
        <v>0</v>
      </c>
      <c r="G36" s="44" t="s">
        <v>0</v>
      </c>
      <c r="I36" s="47" t="s">
        <v>0</v>
      </c>
      <c r="K36" s="47" t="s">
        <v>0</v>
      </c>
      <c r="M36" s="47" t="s">
        <v>0</v>
      </c>
      <c r="O36" s="47" t="s">
        <v>0</v>
      </c>
    </row>
    <row r="37" spans="1:21">
      <c r="A37" s="1" t="s">
        <v>285</v>
      </c>
      <c r="C37" s="44" t="s">
        <v>0</v>
      </c>
      <c r="E37" s="44" t="s">
        <v>0</v>
      </c>
      <c r="G37" s="44" t="s">
        <v>0</v>
      </c>
      <c r="I37" s="47" t="s">
        <v>0</v>
      </c>
      <c r="K37" s="47" t="s">
        <v>0</v>
      </c>
      <c r="M37" s="47" t="s">
        <v>0</v>
      </c>
      <c r="O37" s="47" t="s">
        <v>0</v>
      </c>
    </row>
    <row r="38" spans="1:21">
      <c r="A38" s="1" t="s">
        <v>282</v>
      </c>
      <c r="B38" s="12">
        <f>+scotiavar!B38+cbnavar!B38+'bhdvar  '!B38+sgbelvar!B38+capitalbkvar!B38+bichvar!B38+promobkvar!B38+unibkvar!B38+bphvar!B38+socabkvar!B38+sogebkvar!B38+bncvar!B38+buhvar!B38</f>
        <v>150171</v>
      </c>
      <c r="C38" s="44">
        <v>0</v>
      </c>
      <c r="D38" s="12">
        <f>+scotiavar!D38+cbnavar!D38+'bhdvar  '!D38+sgbelvar!D38+capitalbkvar!D38+bichvar!D38+promobkvar!D38+unibkvar!D38+bphvar!D38+socabkvar!D38+sogebkvar!D38+bncvar!D38+buhvar!D38</f>
        <v>0</v>
      </c>
      <c r="E38" s="44">
        <v>0</v>
      </c>
      <c r="F38" s="12">
        <f>+scotiavar!F38+cbnavar!F38+'bhdvar  '!F38+sgbelvar!F38+capitalbkvar!F38+bichvar!F38+promobkvar!F38+unibkvar!F38+bphvar!F38+socabkvar!F38+sogebkvar!F38+bncvar!F38+buhvar!F38</f>
        <v>0</v>
      </c>
      <c r="G38" s="44">
        <v>0</v>
      </c>
      <c r="H38" s="12">
        <f>+scotiavar!H38+cbnavar!H38+'bhdvar  '!H38+sgbelvar!H38+capitalbkvar!H38+bichvar!H38+promobkvar!H38+unibkvar!H38+bphvar!H38+socabkvar!H38+sogebkvar!H38+bncvar!H38+buhvar!H38</f>
        <v>0</v>
      </c>
      <c r="I38" s="47">
        <f>+(B38-J38)/ABS(J38)</f>
        <v>1.4743496163358383</v>
      </c>
      <c r="J38" s="12">
        <f>+scotiavar!J38+cbnavar!J38+sgbelvar!J38+capitalbkvar!J38+bichvar!J38+promobkvar!J38+unibkvar!J38+bphvar!J38+bidcvar!J38+socabkvar!J38+sogebkvar!J38+bncvar!J38+buhvar!J38+'bmhvar '!J38</f>
        <v>60691.1</v>
      </c>
      <c r="K38" s="47">
        <f>+(J38-L38)/ABS(L38)</f>
        <v>1.2349880316700423</v>
      </c>
      <c r="L38" s="12">
        <f>+scotiavar!L38+cbnavar!L38+sgbelvar!L38+capitalbkvar!L38+bichvar!L38+promobkvar!L38+unibkvar!L38+bphvar!L38+bidcvar!L38+socabkvar!L38+sogebkvar!L38+bncvar!L38+buhvar!L38+'bmhvar '!L38</f>
        <v>27155</v>
      </c>
      <c r="M38" s="47">
        <f>+(L38-N38)/ABS(N38)</f>
        <v>-0.42154112266395699</v>
      </c>
      <c r="N38" s="12">
        <f>+scotiavar!N38+cbnavar!N38+sgbelvar!N38+capitalbkvar!N38+bichvar!N38+promobkvar!N38+unibkvar!N38+bphvar!N38+bidcvar!N38+socabkvar!N38+sogebkvar!N38+bncvar!N38+buhvar!N38+'bmhvar '!N38</f>
        <v>46943.7</v>
      </c>
      <c r="O38" s="47">
        <f>+(N38-P38)/ABS(P38)</f>
        <v>1.6079833333333331</v>
      </c>
      <c r="P38" s="12">
        <f>+scotiavar!P38+cbnavar!P38+sgbelvar!P38+capitalbkvar!P38+bichvar!P38+promobkvar!P38+unibkvar!P38+bphvar!P38+bidcvar!P38+socabkvar!P38+sogebkvar!P38+bncvar!P38+buhvar!P38+'bmhvar '!P38</f>
        <v>18000</v>
      </c>
    </row>
    <row r="39" spans="1:21">
      <c r="A39" s="1" t="s">
        <v>286</v>
      </c>
      <c r="B39" s="12">
        <f>+scotiavar!B39+cbnavar!B39+'bhdvar  '!B39+sgbelvar!B39+capitalbkvar!B39+bichvar!B39+promobkvar!B39+unibkvar!B39+bphvar!B39+socabkvar!B39+sogebkvar!B39+bncvar!B39+buhvar!B39</f>
        <v>0</v>
      </c>
      <c r="C39" s="44">
        <v>0</v>
      </c>
      <c r="D39" s="12">
        <f>+scotiavar!D39+cbnavar!D39+'bhdvar  '!D39+sgbelvar!D39+capitalbkvar!D39+bichvar!D39+promobkvar!D39+unibkvar!D39+bphvar!D39+socabkvar!D39+sogebkvar!D39+bncvar!D39+buhvar!D39</f>
        <v>0</v>
      </c>
      <c r="E39" s="44">
        <v>0</v>
      </c>
      <c r="F39" s="12">
        <f>+scotiavar!F39+cbnavar!F39+'bhdvar  '!F39+sgbelvar!F39+capitalbkvar!F39+bichvar!F39+promobkvar!F39+unibkvar!F39+bphvar!F39+socabkvar!F39+sogebkvar!F39+bncvar!F39+buhvar!F39</f>
        <v>0</v>
      </c>
      <c r="G39" s="44">
        <v>0</v>
      </c>
      <c r="H39" s="12">
        <f>+scotiavar!H39+cbnavar!H39+'bhdvar  '!H39+sgbelvar!H39+capitalbkvar!H39+bichvar!H39+promobkvar!H39+unibkvar!H39+bphvar!H39+socabkvar!H39+sogebkvar!H39+bncvar!H39+buhvar!H39</f>
        <v>0</v>
      </c>
      <c r="I39" s="44">
        <v>0</v>
      </c>
      <c r="J39" s="12">
        <f>+scotiavar!J39+cbnavar!J39+sgbelvar!J39+capitalbkvar!J39+bichvar!J39+promobkvar!J39+unibkvar!J39+bphvar!J39+bidcvar!J39+socabkvar!J39+sogebkvar!J39+bncvar!J39+buhvar!J39+'bmhvar '!J39</f>
        <v>0</v>
      </c>
      <c r="K39" s="44">
        <v>0</v>
      </c>
      <c r="L39" s="12">
        <f>+scotiavar!L39+cbnavar!L39+sgbelvar!L39+capitalbkvar!L39+bichvar!L39+promobkvar!L39+unibkvar!L39+bphvar!L39+bidcvar!L39+socabkvar!L39+sogebkvar!L39+bncvar!L39+buhvar!L39+'bmhvar '!L39</f>
        <v>0</v>
      </c>
      <c r="M39" s="44">
        <v>0</v>
      </c>
      <c r="N39" s="12">
        <f>+scotiavar!N39+cbnavar!N39+sgbelvar!N39+capitalbkvar!N39+bichvar!N39+promobkvar!N39+unibkvar!N39+bphvar!N39+bidcvar!N39+socabkvar!N39+sogebkvar!N39+bncvar!N39+buhvar!N39+'bmhvar '!N39</f>
        <v>36404.400000000001</v>
      </c>
      <c r="O39" s="44">
        <v>0</v>
      </c>
      <c r="P39" s="12">
        <f>+scotiavar!P39+cbnavar!P39+sgbelvar!P39+capitalbkvar!P39+bichvar!P39+promobkvar!P39+unibkvar!P39+bphvar!P39+bidcvar!P39+socabkvar!P39+sogebkvar!P39+bncvar!P39+buhvar!P39+'bmhvar '!P39</f>
        <v>0</v>
      </c>
    </row>
    <row r="40" spans="1:21">
      <c r="A40" s="1" t="s">
        <v>284</v>
      </c>
      <c r="B40" s="240">
        <f>+scotiavar!B40+cbnavar!B40+'bhdvar  '!B40+sgbelvar!B40+capitalbkvar!B40+bichvar!B40+promobkvar!B40+unibkvar!B40+bphvar!B40+socabkvar!B40+sogebkvar!B40+bncvar!B40+buhvar!B40</f>
        <v>279876.80000000005</v>
      </c>
      <c r="C40" s="44">
        <v>0</v>
      </c>
      <c r="D40" s="240">
        <f>+scotiavar!D40+cbnavar!D40+'bhdvar  '!D40+sgbelvar!D40+capitalbkvar!D40+bichvar!D40+promobkvar!D40+unibkvar!D40+bphvar!D40+socabkvar!D40+sogebkvar!D40+bncvar!D40+buhvar!D40</f>
        <v>0</v>
      </c>
      <c r="E40" s="44">
        <v>0</v>
      </c>
      <c r="F40" s="240">
        <f>+scotiavar!F40+cbnavar!F40+'bhdvar  '!F40+sgbelvar!F40+capitalbkvar!F40+bichvar!F40+promobkvar!F40+unibkvar!F40+bphvar!F40+socabkvar!F40+sogebkvar!F40+bncvar!F40+buhvar!F40</f>
        <v>0</v>
      </c>
      <c r="G40" s="44">
        <v>0</v>
      </c>
      <c r="H40" s="240">
        <f>+scotiavar!H40+cbnavar!H40+'bhdvar  '!H40+sgbelvar!H40+capitalbkvar!H40+bichvar!H40+promobkvar!H40+unibkvar!H40+bphvar!H40+socabkvar!H40+sogebkvar!H40+bncvar!H40+buhvar!H40</f>
        <v>0</v>
      </c>
      <c r="I40" s="47">
        <f>+(B40-J40)/ABS(J40)</f>
        <v>2.7301167344311046E-2</v>
      </c>
      <c r="J40" s="240">
        <f>+scotiavar!J40+cbnavar!J40+sgbelvar!J40+capitalbkvar!J40+bichvar!J40+promobkvar!J40+unibkvar!J40+bphvar!J40+bidcvar!J40+socabkvar!J40+sogebkvar!J40+bncvar!J40+buhvar!J40+'bmhvar '!J40</f>
        <v>272438.90000000002</v>
      </c>
      <c r="K40" s="47">
        <f>+(J40-L40)/ABS(L40)</f>
        <v>-3.0843863634584766E-2</v>
      </c>
      <c r="L40" s="240">
        <f>+scotiavar!L40+cbnavar!L40+sgbelvar!L40+capitalbkvar!L40+bichvar!L40+promobkvar!L40+unibkvar!L40+bphvar!L40+bidcvar!L40+socabkvar!L40+sogebkvar!L40+bncvar!L40+buhvar!L40+'bmhvar '!L40</f>
        <v>281109.39999999997</v>
      </c>
      <c r="M40" s="47">
        <f>+(L40-N40)/ABS(N40)</f>
        <v>0.11293563282191205</v>
      </c>
      <c r="N40" s="240">
        <f>+scotiavar!N40+cbnavar!N40+sgbelvar!N40+capitalbkvar!N40+bichvar!N40+promobkvar!N40+unibkvar!N40+bphvar!N40+bidcvar!N40+socabkvar!N40+sogebkvar!N40+bncvar!N40+buhvar!N40+'bmhvar '!N40</f>
        <v>252583.69999999998</v>
      </c>
      <c r="O40" s="47">
        <f>+(N40-P40)/ABS(P40)</f>
        <v>0.1044765911984563</v>
      </c>
      <c r="P40" s="240">
        <f>+scotiavar!P40+cbnavar!P40+sgbelvar!P40+capitalbkvar!P40+bichvar!P40+promobkvar!P40+unibkvar!P40+bphvar!P40+bidcvar!P40+socabkvar!P40+sogebkvar!P40+bncvar!P40+buhvar!P40+'bmhvar '!P40</f>
        <v>228690.85864999998</v>
      </c>
    </row>
    <row r="41" spans="1:21">
      <c r="A41" s="1"/>
      <c r="B41" s="12">
        <f>SUM(B38:B40)</f>
        <v>430047.80000000005</v>
      </c>
      <c r="C41" s="44">
        <v>0</v>
      </c>
      <c r="D41" s="12">
        <f>SUM(D38:D40)</f>
        <v>0</v>
      </c>
      <c r="E41" s="44">
        <v>0</v>
      </c>
      <c r="F41" s="12">
        <f>SUM(F38:F40)</f>
        <v>0</v>
      </c>
      <c r="G41" s="44">
        <v>0</v>
      </c>
      <c r="H41" s="12">
        <f>SUM(H38:H40)</f>
        <v>0</v>
      </c>
      <c r="I41" s="47">
        <f>+(B41-J41)/ABS(J41)</f>
        <v>0.29093086782937605</v>
      </c>
      <c r="J41" s="12">
        <f>SUM(J38:J40)</f>
        <v>333130</v>
      </c>
      <c r="K41" s="47">
        <f>+(J41-L41)/ABS(L41)</f>
        <v>8.0663222869718457E-2</v>
      </c>
      <c r="L41" s="12">
        <f>SUM(L38:L40)</f>
        <v>308264.39999999997</v>
      </c>
      <c r="M41" s="47">
        <f>+(L41-N41)/ABS(N41)</f>
        <v>-8.2360169534411526E-2</v>
      </c>
      <c r="N41" s="12">
        <f>SUM(N38:N40)</f>
        <v>335931.8</v>
      </c>
      <c r="O41" s="47">
        <f>+(N41-P41)/ABS(P41)</f>
        <v>0.36175212100831533</v>
      </c>
      <c r="P41" s="12">
        <f>SUM(P38:P40)</f>
        <v>246690.85864999998</v>
      </c>
    </row>
    <row r="42" spans="1:21" ht="8.4499999999999993" customHeight="1">
      <c r="A42" s="1"/>
      <c r="C42" s="44" t="s">
        <v>0</v>
      </c>
      <c r="E42" s="44" t="s">
        <v>0</v>
      </c>
      <c r="G42" s="44" t="s">
        <v>0</v>
      </c>
      <c r="I42" s="47" t="s">
        <v>0</v>
      </c>
      <c r="K42" s="47" t="s">
        <v>0</v>
      </c>
      <c r="M42" s="47" t="s">
        <v>0</v>
      </c>
      <c r="O42" s="47" t="s">
        <v>0</v>
      </c>
    </row>
    <row r="43" spans="1:21" ht="18">
      <c r="A43" s="1" t="s">
        <v>287</v>
      </c>
      <c r="B43" s="240">
        <f>+scotiavar!B43+cbnavar!B43+'bhdvar  '!B43+sgbelvar!B43+capitalbkvar!B43+bichvar!B43+promobkvar!B43+unibkvar!B43+bphvar!B43+socabkvar!B43+sogebkvar!B43+bncvar!B43+buhvar!B43</f>
        <v>159675.70000000001</v>
      </c>
      <c r="C43" s="44">
        <v>0</v>
      </c>
      <c r="D43" s="240">
        <f>+scotiavar!D43+cbnavar!D43+'bhdvar  '!D43+sgbelvar!D43+capitalbkvar!D43+bichvar!D43+promobkvar!D43+unibkvar!D43+bphvar!D43+socabkvar!D43+sogebkvar!D43+bncvar!D43+buhvar!D43</f>
        <v>0</v>
      </c>
      <c r="E43" s="44">
        <v>0</v>
      </c>
      <c r="F43" s="240">
        <f>+scotiavar!F43+cbnavar!F43+'bhdvar  '!F43+sgbelvar!F43+capitalbkvar!F43+bichvar!F43+promobkvar!F43+unibkvar!F43+bphvar!F43+socabkvar!F43+sogebkvar!F43+bncvar!F43+buhvar!F43</f>
        <v>0</v>
      </c>
      <c r="G43" s="44">
        <v>0</v>
      </c>
      <c r="H43" s="240">
        <f>+scotiavar!H43+cbnavar!H43+'bhdvar  '!H43+sgbelvar!H43+capitalbkvar!H43+bichvar!H43+promobkvar!H43+unibkvar!H43+bphvar!H43+socabkvar!H43+sogebkvar!H43+bncvar!H43+buhvar!H43</f>
        <v>0</v>
      </c>
      <c r="I43" s="47">
        <f>+(B43-J43)/ABS(J43)</f>
        <v>-0.27385545478027712</v>
      </c>
      <c r="J43" s="240">
        <f>+scotiavar!J43+cbnavar!J43+sgbelvar!J43+capitalbkvar!J43+bichvar!J43+promobkvar!J43+unibkvar!J43+bphvar!J43+bidcvar!J43+socabkvar!J43+sogebkvar!J43+bncvar!J43+buhvar!J43+'bmhvar '!J43</f>
        <v>219895.2</v>
      </c>
      <c r="K43" s="47">
        <f>+(J43-L43)/ABS(L43)</f>
        <v>-0.18026112179557666</v>
      </c>
      <c r="L43" s="240">
        <f>+scotiavar!L43+cbnavar!L43+sgbelvar!L43+capitalbkvar!L43+bichvar!L43+promobkvar!L43+unibkvar!L43+bphvar!L43+bidcvar!L43+socabkvar!L43+sogebkvar!L43+bncvar!L43+buhvar!L43+'bmhvar '!L43</f>
        <v>268250.3</v>
      </c>
      <c r="M43" s="47">
        <f>+(L43-N43)/ABS(N43)</f>
        <v>-0.11755328475413392</v>
      </c>
      <c r="N43" s="240">
        <f>+scotiavar!N43+cbnavar!N43+sgbelvar!N43+capitalbkvar!N43+bichvar!N43+promobkvar!N43+unibkvar!N43+bphvar!N43+bidcvar!N43+socabkvar!N43+sogebkvar!N43+bncvar!N43+buhvar!N43+'bmhvar '!N43</f>
        <v>303984.69999999995</v>
      </c>
      <c r="O43" s="47">
        <f>+(N43-P43)/ABS(P43)</f>
        <v>1.0606536448985793</v>
      </c>
      <c r="P43" s="240">
        <f>+scotiavar!P43+cbnavar!P43+sgbelvar!P43+capitalbkvar!P43+bichvar!P43+promobkvar!P43+unibkvar!P43+bphvar!P43+bidcvar!P43+socabkvar!P43+sogebkvar!P43+bncvar!P43+buhvar!P43+'bmhvar '!P43</f>
        <v>147518.58021000001</v>
      </c>
      <c r="Q43" s="6"/>
      <c r="R43" s="6"/>
    </row>
    <row r="44" spans="1:21">
      <c r="A44" s="1"/>
      <c r="B44" s="12">
        <f>+B29+B35+B41+B43</f>
        <v>21081862.299999997</v>
      </c>
      <c r="C44" s="44">
        <v>0</v>
      </c>
      <c r="D44" s="12">
        <f>+D29+D35+D41+D43</f>
        <v>0</v>
      </c>
      <c r="E44" s="44">
        <v>0</v>
      </c>
      <c r="F44" s="12">
        <f>+F29+F35+F41+F43</f>
        <v>0</v>
      </c>
      <c r="G44" s="44">
        <v>0</v>
      </c>
      <c r="H44" s="12">
        <f>+H29+H35+H41+H43</f>
        <v>0</v>
      </c>
      <c r="I44" s="47">
        <f>+(B44-J44)/ABS(J44)</f>
        <v>5.3635226203396495E-2</v>
      </c>
      <c r="J44" s="12">
        <f>+J29+J35+J41+J43</f>
        <v>20008691.599999998</v>
      </c>
      <c r="K44" s="47">
        <f>+(J44-L44)/ABS(L44)</f>
        <v>0.16495322339997118</v>
      </c>
      <c r="L44" s="12">
        <f>+L29+L35+L41+L43</f>
        <v>17175532.199999999</v>
      </c>
      <c r="M44" s="47">
        <f>+(L44-N44)/ABS(N44)</f>
        <v>0.16296098065523251</v>
      </c>
      <c r="N44" s="12">
        <f>+N29+N35+N41+N43</f>
        <v>14768794.900000002</v>
      </c>
      <c r="O44" s="47">
        <f>+(N44-P44)/ABS(P44)</f>
        <v>0.18135895730328755</v>
      </c>
      <c r="P44" s="12">
        <f>+P29+P35+P41+P43</f>
        <v>12501530.384730002</v>
      </c>
    </row>
    <row r="45" spans="1:21" ht="15.6" customHeight="1">
      <c r="A45" s="1"/>
      <c r="C45" s="44" t="s">
        <v>0</v>
      </c>
      <c r="E45" s="44" t="s">
        <v>0</v>
      </c>
      <c r="G45" s="44" t="s">
        <v>0</v>
      </c>
      <c r="I45" s="47" t="s">
        <v>0</v>
      </c>
      <c r="K45" s="47" t="s">
        <v>0</v>
      </c>
      <c r="M45" s="47" t="s">
        <v>0</v>
      </c>
      <c r="O45" s="47" t="s">
        <v>0</v>
      </c>
    </row>
    <row r="46" spans="1:21">
      <c r="A46" s="87" t="s">
        <v>288</v>
      </c>
      <c r="C46" s="44" t="s">
        <v>0</v>
      </c>
      <c r="E46" s="44" t="s">
        <v>0</v>
      </c>
      <c r="G46" s="44" t="s">
        <v>0</v>
      </c>
      <c r="I46" s="47" t="s">
        <v>0</v>
      </c>
      <c r="K46" s="47" t="s">
        <v>0</v>
      </c>
      <c r="M46" s="47" t="s">
        <v>0</v>
      </c>
      <c r="O46" s="47" t="s">
        <v>0</v>
      </c>
    </row>
    <row r="47" spans="1:21">
      <c r="A47" s="1" t="s">
        <v>289</v>
      </c>
      <c r="B47" s="12">
        <f>+scotiavar!B47+cbnavar!B47+'bhdvar  '!B47+sgbelvar!B47+capitalbkvar!B47+bichvar!B47+promobkvar!B47+unibkvar!B47+bphvar!B47+socabkvar!B47+sogebkvar!B47+bncvar!B47+buhvar!B47</f>
        <v>678721.4</v>
      </c>
      <c r="C47" s="44">
        <v>0</v>
      </c>
      <c r="D47" s="12">
        <f>+scotiavar!D47+cbnavar!D47+'bhdvar  '!D47+sgbelvar!D47+capitalbkvar!D47+bichvar!D47+promobkvar!D47+unibkvar!D47+bphvar!D47+socabkvar!D47+sogebkvar!D47+bncvar!D47+buhvar!D47</f>
        <v>0</v>
      </c>
      <c r="E47" s="44">
        <v>0</v>
      </c>
      <c r="F47" s="12">
        <f>+scotiavar!F47+cbnavar!F47+'bhdvar  '!F47+sgbelvar!F47+capitalbkvar!F47+bichvar!F47+promobkvar!F47+unibkvar!F47+bphvar!F47+socabkvar!F47+sogebkvar!F47+bncvar!F47+buhvar!F47</f>
        <v>0</v>
      </c>
      <c r="G47" s="44">
        <v>0</v>
      </c>
      <c r="H47" s="12">
        <f>+scotiavar!H47+cbnavar!H47+'bhdvar  '!H47+sgbelvar!H47+capitalbkvar!H47+bichvar!H47+promobkvar!H47+unibkvar!H47+bphvar!H47+socabkvar!H47+sogebkvar!H47+bncvar!H47+buhvar!H47</f>
        <v>0</v>
      </c>
      <c r="I47" s="47">
        <f t="shared" ref="I47:I52" si="6">+(B47-J47)/ABS(J47)</f>
        <v>6.8709879373589119E-2</v>
      </c>
      <c r="J47" s="12">
        <f>+scotiavar!J47+cbnavar!J47+sgbelvar!J47+capitalbkvar!J47+bichvar!J47+promobkvar!J47+unibkvar!J47+bphvar!J47+bidcvar!J47+socabkvar!J47+sogebkvar!J47+bncvar!J47+buhvar!J47+'bmhvar '!J47</f>
        <v>635084.80000000005</v>
      </c>
      <c r="K47" s="47">
        <f t="shared" ref="K47:K52" si="7">+(J47-L47)/ABS(L47)</f>
        <v>5.7300757765902201E-4</v>
      </c>
      <c r="L47" s="12">
        <f>+scotiavar!L47+cbnavar!L47+sgbelvar!L47+capitalbkvar!L47+bichvar!L47+promobkvar!L47+unibkvar!L47+bphvar!L47+bidcvar!L47+socabkvar!L47+sogebkvar!L47+bncvar!L47+buhvar!L47+'bmhvar '!L47</f>
        <v>634721.1</v>
      </c>
      <c r="M47" s="47">
        <f>+(L47-N47)/ABS(N47)</f>
        <v>0.47895305627710438</v>
      </c>
      <c r="N47" s="12">
        <f>+scotiavar!N47+cbnavar!N47+sgbelvar!N47+capitalbkvar!N47+bichvar!N47+promobkvar!N47+unibkvar!N47+bphvar!N47+bidcvar!N47+socabkvar!N47+sogebkvar!N47+bncvar!N47+buhvar!N47+'bmhvar '!N47</f>
        <v>429169.20000000007</v>
      </c>
      <c r="O47" s="47">
        <f>+(N47-P47)/ABS(P47)</f>
        <v>0.43866717296278218</v>
      </c>
      <c r="P47" s="12">
        <f>+scotiavar!P47+cbnavar!P47+sgbelvar!P47+capitalbkvar!P47+bichvar!P47+promobkvar!P47+unibkvar!P47+bphvar!P47+bidcvar!P47+socabkvar!P47+sogebkvar!P47+bncvar!P47+buhvar!P47+'bmhvar '!P47</f>
        <v>298310.27499999997</v>
      </c>
    </row>
    <row r="48" spans="1:21">
      <c r="A48" s="1" t="s">
        <v>290</v>
      </c>
      <c r="B48" s="12">
        <f>+scotiavar!B48+cbnavar!B48+'bhdvar  '!B48+sgbelvar!B48+capitalbkvar!B48+bichvar!B48+promobkvar!B48+unibkvar!B48+bphvar!B48+socabkvar!B48+sogebkvar!B48+bncvar!B48+buhvar!B48</f>
        <v>88488.200000000012</v>
      </c>
      <c r="C48" s="44">
        <v>0</v>
      </c>
      <c r="D48" s="12">
        <f>+scotiavar!D48+cbnavar!D48+'bhdvar  '!D48+sgbelvar!D48+capitalbkvar!D48+bichvar!D48+promobkvar!D48+unibkvar!D48+bphvar!D48+socabkvar!D48+sogebkvar!D48+bncvar!D48+buhvar!D48</f>
        <v>0</v>
      </c>
      <c r="E48" s="44">
        <v>0</v>
      </c>
      <c r="F48" s="12">
        <f>+scotiavar!F48+cbnavar!F48+'bhdvar  '!F48+sgbelvar!F48+capitalbkvar!F48+bichvar!F48+promobkvar!F48+unibkvar!F48+bphvar!F48+socabkvar!F48+sogebkvar!F48+bncvar!F48+buhvar!F48</f>
        <v>0</v>
      </c>
      <c r="G48" s="44">
        <v>0</v>
      </c>
      <c r="H48" s="12">
        <f>+scotiavar!H48+cbnavar!H48+'bhdvar  '!H48+sgbelvar!H48+capitalbkvar!H48+bichvar!H48+promobkvar!H48+unibkvar!H48+bphvar!H48+socabkvar!H48+sogebkvar!H48+bncvar!H48+buhvar!H48</f>
        <v>0</v>
      </c>
      <c r="I48" s="47">
        <f t="shared" si="6"/>
        <v>0.19568469170867919</v>
      </c>
      <c r="J48" s="12">
        <f>+scotiavar!J48+cbnavar!J48+sgbelvar!J48+capitalbkvar!J48+bichvar!J48+promobkvar!J48+unibkvar!J48+bphvar!J48+bidcvar!J48+socabkvar!J48+sogebkvar!J48+bncvar!J48+buhvar!J48+'bmhvar '!J48</f>
        <v>74006.299999999988</v>
      </c>
      <c r="K48" s="47">
        <f t="shared" si="7"/>
        <v>-0.59134735113471526</v>
      </c>
      <c r="L48" s="12">
        <f>+scotiavar!L48+cbnavar!L48+sgbelvar!L48+capitalbkvar!L48+bichvar!L48+promobkvar!L48+unibkvar!L48+bphvar!L48+bidcvar!L48+socabkvar!L48+sogebkvar!L48+bncvar!L48+buhvar!L48+'bmhvar '!L48</f>
        <v>181098.3</v>
      </c>
      <c r="M48" s="47">
        <f>+(L48-N48)/ABS(N48)</f>
        <v>0.14563128292297484</v>
      </c>
      <c r="N48" s="12">
        <f>+scotiavar!N48+cbnavar!N48+sgbelvar!N48+capitalbkvar!N48+bichvar!N48+promobkvar!N48+unibkvar!N48+bphvar!N48+bidcvar!N48+socabkvar!N48+sogebkvar!N48+bncvar!N48+buhvar!N48+'bmhvar '!N48</f>
        <v>158077.30000000002</v>
      </c>
      <c r="O48" s="47">
        <f>+(N48-P48)/ABS(P48)</f>
        <v>0.17573392726461837</v>
      </c>
      <c r="P48" s="12">
        <f>+scotiavar!P48+cbnavar!P48+sgbelvar!P48+capitalbkvar!P48+bichvar!P48+promobkvar!P48+unibkvar!P48+bphvar!P48+bidcvar!P48+socabkvar!P48+sogebkvar!P48+bncvar!P48+buhvar!P48+'bmhvar '!P48</f>
        <v>134449.89238999999</v>
      </c>
    </row>
    <row r="49" spans="1:21">
      <c r="A49" s="1" t="s">
        <v>291</v>
      </c>
      <c r="B49" s="12">
        <f>+scotiavar!B49+cbnavar!B49+'bhdvar  '!B49+sgbelvar!B49+capitalbkvar!B49+bichvar!B49+promobkvar!B49+unibkvar!B49+bphvar!B49+socabkvar!B49+sogebkvar!B49+bncvar!B49+buhvar!B49</f>
        <v>114087.70000000001</v>
      </c>
      <c r="C49" s="44">
        <v>0</v>
      </c>
      <c r="D49" s="12">
        <f>+scotiavar!D49+cbnavar!D49+'bhdvar  '!D49+sgbelvar!D49+capitalbkvar!D49+bichvar!D49+promobkvar!D49+unibkvar!D49+bphvar!D49+socabkvar!D49+sogebkvar!D49+bncvar!D49+buhvar!D49</f>
        <v>0</v>
      </c>
      <c r="E49" s="44">
        <v>0</v>
      </c>
      <c r="F49" s="12">
        <f>+scotiavar!F49+cbnavar!F49+'bhdvar  '!F49+sgbelvar!F49+capitalbkvar!F49+bichvar!F49+promobkvar!F49+unibkvar!F49+bphvar!F49+socabkvar!F49+sogebkvar!F49+bncvar!F49+buhvar!F49</f>
        <v>0</v>
      </c>
      <c r="G49" s="44">
        <v>0</v>
      </c>
      <c r="H49" s="12">
        <f>+scotiavar!H49+cbnavar!H49+'bhdvar  '!H49+sgbelvar!H49+capitalbkvar!H49+bichvar!H49+promobkvar!H49+unibkvar!H49+bphvar!H49+socabkvar!H49+sogebkvar!H49+bncvar!H49+buhvar!H49</f>
        <v>0</v>
      </c>
      <c r="I49" s="47">
        <f t="shared" si="6"/>
        <v>0.11085935841685961</v>
      </c>
      <c r="J49" s="12">
        <f>+scotiavar!J49+cbnavar!J49+sgbelvar!J49+capitalbkvar!J49+bichvar!J49+promobkvar!J49+unibkvar!J49+bphvar!J49+bidcvar!J49+socabkvar!J49+sogebkvar!J49+bncvar!J49+buhvar!J49+'bmhvar '!J49</f>
        <v>102702.20000000001</v>
      </c>
      <c r="K49" s="47">
        <f t="shared" si="7"/>
        <v>1.6788337541472782</v>
      </c>
      <c r="L49" s="12">
        <f>+scotiavar!L49+cbnavar!L49+sgbelvar!L49+capitalbkvar!L49+bichvar!L49+promobkvar!L49+unibkvar!L49+bphvar!L49+bidcvar!L49+socabkvar!L49+sogebkvar!L49+bncvar!L49+buhvar!L49+'bmhvar '!L49</f>
        <v>38338.400000000001</v>
      </c>
      <c r="M49" s="47"/>
      <c r="N49" s="12">
        <f>+scotiavar!N49+cbnavar!N49+sgbelvar!N49+capitalbkvar!N49+bichvar!N49+promobkvar!N49+unibkvar!N49+bphvar!N49+bidcvar!N49+socabkvar!N49+sogebkvar!N49+bncvar!N49+buhvar!N49+'bmhvar '!N49</f>
        <v>21405.599999999999</v>
      </c>
      <c r="O49" s="47"/>
      <c r="P49" s="12">
        <f>+scotiavar!P49+cbnavar!P49+sgbelvar!P49+capitalbkvar!P49+bichvar!P49+promobkvar!P49+unibkvar!P49+bphvar!P49+bidcvar!P49+socabkvar!P49+sogebkvar!P49+bncvar!P49+buhvar!P49+'bmhvar '!P49</f>
        <v>0</v>
      </c>
    </row>
    <row r="50" spans="1:21" ht="18">
      <c r="A50" s="1" t="s">
        <v>292</v>
      </c>
      <c r="B50" s="240">
        <f>+scotiavar!B50+cbnavar!B50+'bhdvar  '!B50+sgbelvar!B50+capitalbkvar!B50+bichvar!B50+promobkvar!B50+unibkvar!B50+bphvar!B50+socabkvar!B50+sogebkvar!B50+bncvar!B50+buhvar!B50</f>
        <v>248683.09999999998</v>
      </c>
      <c r="C50" s="44">
        <v>0</v>
      </c>
      <c r="D50" s="240">
        <f>+scotiavar!D50+cbnavar!D50+'bhdvar  '!D50+sgbelvar!D50+capitalbkvar!D50+bichvar!D50+promobkvar!D50+unibkvar!D50+bphvar!D50+socabkvar!D50+sogebkvar!D50+bncvar!D50+buhvar!D50</f>
        <v>0</v>
      </c>
      <c r="E50" s="44">
        <v>0</v>
      </c>
      <c r="F50" s="240">
        <f>+scotiavar!F50+cbnavar!F50+'bhdvar  '!F50+sgbelvar!F50+capitalbkvar!F50+bichvar!F50+promobkvar!F50+unibkvar!F50+bphvar!F50+socabkvar!F50+sogebkvar!F50+bncvar!F50+buhvar!F50</f>
        <v>0</v>
      </c>
      <c r="G50" s="44">
        <v>0</v>
      </c>
      <c r="H50" s="240">
        <f>+scotiavar!H50+cbnavar!H50+'bhdvar  '!H50+sgbelvar!H50+capitalbkvar!H50+bichvar!H50+promobkvar!H50+unibkvar!H50+bphvar!H50+socabkvar!H50+sogebkvar!H50+bncvar!H50+buhvar!H50</f>
        <v>0</v>
      </c>
      <c r="I50" s="47">
        <f t="shared" si="6"/>
        <v>-0.10124558407647349</v>
      </c>
      <c r="J50" s="240">
        <f>+scotiavar!J50+cbnavar!J50+sgbelvar!J50+capitalbkvar!J50+bichvar!J50+promobkvar!J50+unibkvar!J50+bphvar!J50+bidcvar!J50+socabkvar!J50+sogebkvar!J50+bncvar!J50+buhvar!J50+'bmhvar '!J50</f>
        <v>276697.5</v>
      </c>
      <c r="K50" s="47">
        <f t="shared" si="7"/>
        <v>0.5308493552061796</v>
      </c>
      <c r="L50" s="240">
        <f>+scotiavar!L50+cbnavar!L50+sgbelvar!L50+capitalbkvar!L50+bichvar!L50+promobkvar!L50+unibkvar!L50+bphvar!L50+bidcvar!L50+socabkvar!L50+sogebkvar!L50+bncvar!L50+buhvar!L50+'bmhvar '!L50</f>
        <v>180747.7</v>
      </c>
      <c r="M50" s="47">
        <f>+(L50-N50)/ABS(N50)</f>
        <v>-0.24600083347690438</v>
      </c>
      <c r="N50" s="240">
        <f>+scotiavar!N50+cbnavar!N50+sgbelvar!N50+capitalbkvar!N50+bichvar!N50+promobkvar!N50+unibkvar!N50+bphvar!N50+bidcvar!N50+socabkvar!N50+sogebkvar!N50+bncvar!N50+buhvar!N50+'bmhvar '!N50</f>
        <v>239718.7</v>
      </c>
      <c r="O50" s="47">
        <f>+(N50-P50)/ABS(P50)</f>
        <v>0.44272790258319433</v>
      </c>
      <c r="P50" s="240">
        <f>+scotiavar!P50+cbnavar!P50+sgbelvar!P50+capitalbkvar!P50+bichvar!P50+promobkvar!P50+unibkvar!P50+bphvar!P50+bidcvar!P50+socabkvar!P50+sogebkvar!P50+bncvar!P50+buhvar!P50+'bmhvar '!P50</f>
        <v>166156.55632</v>
      </c>
      <c r="Q50" s="6"/>
      <c r="R50" s="6"/>
      <c r="S50" s="7"/>
      <c r="T50" s="7"/>
      <c r="U50" s="7"/>
    </row>
    <row r="51" spans="1:21" ht="16.5" thickBot="1">
      <c r="A51" s="1" t="s">
        <v>275</v>
      </c>
      <c r="B51" s="76">
        <f>SUM(B47:B50)</f>
        <v>1129980.3999999999</v>
      </c>
      <c r="C51" s="44">
        <v>0</v>
      </c>
      <c r="D51" s="76">
        <f>SUM(D47:D50)</f>
        <v>0</v>
      </c>
      <c r="E51" s="44">
        <v>0</v>
      </c>
      <c r="F51" s="76">
        <f>SUM(F47:F50)</f>
        <v>0</v>
      </c>
      <c r="G51" s="44">
        <v>0</v>
      </c>
      <c r="H51" s="76">
        <f>SUM(H47:H50)</f>
        <v>0</v>
      </c>
      <c r="I51" s="47">
        <f t="shared" si="6"/>
        <v>3.8116629005959315E-2</v>
      </c>
      <c r="J51" s="76">
        <f>SUM(J47:J50)</f>
        <v>1088490.8</v>
      </c>
      <c r="K51" s="47">
        <f t="shared" si="7"/>
        <v>5.1777964268235166E-2</v>
      </c>
      <c r="L51" s="76">
        <f>SUM(L47:L50)</f>
        <v>1034905.5</v>
      </c>
      <c r="M51" s="47">
        <f>+(L51-N51)/ABS(N51)</f>
        <v>0.21987402206676601</v>
      </c>
      <c r="N51" s="76">
        <f>SUM(N47:N50)</f>
        <v>848370.8</v>
      </c>
      <c r="O51" s="47">
        <f>+(N51-P51)/ABS(P51)</f>
        <v>0.41650878396708069</v>
      </c>
      <c r="P51" s="76">
        <f>SUM(P47:P50)</f>
        <v>598916.72370999993</v>
      </c>
    </row>
    <row r="52" spans="1:21">
      <c r="A52" s="87" t="s">
        <v>0</v>
      </c>
      <c r="B52" s="4">
        <f>(+B29+B35+B41+B43+B51)</f>
        <v>22211842.699999996</v>
      </c>
      <c r="C52" s="44">
        <v>0</v>
      </c>
      <c r="D52" s="4">
        <f>(+D29+D35+D41+D43+D51)</f>
        <v>0</v>
      </c>
      <c r="E52" s="44">
        <v>0</v>
      </c>
      <c r="F52" s="4">
        <f>(+F29+F35+F41+F43+F51)</f>
        <v>0</v>
      </c>
      <c r="G52" s="44">
        <v>0</v>
      </c>
      <c r="H52" s="4">
        <f>(+H29+H35+H41+H43+H51)</f>
        <v>0</v>
      </c>
      <c r="I52" s="47">
        <f t="shared" si="6"/>
        <v>5.2834557661121474E-2</v>
      </c>
      <c r="J52" s="4">
        <f>+J29+J35+J41+J43+J51</f>
        <v>21097182.399999999</v>
      </c>
      <c r="K52" s="112">
        <f t="shared" si="7"/>
        <v>0.15852145319694519</v>
      </c>
      <c r="L52" s="4">
        <f>+L29+L35+L41+L43+L51-0.3</f>
        <v>18210437.399999999</v>
      </c>
      <c r="M52" s="112">
        <f>+(L52-N52)/ABS(N52)</f>
        <v>0.16605264680005252</v>
      </c>
      <c r="N52" s="4">
        <f>+N29+N35+N41+N43+N51</f>
        <v>15617165.700000003</v>
      </c>
      <c r="O52" s="112">
        <f>+(N52-P52)/ABS(P52)</f>
        <v>0.1921093662474006</v>
      </c>
      <c r="P52" s="4">
        <f>+P29+P35+P41+P43+P51</f>
        <v>13100447.108440002</v>
      </c>
    </row>
    <row r="54" spans="1:21">
      <c r="B54"/>
      <c r="C54"/>
      <c r="D54"/>
      <c r="E54"/>
      <c r="F54"/>
      <c r="G54"/>
      <c r="H54"/>
      <c r="I54"/>
      <c r="J54"/>
      <c r="K54"/>
      <c r="L54"/>
      <c r="M54"/>
      <c r="N54"/>
      <c r="O54"/>
      <c r="P54"/>
      <c r="Q54"/>
      <c r="R54"/>
    </row>
    <row r="55" spans="1:21">
      <c r="A55" s="185" t="s">
        <v>293</v>
      </c>
      <c r="B55"/>
      <c r="C55"/>
      <c r="D55"/>
      <c r="E55"/>
      <c r="F55"/>
      <c r="G55"/>
      <c r="H55"/>
      <c r="I55"/>
      <c r="J55"/>
      <c r="K55"/>
      <c r="L55"/>
      <c r="M55"/>
      <c r="N55"/>
      <c r="O55"/>
      <c r="P55"/>
      <c r="Q55"/>
      <c r="R55"/>
    </row>
    <row r="56" spans="1:21">
      <c r="A56" t="s">
        <v>294</v>
      </c>
      <c r="B56" s="12">
        <f>+scotiavar!B56+cbnavar!B56+'bhdvar  '!B56+sgbelvar!B56+capitalbkvar!B56+bichvar!B56+promobkvar!B56+unibkvar!B56+bphvar!B56+socabkvar!B56+sogebkvar!B56+bncvar!B56+buhvar!B56</f>
        <v>39176.699999999997</v>
      </c>
      <c r="C56" t="s">
        <v>0</v>
      </c>
      <c r="D56" s="12">
        <f>+scotiavar!D56+cbnavar!D56+'bhdvar  '!D56+sgbelvar!D56+capitalbkvar!D56+bichvar!D56+promobkvar!D56+unibkvar!D56+bphvar!D56+socabkvar!D56+sogebkvar!D56+bncvar!D56+buhvar!D56</f>
        <v>0</v>
      </c>
      <c r="E56" s="41"/>
      <c r="F56" s="12">
        <f>+scotiavar!F56+cbnavar!F56+'bhdvar  '!F56+sgbelvar!F56+capitalbkvar!F56+bichvar!F56+promobkvar!F56+unibkvar!F56+bphvar!F56+socabkvar!F56+sogebkvar!F56+bncvar!F56+buhvar!F56</f>
        <v>0</v>
      </c>
      <c r="G56" s="41"/>
      <c r="H56" s="12">
        <f>+scotiavar!H56+cbnavar!H56+'bhdvar  '!H56+sgbelvar!H56+capitalbkvar!H56+bichvar!H56+promobkvar!H56+unibkvar!H56+bphvar!H56+socabkvar!H56+sogebkvar!H56+bncvar!H56+buhvar!H56</f>
        <v>0</v>
      </c>
      <c r="I56"/>
      <c r="J56" s="12">
        <f>+scotiavar!J56+cbnavar!J56+sgbelvar!J56+capitalbkvar!J56+bichvar!J56+promobkvar!J56+unibkvar!J56+bphvar!J56+bidcvar!J56+socabkvar!J56+sogebkvar!J56+bncvar!J56+buhvar!J56+'bmhvar '!J56</f>
        <v>58614</v>
      </c>
      <c r="K56"/>
      <c r="L56" s="12">
        <f>+scotiavar!L56+cbnavar!L56+sgbelvar!L56+capitalbkvar!L56+bichvar!L56+promobkvar!L56+unibkvar!L56+bphvar!L56+bidcvar!L56+socabkvar!L56+sogebkvar!L56+bncvar!L56+buhvar!L56+'bmhvar '!L56</f>
        <v>123599.7</v>
      </c>
      <c r="M56"/>
      <c r="N56" s="12">
        <f>+scotiavar!N56+cbnavar!N56+sgbelvar!N56+capitalbkvar!N56+bichvar!N56+promobkvar!N56+unibkvar!N56+bphvar!N56+bidcvar!N56+socabkvar!N56+sogebkvar!N56+bncvar!N56+buhvar!N56+'bmhvar '!N56</f>
        <v>52343.08</v>
      </c>
      <c r="O56"/>
      <c r="P56" s="12">
        <f>+scotiavar!P56+cbnavar!P56+sgbelvar!P56+capitalbkvar!P56+bichvar!P56+promobkvar!P56+unibkvar!P56+bphvar!P56+bidcvar!P56+socabkvar!P56+sogebkvar!P56+bncvar!P56+buhvar!P56+'bmhvar '!P56</f>
        <v>78152.564279999991</v>
      </c>
      <c r="Q56"/>
      <c r="R56"/>
    </row>
    <row r="57" spans="1:21">
      <c r="A57" t="s">
        <v>295</v>
      </c>
      <c r="B57" s="12">
        <f>+scotiavar!B57+cbnavar!B57+'bhdvar  '!B57+sgbelvar!B57+capitalbkvar!B57+bichvar!B57+promobkvar!B57+unibkvar!B57+bphvar!B57+socabkvar!B57+sogebkvar!B57+bncvar!B57+buhvar!B57</f>
        <v>513736.29999999993</v>
      </c>
      <c r="C57" t="s">
        <v>0</v>
      </c>
      <c r="D57" s="12">
        <f>+scotiavar!D57+cbnavar!D57+'bhdvar  '!D57+sgbelvar!D57+capitalbkvar!D57+bichvar!D57+promobkvar!D57+unibkvar!D57+bphvar!D57+socabkvar!D57+sogebkvar!D57+bncvar!D57+buhvar!D57</f>
        <v>0</v>
      </c>
      <c r="E57" s="41"/>
      <c r="F57" s="12">
        <f>+scotiavar!F57+cbnavar!F57+'bhdvar  '!F57+sgbelvar!F57+capitalbkvar!F57+bichvar!F57+promobkvar!F57+unibkvar!F57+bphvar!F57+socabkvar!F57+sogebkvar!F57+bncvar!F57+buhvar!F57</f>
        <v>0</v>
      </c>
      <c r="G57" s="41"/>
      <c r="H57" s="12">
        <f>+scotiavar!H57+cbnavar!H57+'bhdvar  '!H57+sgbelvar!H57+capitalbkvar!H57+bichvar!H57+promobkvar!H57+unibkvar!H57+bphvar!H57+socabkvar!H57+sogebkvar!H57+bncvar!H57+buhvar!H57</f>
        <v>0</v>
      </c>
      <c r="I57"/>
      <c r="J57" s="12">
        <f>+scotiavar!J57+cbnavar!J57+sgbelvar!J57+capitalbkvar!J57+bichvar!J57+promobkvar!J57+unibkvar!J57+bphvar!J57+bidcvar!J57+socabkvar!J57+sogebkvar!J57+bncvar!J57+buhvar!J57+'bmhvar '!J57</f>
        <v>491063.1</v>
      </c>
      <c r="K57"/>
      <c r="L57" s="12">
        <f>+scotiavar!L57+cbnavar!L57+sgbelvar!L57+capitalbkvar!L57+bichvar!L57+promobkvar!L57+unibkvar!L57+bphvar!L57+bidcvar!L57+socabkvar!L57+sogebkvar!L57+bncvar!L57+buhvar!L57+'bmhvar '!L57</f>
        <v>239712.09999999998</v>
      </c>
      <c r="M57"/>
      <c r="N57" s="12">
        <f>+scotiavar!N57+cbnavar!N57+sgbelvar!N57+capitalbkvar!N57+bichvar!N57+promobkvar!N57+unibkvar!N57+bphvar!N57+bidcvar!N57+socabkvar!N57+sogebkvar!N57+bncvar!N57+buhvar!N57+'bmhvar '!N57</f>
        <v>622056.20000000007</v>
      </c>
      <c r="O57"/>
      <c r="P57" s="12">
        <f>+scotiavar!P57+cbnavar!P57+sgbelvar!P57+capitalbkvar!P57+bichvar!P57+promobkvar!P57+unibkvar!P57+bphvar!P57+bidcvar!P57+socabkvar!P57+sogebkvar!P57+bncvar!P57+buhvar!P57+'bmhvar '!P57</f>
        <v>264524.76287999999</v>
      </c>
      <c r="Q57"/>
      <c r="R57"/>
    </row>
    <row r="58" spans="1:21">
      <c r="A58" t="s">
        <v>284</v>
      </c>
      <c r="B58" s="12">
        <f>+scotiavar!B58+cbnavar!B58+'bhdvar  '!B58+sgbelvar!B58+capitalbkvar!B58+bichvar!B58+promobkvar!B58+unibkvar!B58+bphvar!B58+socabkvar!B58+sogebkvar!B58+bncvar!B58+buhvar!B58</f>
        <v>715247.69999999984</v>
      </c>
      <c r="C58" t="s">
        <v>0</v>
      </c>
      <c r="D58" s="12">
        <f>+scotiavar!D58+cbnavar!D58+'bhdvar  '!D58+sgbelvar!D58+capitalbkvar!D58+bichvar!D58+promobkvar!D58+unibkvar!D58+bphvar!D58+socabkvar!D58+sogebkvar!D58+bncvar!D58+buhvar!D58</f>
        <v>0</v>
      </c>
      <c r="E58" s="41"/>
      <c r="F58" s="12">
        <f>+scotiavar!F58+cbnavar!F58+'bhdvar  '!F58+sgbelvar!F58+capitalbkvar!F58+bichvar!F58+promobkvar!F58+unibkvar!F58+bphvar!F58+socabkvar!F58+sogebkvar!F58+bncvar!F58+buhvar!F58</f>
        <v>0</v>
      </c>
      <c r="G58" s="41"/>
      <c r="H58" s="12">
        <f>+scotiavar!H58+cbnavar!H58+'bhdvar  '!H58+sgbelvar!H58+capitalbkvar!H58+bichvar!H58+promobkvar!H58+unibkvar!H58+bphvar!H58+socabkvar!H58+sogebkvar!H58+bncvar!H58+buhvar!H58</f>
        <v>0</v>
      </c>
      <c r="I58"/>
      <c r="J58" s="12">
        <f>+scotiavar!J58+cbnavar!J58+sgbelvar!J58+capitalbkvar!J58+bichvar!J58+promobkvar!J58+unibkvar!J58+bphvar!J58+bidcvar!J58+socabkvar!J58+sogebkvar!J58+bncvar!J58+buhvar!J58+'bmhvar '!J58</f>
        <v>673206.7</v>
      </c>
      <c r="K58"/>
      <c r="L58" s="12">
        <f>+scotiavar!L58+cbnavar!L58+sgbelvar!L58+capitalbkvar!L58+bichvar!L58+promobkvar!L58+unibkvar!L58+bphvar!L58+bidcvar!L58+socabkvar!L58+sogebkvar!L58+bncvar!L58+buhvar!L58+'bmhvar '!L58</f>
        <v>663383.1</v>
      </c>
      <c r="M58"/>
      <c r="N58" s="12">
        <f>+scotiavar!N58+cbnavar!N58+sgbelvar!N58+capitalbkvar!N58+bichvar!N58+promobkvar!N58+unibkvar!N58+bphvar!N58+bidcvar!N58+socabkvar!N58+sogebkvar!N58+bncvar!N58+buhvar!N58+'bmhvar '!N58</f>
        <v>770114.91999999993</v>
      </c>
      <c r="O58"/>
      <c r="P58" s="12">
        <f>+scotiavar!P58+cbnavar!P58+sgbelvar!P58+capitalbkvar!P58+bichvar!P58+promobkvar!P58+unibkvar!P58+bphvar!P58+bidcvar!P58+socabkvar!P58+sogebkvar!P58+bncvar!P58+buhvar!P58+'bmhvar '!P58</f>
        <v>544274.81371999998</v>
      </c>
      <c r="Q58"/>
      <c r="R58"/>
    </row>
    <row r="59" spans="1:21">
      <c r="B59"/>
      <c r="C59" t="s">
        <v>0</v>
      </c>
      <c r="D59"/>
      <c r="E59" s="41"/>
      <c r="F59"/>
      <c r="G59" s="41"/>
      <c r="H59"/>
      <c r="I59"/>
      <c r="J59"/>
      <c r="K59"/>
      <c r="L59" s="3"/>
      <c r="M59"/>
      <c r="N59" s="3"/>
      <c r="O59"/>
      <c r="P59" s="3"/>
      <c r="Q59"/>
      <c r="R59"/>
    </row>
    <row r="60" spans="1:21" ht="18.75">
      <c r="A60" s="222" t="s">
        <v>296</v>
      </c>
      <c r="B60" s="12">
        <f>+scotiavar!B60+cbnavar!B60+'bhdvar  '!B60+sgbelvar!B60+capitalbkvar!B60+bichvar!B60+promobkvar!B60+unibkvar!B60+bphvar!B60+socabkvar!B60+sogebkvar!B60+bncvar!B60+buhvar!B60</f>
        <v>9425395.1999999993</v>
      </c>
      <c r="C60" t="s">
        <v>0</v>
      </c>
      <c r="D60" s="12">
        <f>+scotiavar!D60+cbnavar!D60+'bhdvar  '!D60+sgbelvar!D60+capitalbkvar!D60+bichvar!D60+promobkvar!D60+unibkvar!D60+bphvar!D60+socabkvar!D60+sogebkvar!D60+bncvar!D60+buhvar!D60</f>
        <v>0</v>
      </c>
      <c r="E60" s="41"/>
      <c r="F60" s="12">
        <f>+scotiavar!F60+cbnavar!F60+'bhdvar  '!F60+sgbelvar!F60+capitalbkvar!F60+bichvar!F60+promobkvar!F60+unibkvar!F60+bphvar!F60+socabkvar!F60+sogebkvar!F60+bncvar!F60+buhvar!F60</f>
        <v>0</v>
      </c>
      <c r="G60" s="41"/>
      <c r="H60" s="12">
        <f>+scotiavar!H60+cbnavar!H60+'bhdvar  '!H60+sgbelvar!H60+capitalbkvar!H60+bichvar!H60+promobkvar!H60+unibkvar!H60+bphvar!H60+socabkvar!H60+sogebkvar!H60+bncvar!H60+buhvar!H60</f>
        <v>0</v>
      </c>
      <c r="I60"/>
      <c r="J60" s="12">
        <f>+scotiavar!J60+cbnavar!J60+sgbelvar!J60+capitalbkvar!J60+bichvar!J60+promobkvar!J60+unibkvar!J60+bphvar!J60+bidcvar!J60+socabkvar!J60+sogebkvar!J60+bncvar!J60+buhvar!J60+'bmhvar '!J60</f>
        <v>8990820.1000000015</v>
      </c>
      <c r="K60"/>
      <c r="L60" s="12">
        <f>+scotiavar!L60+cbnavar!L60+sgbelvar!L60+capitalbkvar!L60+bichvar!L60+promobkvar!L60+unibkvar!L60+bphvar!L60+bidcvar!L60+socabkvar!L60+sogebkvar!L60+bncvar!L60+buhvar!L60+'bmhvar '!L60</f>
        <v>8367548.3000000007</v>
      </c>
      <c r="M60"/>
      <c r="N60" s="12">
        <f>+scotiavar!N60+cbnavar!N60+sgbelvar!N60+capitalbkvar!N60+bichvar!N60+promobkvar!N60+unibkvar!N60+bphvar!N60+bidcvar!N60+socabkvar!N60+sogebkvar!N60+bncvar!N60+buhvar!N60+'bmhvar '!N60</f>
        <v>7215919.5999999996</v>
      </c>
      <c r="O60"/>
      <c r="P60" s="12">
        <f>+scotiavar!P60+cbnavar!P60+sgbelvar!P60+capitalbkvar!P60+bichvar!P60+promobkvar!P60+unibkvar!P60+bphvar!P60+bidcvar!P60+socabkvar!P60+sogebkvar!P60+bncvar!P60+buhvar!P60+'bmhvar '!P60</f>
        <v>5249297.1464999998</v>
      </c>
      <c r="Q60"/>
      <c r="R60"/>
    </row>
    <row r="61" spans="1:21">
      <c r="A61" s="102" t="s">
        <v>217</v>
      </c>
      <c r="B61" s="12">
        <f>+scotiavar!B61+cbnavar!B61+'bhdvar  '!B61+sgbelvar!B61+capitalbkvar!B61+bichvar!B61+promobkvar!B61+unibkvar!B61+bphvar!B61+socabkvar!B61+sogebkvar!B61+bncvar!B61+buhvar!B61</f>
        <v>461371.9</v>
      </c>
      <c r="C61"/>
      <c r="D61" s="12">
        <f>+scotiavar!D61+cbnavar!D61+'bhdvar  '!D61+sgbelvar!D61+capitalbkvar!D61+bichvar!D61+promobkvar!D61+unibkvar!D61+bphvar!D61+socabkvar!D61+sogebkvar!D61+bncvar!D61+buhvar!D61</f>
        <v>0</v>
      </c>
      <c r="E61" s="41"/>
      <c r="F61" s="12">
        <f>+scotiavar!F61+cbnavar!F61+'bhdvar  '!F61+sgbelvar!F61+capitalbkvar!F61+bichvar!F61+promobkvar!F61+unibkvar!F61+bphvar!F61+socabkvar!F61+sogebkvar!F61+bncvar!F61+buhvar!F61</f>
        <v>0</v>
      </c>
      <c r="G61" s="41"/>
      <c r="H61" s="12">
        <f>+scotiavar!H61+cbnavar!H61+'bhdvar  '!H61+sgbelvar!H61+capitalbkvar!H61+bichvar!H61+promobkvar!H61+unibkvar!H61+bphvar!H61+socabkvar!H61+sogebkvar!H61+bncvar!H61+buhvar!H61</f>
        <v>0</v>
      </c>
      <c r="I61"/>
      <c r="J61" s="12">
        <f>+scotiavar!J61+cbnavar!J61+sgbelvar!J61+capitalbkvar!J61+bichvar!J61+promobkvar!J61+unibkvar!J61+bphvar!J61+bidcvar!J61+socabkvar!J61+sogebkvar!J61+bncvar!J61+buhvar!J61+'bmhvar '!J61</f>
        <v>444412.5</v>
      </c>
      <c r="K61"/>
      <c r="L61" s="12">
        <f>+scotiavar!L61+cbnavar!L61+sgbelvar!L61+capitalbkvar!L61+bichvar!L61+promobkvar!L61+unibkvar!L61+bphvar!L61+bidcvar!L61+socabkvar!L61+sogebkvar!L61+bncvar!L61+buhvar!L61+'bmhvar '!L61</f>
        <v>403851.5</v>
      </c>
      <c r="M61"/>
      <c r="N61" s="12">
        <f>+scotiavar!N61+cbnavar!N61+sgbelvar!N61+capitalbkvar!N61+bichvar!N61+promobkvar!N61+unibkvar!N61+bphvar!N61+bidcvar!N61+socabkvar!N61+sogebkvar!N61+bncvar!N61+buhvar!N61+'bmhvar '!N61</f>
        <v>279177.90000000002</v>
      </c>
      <c r="O61"/>
      <c r="P61" s="12">
        <f>+scotiavar!P61+cbnavar!P61+sgbelvar!P61+capitalbkvar!P61+bichvar!P61+promobkvar!P61+unibkvar!P61+bphvar!P61+bidcvar!P61+socabkvar!P61+sogebkvar!P61+bncvar!P61+buhvar!P61+'bmhvar '!P61</f>
        <v>238402.99343999999</v>
      </c>
      <c r="Q61"/>
      <c r="R61"/>
    </row>
    <row r="62" spans="1:21">
      <c r="A62" s="209" t="s">
        <v>297</v>
      </c>
      <c r="B62" s="12">
        <f>+scotiavar!B62+cbnavar!B62+'bhdvar  '!B62+sgbelvar!B62+capitalbkvar!B62+bichvar!B62+promobkvar!B62+unibkvar!B62+bphvar!B62+socabkvar!B62+sogebkvar!B62+bncvar!B62+buhvar!B62</f>
        <v>806809.2</v>
      </c>
      <c r="C62"/>
      <c r="D62" s="12">
        <f>+scotiavar!D62+cbnavar!D62+'bhdvar  '!D62+sgbelvar!D62+capitalbkvar!D62+bichvar!D62+promobkvar!D62+unibkvar!D62+bphvar!D62+socabkvar!D62+sogebkvar!D62+bncvar!D62+buhvar!D62</f>
        <v>0</v>
      </c>
      <c r="E62" s="41"/>
      <c r="F62" s="12">
        <f>+scotiavar!F62+cbnavar!F62+'bhdvar  '!F62+sgbelvar!F62+capitalbkvar!F62+bichvar!F62+promobkvar!F62+unibkvar!F62+bphvar!F62+socabkvar!F62+sogebkvar!F62+bncvar!F62+buhvar!F62</f>
        <v>0</v>
      </c>
      <c r="G62" s="41"/>
      <c r="H62" s="12">
        <f>+scotiavar!H62+cbnavar!H62+'bhdvar  '!H62+sgbelvar!H62+capitalbkvar!H62+bichvar!H62+promobkvar!H62+unibkvar!H62+bphvar!H62+socabkvar!H62+sogebkvar!H62+bncvar!H62+buhvar!H62</f>
        <v>0</v>
      </c>
      <c r="I62"/>
      <c r="J62" s="12">
        <f>+scotiavar!J62+cbnavar!J62+sgbelvar!J62+capitalbkvar!J62+bichvar!J62+promobkvar!J62+unibkvar!J62+bphvar!J62+bidcvar!J62+socabkvar!J62+sogebkvar!J62+bncvar!J62+buhvar!J62+'bmhvar '!J62</f>
        <v>713205.2</v>
      </c>
      <c r="K62"/>
      <c r="L62" s="12">
        <f>+scotiavar!L62+cbnavar!L62+sgbelvar!L62+capitalbkvar!L62+bichvar!L62+promobkvar!L62+unibkvar!L62+bphvar!L62+bidcvar!L62+socabkvar!L62+sogebkvar!L62+bncvar!L62+buhvar!L62+'bmhvar '!L62</f>
        <v>718611.6</v>
      </c>
      <c r="M62"/>
      <c r="N62" s="12">
        <f>+scotiavar!N62+cbnavar!N62+sgbelvar!N62+capitalbkvar!N62+bichvar!N62+promobkvar!N62+unibkvar!N62+bphvar!N62+bidcvar!N62+socabkvar!N62+sogebkvar!N62+bncvar!N62+buhvar!N62+'bmhvar '!N62</f>
        <v>351160.2</v>
      </c>
      <c r="O62"/>
      <c r="P62" s="12">
        <f>+scotiavar!P62+cbnavar!P62+sgbelvar!P62+capitalbkvar!P62+bichvar!P62+promobkvar!P62+unibkvar!P62+bphvar!P62+bidcvar!P62+socabkvar!P62+sogebkvar!P62+bncvar!P62+buhvar!P62+'bmhvar '!P62</f>
        <v>248759.29691999999</v>
      </c>
      <c r="Q62"/>
      <c r="R62"/>
    </row>
    <row r="63" spans="1:21">
      <c r="B63"/>
      <c r="C63"/>
      <c r="D63"/>
      <c r="E63"/>
      <c r="F63"/>
      <c r="G63"/>
      <c r="H63"/>
      <c r="I63"/>
      <c r="J63"/>
      <c r="K63"/>
      <c r="L63"/>
      <c r="M63"/>
      <c r="N63"/>
      <c r="O63"/>
      <c r="P63"/>
      <c r="Q63"/>
      <c r="R63"/>
    </row>
    <row r="64" spans="1:21">
      <c r="B64"/>
      <c r="C64"/>
      <c r="D64"/>
      <c r="E64"/>
      <c r="F64" s="142" t="s">
        <v>0</v>
      </c>
      <c r="G64"/>
      <c r="H64"/>
      <c r="I64"/>
      <c r="J64"/>
      <c r="K64"/>
      <c r="L64"/>
      <c r="M64"/>
      <c r="N64"/>
      <c r="O64"/>
      <c r="P64"/>
      <c r="Q64"/>
      <c r="R64"/>
    </row>
    <row r="65" spans="1:18">
      <c r="B65"/>
      <c r="C65"/>
      <c r="D65"/>
      <c r="E65"/>
      <c r="F65"/>
      <c r="G65"/>
      <c r="H65"/>
      <c r="I65"/>
      <c r="J65"/>
      <c r="K65"/>
      <c r="L65"/>
      <c r="M65"/>
      <c r="N65"/>
      <c r="O65"/>
      <c r="P65"/>
      <c r="Q65"/>
      <c r="R65"/>
    </row>
    <row r="66" spans="1:18">
      <c r="B66"/>
      <c r="C66"/>
      <c r="D66"/>
      <c r="E66"/>
      <c r="F66"/>
      <c r="G66"/>
      <c r="H66"/>
      <c r="I66"/>
      <c r="J66"/>
      <c r="K66"/>
      <c r="L66"/>
      <c r="M66"/>
      <c r="N66"/>
      <c r="O66"/>
      <c r="P66"/>
      <c r="Q66"/>
      <c r="R66"/>
    </row>
    <row r="67" spans="1:18">
      <c r="A67" t="s">
        <v>0</v>
      </c>
      <c r="B67" s="3">
        <v>4793099.2</v>
      </c>
      <c r="C67"/>
      <c r="D67" s="3">
        <v>5117596.9000000004</v>
      </c>
      <c r="E67"/>
      <c r="F67" s="3">
        <v>5372764.7000000002</v>
      </c>
      <c r="G67"/>
      <c r="H67" s="3">
        <f>+'sofibilgdes&amp;$ '!B29</f>
        <v>6533524.8000000007</v>
      </c>
      <c r="I67"/>
      <c r="J67" s="3">
        <v>4514112.8</v>
      </c>
      <c r="K67"/>
      <c r="L67" s="3">
        <v>2654070.2999999998</v>
      </c>
      <c r="M67"/>
      <c r="N67" s="41">
        <v>2012222.8</v>
      </c>
      <c r="O67"/>
      <c r="P67"/>
      <c r="Q67"/>
      <c r="R67"/>
    </row>
    <row r="68" spans="1:18">
      <c r="B68"/>
      <c r="C68"/>
      <c r="D68"/>
      <c r="E68"/>
      <c r="F68"/>
      <c r="G68"/>
      <c r="H68"/>
      <c r="I68"/>
      <c r="J68"/>
      <c r="K68"/>
      <c r="L68"/>
      <c r="M68"/>
      <c r="N68"/>
      <c r="O68"/>
      <c r="P68"/>
      <c r="Q68"/>
      <c r="R68"/>
    </row>
    <row r="69" spans="1:18">
      <c r="B69"/>
      <c r="C69"/>
      <c r="D69"/>
      <c r="E69"/>
      <c r="F69"/>
      <c r="G69"/>
      <c r="H69"/>
      <c r="I69"/>
      <c r="J69"/>
      <c r="K69"/>
      <c r="L69"/>
      <c r="M69"/>
      <c r="N69"/>
      <c r="O69"/>
      <c r="P69"/>
      <c r="Q69"/>
      <c r="R69"/>
    </row>
    <row r="70" spans="1:18">
      <c r="B70" s="18" t="s">
        <v>258</v>
      </c>
      <c r="C70" s="18" t="s">
        <v>257</v>
      </c>
      <c r="D70" s="18" t="s">
        <v>298</v>
      </c>
      <c r="E70" s="18" t="s">
        <v>168</v>
      </c>
      <c r="F70" s="18" t="s">
        <v>299</v>
      </c>
      <c r="G70" s="18" t="s">
        <v>298</v>
      </c>
      <c r="H70"/>
      <c r="I70"/>
      <c r="J70"/>
      <c r="K70"/>
      <c r="L70"/>
      <c r="M70"/>
      <c r="N70"/>
      <c r="O70"/>
      <c r="P70"/>
      <c r="Q70"/>
      <c r="R70"/>
    </row>
    <row r="71" spans="1:18">
      <c r="B71"/>
      <c r="C71"/>
      <c r="D71"/>
      <c r="E71"/>
      <c r="F71"/>
      <c r="G71"/>
      <c r="H71"/>
      <c r="I71"/>
      <c r="J71"/>
      <c r="K71"/>
      <c r="L71"/>
      <c r="M71"/>
      <c r="N71"/>
      <c r="O71"/>
      <c r="P71"/>
      <c r="Q71"/>
      <c r="R71"/>
    </row>
    <row r="72" spans="1:18">
      <c r="B72" s="3">
        <f>+sofibilcompsys!N17</f>
        <v>1060297.3569999998</v>
      </c>
      <c r="C72" s="3">
        <f>+sofibilcompsys!L16</f>
        <v>1659000</v>
      </c>
      <c r="D72" s="121">
        <f>+sofibilcompsys!J16</f>
        <v>3099604</v>
      </c>
      <c r="E72" s="121">
        <f>+sofibilcompsys!B16</f>
        <v>2281970</v>
      </c>
      <c r="F72" s="121">
        <f>+F17</f>
        <v>0</v>
      </c>
      <c r="G72" s="121">
        <f>+H17</f>
        <v>0</v>
      </c>
      <c r="H72"/>
      <c r="I72"/>
      <c r="J72"/>
      <c r="K72"/>
      <c r="L72"/>
      <c r="M72"/>
      <c r="N72"/>
      <c r="O72"/>
      <c r="P72"/>
      <c r="Q72"/>
      <c r="R72"/>
    </row>
    <row r="73" spans="1:18">
      <c r="B73"/>
      <c r="C73"/>
      <c r="D73"/>
      <c r="E73"/>
      <c r="F73"/>
      <c r="G73"/>
      <c r="H73"/>
      <c r="I73"/>
      <c r="J73"/>
      <c r="K73"/>
      <c r="L73"/>
      <c r="M73"/>
      <c r="N73"/>
      <c r="O73"/>
      <c r="P73"/>
      <c r="Q73"/>
      <c r="R73"/>
    </row>
    <row r="74" spans="1:18">
      <c r="B74"/>
      <c r="C74"/>
      <c r="D74"/>
      <c r="E74"/>
      <c r="F74"/>
      <c r="G74"/>
      <c r="H74"/>
      <c r="I74"/>
      <c r="J74"/>
      <c r="K74"/>
      <c r="L74"/>
      <c r="M74"/>
      <c r="N74"/>
      <c r="O74"/>
      <c r="P74"/>
      <c r="Q74"/>
      <c r="R74"/>
    </row>
    <row r="75" spans="1:18">
      <c r="B75"/>
      <c r="C75"/>
      <c r="D75"/>
      <c r="E75"/>
      <c r="F75"/>
      <c r="G75"/>
      <c r="H75"/>
      <c r="I75"/>
      <c r="J75"/>
      <c r="K75"/>
      <c r="L75"/>
      <c r="M75"/>
      <c r="N75"/>
      <c r="O75"/>
      <c r="P75"/>
      <c r="Q75"/>
      <c r="R75"/>
    </row>
    <row r="76" spans="1:18">
      <c r="B76"/>
      <c r="C76"/>
      <c r="D76"/>
      <c r="E76"/>
      <c r="F76"/>
      <c r="G76"/>
      <c r="H76"/>
      <c r="I76"/>
      <c r="J76"/>
      <c r="K76"/>
      <c r="L76"/>
      <c r="M76"/>
      <c r="N76"/>
      <c r="O76"/>
      <c r="P76"/>
      <c r="Q76"/>
      <c r="R76"/>
    </row>
    <row r="77" spans="1:18">
      <c r="B77"/>
      <c r="C77"/>
      <c r="D77"/>
      <c r="E77"/>
      <c r="F77"/>
      <c r="G77"/>
      <c r="H77"/>
      <c r="I77"/>
      <c r="J77"/>
      <c r="K77"/>
      <c r="L77"/>
      <c r="M77"/>
      <c r="N77"/>
      <c r="O77"/>
      <c r="P77"/>
      <c r="Q77"/>
      <c r="R77"/>
    </row>
    <row r="78" spans="1:18">
      <c r="B78"/>
      <c r="C78"/>
      <c r="D78"/>
      <c r="E78"/>
      <c r="F78"/>
      <c r="G78"/>
      <c r="H78"/>
      <c r="I78"/>
      <c r="J78"/>
      <c r="K78"/>
      <c r="L78"/>
      <c r="M78"/>
      <c r="N78"/>
      <c r="O78"/>
      <c r="P78"/>
      <c r="Q78"/>
      <c r="R78"/>
    </row>
    <row r="79" spans="1:18">
      <c r="B79"/>
      <c r="C79"/>
      <c r="D79"/>
      <c r="E79"/>
      <c r="F79"/>
      <c r="G79"/>
      <c r="H79"/>
      <c r="I79"/>
      <c r="J79"/>
      <c r="K79"/>
      <c r="L79"/>
      <c r="M79"/>
      <c r="N79"/>
      <c r="O79"/>
      <c r="P79"/>
      <c r="Q79"/>
      <c r="R79"/>
    </row>
    <row r="80" spans="1: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sheetData>
  <pageMargins left="0.2" right="0.25" top="0.57999999999999996" bottom="0.56999999999999995" header="0.44" footer="0.28999999999999998"/>
  <pageSetup scale="54" orientation="landscape" r:id="rId1"/>
  <headerFooter alignWithMargins="0">
    <oddFooter>&amp;R&amp;16&amp;P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6"/>
  <sheetViews>
    <sheetView workbookViewId="0"/>
  </sheetViews>
  <sheetFormatPr defaultRowHeight="15.75"/>
  <cols>
    <col min="1" max="1" width="33.25" customWidth="1"/>
    <col min="2" max="2" width="17.62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9.75" style="13" customWidth="1"/>
    <col min="18" max="18" width="15.75" style="12" customWidth="1"/>
    <col min="19" max="21" width="15.75" customWidth="1"/>
    <col min="22" max="256" width="11" customWidth="1"/>
  </cols>
  <sheetData>
    <row r="1" spans="1:21">
      <c r="A1" s="114" t="s">
        <v>163</v>
      </c>
      <c r="B1" s="37"/>
      <c r="C1" s="38"/>
      <c r="D1" s="37"/>
      <c r="E1" s="38"/>
      <c r="F1" s="37"/>
      <c r="G1" s="38"/>
      <c r="H1" s="37"/>
      <c r="I1" s="38"/>
      <c r="J1" s="37"/>
      <c r="K1" s="38"/>
      <c r="L1" s="37"/>
      <c r="M1" s="38"/>
      <c r="N1" s="37"/>
      <c r="O1" s="38"/>
      <c r="P1" s="37"/>
      <c r="Q1" s="38"/>
    </row>
    <row r="2" spans="1:21">
      <c r="A2" s="114" t="s">
        <v>164</v>
      </c>
      <c r="B2" s="37"/>
      <c r="C2" s="38"/>
      <c r="D2" s="37"/>
      <c r="E2" s="38"/>
      <c r="F2" s="37"/>
      <c r="G2" s="38"/>
      <c r="H2" s="37"/>
      <c r="I2" s="38"/>
      <c r="J2" s="37"/>
      <c r="K2" s="38"/>
      <c r="L2" s="37"/>
      <c r="M2" s="38"/>
      <c r="N2" s="37"/>
      <c r="O2" s="38"/>
      <c r="P2" s="37"/>
      <c r="Q2" s="38"/>
    </row>
    <row r="3" spans="1:21">
      <c r="A3" s="114" t="s">
        <v>300</v>
      </c>
      <c r="B3" s="37"/>
      <c r="C3" s="38"/>
      <c r="D3" s="37"/>
      <c r="E3" s="38"/>
      <c r="F3" s="37"/>
      <c r="G3" s="38"/>
      <c r="H3" s="37"/>
      <c r="I3" s="38"/>
      <c r="J3" s="37"/>
      <c r="K3" s="38"/>
      <c r="L3" s="37"/>
      <c r="M3" s="38"/>
      <c r="N3" s="37"/>
      <c r="O3" s="38"/>
      <c r="P3" s="37"/>
      <c r="Q3" s="38"/>
    </row>
    <row r="4" spans="1:21">
      <c r="A4" s="114" t="s">
        <v>179</v>
      </c>
      <c r="B4" s="37"/>
      <c r="C4" s="38"/>
      <c r="D4" s="37"/>
      <c r="E4" s="38"/>
      <c r="F4" s="37"/>
      <c r="G4" s="38"/>
      <c r="H4" s="37"/>
      <c r="I4" s="38"/>
      <c r="J4" s="37"/>
      <c r="K4" s="38"/>
      <c r="L4" s="37"/>
      <c r="M4" s="38"/>
      <c r="N4" s="37"/>
      <c r="O4" s="38"/>
      <c r="P4" s="37"/>
      <c r="Q4" s="38"/>
    </row>
    <row r="5" spans="1:21" ht="16.5" thickBot="1">
      <c r="B5" s="238" t="s">
        <v>0</v>
      </c>
      <c r="C5" s="215"/>
      <c r="D5" s="216"/>
      <c r="E5" s="215"/>
      <c r="F5" s="216"/>
      <c r="G5" s="215"/>
      <c r="H5" s="216"/>
      <c r="J5" s="123" t="s">
        <v>167</v>
      </c>
      <c r="K5" s="230"/>
      <c r="L5" s="123"/>
      <c r="M5" s="230"/>
      <c r="N5" s="123"/>
      <c r="O5" s="230"/>
      <c r="P5" s="123"/>
      <c r="Q5" s="230"/>
    </row>
    <row r="6" spans="1:21" ht="16.5" thickBot="1">
      <c r="B6" s="223" t="s">
        <v>168</v>
      </c>
      <c r="C6" s="224" t="s">
        <v>301</v>
      </c>
      <c r="D6" s="225" t="s">
        <v>170</v>
      </c>
      <c r="E6" s="224" t="s">
        <v>301</v>
      </c>
      <c r="F6" s="225" t="s">
        <v>171</v>
      </c>
      <c r="G6" s="224" t="s">
        <v>301</v>
      </c>
      <c r="H6" s="225" t="s">
        <v>172</v>
      </c>
      <c r="I6" s="224" t="s">
        <v>301</v>
      </c>
      <c r="J6" s="228" t="s">
        <v>174</v>
      </c>
      <c r="K6" s="227" t="s">
        <v>301</v>
      </c>
      <c r="L6" s="228" t="s">
        <v>175</v>
      </c>
      <c r="M6" s="227" t="s">
        <v>301</v>
      </c>
      <c r="N6" s="228" t="s">
        <v>176</v>
      </c>
      <c r="O6" s="227" t="s">
        <v>301</v>
      </c>
      <c r="P6" s="228" t="s">
        <v>177</v>
      </c>
      <c r="Q6" s="227" t="s">
        <v>301</v>
      </c>
      <c r="R6" s="14"/>
      <c r="S6" s="9"/>
      <c r="T6" s="9"/>
      <c r="U6" s="9"/>
    </row>
    <row r="7" spans="1:21">
      <c r="A7" s="87" t="s">
        <v>243</v>
      </c>
      <c r="B7" s="233"/>
      <c r="C7" s="234"/>
      <c r="D7" s="235"/>
      <c r="E7" s="234"/>
      <c r="F7" s="235"/>
      <c r="G7" s="234"/>
      <c r="H7" s="235"/>
      <c r="I7" s="234"/>
      <c r="J7" s="235"/>
      <c r="K7" s="234"/>
      <c r="L7" s="235"/>
      <c r="M7" s="234"/>
      <c r="N7" s="235"/>
      <c r="O7" s="234"/>
      <c r="P7" s="235"/>
      <c r="Q7" s="234"/>
      <c r="R7" s="14"/>
      <c r="S7" s="9"/>
      <c r="T7" s="9"/>
      <c r="U7" s="9"/>
    </row>
    <row r="8" spans="1:21">
      <c r="A8" s="1" t="s">
        <v>264</v>
      </c>
      <c r="B8"/>
    </row>
    <row r="9" spans="1:21">
      <c r="A9" s="1" t="s">
        <v>265</v>
      </c>
      <c r="B9" s="12">
        <f>+somfinbilsys!B10</f>
        <v>1346705</v>
      </c>
      <c r="C9" s="47">
        <f t="shared" ref="C9:C16" si="0">+B9/$B$21</f>
        <v>6.0630043990001783E-2</v>
      </c>
      <c r="D9" s="12">
        <f>+somfinbilsys!D10</f>
        <v>0</v>
      </c>
      <c r="E9" s="44">
        <v>0</v>
      </c>
      <c r="F9" s="12">
        <f>+somfinbilsys!F10</f>
        <v>0</v>
      </c>
      <c r="G9" s="44">
        <v>0</v>
      </c>
      <c r="H9" s="12">
        <f>+somfinbilsys!H10</f>
        <v>0</v>
      </c>
      <c r="I9" s="44">
        <v>0</v>
      </c>
      <c r="J9" s="12">
        <f>+somfinbilsys!J10</f>
        <v>1059498.2000000002</v>
      </c>
      <c r="K9" s="47">
        <f t="shared" ref="K9:K14" si="1">+J9/$J$21</f>
        <v>5.0219890974635556E-2</v>
      </c>
      <c r="L9" s="12">
        <f>+somfinbilsys!L10</f>
        <v>961162.99999999988</v>
      </c>
      <c r="M9" s="47">
        <f t="shared" ref="M9:M14" si="2">+L9/$L$21</f>
        <v>5.2780884009174578E-2</v>
      </c>
      <c r="N9" s="12">
        <f>+somfinbilsys!N10</f>
        <v>882482.8</v>
      </c>
      <c r="O9" s="47">
        <f t="shared" ref="O9:O14" si="3">+N9/$N$21</f>
        <v>5.6507232895785998E-2</v>
      </c>
      <c r="P9" s="12">
        <f>+somfinbilsys!P10</f>
        <v>1045019.35713</v>
      </c>
      <c r="Q9" s="47">
        <f t="shared" ref="Q9:Q14" si="4">+P9/$P$21</f>
        <v>7.9769747495904347E-2</v>
      </c>
    </row>
    <row r="10" spans="1:21">
      <c r="A10" s="1" t="s">
        <v>266</v>
      </c>
      <c r="B10" s="12">
        <f>+somfinbilsys!B11</f>
        <v>3878804.6</v>
      </c>
      <c r="C10" s="47">
        <f t="shared" si="0"/>
        <v>0.174627771877747</v>
      </c>
      <c r="D10" s="12">
        <f>+somfinbilsys!D11</f>
        <v>0</v>
      </c>
      <c r="E10" s="44">
        <v>0</v>
      </c>
      <c r="F10" s="12">
        <f>+somfinbilsys!F11</f>
        <v>0</v>
      </c>
      <c r="G10" s="44">
        <v>0</v>
      </c>
      <c r="H10" s="12">
        <f>+somfinbilsys!H11</f>
        <v>0</v>
      </c>
      <c r="I10" s="44">
        <v>0</v>
      </c>
      <c r="J10" s="12">
        <f>+somfinbilsys!J11</f>
        <v>3271678.6</v>
      </c>
      <c r="K10" s="47">
        <f t="shared" si="1"/>
        <v>0.15507656605367359</v>
      </c>
      <c r="L10" s="12">
        <f>+somfinbilsys!L11</f>
        <v>3259341.4</v>
      </c>
      <c r="M10" s="47">
        <f t="shared" si="2"/>
        <v>0.17898204610425153</v>
      </c>
      <c r="N10" s="12">
        <f>+somfinbilsys!N11</f>
        <v>2619128.9</v>
      </c>
      <c r="O10" s="47">
        <f t="shared" si="3"/>
        <v>0.16770834143893093</v>
      </c>
      <c r="P10" s="12">
        <f>+somfinbilsys!P11</f>
        <v>3346300.3478699997</v>
      </c>
      <c r="Q10" s="47">
        <f t="shared" si="4"/>
        <v>0.2554340567701468</v>
      </c>
    </row>
    <row r="11" spans="1:21">
      <c r="A11" s="1" t="s">
        <v>267</v>
      </c>
      <c r="B11" s="12">
        <f>+somfinbilsys!B12</f>
        <v>1135810.7</v>
      </c>
      <c r="C11" s="47">
        <f t="shared" si="0"/>
        <v>5.1135365729922083E-2</v>
      </c>
      <c r="D11" s="12">
        <f>+somfinbilsys!D12</f>
        <v>0</v>
      </c>
      <c r="E11" s="44">
        <v>0</v>
      </c>
      <c r="F11" s="12">
        <f>+somfinbilsys!F12</f>
        <v>0</v>
      </c>
      <c r="G11" s="44">
        <v>0</v>
      </c>
      <c r="H11" s="12">
        <f>+somfinbilsys!H12</f>
        <v>0</v>
      </c>
      <c r="I11" s="44">
        <v>0</v>
      </c>
      <c r="J11" s="12">
        <f>+somfinbilsys!J12</f>
        <v>872115.5</v>
      </c>
      <c r="K11" s="47">
        <f t="shared" si="1"/>
        <v>4.1338008245119968E-2</v>
      </c>
      <c r="L11" s="12">
        <f>+somfinbilsys!L12</f>
        <v>904644.9</v>
      </c>
      <c r="M11" s="47">
        <f t="shared" si="2"/>
        <v>4.9677273819728127E-2</v>
      </c>
      <c r="N11" s="12">
        <f>+somfinbilsys!N12</f>
        <v>872177.2</v>
      </c>
      <c r="O11" s="47">
        <f t="shared" si="3"/>
        <v>5.5847343615982682E-2</v>
      </c>
      <c r="P11" s="12">
        <f>+somfinbilsys!P12</f>
        <v>1315371.8107799999</v>
      </c>
      <c r="Q11" s="47">
        <f t="shared" si="4"/>
        <v>0.10040663504771635</v>
      </c>
    </row>
    <row r="12" spans="1:21">
      <c r="A12" s="1" t="s">
        <v>268</v>
      </c>
      <c r="B12" s="12">
        <f>+somfinbilsys!B13</f>
        <v>197570.2</v>
      </c>
      <c r="C12" s="47">
        <f t="shared" si="0"/>
        <v>8.8948135761829448E-3</v>
      </c>
      <c r="D12" s="12">
        <f>+somfinbilsys!D13</f>
        <v>0</v>
      </c>
      <c r="E12" s="44">
        <v>0</v>
      </c>
      <c r="F12" s="12">
        <f>+somfinbilsys!F13</f>
        <v>0</v>
      </c>
      <c r="G12" s="44">
        <v>0</v>
      </c>
      <c r="H12" s="12">
        <f>+somfinbilsys!H13</f>
        <v>0</v>
      </c>
      <c r="I12" s="44">
        <v>0</v>
      </c>
      <c r="J12" s="12">
        <f>+somfinbilsys!J13</f>
        <v>240331.1</v>
      </c>
      <c r="K12" s="47">
        <f t="shared" si="1"/>
        <v>1.1391620712346876E-2</v>
      </c>
      <c r="L12" s="12">
        <f>+somfinbilsys!L13</f>
        <v>230340.9</v>
      </c>
      <c r="M12" s="47">
        <f t="shared" si="2"/>
        <v>1.264883929725643E-2</v>
      </c>
      <c r="N12" s="12">
        <f>+somfinbilsys!N13</f>
        <v>267285.40000000002</v>
      </c>
      <c r="O12" s="47">
        <f t="shared" si="3"/>
        <v>1.7114847277979038E-2</v>
      </c>
      <c r="P12" s="12">
        <f>+somfinbilsys!P13</f>
        <v>399303.91412999999</v>
      </c>
      <c r="Q12" s="47">
        <f t="shared" si="4"/>
        <v>3.0480174541220435E-2</v>
      </c>
    </row>
    <row r="13" spans="1:21">
      <c r="A13" s="1" t="s">
        <v>269</v>
      </c>
      <c r="B13" s="221">
        <f>+somfinbilsys!B14</f>
        <v>543178.19999999995</v>
      </c>
      <c r="C13" s="236">
        <f t="shared" si="0"/>
        <v>2.4454441143687732E-2</v>
      </c>
      <c r="D13" s="221">
        <f>+somfinbilsys!D14</f>
        <v>0</v>
      </c>
      <c r="E13" s="545">
        <v>0</v>
      </c>
      <c r="F13" s="221">
        <f>+somfinbilsys!F14</f>
        <v>0</v>
      </c>
      <c r="G13" s="545">
        <v>0</v>
      </c>
      <c r="H13" s="221">
        <f>+somfinbilsys!H14</f>
        <v>0</v>
      </c>
      <c r="I13" s="545">
        <v>0</v>
      </c>
      <c r="J13" s="221">
        <f>+somfinbilsys!J14</f>
        <v>468061.5</v>
      </c>
      <c r="K13" s="236">
        <f t="shared" si="1"/>
        <v>2.218597209454851E-2</v>
      </c>
      <c r="L13" s="221">
        <f>+somfinbilsys!L14</f>
        <v>425180.89999999997</v>
      </c>
      <c r="M13" s="236">
        <f t="shared" si="2"/>
        <v>2.3348197720695092E-2</v>
      </c>
      <c r="N13" s="221">
        <f>+somfinbilsys!N14</f>
        <v>413871.00000000006</v>
      </c>
      <c r="O13" s="236">
        <f t="shared" si="3"/>
        <v>2.6501032072026615E-2</v>
      </c>
      <c r="P13" s="221">
        <f>+somfinbilsys!P14</f>
        <v>248740.40852999999</v>
      </c>
      <c r="Q13" s="236">
        <f t="shared" si="4"/>
        <v>1.8987169419482683E-2</v>
      </c>
    </row>
    <row r="14" spans="1:21" ht="15.6" customHeight="1">
      <c r="A14" s="1"/>
      <c r="B14" s="12">
        <f>SUM(B9:B13)</f>
        <v>7102068.7000000002</v>
      </c>
      <c r="C14" s="47">
        <f t="shared" si="0"/>
        <v>0.31974243631754157</v>
      </c>
      <c r="D14" s="12">
        <f>SUM(D9:D13)</f>
        <v>0</v>
      </c>
      <c r="E14" s="44">
        <v>0</v>
      </c>
      <c r="F14" s="12">
        <f>SUM(F9:F13)</f>
        <v>0</v>
      </c>
      <c r="G14" s="44">
        <v>0</v>
      </c>
      <c r="H14" s="12">
        <f>SUM(H9:H13)</f>
        <v>0</v>
      </c>
      <c r="I14" s="44">
        <v>0</v>
      </c>
      <c r="J14" s="12">
        <f>SUM(J9:J13)</f>
        <v>5911684.9000000004</v>
      </c>
      <c r="K14" s="47">
        <f t="shared" si="1"/>
        <v>0.28021205808032451</v>
      </c>
      <c r="L14" s="12">
        <f>SUM(L9:L13)</f>
        <v>5780671.1000000006</v>
      </c>
      <c r="M14" s="47">
        <f t="shared" si="2"/>
        <v>0.31743724095110581</v>
      </c>
      <c r="N14" s="12">
        <f>SUM(N9:N13)</f>
        <v>5054945.3000000007</v>
      </c>
      <c r="O14" s="47">
        <f t="shared" si="3"/>
        <v>0.32367879730070531</v>
      </c>
      <c r="P14" s="12">
        <f>SUM(P9:P13)</f>
        <v>6354735.8384400001</v>
      </c>
      <c r="Q14" s="47">
        <f t="shared" si="4"/>
        <v>0.48507778327447065</v>
      </c>
    </row>
    <row r="15" spans="1:21" ht="7.9" customHeight="1">
      <c r="A15" s="1"/>
      <c r="C15" s="47" t="s">
        <v>0</v>
      </c>
      <c r="E15" s="44" t="s">
        <v>0</v>
      </c>
      <c r="G15" s="44" t="s">
        <v>0</v>
      </c>
      <c r="I15" s="44" t="s">
        <v>0</v>
      </c>
      <c r="K15" s="47" t="s">
        <v>0</v>
      </c>
      <c r="M15" s="47" t="s">
        <v>0</v>
      </c>
      <c r="O15" s="47" t="s">
        <v>0</v>
      </c>
      <c r="Q15" s="47" t="s">
        <v>0</v>
      </c>
    </row>
    <row r="16" spans="1:21" ht="15.6" customHeight="1">
      <c r="A16" s="1" t="s">
        <v>270</v>
      </c>
      <c r="B16" s="12">
        <f>+somfinbilsys!B17</f>
        <v>2281970</v>
      </c>
      <c r="C16" s="47">
        <f t="shared" si="0"/>
        <v>0.10273663607387243</v>
      </c>
      <c r="D16" s="12">
        <f>+somfinbilsys!D17</f>
        <v>0</v>
      </c>
      <c r="E16" s="44">
        <v>0</v>
      </c>
      <c r="F16" s="12">
        <f>+somfinbilsys!F17</f>
        <v>0</v>
      </c>
      <c r="G16" s="44">
        <v>0</v>
      </c>
      <c r="H16" s="12">
        <f>+somfinbilsys!H17</f>
        <v>0</v>
      </c>
      <c r="I16" s="44">
        <v>0</v>
      </c>
      <c r="J16" s="12">
        <f>+somfinbilsys!J17</f>
        <v>3099604</v>
      </c>
      <c r="K16" s="47">
        <f t="shared" ref="K16:K21" si="5">+J16/$J$21</f>
        <v>0.14692028258711928</v>
      </c>
      <c r="L16" s="12">
        <f>+somfinbilsys!L17</f>
        <v>1659000</v>
      </c>
      <c r="M16" s="47"/>
      <c r="N16" s="12">
        <f>+somfinbilsys!N17</f>
        <v>954000</v>
      </c>
      <c r="O16" s="47"/>
      <c r="P16" s="12">
        <f>+somfinbilsys!P17</f>
        <v>0</v>
      </c>
      <c r="Q16" s="47"/>
    </row>
    <row r="17" spans="1:17">
      <c r="A17" s="1" t="s">
        <v>271</v>
      </c>
      <c r="B17" s="12">
        <f>+somfinbilsys!B18</f>
        <v>1463531.1</v>
      </c>
      <c r="C17" s="47">
        <f>+B17/$B$21</f>
        <v>6.5889675150634847E-2</v>
      </c>
      <c r="D17" s="12">
        <f>+somfinbilsys!D18</f>
        <v>0</v>
      </c>
      <c r="E17" s="44">
        <v>0</v>
      </c>
      <c r="F17" s="12">
        <f>+somfinbilsys!F18</f>
        <v>0</v>
      </c>
      <c r="G17" s="44">
        <v>0</v>
      </c>
      <c r="H17" s="12">
        <f>+somfinbilsys!H18</f>
        <v>0</v>
      </c>
      <c r="I17" s="44">
        <v>0</v>
      </c>
      <c r="J17" s="12">
        <f>+somfinbilsys!J18</f>
        <v>1369153.7000000002</v>
      </c>
      <c r="K17" s="47">
        <f t="shared" si="5"/>
        <v>6.4897467066502679E-2</v>
      </c>
      <c r="L17" s="12">
        <f>+somfinbilsys!L18</f>
        <v>1066857.6000000001</v>
      </c>
      <c r="M17" s="47">
        <f>+L17/$L$21</f>
        <v>5.858495098116176E-2</v>
      </c>
      <c r="N17" s="12">
        <f>+somfinbilsys!N18</f>
        <v>1060297.3569999998</v>
      </c>
      <c r="O17" s="47">
        <f>+N17/$N$21</f>
        <v>6.7893073599604822E-2</v>
      </c>
      <c r="P17" s="12">
        <f>+somfinbilsys!P18</f>
        <v>512812.86660000001</v>
      </c>
      <c r="Q17" s="47">
        <f>+P17/$P$21</f>
        <v>3.914468435654448E-2</v>
      </c>
    </row>
    <row r="18" spans="1:17">
      <c r="A18" s="1" t="s">
        <v>272</v>
      </c>
      <c r="B18" s="12">
        <f>+somfinbilsys!B19</f>
        <v>8964023.4000000004</v>
      </c>
      <c r="C18" s="47">
        <f>+B18/$B$21</f>
        <v>0.40356955166083547</v>
      </c>
      <c r="D18" s="12">
        <f>+somfinbilsys!D19</f>
        <v>0</v>
      </c>
      <c r="E18" s="44">
        <v>0</v>
      </c>
      <c r="F18" s="12">
        <f>+somfinbilsys!F19</f>
        <v>0</v>
      </c>
      <c r="G18" s="44">
        <v>0</v>
      </c>
      <c r="H18" s="12">
        <f>+somfinbilsys!H19</f>
        <v>0</v>
      </c>
      <c r="I18" s="44">
        <v>0</v>
      </c>
      <c r="J18" s="12">
        <f>+somfinbilsys!J19</f>
        <v>8546407.6000000015</v>
      </c>
      <c r="K18" s="47">
        <f t="shared" si="5"/>
        <v>0.40509710908125818</v>
      </c>
      <c r="L18" s="12">
        <f>+somfinbilsys!L19</f>
        <v>7963697.7999999998</v>
      </c>
      <c r="M18" s="47">
        <f>+L18/$L$21</f>
        <v>0.43731501302684228</v>
      </c>
      <c r="N18" s="12">
        <f>+somfinbilsys!N19</f>
        <v>6936742</v>
      </c>
      <c r="O18" s="47">
        <f>+N18/$N$21</f>
        <v>0.44417420456464457</v>
      </c>
      <c r="P18" s="12">
        <f>+somfinbilsys!P19</f>
        <v>5010894.2557999995</v>
      </c>
      <c r="Q18" s="47">
        <f>+P18/$P$21</f>
        <v>0.38249795736952913</v>
      </c>
    </row>
    <row r="19" spans="1:17">
      <c r="A19" s="1" t="s">
        <v>273</v>
      </c>
      <c r="B19" s="12">
        <f>+somfinbilsys!B20</f>
        <v>1349205.7</v>
      </c>
      <c r="C19" s="47">
        <f>+B19/$B$21</f>
        <v>6.074262807560761E-2</v>
      </c>
      <c r="D19" s="12">
        <f>+somfinbilsys!D20</f>
        <v>0</v>
      </c>
      <c r="E19" s="44">
        <v>0</v>
      </c>
      <c r="F19" s="12">
        <f>+somfinbilsys!F20</f>
        <v>0</v>
      </c>
      <c r="G19" s="44">
        <v>0</v>
      </c>
      <c r="H19" s="12">
        <f>+somfinbilsys!H20</f>
        <v>0</v>
      </c>
      <c r="I19" s="44">
        <v>0</v>
      </c>
      <c r="J19" s="12">
        <f>+somfinbilsys!J20</f>
        <v>1207804.9000000001</v>
      </c>
      <c r="K19" s="47">
        <f t="shared" si="5"/>
        <v>5.7249583242926318E-2</v>
      </c>
      <c r="L19" s="12">
        <f>+somfinbilsys!L20</f>
        <v>1020785</v>
      </c>
      <c r="M19" s="47">
        <f>+L19/$L$21</f>
        <v>5.6054940403766351E-2</v>
      </c>
      <c r="N19" s="12">
        <f>+somfinbilsys!N20</f>
        <v>827070.79999999993</v>
      </c>
      <c r="O19" s="47">
        <f>+N19/$N$21</f>
        <v>5.2959085793971322E-2</v>
      </c>
      <c r="P19" s="12">
        <f>+somfinbilsys!P20</f>
        <v>636383.43877999997</v>
      </c>
      <c r="Q19" s="47">
        <f>+P19/$P$21</f>
        <v>4.8577230532334398E-2</v>
      </c>
    </row>
    <row r="20" spans="1:17" ht="16.5" thickBot="1">
      <c r="A20" s="1" t="s">
        <v>274</v>
      </c>
      <c r="B20" s="99">
        <f>+somfinbilsys!B21</f>
        <v>1051043.8</v>
      </c>
      <c r="C20" s="231">
        <f>+B20/$B$21</f>
        <v>4.7319072721508156E-2</v>
      </c>
      <c r="D20" s="99">
        <f>+somfinbilsys!D21</f>
        <v>0</v>
      </c>
      <c r="E20" s="232">
        <v>0</v>
      </c>
      <c r="F20" s="99">
        <f>+somfinbilsys!F21</f>
        <v>0</v>
      </c>
      <c r="G20" s="232">
        <v>0</v>
      </c>
      <c r="H20" s="99">
        <f>+somfinbilsys!H21</f>
        <v>0</v>
      </c>
      <c r="I20" s="232">
        <v>0</v>
      </c>
      <c r="J20" s="99">
        <f>+somfinbilsys!J21</f>
        <v>962527.29999999993</v>
      </c>
      <c r="K20" s="231">
        <f t="shared" si="5"/>
        <v>4.5623499941869004E-2</v>
      </c>
      <c r="L20" s="99">
        <f>+somfinbilsys!L21</f>
        <v>719426.2</v>
      </c>
      <c r="M20" s="231">
        <f>+L20/$L$21</f>
        <v>3.950625525052591E-2</v>
      </c>
      <c r="N20" s="99">
        <f>+somfinbilsys!N21</f>
        <v>784109.9</v>
      </c>
      <c r="O20" s="231">
        <f>+N20/$N$21</f>
        <v>5.0208208857092138E-2</v>
      </c>
      <c r="P20" s="99">
        <f>+somfinbilsys!P21</f>
        <v>585620.69886999996</v>
      </c>
      <c r="Q20" s="231">
        <f>+P20/$P$21</f>
        <v>4.4702344467121319E-2</v>
      </c>
    </row>
    <row r="21" spans="1:17">
      <c r="A21" s="1" t="s">
        <v>275</v>
      </c>
      <c r="B21" s="4">
        <f>SUM(B14:B20)</f>
        <v>22211842.699999999</v>
      </c>
      <c r="C21" s="112">
        <f>+B21/$B$21</f>
        <v>1</v>
      </c>
      <c r="D21" s="4">
        <f>SUM(D14:D20)</f>
        <v>0</v>
      </c>
      <c r="E21" s="42">
        <v>0</v>
      </c>
      <c r="F21" s="4">
        <f>SUM(F14:F20)</f>
        <v>0</v>
      </c>
      <c r="G21" s="42">
        <v>0</v>
      </c>
      <c r="H21" s="4">
        <f>SUM(H14:H20)</f>
        <v>0</v>
      </c>
      <c r="I21" s="42">
        <v>0</v>
      </c>
      <c r="J21" s="4">
        <f>SUM(J14:J20)</f>
        <v>21097182.400000002</v>
      </c>
      <c r="K21" s="112">
        <f t="shared" si="5"/>
        <v>1</v>
      </c>
      <c r="L21" s="4">
        <f>SUM(L14:L20)</f>
        <v>18210437.699999999</v>
      </c>
      <c r="M21" s="112">
        <f>+L21/$L$21</f>
        <v>1</v>
      </c>
      <c r="N21" s="4">
        <f>SUM(N14:N20)</f>
        <v>15617165.357000003</v>
      </c>
      <c r="O21" s="112">
        <f>+N21/$N$21</f>
        <v>1</v>
      </c>
      <c r="P21" s="4">
        <f>SUM(P14:P20)</f>
        <v>13100447.09849</v>
      </c>
      <c r="Q21" s="112">
        <f>+P21/$P$21</f>
        <v>1</v>
      </c>
    </row>
    <row r="22" spans="1:17" ht="15.6" customHeight="1">
      <c r="A22" s="1"/>
      <c r="C22" s="15" t="s">
        <v>0</v>
      </c>
      <c r="E22" s="44" t="s">
        <v>0</v>
      </c>
      <c r="G22" s="44" t="s">
        <v>0</v>
      </c>
      <c r="I22" s="44" t="s">
        <v>0</v>
      </c>
      <c r="K22" s="47" t="s">
        <v>0</v>
      </c>
      <c r="M22" s="47" t="s">
        <v>0</v>
      </c>
      <c r="O22" s="47" t="s">
        <v>0</v>
      </c>
      <c r="Q22" s="47" t="s">
        <v>0</v>
      </c>
    </row>
    <row r="23" spans="1:17">
      <c r="A23" s="87" t="s">
        <v>276</v>
      </c>
      <c r="C23" s="15" t="s">
        <v>0</v>
      </c>
      <c r="E23" s="44" t="s">
        <v>0</v>
      </c>
      <c r="G23" s="44" t="s">
        <v>0</v>
      </c>
      <c r="I23" s="44" t="s">
        <v>0</v>
      </c>
      <c r="K23" s="47" t="s">
        <v>0</v>
      </c>
      <c r="M23" s="47" t="s">
        <v>0</v>
      </c>
      <c r="O23" s="47" t="s">
        <v>0</v>
      </c>
      <c r="Q23" s="47" t="s">
        <v>0</v>
      </c>
    </row>
    <row r="24" spans="1:17">
      <c r="A24" s="1" t="s">
        <v>277</v>
      </c>
      <c r="C24" s="15" t="s">
        <v>0</v>
      </c>
      <c r="E24" s="44" t="s">
        <v>0</v>
      </c>
      <c r="G24" s="44" t="s">
        <v>0</v>
      </c>
      <c r="I24" s="44" t="s">
        <v>0</v>
      </c>
      <c r="K24" s="47" t="s">
        <v>0</v>
      </c>
      <c r="M24" s="47" t="s">
        <v>0</v>
      </c>
      <c r="O24" s="47" t="s">
        <v>0</v>
      </c>
      <c r="Q24" s="47" t="s">
        <v>0</v>
      </c>
    </row>
    <row r="25" spans="1:17">
      <c r="A25" s="1" t="s">
        <v>278</v>
      </c>
      <c r="B25" s="12">
        <f>+somfinbilsys!B26</f>
        <v>4822957.5</v>
      </c>
      <c r="C25" s="47">
        <f>+B25/$B$21</f>
        <v>0.21713450635952866</v>
      </c>
      <c r="D25" s="12">
        <f>+somfinbilsys!D26</f>
        <v>0</v>
      </c>
      <c r="E25" s="44">
        <v>0</v>
      </c>
      <c r="F25" s="12">
        <f>+somfinbilsys!F26</f>
        <v>0</v>
      </c>
      <c r="G25" s="44">
        <v>0</v>
      </c>
      <c r="H25" s="12">
        <f>+somfinbilsys!H26</f>
        <v>0</v>
      </c>
      <c r="I25" s="44">
        <v>0</v>
      </c>
      <c r="J25" s="12">
        <f>+somfinbilsys!J26</f>
        <v>4560733.3</v>
      </c>
      <c r="K25" s="47">
        <f>+J25/$J$21</f>
        <v>0.2161773649925878</v>
      </c>
      <c r="L25" s="12">
        <f>+somfinbilsys!L26</f>
        <v>3791241.9</v>
      </c>
      <c r="M25" s="47">
        <f>+L25/$L$21</f>
        <v>0.20819059719800145</v>
      </c>
      <c r="N25" s="12">
        <f>+somfinbilsys!N26</f>
        <v>3373079.5999999996</v>
      </c>
      <c r="O25" s="47">
        <f>+N25/$N$21</f>
        <v>0.21598539318072221</v>
      </c>
      <c r="P25" s="12">
        <f>+somfinbilsys!P26</f>
        <v>3021391.5977800004</v>
      </c>
      <c r="Q25" s="47">
        <f>+P25/$P$21</f>
        <v>0.23063270856826373</v>
      </c>
    </row>
    <row r="26" spans="1:17">
      <c r="A26" s="1" t="s">
        <v>279</v>
      </c>
      <c r="B26" s="12">
        <f>+somfinbilsys!B27</f>
        <v>8032203.2000000002</v>
      </c>
      <c r="C26" s="47">
        <f>+B26/$B$21</f>
        <v>0.36161804801544001</v>
      </c>
      <c r="D26" s="12">
        <f>+somfinbilsys!D27</f>
        <v>0</v>
      </c>
      <c r="E26" s="44">
        <v>0</v>
      </c>
      <c r="F26" s="12">
        <f>+somfinbilsys!F27</f>
        <v>0</v>
      </c>
      <c r="G26" s="44">
        <v>0</v>
      </c>
      <c r="H26" s="12">
        <f>+somfinbilsys!H27</f>
        <v>0</v>
      </c>
      <c r="I26" s="44">
        <v>0</v>
      </c>
      <c r="J26" s="12">
        <f>+somfinbilsys!J27</f>
        <v>7746819.5</v>
      </c>
      <c r="K26" s="47">
        <f>+J26/$J$21</f>
        <v>0.36719687743705526</v>
      </c>
      <c r="L26" s="12">
        <f>+somfinbilsys!L27</f>
        <v>6477154.8000000007</v>
      </c>
      <c r="M26" s="47">
        <f>+L26/$L$21</f>
        <v>0.35568364180505124</v>
      </c>
      <c r="N26" s="12">
        <f>+somfinbilsys!N27</f>
        <v>6008056.2000000002</v>
      </c>
      <c r="O26" s="47">
        <f>+N26/$N$21</f>
        <v>0.38470849623853409</v>
      </c>
      <c r="P26" s="12">
        <f>+somfinbilsys!P27</f>
        <v>5265327.7929400001</v>
      </c>
      <c r="Q26" s="47">
        <f>+P26/$P$21</f>
        <v>0.401919701927341</v>
      </c>
    </row>
    <row r="27" spans="1:17">
      <c r="A27" s="1" t="s">
        <v>280</v>
      </c>
      <c r="B27" s="221">
        <f>+somfinbilsys!B28</f>
        <v>6505579.0999999996</v>
      </c>
      <c r="C27" s="236">
        <f>+B27/$B$21</f>
        <v>0.29288786112284143</v>
      </c>
      <c r="D27" s="221">
        <f>+somfinbilsys!D28</f>
        <v>0</v>
      </c>
      <c r="E27" s="545">
        <v>0</v>
      </c>
      <c r="F27" s="221">
        <f>+somfinbilsys!F28</f>
        <v>0</v>
      </c>
      <c r="G27" s="545">
        <v>0</v>
      </c>
      <c r="H27" s="221">
        <f>+somfinbilsys!H28</f>
        <v>0</v>
      </c>
      <c r="I27" s="545">
        <v>0</v>
      </c>
      <c r="J27" s="221">
        <f>+somfinbilsys!J28</f>
        <v>5888935.5999999996</v>
      </c>
      <c r="K27" s="236">
        <f>+J27/$J$21</f>
        <v>0.27913374821085107</v>
      </c>
      <c r="L27" s="221">
        <f>+somfinbilsys!L28</f>
        <v>5080009.5999999996</v>
      </c>
      <c r="M27" s="236">
        <f>+L27/$L$21</f>
        <v>0.27896142221776471</v>
      </c>
      <c r="N27" s="221">
        <f>+somfinbilsys!N28</f>
        <v>3655095.8</v>
      </c>
      <c r="O27" s="236">
        <f>+N27/$N$21</f>
        <v>0.23404348461750102</v>
      </c>
      <c r="P27" s="221">
        <f>+somfinbilsys!P28</f>
        <v>2365968.7123599998</v>
      </c>
      <c r="Q27" s="236">
        <f>+P27/$P$21</f>
        <v>0.18060213476475234</v>
      </c>
    </row>
    <row r="28" spans="1:17">
      <c r="A28" s="1"/>
      <c r="B28" s="12">
        <f>SUM(B25:B27)</f>
        <v>19360739.799999997</v>
      </c>
      <c r="C28" s="47">
        <f>+B28/$B$21</f>
        <v>0.87164041549781002</v>
      </c>
      <c r="D28" s="12">
        <f>SUM(D25:D27)</f>
        <v>0</v>
      </c>
      <c r="E28" s="44">
        <v>0</v>
      </c>
      <c r="F28" s="12">
        <f>SUM(F25:F27)</f>
        <v>0</v>
      </c>
      <c r="G28" s="44">
        <v>0</v>
      </c>
      <c r="H28" s="12">
        <f>SUM(H25:H27)</f>
        <v>0</v>
      </c>
      <c r="I28" s="44">
        <v>0</v>
      </c>
      <c r="J28" s="12">
        <f>SUM(J25:J27)</f>
        <v>18196488.399999999</v>
      </c>
      <c r="K28" s="47">
        <f>+J28/$J$21</f>
        <v>0.8625079906404941</v>
      </c>
      <c r="L28" s="12">
        <f>SUM(L25:L27)</f>
        <v>15348406.300000001</v>
      </c>
      <c r="M28" s="47">
        <f>+L28/$L$21</f>
        <v>0.84283566122081743</v>
      </c>
      <c r="N28" s="12">
        <f>SUM(N25:N27)</f>
        <v>13036231.600000001</v>
      </c>
      <c r="O28" s="47">
        <f>+N28/$N$21</f>
        <v>0.83473737403675741</v>
      </c>
      <c r="P28" s="12">
        <f>SUM(P25:P27)</f>
        <v>10652688.103080001</v>
      </c>
      <c r="Q28" s="47">
        <f>+P28/$P$21</f>
        <v>0.81315454526035713</v>
      </c>
    </row>
    <row r="29" spans="1:17" ht="7.9" customHeight="1">
      <c r="A29" s="1"/>
      <c r="C29" s="47" t="s">
        <v>0</v>
      </c>
      <c r="E29" s="44" t="s">
        <v>0</v>
      </c>
      <c r="G29" s="44" t="s">
        <v>0</v>
      </c>
      <c r="I29" s="44" t="s">
        <v>0</v>
      </c>
      <c r="K29" s="47" t="s">
        <v>0</v>
      </c>
      <c r="M29" s="47" t="s">
        <v>0</v>
      </c>
      <c r="O29" s="47" t="s">
        <v>0</v>
      </c>
      <c r="Q29" s="47" t="s">
        <v>0</v>
      </c>
    </row>
    <row r="30" spans="1:17">
      <c r="A30" s="1" t="s">
        <v>281</v>
      </c>
      <c r="C30" s="47" t="s">
        <v>0</v>
      </c>
      <c r="E30" s="44" t="s">
        <v>0</v>
      </c>
      <c r="G30" s="44" t="s">
        <v>0</v>
      </c>
      <c r="I30" s="44" t="s">
        <v>0</v>
      </c>
      <c r="K30" s="47" t="s">
        <v>0</v>
      </c>
      <c r="M30" s="47" t="s">
        <v>0</v>
      </c>
      <c r="O30" s="47" t="s">
        <v>0</v>
      </c>
      <c r="Q30" s="47" t="s">
        <v>0</v>
      </c>
    </row>
    <row r="31" spans="1:17">
      <c r="A31" s="1" t="s">
        <v>282</v>
      </c>
      <c r="B31" s="12">
        <f>+somfinbilsys!B32</f>
        <v>29000</v>
      </c>
      <c r="C31" s="47">
        <f>+B31/$B$21</f>
        <v>1.3056098222773746E-3</v>
      </c>
      <c r="D31" s="12">
        <f>+somfinbilsys!D32</f>
        <v>0</v>
      </c>
      <c r="E31" s="44">
        <v>0</v>
      </c>
      <c r="F31" s="12">
        <f>+somfinbilsys!F32</f>
        <v>0</v>
      </c>
      <c r="G31" s="44">
        <v>0</v>
      </c>
      <c r="H31" s="12">
        <f>+somfinbilsys!H32</f>
        <v>0</v>
      </c>
      <c r="I31" s="44">
        <v>0</v>
      </c>
      <c r="J31" s="12">
        <f>+somfinbilsys!J32</f>
        <v>60500</v>
      </c>
      <c r="K31" s="47">
        <f>+J31/$J$21</f>
        <v>2.8676815156131936E-3</v>
      </c>
      <c r="L31" s="12">
        <f>+somfinbilsys!L32</f>
        <v>328039.3</v>
      </c>
      <c r="M31" s="47">
        <f>+L31/$L$21</f>
        <v>1.8013806444641362E-2</v>
      </c>
      <c r="N31" s="12">
        <f>+somfinbilsys!N32</f>
        <v>319030.09999999998</v>
      </c>
      <c r="O31" s="47">
        <f>+N31/$N$21</f>
        <v>2.0428169434538436E-2</v>
      </c>
      <c r="P31" s="12">
        <f>+somfinbilsys!P32</f>
        <v>585127.45353000006</v>
      </c>
      <c r="Q31" s="47">
        <f>+P31/$P$21</f>
        <v>4.4664693436107517E-2</v>
      </c>
    </row>
    <row r="32" spans="1:17">
      <c r="A32" s="1" t="s">
        <v>283</v>
      </c>
      <c r="B32" s="12">
        <f>+somfinbilsys!B33</f>
        <v>0</v>
      </c>
      <c r="C32" s="47">
        <f>+B32/$B$21</f>
        <v>0</v>
      </c>
      <c r="D32" s="12">
        <f>+somfinbilsys!D33</f>
        <v>0</v>
      </c>
      <c r="E32" s="44">
        <v>0</v>
      </c>
      <c r="F32" s="12">
        <f>+somfinbilsys!F33</f>
        <v>0</v>
      </c>
      <c r="G32" s="44">
        <v>0</v>
      </c>
      <c r="H32" s="12">
        <f>+somfinbilsys!H33</f>
        <v>0</v>
      </c>
      <c r="I32" s="44">
        <v>0</v>
      </c>
      <c r="J32" s="12">
        <f>+somfinbilsys!J33</f>
        <v>0</v>
      </c>
      <c r="K32" s="47">
        <f>+J32/$J$21</f>
        <v>0</v>
      </c>
      <c r="L32" s="12">
        <f>+somfinbilsys!L33</f>
        <v>13805</v>
      </c>
      <c r="M32" s="47">
        <f>+L32/$L$21</f>
        <v>7.5808172364797148E-4</v>
      </c>
      <c r="N32" s="12">
        <f>+somfinbilsys!N33</f>
        <v>17.7</v>
      </c>
      <c r="O32" s="47">
        <f>+N32/$N$21</f>
        <v>1.1333682903002893E-6</v>
      </c>
      <c r="P32" s="12">
        <f>+somfinbilsys!P33</f>
        <v>26.632009999999998</v>
      </c>
      <c r="Q32" s="47">
        <f>+P32/$P$21</f>
        <v>2.0329084801288721E-6</v>
      </c>
    </row>
    <row r="33" spans="1:21" ht="18">
      <c r="A33" s="1" t="s">
        <v>284</v>
      </c>
      <c r="B33" s="221">
        <f>+somfinbilsys!B34</f>
        <v>1102399</v>
      </c>
      <c r="C33" s="236">
        <f>+B33/$B$21</f>
        <v>4.9631136636853639E-2</v>
      </c>
      <c r="D33" s="221">
        <f>+somfinbilsys!D34</f>
        <v>0</v>
      </c>
      <c r="E33" s="545">
        <v>0</v>
      </c>
      <c r="F33" s="221">
        <f>+somfinbilsys!F34</f>
        <v>0</v>
      </c>
      <c r="G33" s="545">
        <v>0</v>
      </c>
      <c r="H33" s="221">
        <f>+somfinbilsys!H34</f>
        <v>0</v>
      </c>
      <c r="I33" s="545">
        <v>0</v>
      </c>
      <c r="J33" s="221">
        <f>+somfinbilsys!J34</f>
        <v>1198678</v>
      </c>
      <c r="K33" s="236">
        <f>+J33/$J$21</f>
        <v>5.6816970971441186E-2</v>
      </c>
      <c r="L33" s="221">
        <f>+somfinbilsys!L34</f>
        <v>908766.9</v>
      </c>
      <c r="M33" s="236">
        <f>+L33/$L$21</f>
        <v>4.990362752236318E-2</v>
      </c>
      <c r="N33" s="221">
        <f>+somfinbilsys!N34</f>
        <v>773599.00000000012</v>
      </c>
      <c r="O33" s="236">
        <f>+N33/$N$21</f>
        <v>4.9535173785763484E-2</v>
      </c>
      <c r="P33" s="221">
        <f>+somfinbilsys!P34</f>
        <v>869478.75725000014</v>
      </c>
      <c r="Q33" s="236">
        <f>+P33/$P$21</f>
        <v>6.6370159026879247E-2</v>
      </c>
      <c r="R33" s="6"/>
      <c r="S33" s="7"/>
      <c r="T33" s="7"/>
      <c r="U33" s="7"/>
    </row>
    <row r="34" spans="1:21">
      <c r="A34" s="1"/>
      <c r="B34" s="12">
        <f>SUM(B31:B33)</f>
        <v>1131399</v>
      </c>
      <c r="C34" s="47">
        <f>+B34/$B$21</f>
        <v>5.0936746459131016E-2</v>
      </c>
      <c r="D34" s="12">
        <f>SUM(D31:D33)</f>
        <v>0</v>
      </c>
      <c r="E34" s="44">
        <v>0</v>
      </c>
      <c r="F34" s="12">
        <f>SUM(F31:F33)</f>
        <v>0</v>
      </c>
      <c r="G34" s="44">
        <v>0</v>
      </c>
      <c r="H34" s="12">
        <f>SUM(H31:H33)</f>
        <v>0</v>
      </c>
      <c r="I34" s="44">
        <v>0</v>
      </c>
      <c r="J34" s="12">
        <f>SUM(J31:J33)</f>
        <v>1259178</v>
      </c>
      <c r="K34" s="47">
        <f>+J34/$J$21</f>
        <v>5.9684652487054381E-2</v>
      </c>
      <c r="L34" s="12">
        <f>SUM(L31:L33)</f>
        <v>1250611.2</v>
      </c>
      <c r="M34" s="47">
        <f>+L34/$L$21</f>
        <v>6.8675515690652514E-2</v>
      </c>
      <c r="N34" s="12">
        <f>SUM(N31:N33)</f>
        <v>1092646.8</v>
      </c>
      <c r="O34" s="47">
        <f>+N34/$N$21</f>
        <v>6.9964476588592214E-2</v>
      </c>
      <c r="P34" s="12">
        <f>SUM(P31:P33)</f>
        <v>1454632.8427900001</v>
      </c>
      <c r="Q34" s="47">
        <f>+P34/$P$21</f>
        <v>0.11103688537146689</v>
      </c>
    </row>
    <row r="35" spans="1:21" ht="7.15" customHeight="1">
      <c r="A35" s="1"/>
      <c r="C35" s="47" t="s">
        <v>0</v>
      </c>
      <c r="E35" s="44" t="s">
        <v>0</v>
      </c>
      <c r="G35" s="44" t="s">
        <v>0</v>
      </c>
      <c r="I35" s="44" t="s">
        <v>0</v>
      </c>
      <c r="K35" s="47" t="s">
        <v>0</v>
      </c>
      <c r="M35" s="47" t="s">
        <v>0</v>
      </c>
      <c r="O35" s="47" t="s">
        <v>0</v>
      </c>
      <c r="Q35" s="47" t="s">
        <v>0</v>
      </c>
    </row>
    <row r="36" spans="1:21">
      <c r="A36" s="1" t="s">
        <v>285</v>
      </c>
      <c r="C36" s="47" t="s">
        <v>0</v>
      </c>
      <c r="E36" s="44" t="s">
        <v>0</v>
      </c>
      <c r="G36" s="44" t="s">
        <v>0</v>
      </c>
      <c r="I36" s="44" t="s">
        <v>0</v>
      </c>
      <c r="K36" s="47" t="s">
        <v>0</v>
      </c>
      <c r="M36" s="47" t="s">
        <v>0</v>
      </c>
      <c r="O36" s="47" t="s">
        <v>0</v>
      </c>
      <c r="Q36" s="47" t="s">
        <v>0</v>
      </c>
    </row>
    <row r="37" spans="1:21">
      <c r="A37" s="1" t="s">
        <v>282</v>
      </c>
      <c r="B37" s="12">
        <f>+somfinbilsys!B38</f>
        <v>150171</v>
      </c>
      <c r="C37" s="47">
        <f>+B37/$B$21</f>
        <v>6.760852849007435E-3</v>
      </c>
      <c r="D37" s="12">
        <f>+somfinbilsys!D38</f>
        <v>0</v>
      </c>
      <c r="E37" s="44">
        <v>0</v>
      </c>
      <c r="F37" s="12">
        <f>+somfinbilsys!F38</f>
        <v>0</v>
      </c>
      <c r="G37" s="44">
        <v>0</v>
      </c>
      <c r="H37" s="12">
        <f>+somfinbilsys!H38</f>
        <v>0</v>
      </c>
      <c r="I37" s="44">
        <v>0</v>
      </c>
      <c r="J37" s="12">
        <f>+somfinbilsys!J38</f>
        <v>60691.1</v>
      </c>
      <c r="K37" s="47">
        <f>+J37/$J$21</f>
        <v>2.8767395972269733E-3</v>
      </c>
      <c r="L37" s="12">
        <f>+somfinbilsys!L38</f>
        <v>27155</v>
      </c>
      <c r="M37" s="47">
        <f>+L37/$L$21</f>
        <v>1.4911777765780996E-3</v>
      </c>
      <c r="N37" s="12">
        <f>+somfinbilsys!N38</f>
        <v>46943.7</v>
      </c>
      <c r="O37" s="47">
        <f>+N37/$N$21</f>
        <v>3.005904011828796E-3</v>
      </c>
      <c r="P37" s="12">
        <f>+somfinbilsys!P38</f>
        <v>18000</v>
      </c>
      <c r="Q37" s="47">
        <f>+P37/$P$21</f>
        <v>1.3739989074170406E-3</v>
      </c>
    </row>
    <row r="38" spans="1:21">
      <c r="A38" s="1" t="s">
        <v>286</v>
      </c>
      <c r="B38" s="12">
        <f>+somfinbilsys!B39</f>
        <v>0</v>
      </c>
      <c r="C38" s="47">
        <f>+B38/$B$21</f>
        <v>0</v>
      </c>
      <c r="D38" s="12">
        <f>+somfinbilsys!D39</f>
        <v>0</v>
      </c>
      <c r="E38" s="44">
        <v>0</v>
      </c>
      <c r="F38" s="12">
        <f>+somfinbilsys!F39</f>
        <v>0</v>
      </c>
      <c r="G38" s="44">
        <v>0</v>
      </c>
      <c r="H38" s="12">
        <f>+somfinbilsys!H39</f>
        <v>0</v>
      </c>
      <c r="I38" s="44">
        <v>0</v>
      </c>
      <c r="J38" s="12">
        <f>+somfinbilsys!J39</f>
        <v>0</v>
      </c>
      <c r="K38" s="47">
        <f>+J38/$J$21</f>
        <v>0</v>
      </c>
      <c r="L38" s="12">
        <f>+somfinbilsys!L39</f>
        <v>0</v>
      </c>
      <c r="M38" s="47">
        <f>+L38/$L$21</f>
        <v>0</v>
      </c>
      <c r="N38" s="12">
        <f>+somfinbilsys!N39</f>
        <v>36404.400000000001</v>
      </c>
      <c r="O38" s="47">
        <f>+N38/$N$21</f>
        <v>2.3310504286671104E-3</v>
      </c>
      <c r="P38" s="12">
        <f>+somfinbilsys!P39</f>
        <v>0</v>
      </c>
      <c r="Q38" s="47">
        <f>+P38/$P$21</f>
        <v>0</v>
      </c>
    </row>
    <row r="39" spans="1:21">
      <c r="A39" s="1" t="s">
        <v>284</v>
      </c>
      <c r="B39" s="221">
        <f>+somfinbilsys!B40</f>
        <v>279876.80000000005</v>
      </c>
      <c r="C39" s="236">
        <f>+B39/$B$21</f>
        <v>1.2600341348536565E-2</v>
      </c>
      <c r="D39" s="221">
        <f>+somfinbilsys!D40</f>
        <v>0</v>
      </c>
      <c r="E39" s="545">
        <v>0</v>
      </c>
      <c r="F39" s="221">
        <f>+somfinbilsys!F40</f>
        <v>0</v>
      </c>
      <c r="G39" s="545">
        <v>0</v>
      </c>
      <c r="H39" s="221">
        <f>+somfinbilsys!H40</f>
        <v>0</v>
      </c>
      <c r="I39" s="545">
        <v>0</v>
      </c>
      <c r="J39" s="221">
        <f>+somfinbilsys!J40</f>
        <v>272438.90000000002</v>
      </c>
      <c r="K39" s="236">
        <f>+J39/$J$21</f>
        <v>1.2913520622545312E-2</v>
      </c>
      <c r="L39" s="221">
        <f>+somfinbilsys!L40</f>
        <v>281109.39999999997</v>
      </c>
      <c r="M39" s="236">
        <f>+L39/$L$21</f>
        <v>1.543671847052858E-2</v>
      </c>
      <c r="N39" s="221">
        <f>+somfinbilsys!N40</f>
        <v>252583.69999999998</v>
      </c>
      <c r="O39" s="236">
        <f>+N39/$N$21</f>
        <v>1.6173466453487072E-2</v>
      </c>
      <c r="P39" s="221">
        <f>+somfinbilsys!P40</f>
        <v>228690.85864999998</v>
      </c>
      <c r="Q39" s="236">
        <f>+P39/$P$21</f>
        <v>1.7456721662298048E-2</v>
      </c>
    </row>
    <row r="40" spans="1:21">
      <c r="A40" s="1"/>
      <c r="B40" s="12">
        <f>SUM(B37:B39)</f>
        <v>430047.80000000005</v>
      </c>
      <c r="C40" s="47">
        <f>+B40/$B$21</f>
        <v>1.9361194197544E-2</v>
      </c>
      <c r="D40" s="12">
        <f>SUM(D37:D39)</f>
        <v>0</v>
      </c>
      <c r="E40" s="44">
        <v>0</v>
      </c>
      <c r="F40" s="12">
        <f>SUM(F37:F39)</f>
        <v>0</v>
      </c>
      <c r="G40" s="44">
        <v>0</v>
      </c>
      <c r="H40" s="12">
        <f>SUM(H37:H39)</f>
        <v>0</v>
      </c>
      <c r="I40" s="44">
        <v>0</v>
      </c>
      <c r="J40" s="12">
        <f>SUM(J37:J39)</f>
        <v>333130</v>
      </c>
      <c r="K40" s="47">
        <f>+J40/$J$21</f>
        <v>1.5790260219772284E-2</v>
      </c>
      <c r="L40" s="12">
        <f>SUM(L37:L39)</f>
        <v>308264.39999999997</v>
      </c>
      <c r="M40" s="47">
        <f>+L40/$L$21</f>
        <v>1.692789624710668E-2</v>
      </c>
      <c r="N40" s="12">
        <f>SUM(N37:N39)</f>
        <v>335931.8</v>
      </c>
      <c r="O40" s="47">
        <f>+N40/$N$21</f>
        <v>2.1510420893982977E-2</v>
      </c>
      <c r="P40" s="12">
        <f>SUM(P37:P39)</f>
        <v>246690.85864999998</v>
      </c>
      <c r="Q40" s="47">
        <f>+P40/$P$21</f>
        <v>1.8830720569715086E-2</v>
      </c>
    </row>
    <row r="41" spans="1:21" ht="8.4499999999999993" customHeight="1">
      <c r="A41" s="1"/>
      <c r="C41" s="47" t="s">
        <v>0</v>
      </c>
      <c r="E41" s="44" t="s">
        <v>0</v>
      </c>
      <c r="G41" s="44" t="s">
        <v>0</v>
      </c>
      <c r="I41" s="44" t="s">
        <v>0</v>
      </c>
      <c r="K41" s="47" t="s">
        <v>0</v>
      </c>
      <c r="M41" s="47" t="s">
        <v>0</v>
      </c>
      <c r="O41" s="47" t="s">
        <v>0</v>
      </c>
      <c r="Q41" s="47" t="s">
        <v>0</v>
      </c>
    </row>
    <row r="42" spans="1:21" ht="18">
      <c r="A42" s="1" t="s">
        <v>287</v>
      </c>
      <c r="B42" s="221">
        <f>+somfinbilsys!B43</f>
        <v>159675.70000000001</v>
      </c>
      <c r="C42" s="236">
        <f>+B42/$B$21</f>
        <v>7.1887642172074277E-3</v>
      </c>
      <c r="D42" s="221">
        <f>+somfinbilsys!D43</f>
        <v>0</v>
      </c>
      <c r="E42" s="545">
        <v>0</v>
      </c>
      <c r="F42" s="221">
        <f>+somfinbilsys!F43</f>
        <v>0</v>
      </c>
      <c r="G42" s="545">
        <v>0</v>
      </c>
      <c r="H42" s="221">
        <f>+somfinbilsys!H43</f>
        <v>0</v>
      </c>
      <c r="I42" s="545">
        <v>0</v>
      </c>
      <c r="J42" s="221">
        <f>+somfinbilsys!J43</f>
        <v>219895.2</v>
      </c>
      <c r="K42" s="236">
        <f>+J42/$J$21</f>
        <v>1.0422965296067213E-2</v>
      </c>
      <c r="L42" s="221">
        <f>+somfinbilsys!L43</f>
        <v>268250.3</v>
      </c>
      <c r="M42" s="236">
        <f>+L42/$L$21</f>
        <v>1.4730579485192715E-2</v>
      </c>
      <c r="N42" s="221">
        <f>+somfinbilsys!N43</f>
        <v>303984.69999999995</v>
      </c>
      <c r="O42" s="236">
        <f>+N42/$N$21</f>
        <v>1.946478077494047E-2</v>
      </c>
      <c r="P42" s="221">
        <f>+somfinbilsys!P43</f>
        <v>147518.58021000001</v>
      </c>
      <c r="Q42" s="236">
        <f>+P42/$P$21</f>
        <v>1.1260576001791839E-2</v>
      </c>
      <c r="R42" s="6"/>
    </row>
    <row r="43" spans="1:21">
      <c r="A43" s="1"/>
      <c r="B43" s="12">
        <f>+B28+B34+B40+B42</f>
        <v>21081862.299999997</v>
      </c>
      <c r="C43" s="47">
        <f>+B43/$B$21</f>
        <v>0.94912712037169245</v>
      </c>
      <c r="D43" s="12">
        <f>+D28+D34+D40+D42</f>
        <v>0</v>
      </c>
      <c r="E43" s="44">
        <v>0</v>
      </c>
      <c r="F43" s="12">
        <f>+F28+F34+F40+F42</f>
        <v>0</v>
      </c>
      <c r="G43" s="44">
        <v>0</v>
      </c>
      <c r="H43" s="12">
        <f>+H28+H34+H40+H42</f>
        <v>0</v>
      </c>
      <c r="I43" s="44">
        <v>0</v>
      </c>
      <c r="J43" s="12">
        <f>+J28+J34+J40+J42</f>
        <v>20008691.599999998</v>
      </c>
      <c r="K43" s="47">
        <f>+J43/$J$21</f>
        <v>0.94840586864338794</v>
      </c>
      <c r="L43" s="12">
        <f>+L28+L34+L40+L42</f>
        <v>17175532.199999999</v>
      </c>
      <c r="M43" s="47">
        <f>+L43/$L$21</f>
        <v>0.94316965264376929</v>
      </c>
      <c r="N43" s="12">
        <f>+N28+N34+N40+N42</f>
        <v>14768794.900000002</v>
      </c>
      <c r="O43" s="47">
        <f>+N43/$N$21</f>
        <v>0.94567705229427312</v>
      </c>
      <c r="P43" s="12">
        <f>+P28+P34+P40+P42</f>
        <v>12501530.384730002</v>
      </c>
      <c r="Q43" s="47">
        <f>+P43/$P$21</f>
        <v>0.95428272720333107</v>
      </c>
    </row>
    <row r="44" spans="1:21" ht="15.6" customHeight="1">
      <c r="A44" s="1"/>
      <c r="C44" s="47" t="s">
        <v>0</v>
      </c>
      <c r="E44" s="44" t="s">
        <v>0</v>
      </c>
      <c r="G44" s="44" t="s">
        <v>0</v>
      </c>
      <c r="I44" s="44" t="s">
        <v>0</v>
      </c>
      <c r="K44" s="47" t="s">
        <v>0</v>
      </c>
      <c r="M44" s="47" t="s">
        <v>0</v>
      </c>
      <c r="O44" s="47" t="s">
        <v>0</v>
      </c>
      <c r="Q44" s="47" t="s">
        <v>0</v>
      </c>
    </row>
    <row r="45" spans="1:21">
      <c r="A45" s="87" t="s">
        <v>288</v>
      </c>
      <c r="C45" s="47" t="s">
        <v>0</v>
      </c>
      <c r="E45" s="44" t="s">
        <v>0</v>
      </c>
      <c r="G45" s="44" t="s">
        <v>0</v>
      </c>
      <c r="I45" s="44" t="s">
        <v>0</v>
      </c>
      <c r="K45" s="47" t="s">
        <v>0</v>
      </c>
      <c r="M45" s="47" t="s">
        <v>0</v>
      </c>
      <c r="O45" s="47" t="s">
        <v>0</v>
      </c>
      <c r="Q45" s="47" t="s">
        <v>0</v>
      </c>
    </row>
    <row r="46" spans="1:21">
      <c r="A46" s="1" t="s">
        <v>289</v>
      </c>
      <c r="B46" s="12">
        <f>+somfinbilsys!B47</f>
        <v>678721.4</v>
      </c>
      <c r="C46" s="47">
        <f t="shared" ref="C46:C51" si="6">+B46/$B$21</f>
        <v>3.055673539413279E-2</v>
      </c>
      <c r="D46" s="12">
        <f>+somfinbilsys!D47</f>
        <v>0</v>
      </c>
      <c r="E46" s="44">
        <v>0</v>
      </c>
      <c r="F46" s="12">
        <f>+somfinbilsys!F47</f>
        <v>0</v>
      </c>
      <c r="G46" s="44">
        <v>0</v>
      </c>
      <c r="H46" s="12">
        <f>+somfinbilsys!H47</f>
        <v>0</v>
      </c>
      <c r="I46" s="44">
        <v>0</v>
      </c>
      <c r="J46" s="12">
        <f>+somfinbilsys!J47</f>
        <v>635084.80000000005</v>
      </c>
      <c r="K46" s="47">
        <f>+J46/$J$21</f>
        <v>3.0102825484411604E-2</v>
      </c>
      <c r="L46" s="12">
        <f>+somfinbilsys!L47</f>
        <v>634721.1</v>
      </c>
      <c r="M46" s="47">
        <f>+L46/$L$21</f>
        <v>3.4854796488499561E-2</v>
      </c>
      <c r="N46" s="12">
        <f>+somfinbilsys!N47</f>
        <v>429169.20000000007</v>
      </c>
      <c r="O46" s="47">
        <f>+N46/$N$21</f>
        <v>2.748060804822277E-2</v>
      </c>
      <c r="P46" s="12">
        <f>+somfinbilsys!P47</f>
        <v>298310.27499999997</v>
      </c>
      <c r="Q46" s="47">
        <f>+P46/$P$21</f>
        <v>2.2770999551182048E-2</v>
      </c>
    </row>
    <row r="47" spans="1:21">
      <c r="A47" s="1" t="s">
        <v>290</v>
      </c>
      <c r="B47" s="12">
        <f>+somfinbilsys!B48</f>
        <v>88488.200000000012</v>
      </c>
      <c r="C47" s="47">
        <f t="shared" si="6"/>
        <v>3.9838297612291313E-3</v>
      </c>
      <c r="D47" s="12">
        <f>+somfinbilsys!D48</f>
        <v>0</v>
      </c>
      <c r="E47" s="44">
        <v>0</v>
      </c>
      <c r="F47" s="12">
        <f>+somfinbilsys!F48</f>
        <v>0</v>
      </c>
      <c r="G47" s="44">
        <v>0</v>
      </c>
      <c r="H47" s="12">
        <f>+somfinbilsys!H48</f>
        <v>0</v>
      </c>
      <c r="I47" s="44">
        <v>0</v>
      </c>
      <c r="J47" s="12">
        <f>+somfinbilsys!J48</f>
        <v>74006.299999999988</v>
      </c>
      <c r="K47" s="47">
        <f>+J47/$J$21</f>
        <v>3.5078760090731347E-3</v>
      </c>
      <c r="L47" s="12">
        <f>+somfinbilsys!L48</f>
        <v>181098.3</v>
      </c>
      <c r="M47" s="47">
        <f>+L47/$L$21</f>
        <v>9.9447527282663824E-3</v>
      </c>
      <c r="N47" s="12">
        <f>+somfinbilsys!N48</f>
        <v>158077.30000000002</v>
      </c>
      <c r="O47" s="47">
        <f>+N47/$N$21</f>
        <v>1.0122022555722369E-2</v>
      </c>
      <c r="P47" s="12">
        <f>+somfinbilsys!P48</f>
        <v>134449.89238999999</v>
      </c>
      <c r="Q47" s="47">
        <f>+P47/$P$21</f>
        <v>1.0263000291455483E-2</v>
      </c>
    </row>
    <row r="48" spans="1:21">
      <c r="A48" s="1" t="s">
        <v>302</v>
      </c>
      <c r="B48" s="12">
        <f>+somfinbilsys!B49</f>
        <v>114087.70000000001</v>
      </c>
      <c r="C48" s="47">
        <f t="shared" si="6"/>
        <v>5.1363455765873946E-3</v>
      </c>
      <c r="D48" s="12">
        <f>+somfinbilsys!D49</f>
        <v>0</v>
      </c>
      <c r="E48" s="44">
        <v>0</v>
      </c>
      <c r="F48" s="12">
        <f>+somfinbilsys!F49</f>
        <v>0</v>
      </c>
      <c r="G48" s="44">
        <v>0</v>
      </c>
      <c r="H48" s="12">
        <f>+somfinbilsys!H49</f>
        <v>0</v>
      </c>
      <c r="I48" s="44">
        <v>0</v>
      </c>
      <c r="J48" s="12">
        <f>+somfinbilsys!J49</f>
        <v>102702.20000000001</v>
      </c>
      <c r="K48" s="47">
        <v>0</v>
      </c>
      <c r="L48" s="12">
        <f>+somfinbilsys!L49</f>
        <v>38338.400000000001</v>
      </c>
      <c r="M48" s="47">
        <v>0</v>
      </c>
      <c r="N48" s="12">
        <f>+somfinbilsys!N49</f>
        <v>21405.599999999999</v>
      </c>
      <c r="O48" s="47">
        <v>0</v>
      </c>
      <c r="P48" s="12">
        <v>0</v>
      </c>
      <c r="Q48" s="47">
        <v>0</v>
      </c>
    </row>
    <row r="49" spans="1:21" ht="18">
      <c r="A49" s="1" t="s">
        <v>292</v>
      </c>
      <c r="B49" s="221">
        <f>+somfinbilsys!B50</f>
        <v>248683.09999999998</v>
      </c>
      <c r="C49" s="236">
        <f t="shared" si="6"/>
        <v>1.1195968896358157E-2</v>
      </c>
      <c r="D49" s="221">
        <f>+somfinbilsys!D50</f>
        <v>0</v>
      </c>
      <c r="E49" s="545">
        <v>0</v>
      </c>
      <c r="F49" s="221">
        <f>+somfinbilsys!F50</f>
        <v>0</v>
      </c>
      <c r="G49" s="545">
        <v>0</v>
      </c>
      <c r="H49" s="221">
        <f>+somfinbilsys!H50</f>
        <v>0</v>
      </c>
      <c r="I49" s="545">
        <v>0</v>
      </c>
      <c r="J49" s="221">
        <f>+somfinbilsys!J50</f>
        <v>276697.5</v>
      </c>
      <c r="K49" s="236">
        <f>+J49/$J$21</f>
        <v>1.3115376961427797E-2</v>
      </c>
      <c r="L49" s="221">
        <f>+somfinbilsys!L50</f>
        <v>180747.7</v>
      </c>
      <c r="M49" s="236">
        <f>+L49/$L$21</f>
        <v>9.9255000334231413E-3</v>
      </c>
      <c r="N49" s="221">
        <f>+somfinbilsys!N50</f>
        <v>239718.7</v>
      </c>
      <c r="O49" s="236">
        <f>+N49/$N$21</f>
        <v>1.5349693399548473E-2</v>
      </c>
      <c r="P49" s="221">
        <f>+somfinbilsys!P50</f>
        <v>166156.55632</v>
      </c>
      <c r="Q49" s="236">
        <f>+P49/$P$21</f>
        <v>1.2683273713547666E-2</v>
      </c>
      <c r="R49" s="6"/>
      <c r="S49" s="7"/>
      <c r="T49" s="7"/>
      <c r="U49" s="7"/>
    </row>
    <row r="50" spans="1:21" ht="16.5" thickBot="1">
      <c r="A50" s="1" t="s">
        <v>275</v>
      </c>
      <c r="B50" s="76">
        <f>SUM(B46:B49)</f>
        <v>1129980.3999999999</v>
      </c>
      <c r="C50" s="231">
        <f t="shared" si="6"/>
        <v>5.0872879628307471E-2</v>
      </c>
      <c r="D50" s="76">
        <f>SUM(D46:D49)</f>
        <v>0</v>
      </c>
      <c r="E50" s="232">
        <v>0</v>
      </c>
      <c r="F50" s="76">
        <f>SUM(F46:F49)</f>
        <v>0</v>
      </c>
      <c r="G50" s="232">
        <v>0</v>
      </c>
      <c r="H50" s="76">
        <f>SUM(H46:H49)</f>
        <v>0</v>
      </c>
      <c r="I50" s="232">
        <v>0</v>
      </c>
      <c r="J50" s="76">
        <f>SUM(J46:J49)</f>
        <v>1088490.8</v>
      </c>
      <c r="K50" s="231">
        <f>+J50/$J$21</f>
        <v>5.1594131356611866E-2</v>
      </c>
      <c r="L50" s="76">
        <f>SUM(L46:L49)</f>
        <v>1034905.5</v>
      </c>
      <c r="M50" s="231">
        <f>+L50/$L$21</f>
        <v>5.6830347356230763E-2</v>
      </c>
      <c r="N50" s="76">
        <f>SUM(N46:N49)</f>
        <v>848370.8</v>
      </c>
      <c r="O50" s="231">
        <f>+N50/$N$21</f>
        <v>5.4322969668739472E-2</v>
      </c>
      <c r="P50" s="76">
        <f>SUM(P46:P49)</f>
        <v>598916.72370999993</v>
      </c>
      <c r="Q50" s="231">
        <f>+P50/$P$21</f>
        <v>4.5717273556185198E-2</v>
      </c>
    </row>
    <row r="51" spans="1:21">
      <c r="A51" s="1" t="s">
        <v>0</v>
      </c>
      <c r="B51" s="4">
        <f>(+B28+B34+B40+B42+B50)</f>
        <v>22211842.699999996</v>
      </c>
      <c r="C51" s="112">
        <f t="shared" si="6"/>
        <v>0.99999999999999978</v>
      </c>
      <c r="D51" s="4">
        <f>(+D28+D34+D40+D42+D50)</f>
        <v>0</v>
      </c>
      <c r="E51" s="42">
        <v>0</v>
      </c>
      <c r="F51" s="4">
        <f>+F28+F34+F40+F42+F50</f>
        <v>0</v>
      </c>
      <c r="G51" s="42">
        <v>0</v>
      </c>
      <c r="H51" s="4">
        <f>+H28+H34+H40+H42+H50</f>
        <v>0</v>
      </c>
      <c r="I51" s="42">
        <v>0</v>
      </c>
      <c r="J51" s="4">
        <f>+J28+J34+J40+J42+J50</f>
        <v>21097182.399999999</v>
      </c>
      <c r="K51" s="112">
        <f>+J51/$J$21</f>
        <v>0.99999999999999978</v>
      </c>
      <c r="L51" s="4">
        <f>+L28+L34+L40+L42+L50+0.3</f>
        <v>18210438</v>
      </c>
      <c r="M51" s="112">
        <f>+L51/$L$21</f>
        <v>1.0000000164740686</v>
      </c>
      <c r="N51" s="4">
        <f>+N28+N34+N40+N42+N50</f>
        <v>15617165.700000003</v>
      </c>
      <c r="O51" s="112">
        <f>+N51/$N$21</f>
        <v>1.0000000219630127</v>
      </c>
      <c r="P51" s="4">
        <f>+P28+P34+P40+P42+P50</f>
        <v>13100447.108440002</v>
      </c>
      <c r="Q51" s="112">
        <f>+P51/$P$21</f>
        <v>1.0000000007595162</v>
      </c>
    </row>
    <row r="54" spans="1:21">
      <c r="B54"/>
      <c r="C54"/>
      <c r="D54"/>
      <c r="E54"/>
      <c r="F54"/>
      <c r="G54"/>
      <c r="H54"/>
      <c r="I54"/>
      <c r="J54"/>
      <c r="K54"/>
      <c r="L54"/>
      <c r="M54"/>
      <c r="N54"/>
      <c r="O54"/>
      <c r="P54"/>
      <c r="Q54"/>
      <c r="R54"/>
    </row>
    <row r="55" spans="1:21">
      <c r="B55"/>
      <c r="C55"/>
      <c r="D55"/>
      <c r="E55"/>
      <c r="F55"/>
      <c r="G55"/>
      <c r="H55"/>
      <c r="I55"/>
      <c r="J55"/>
      <c r="K55"/>
      <c r="L55"/>
      <c r="M55"/>
      <c r="N55"/>
      <c r="O55"/>
      <c r="P55"/>
      <c r="Q55"/>
      <c r="R55"/>
    </row>
    <row r="56" spans="1:21">
      <c r="A56" s="185" t="s">
        <v>293</v>
      </c>
      <c r="B56"/>
      <c r="C56"/>
      <c r="D56"/>
      <c r="E56"/>
      <c r="F56"/>
      <c r="G56"/>
      <c r="H56"/>
      <c r="I56"/>
      <c r="J56"/>
      <c r="K56"/>
      <c r="L56"/>
      <c r="M56"/>
      <c r="N56"/>
      <c r="O56"/>
      <c r="P56"/>
      <c r="Q56"/>
      <c r="R56"/>
    </row>
    <row r="57" spans="1:21">
      <c r="A57" t="s">
        <v>294</v>
      </c>
      <c r="B57" s="3">
        <f>+somfinbilsys!B56</f>
        <v>39176.699999999997</v>
      </c>
      <c r="C57"/>
      <c r="D57" s="3">
        <f>+somfinbilsys!D56</f>
        <v>0</v>
      </c>
      <c r="E57"/>
      <c r="F57" s="3">
        <f>+somfinbilsys!F56</f>
        <v>0</v>
      </c>
      <c r="G57"/>
      <c r="H57" s="3">
        <f>+somfinbilsys!H56</f>
        <v>0</v>
      </c>
      <c r="I57"/>
      <c r="J57" s="3">
        <f>+somfinbilsys!J56</f>
        <v>58614</v>
      </c>
      <c r="K57"/>
      <c r="L57" s="3">
        <f>+somfinbilsys!L56</f>
        <v>123599.7</v>
      </c>
      <c r="M57"/>
      <c r="N57" s="3">
        <f>+somfinbilsys!N56</f>
        <v>52343.08</v>
      </c>
      <c r="O57"/>
      <c r="P57" s="3">
        <f>+somfinbilsys!P56</f>
        <v>78152.564279999991</v>
      </c>
      <c r="Q57"/>
      <c r="R57"/>
    </row>
    <row r="58" spans="1:21">
      <c r="A58" t="s">
        <v>295</v>
      </c>
      <c r="B58" s="3">
        <f>+somfinbilsys!B57</f>
        <v>513736.29999999993</v>
      </c>
      <c r="C58"/>
      <c r="D58" s="3">
        <f>+somfinbilsys!D57</f>
        <v>0</v>
      </c>
      <c r="E58"/>
      <c r="F58" s="3">
        <f>+somfinbilsys!F57</f>
        <v>0</v>
      </c>
      <c r="G58"/>
      <c r="H58" s="3">
        <f>+somfinbilsys!H57</f>
        <v>0</v>
      </c>
      <c r="I58"/>
      <c r="J58" s="3">
        <f>+somfinbilsys!J57</f>
        <v>491063.1</v>
      </c>
      <c r="K58"/>
      <c r="L58" s="3">
        <f>+somfinbilsys!L57</f>
        <v>239712.09999999998</v>
      </c>
      <c r="M58"/>
      <c r="N58" s="3">
        <f>+somfinbilsys!N57</f>
        <v>622056.20000000007</v>
      </c>
      <c r="O58"/>
      <c r="P58" s="3">
        <f>+somfinbilsys!P57</f>
        <v>264524.76287999999</v>
      </c>
      <c r="Q58"/>
      <c r="R58"/>
    </row>
    <row r="59" spans="1:21">
      <c r="A59" t="s">
        <v>284</v>
      </c>
      <c r="B59" s="3">
        <f>+somfinbilsys!B58</f>
        <v>715247.69999999984</v>
      </c>
      <c r="C59"/>
      <c r="D59" s="3">
        <f>+somfinbilsys!D58</f>
        <v>0</v>
      </c>
      <c r="E59"/>
      <c r="F59" s="3">
        <f>+somfinbilsys!F58</f>
        <v>0</v>
      </c>
      <c r="G59"/>
      <c r="H59" s="3">
        <f>+somfinbilsys!H58</f>
        <v>0</v>
      </c>
      <c r="I59"/>
      <c r="J59" s="3">
        <f>+somfinbilsys!J58</f>
        <v>673206.7</v>
      </c>
      <c r="K59"/>
      <c r="L59" s="3">
        <f>+somfinbilsys!L58</f>
        <v>663383.1</v>
      </c>
      <c r="M59"/>
      <c r="N59" s="3">
        <f>+somfinbilsys!N58</f>
        <v>770114.91999999993</v>
      </c>
      <c r="O59"/>
      <c r="P59" s="3">
        <f>+somfinbilsys!P58</f>
        <v>544274.81371999998</v>
      </c>
      <c r="Q59"/>
      <c r="R59"/>
    </row>
    <row r="60" spans="1:21">
      <c r="B60" s="3"/>
      <c r="C60"/>
      <c r="D60" s="3"/>
      <c r="E60"/>
      <c r="F60" s="3"/>
      <c r="G60"/>
      <c r="H60" s="3"/>
      <c r="I60"/>
      <c r="J60" s="3"/>
      <c r="K60"/>
      <c r="L60" s="3"/>
      <c r="M60"/>
      <c r="N60" s="3"/>
      <c r="O60"/>
      <c r="P60" s="3"/>
      <c r="Q60"/>
      <c r="R60"/>
    </row>
    <row r="61" spans="1:21" ht="18.75">
      <c r="A61" s="122" t="s">
        <v>303</v>
      </c>
      <c r="B61" s="3">
        <f>+somfinbilsys!B60</f>
        <v>9425395.1999999993</v>
      </c>
      <c r="C61"/>
      <c r="D61" s="3">
        <f>+somfinbilsys!D60</f>
        <v>0</v>
      </c>
      <c r="E61"/>
      <c r="F61" s="3">
        <f>+somfinbilsys!F60</f>
        <v>0</v>
      </c>
      <c r="G61"/>
      <c r="H61" s="3">
        <f>+somfinbilsys!H60</f>
        <v>0</v>
      </c>
      <c r="I61"/>
      <c r="J61" s="3">
        <f>+somfinbilsys!J60</f>
        <v>8990820.1000000015</v>
      </c>
      <c r="K61"/>
      <c r="L61" s="3">
        <f>+somfinbilsys!L60</f>
        <v>8367548.3000000007</v>
      </c>
      <c r="M61"/>
      <c r="N61" s="3">
        <f>+somfinbilsys!N60</f>
        <v>7215919.5999999996</v>
      </c>
      <c r="O61"/>
      <c r="P61" s="3">
        <f>+somfinbilsys!P60</f>
        <v>5249297.1464999998</v>
      </c>
      <c r="Q61"/>
      <c r="R61"/>
    </row>
    <row r="62" spans="1:21">
      <c r="A62" s="102" t="s">
        <v>217</v>
      </c>
      <c r="B62" s="3">
        <f>+somfinbilsys!B61</f>
        <v>461371.9</v>
      </c>
      <c r="C62"/>
      <c r="D62" s="3">
        <f>+somfinbilsys!D61</f>
        <v>0</v>
      </c>
      <c r="E62"/>
      <c r="F62" s="3">
        <f>+somfinbilsys!F61</f>
        <v>0</v>
      </c>
      <c r="G62"/>
      <c r="H62" s="3">
        <f>+somfinbilsys!H61</f>
        <v>0</v>
      </c>
      <c r="I62"/>
      <c r="J62" s="3">
        <f>+somfinbilsys!J61</f>
        <v>444412.5</v>
      </c>
      <c r="K62"/>
      <c r="L62" s="3">
        <f>+somfinbilsys!L61</f>
        <v>403851.5</v>
      </c>
      <c r="M62"/>
      <c r="N62" s="3">
        <f>+somfinbilsys!N61</f>
        <v>279177.90000000002</v>
      </c>
      <c r="O62"/>
      <c r="P62" s="3">
        <f>+somfinbilsys!P61</f>
        <v>238402.99343999999</v>
      </c>
      <c r="Q62"/>
      <c r="R62"/>
    </row>
    <row r="63" spans="1:21">
      <c r="A63" t="s">
        <v>297</v>
      </c>
      <c r="B63" s="3">
        <f>+somfinbilsys!B62</f>
        <v>806809.2</v>
      </c>
      <c r="C63"/>
      <c r="D63" s="3">
        <f>+somfinbilsys!D62</f>
        <v>0</v>
      </c>
      <c r="E63"/>
      <c r="F63" s="3">
        <f>+somfinbilsys!F62</f>
        <v>0</v>
      </c>
      <c r="G63"/>
      <c r="H63" s="3">
        <f>+somfinbilsys!H62</f>
        <v>0</v>
      </c>
      <c r="I63"/>
      <c r="J63" s="3">
        <f>+somfinbilsys!J62</f>
        <v>713205.2</v>
      </c>
      <c r="K63"/>
      <c r="L63" s="3">
        <f>+somfinbilsys!L62</f>
        <v>718611.6</v>
      </c>
      <c r="M63"/>
      <c r="N63" s="3">
        <f>+somfinbilsys!N62</f>
        <v>351160.2</v>
      </c>
      <c r="O63"/>
      <c r="P63" s="3">
        <f>+somfinbilsys!P62</f>
        <v>248759.29691999999</v>
      </c>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row r="156" spans="2:18">
      <c r="B156"/>
      <c r="C156"/>
      <c r="D156"/>
      <c r="E156"/>
      <c r="F156"/>
      <c r="G156"/>
      <c r="H156"/>
      <c r="I156"/>
      <c r="J156"/>
      <c r="K156"/>
      <c r="L156"/>
      <c r="M156"/>
      <c r="N156"/>
      <c r="O156"/>
      <c r="P156"/>
      <c r="Q156"/>
      <c r="R156"/>
    </row>
  </sheetData>
  <pageMargins left="0.34" right="0.23" top="1" bottom="0.85" header="0.5" footer="0.5"/>
  <pageSetup scale="48" orientation="landscape" r:id="rId1"/>
  <headerFooter alignWithMargins="0">
    <oddFooter>&amp;R&amp;16&amp;P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1"/>
  <sheetViews>
    <sheetView workbookViewId="0"/>
  </sheetViews>
  <sheetFormatPr defaultRowHeight="15.75"/>
  <cols>
    <col min="1" max="1" width="33.25" customWidth="1"/>
    <col min="2" max="2" width="17.875" style="12" customWidth="1"/>
    <col min="3" max="3" width="15.75" style="13" customWidth="1"/>
    <col min="4" max="4" width="15.75" style="12" customWidth="1"/>
    <col min="5" max="5" width="14.5" style="13" customWidth="1"/>
    <col min="6" max="6" width="10" style="12" customWidth="1"/>
    <col min="7" max="7" width="11" style="13" customWidth="1"/>
    <col min="8" max="8" width="18.5"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304</v>
      </c>
      <c r="B1" s="37"/>
      <c r="C1" s="38"/>
      <c r="D1" s="37"/>
      <c r="E1" s="38"/>
      <c r="F1" s="37"/>
      <c r="G1" s="38"/>
      <c r="H1" s="37"/>
      <c r="I1" s="37"/>
      <c r="J1" s="38"/>
      <c r="K1" s="37"/>
    </row>
    <row r="2" spans="1:15">
      <c r="A2" s="114" t="s">
        <v>164</v>
      </c>
      <c r="B2" s="37"/>
      <c r="C2" s="38"/>
      <c r="D2" s="37"/>
      <c r="E2" s="38"/>
      <c r="F2" s="37"/>
      <c r="G2" s="38"/>
      <c r="H2" s="37"/>
      <c r="I2" s="37"/>
      <c r="J2" s="38"/>
      <c r="K2" s="37"/>
    </row>
    <row r="3" spans="1:15">
      <c r="A3" s="114" t="s">
        <v>305</v>
      </c>
      <c r="B3" s="37"/>
      <c r="C3" s="38"/>
      <c r="D3" s="37"/>
      <c r="E3" s="38"/>
      <c r="F3" s="37"/>
      <c r="G3" s="38"/>
      <c r="H3" s="37"/>
      <c r="I3" s="37"/>
      <c r="J3" s="38"/>
      <c r="K3" s="37"/>
    </row>
    <row r="4" spans="1:15">
      <c r="A4" s="114" t="s">
        <v>306</v>
      </c>
      <c r="B4" s="37"/>
      <c r="C4" s="38"/>
      <c r="D4" s="37"/>
      <c r="E4" s="38"/>
      <c r="F4" s="37"/>
      <c r="G4" s="38"/>
      <c r="H4" s="37"/>
      <c r="I4" s="37"/>
      <c r="J4" s="38"/>
      <c r="K4" s="37"/>
    </row>
    <row r="5" spans="1:15">
      <c r="A5" s="114" t="s">
        <v>179</v>
      </c>
      <c r="B5" s="37"/>
      <c r="C5" s="38"/>
      <c r="D5" s="37"/>
      <c r="E5" s="38"/>
      <c r="F5" s="37"/>
      <c r="G5" s="38"/>
      <c r="H5" s="37"/>
      <c r="I5" s="37"/>
      <c r="J5" s="38"/>
      <c r="K5" s="37"/>
    </row>
    <row r="6" spans="1:15">
      <c r="B6" s="238" t="s">
        <v>0</v>
      </c>
      <c r="C6" s="215"/>
      <c r="D6" s="216"/>
    </row>
    <row r="7" spans="1:15" ht="16.5" thickBot="1">
      <c r="B7" s="429" t="s">
        <v>307</v>
      </c>
      <c r="C7" s="38"/>
      <c r="D7" s="37"/>
      <c r="E7" s="38"/>
      <c r="H7" s="377" t="s">
        <v>308</v>
      </c>
      <c r="I7" s="215"/>
      <c r="J7" s="216"/>
      <c r="K7" s="37"/>
    </row>
    <row r="8" spans="1:15" ht="16.5" thickTop="1">
      <c r="A8" s="87" t="s">
        <v>243</v>
      </c>
      <c r="B8" s="402" t="s">
        <v>309</v>
      </c>
      <c r="C8" s="403" t="s">
        <v>310</v>
      </c>
      <c r="D8" s="408" t="s">
        <v>311</v>
      </c>
      <c r="E8" s="407" t="s">
        <v>312</v>
      </c>
      <c r="F8" s="125" t="s">
        <v>0</v>
      </c>
      <c r="G8" s="124" t="s">
        <v>0</v>
      </c>
      <c r="H8" s="402" t="s">
        <v>313</v>
      </c>
      <c r="I8" s="404" t="s">
        <v>310</v>
      </c>
      <c r="J8" s="406" t="s">
        <v>311</v>
      </c>
      <c r="K8" s="407" t="s">
        <v>312</v>
      </c>
      <c r="L8" s="14"/>
      <c r="M8" s="9"/>
      <c r="N8" s="9"/>
      <c r="O8" s="9"/>
    </row>
    <row r="9" spans="1:15">
      <c r="A9" s="1" t="s">
        <v>264</v>
      </c>
      <c r="B9" s="126"/>
      <c r="C9" s="127"/>
      <c r="D9" s="365"/>
      <c r="E9" s="372" t="s">
        <v>0</v>
      </c>
      <c r="H9" s="135"/>
      <c r="I9" s="78"/>
      <c r="J9" s="370" t="s">
        <v>0</v>
      </c>
      <c r="K9" s="372" t="s">
        <v>0</v>
      </c>
    </row>
    <row r="10" spans="1:15">
      <c r="A10" s="1" t="s">
        <v>265</v>
      </c>
      <c r="B10" s="129">
        <f>+'bilsysbandéc.99$ '!R10</f>
        <v>574470.60000000009</v>
      </c>
      <c r="C10" s="92">
        <f>+'bilsysbandéc.99gdes '!R10</f>
        <v>772234.39999999991</v>
      </c>
      <c r="D10" s="366">
        <f t="shared" ref="D10:D15" si="0">SUM(B10:C10)</f>
        <v>1346705</v>
      </c>
      <c r="E10" s="373">
        <f t="shared" ref="E10:E15" si="1">+B10/D10</f>
        <v>0.42657493660452739</v>
      </c>
      <c r="F10" s="88" t="s">
        <v>0</v>
      </c>
      <c r="G10" s="100" t="s">
        <v>0</v>
      </c>
      <c r="H10" s="129">
        <f>+'bichgdes&amp;$'!H10+'bidcgdes&amp;$ '!H10+'bncgdes&amp;$ '!H10+'bphgdes&amp;$'!H10+'buhgdes&amp;$'!H10+'capitalbkgdes&amp;$'!H10+'cbnagdes&amp;$'!H10++'promobkgdes&amp;$'!H10+'scotiagdes&amp;$'!H10+'socabkgdes&amp;$ '!H10+'sogebkgdes&amp;$  '!H10+'sgbelgdes&amp;$'!H10+'unibkgdes&amp;$'!H10+'bmhgdes&amp;$'!H10</f>
        <v>324914.39999999997</v>
      </c>
      <c r="I10" s="92">
        <f>+'bichgdes&amp;$'!I10+'bidcgdes&amp;$ '!I10+'bncgdes&amp;$ '!I10+'bphgdes&amp;$'!I10+'buhgdes&amp;$'!I10+'capitalbkgdes&amp;$'!I10+'cbnagdes&amp;$'!I10+'promobkgdes&amp;$'!I10+'scotiagdes&amp;$'!I10+'socabkgdes&amp;$ '!I10+'sogebkgdes&amp;$  '!I10+'sgbelgdes&amp;$'!I10+'unibkgdes&amp;$'!I10+'bmhgdes&amp;$'!I10</f>
        <v>734583.8</v>
      </c>
      <c r="J10" s="366">
        <f t="shared" ref="J10:J15" si="2">SUM(H10:I10)</f>
        <v>1059498.2</v>
      </c>
      <c r="K10" s="373">
        <f t="shared" ref="K10:K15" si="3">+H10/J10</f>
        <v>0.30666819443393106</v>
      </c>
    </row>
    <row r="11" spans="1:15">
      <c r="A11" s="1" t="s">
        <v>266</v>
      </c>
      <c r="B11" s="129">
        <f>+'bilsysbandéc.99$ '!R11</f>
        <v>306865.30000000005</v>
      </c>
      <c r="C11" s="92">
        <f>+'bilsysbandéc.99gdes '!R11</f>
        <v>3571939.3000000003</v>
      </c>
      <c r="D11" s="366">
        <f t="shared" si="0"/>
        <v>3878804.6000000006</v>
      </c>
      <c r="E11" s="373">
        <f t="shared" si="1"/>
        <v>7.9113369103460382E-2</v>
      </c>
      <c r="F11" s="88" t="s">
        <v>0</v>
      </c>
      <c r="G11" s="100" t="s">
        <v>0</v>
      </c>
      <c r="H11" s="129">
        <f>+'bichgdes&amp;$'!H11+'bidcgdes&amp;$ '!H11+'bncgdes&amp;$ '!H11+'bphgdes&amp;$'!H11+'buhgdes&amp;$'!H11+'capitalbkgdes&amp;$'!H11+'cbnagdes&amp;$'!H11++'promobkgdes&amp;$'!H11+'scotiagdes&amp;$'!H11+'socabkgdes&amp;$ '!H11+'sogebkgdes&amp;$  '!H11+'sgbelgdes&amp;$'!H11+'unibkgdes&amp;$'!H11+'bmhgdes&amp;$'!H11</f>
        <v>209491.5</v>
      </c>
      <c r="I11" s="92">
        <f>+'bichgdes&amp;$'!I11+'bidcgdes&amp;$ '!I11+'bncgdes&amp;$ '!I11+'bphgdes&amp;$'!I11+'buhgdes&amp;$'!I11+'capitalbkgdes&amp;$'!I11+'cbnagdes&amp;$'!I11+'promobkgdes&amp;$'!I11+'scotiagdes&amp;$'!I11+'socabkgdes&amp;$ '!I11+'sogebkgdes&amp;$  '!I11+'sgbelgdes&amp;$'!I11+'unibkgdes&amp;$'!I11+'bmhgdes&amp;$'!I11</f>
        <v>3062187.1</v>
      </c>
      <c r="J11" s="366">
        <f t="shared" si="2"/>
        <v>3271678.6</v>
      </c>
      <c r="K11" s="373">
        <f t="shared" si="3"/>
        <v>6.4031809237007575E-2</v>
      </c>
    </row>
    <row r="12" spans="1:15">
      <c r="A12" s="1" t="s">
        <v>267</v>
      </c>
      <c r="B12" s="129">
        <f>+'bilsysbandéc.99$ '!R12</f>
        <v>1135838.7</v>
      </c>
      <c r="C12" s="92">
        <f>+'bilsysbandéc.99gdes '!R12</f>
        <v>-28</v>
      </c>
      <c r="D12" s="366">
        <f t="shared" si="0"/>
        <v>1135810.7</v>
      </c>
      <c r="E12" s="373">
        <f t="shared" si="1"/>
        <v>1.0000246519952665</v>
      </c>
      <c r="F12" s="88" t="s">
        <v>0</v>
      </c>
      <c r="G12" s="100" t="s">
        <v>0</v>
      </c>
      <c r="H12" s="129">
        <f>+'bichgdes&amp;$'!H12+'bidcgdes&amp;$ '!H12+'bncgdes&amp;$ '!H12+'bphgdes&amp;$'!H12+'buhgdes&amp;$'!H12+'capitalbkgdes&amp;$'!H12+'cbnagdes&amp;$'!H12++'promobkgdes&amp;$'!H12+'scotiagdes&amp;$'!H12+'socabkgdes&amp;$ '!H12+'sogebkgdes&amp;$  '!H12+'sgbelgdes&amp;$'!H12+'unibkgdes&amp;$'!H12+'bmhgdes&amp;$'!H12</f>
        <v>872115.5</v>
      </c>
      <c r="I12" s="92">
        <f>+'bichgdes&amp;$'!I12+'bidcgdes&amp;$ '!I12+'bncgdes&amp;$ '!I12+'bphgdes&amp;$'!I12+'buhgdes&amp;$'!I12+'capitalbkgdes&amp;$'!I12+'cbnagdes&amp;$'!I12+'promobkgdes&amp;$'!I12+'scotiagdes&amp;$'!I12+'socabkgdes&amp;$ '!I12+'sogebkgdes&amp;$  '!I12+'sgbelgdes&amp;$'!I12+'unibkgdes&amp;$'!I12+'bmhgdes&amp;$'!I12</f>
        <v>0</v>
      </c>
      <c r="J12" s="366">
        <f t="shared" si="2"/>
        <v>872115.5</v>
      </c>
      <c r="K12" s="373">
        <f t="shared" si="3"/>
        <v>1</v>
      </c>
    </row>
    <row r="13" spans="1:15">
      <c r="A13" s="1" t="s">
        <v>268</v>
      </c>
      <c r="B13" s="129">
        <f>+'bilsysbandéc.99$ '!R13</f>
        <v>12143.400000000001</v>
      </c>
      <c r="C13" s="92">
        <f>+'bilsysbandéc.99gdes '!R13</f>
        <v>185426.8</v>
      </c>
      <c r="D13" s="366">
        <f t="shared" si="0"/>
        <v>197570.19999999998</v>
      </c>
      <c r="E13" s="373">
        <f t="shared" si="1"/>
        <v>6.1463722767907319E-2</v>
      </c>
      <c r="F13" s="88" t="s">
        <v>0</v>
      </c>
      <c r="G13" s="100" t="s">
        <v>0</v>
      </c>
      <c r="H13" s="129">
        <f>+'bichgdes&amp;$'!H13+'bidcgdes&amp;$ '!H13+'bncgdes&amp;$ '!H13+'bphgdes&amp;$'!H13+'buhgdes&amp;$'!H13+'capitalbkgdes&amp;$'!H13+'cbnagdes&amp;$'!H13++'promobkgdes&amp;$'!H13+'scotiagdes&amp;$'!H13+'socabkgdes&amp;$ '!H13+'sogebkgdes&amp;$  '!H13+'sgbelgdes&amp;$'!H13+'unibkgdes&amp;$'!H13+'bmhgdes&amp;$'!H13</f>
        <v>30185.7</v>
      </c>
      <c r="I13" s="92">
        <f>+'bichgdes&amp;$'!I13+'bidcgdes&amp;$ '!I13+'bncgdes&amp;$ '!I13+'bphgdes&amp;$'!I13+'buhgdes&amp;$'!I13+'capitalbkgdes&amp;$'!I13+'cbnagdes&amp;$'!I13+'promobkgdes&amp;$'!I13+'scotiagdes&amp;$'!I13+'socabkgdes&amp;$ '!I13+'sogebkgdes&amp;$  '!I13+'sgbelgdes&amp;$'!I13+'unibkgdes&amp;$'!I13+'bmhgdes&amp;$'!I13</f>
        <v>210145.4</v>
      </c>
      <c r="J13" s="366">
        <f t="shared" si="2"/>
        <v>240331.1</v>
      </c>
      <c r="K13" s="373">
        <f t="shared" si="3"/>
        <v>0.1256004736798525</v>
      </c>
    </row>
    <row r="14" spans="1:15">
      <c r="A14" s="1" t="s">
        <v>269</v>
      </c>
      <c r="B14" s="920">
        <f>+'bilsysbandéc.99$ '!R14</f>
        <v>258068.90000000002</v>
      </c>
      <c r="C14" s="221">
        <f>+'bilsysbandéc.99gdes '!R14</f>
        <v>285109.30000000005</v>
      </c>
      <c r="D14" s="940">
        <f t="shared" si="0"/>
        <v>543178.20000000007</v>
      </c>
      <c r="E14" s="373">
        <f t="shared" si="1"/>
        <v>0.47510908942958313</v>
      </c>
      <c r="F14" s="88" t="s">
        <v>0</v>
      </c>
      <c r="G14" s="100" t="s">
        <v>0</v>
      </c>
      <c r="H14" s="920">
        <f>+'bichgdes&amp;$'!H14+'bidcgdes&amp;$ '!H14+'bncgdes&amp;$ '!H14+'bphgdes&amp;$'!H14+'buhgdes&amp;$'!H14+'capitalbkgdes&amp;$'!H14+'cbnagdes&amp;$'!H14++'promobkgdes&amp;$'!H14+'scotiagdes&amp;$'!H14+'socabkgdes&amp;$ '!H14+'sogebkgdes&amp;$  '!H14+'sgbelgdes&amp;$'!H14+'unibkgdes&amp;$'!H14+'bmhgdes&amp;$'!H14</f>
        <v>261976.5</v>
      </c>
      <c r="I14" s="221">
        <f>+'bichgdes&amp;$'!I14+'bidcgdes&amp;$ '!I14+'bncgdes&amp;$ '!I14+'bphgdes&amp;$'!I14+'buhgdes&amp;$'!I14+'capitalbkgdes&amp;$'!I14+'cbnagdes&amp;$'!I14+'promobkgdes&amp;$'!I14+'scotiagdes&amp;$'!I14+'socabkgdes&amp;$ '!I14+'sogebkgdes&amp;$  '!I14+'sgbelgdes&amp;$'!I14+'unibkgdes&amp;$'!I14+'bmhgdes&amp;$'!I14</f>
        <v>206086</v>
      </c>
      <c r="J14" s="940">
        <f t="shared" si="2"/>
        <v>468062.5</v>
      </c>
      <c r="K14" s="373">
        <f t="shared" si="3"/>
        <v>0.55970409934570708</v>
      </c>
    </row>
    <row r="15" spans="1:15" ht="15.6" customHeight="1">
      <c r="A15" s="1"/>
      <c r="B15" s="129">
        <f>SUM(B10:B14)</f>
        <v>2287386.9</v>
      </c>
      <c r="C15" s="92">
        <f>SUM(C10:C14)</f>
        <v>4814681.8</v>
      </c>
      <c r="D15" s="366">
        <f t="shared" si="0"/>
        <v>7102068.6999999993</v>
      </c>
      <c r="E15" s="373">
        <f t="shared" si="1"/>
        <v>0.32207332773336877</v>
      </c>
      <c r="F15" s="88" t="s">
        <v>0</v>
      </c>
      <c r="G15" s="100" t="s">
        <v>0</v>
      </c>
      <c r="H15" s="129">
        <f>SUM(H10:H14)</f>
        <v>1698683.5999999999</v>
      </c>
      <c r="I15" s="92">
        <f>SUM(I10:I14)</f>
        <v>4213002.3000000007</v>
      </c>
      <c r="J15" s="366">
        <f t="shared" si="2"/>
        <v>5911685.9000000004</v>
      </c>
      <c r="K15" s="373">
        <f t="shared" si="3"/>
        <v>0.28734334481471685</v>
      </c>
    </row>
    <row r="16" spans="1:15" ht="7.9" customHeight="1">
      <c r="A16" s="1"/>
      <c r="B16" s="129"/>
      <c r="C16" s="93" t="s">
        <v>0</v>
      </c>
      <c r="D16" s="366"/>
      <c r="E16" s="373" t="s">
        <v>0</v>
      </c>
      <c r="F16" s="88"/>
      <c r="G16" s="100" t="s">
        <v>0</v>
      </c>
      <c r="H16" s="129"/>
      <c r="I16" s="92"/>
      <c r="J16" s="371" t="s">
        <v>0</v>
      </c>
      <c r="K16" s="373" t="s">
        <v>0</v>
      </c>
    </row>
    <row r="17" spans="1:11" ht="15.6" customHeight="1">
      <c r="A17" s="1" t="s">
        <v>270</v>
      </c>
      <c r="B17" s="129">
        <f>+'bilsysbandéc.99$ '!R17</f>
        <v>0</v>
      </c>
      <c r="C17" s="92">
        <f>+'bilsysbandéc.99gdes '!R17</f>
        <v>2281970</v>
      </c>
      <c r="D17" s="366">
        <f t="shared" ref="D17:D22" si="4">SUM(B17:C17)</f>
        <v>2281970</v>
      </c>
      <c r="E17" s="136">
        <f>+B17/D17</f>
        <v>0</v>
      </c>
      <c r="F17"/>
      <c r="G17"/>
      <c r="H17" s="129">
        <f>+'bichgdes&amp;$'!H17+'bidcgdes&amp;$ '!H17+'bncgdes&amp;$ '!H17+'bphgdes&amp;$'!H17+'buhgdes&amp;$'!H17+'capitalbkgdes&amp;$'!H17+'cbnagdes&amp;$'!H17++'promobkgdes&amp;$'!H17+'scotiagdes&amp;$'!H17+'socabkgdes&amp;$ '!H17+'sogebkgdes&amp;$  '!H17+'sgbelgdes&amp;$'!H17+'unibkgdes&amp;$'!H17+'bmhgdes&amp;$'!H17</f>
        <v>0</v>
      </c>
      <c r="I17" s="92">
        <f>+'bichgdes&amp;$'!I17+'bidcgdes&amp;$ '!I17+'bncgdes&amp;$ '!I17+'bphgdes&amp;$'!I17+'buhgdes&amp;$'!I17+'capitalbkgdes&amp;$'!I17+'cbnagdes&amp;$'!I17+'promobkgdes&amp;$'!I17+'scotiagdes&amp;$'!I17+'socabkgdes&amp;$ '!I17+'sogebkgdes&amp;$  '!I17+'sgbelgdes&amp;$'!I17+'unibkgdes&amp;$'!I17+'bmhgdes&amp;$'!I17</f>
        <v>3099604</v>
      </c>
      <c r="J17" s="366">
        <f t="shared" ref="J17:J22" si="5">SUM(H17:I17)</f>
        <v>3099604</v>
      </c>
      <c r="K17" s="136">
        <f t="shared" ref="K17:K22" si="6">+H17/J17</f>
        <v>0</v>
      </c>
    </row>
    <row r="18" spans="1:11">
      <c r="A18" s="1" t="s">
        <v>271</v>
      </c>
      <c r="B18" s="129">
        <f>+'bilsysbandéc.99$ '!R18</f>
        <v>817478.2</v>
      </c>
      <c r="C18" s="92">
        <f>+'bilsysbandéc.99gdes '!R18</f>
        <v>646052.89999999991</v>
      </c>
      <c r="D18" s="366">
        <f t="shared" si="4"/>
        <v>1463531.0999999999</v>
      </c>
      <c r="E18" s="373">
        <f>+B18/D18</f>
        <v>0.55856564988608715</v>
      </c>
      <c r="F18"/>
      <c r="G18"/>
      <c r="H18" s="129">
        <f>+'bichgdes&amp;$'!H18+'bidcgdes&amp;$ '!H18+'bncgdes&amp;$ '!H18+'bphgdes&amp;$'!H18+'buhgdes&amp;$'!H18+'capitalbkgdes&amp;$'!H18+'cbnagdes&amp;$'!H18++'promobkgdes&amp;$'!H18+'scotiagdes&amp;$'!H18+'socabkgdes&amp;$ '!H18+'sogebkgdes&amp;$  '!H18+'sgbelgdes&amp;$'!H18+'unibkgdes&amp;$'!H18+'bmhgdes&amp;$'!H18</f>
        <v>791970.2</v>
      </c>
      <c r="I18" s="92">
        <f>+'bichgdes&amp;$'!I18+'bidcgdes&amp;$ '!I18+'bncgdes&amp;$ '!I18+'bphgdes&amp;$'!I18+'buhgdes&amp;$'!I18+'capitalbkgdes&amp;$'!I18+'cbnagdes&amp;$'!I18+'promobkgdes&amp;$'!I18+'scotiagdes&amp;$'!I18+'socabkgdes&amp;$ '!I18+'sogebkgdes&amp;$  '!I18+'sgbelgdes&amp;$'!I18+'unibkgdes&amp;$'!I18+'bmhgdes&amp;$'!I18</f>
        <v>577183.5</v>
      </c>
      <c r="J18" s="366">
        <f t="shared" si="5"/>
        <v>1369153.7</v>
      </c>
      <c r="K18" s="373">
        <f t="shared" si="6"/>
        <v>0.57843776049394602</v>
      </c>
    </row>
    <row r="19" spans="1:11">
      <c r="A19" s="1" t="s">
        <v>314</v>
      </c>
      <c r="B19" s="129">
        <f>+'bilsysbandéc.99$ '!R19</f>
        <v>3691368</v>
      </c>
      <c r="C19" s="92">
        <f>+'bilsysbandéc.99gdes '!R19</f>
        <v>5272655.3999999994</v>
      </c>
      <c r="D19" s="366">
        <f t="shared" si="4"/>
        <v>8964023.3999999985</v>
      </c>
      <c r="E19" s="373">
        <f>+B19/D19</f>
        <v>0.41179812181213188</v>
      </c>
      <c r="F19"/>
      <c r="G19"/>
      <c r="H19" s="129">
        <f>+'bichgdes&amp;$'!H19+'bidcgdes&amp;$ '!H19+'bncgdes&amp;$ '!H19+'bphgdes&amp;$'!H19+'buhgdes&amp;$'!H19+'capitalbkgdes&amp;$'!H19+'cbnagdes&amp;$'!H19++'promobkgdes&amp;$'!H19+'scotiagdes&amp;$'!H19+'socabkgdes&amp;$ '!H19+'sogebkgdes&amp;$  '!H19+'sgbelgdes&amp;$'!H19+'unibkgdes&amp;$'!H19+'bmhgdes&amp;$'!H19</f>
        <v>3602913.0999999996</v>
      </c>
      <c r="I19" s="92">
        <f>+'bichgdes&amp;$'!I19+'bidcgdes&amp;$ '!I19+'bncgdes&amp;$ '!I19+'bphgdes&amp;$'!I19+'buhgdes&amp;$'!I19+'capitalbkgdes&amp;$'!I19+'cbnagdes&amp;$'!I19+'promobkgdes&amp;$'!I19+'scotiagdes&amp;$'!I19+'socabkgdes&amp;$ '!I19+'sogebkgdes&amp;$  '!I19+'sgbelgdes&amp;$'!I19+'unibkgdes&amp;$'!I19+'bmhgdes&amp;$'!I19</f>
        <v>4943494.5</v>
      </c>
      <c r="J19" s="366">
        <f t="shared" si="5"/>
        <v>8546407.5999999996</v>
      </c>
      <c r="K19" s="373">
        <f t="shared" si="6"/>
        <v>0.42157047365725919</v>
      </c>
    </row>
    <row r="20" spans="1:11">
      <c r="A20" s="1" t="s">
        <v>273</v>
      </c>
      <c r="B20" s="129">
        <f>+'bilsysbandéc.99$ '!R20</f>
        <v>0</v>
      </c>
      <c r="C20" s="92">
        <f>+'bilsysbandéc.99gdes '!R20</f>
        <v>1349205.7000000002</v>
      </c>
      <c r="D20" s="366">
        <f t="shared" si="4"/>
        <v>1349205.7000000002</v>
      </c>
      <c r="E20" s="136">
        <v>0</v>
      </c>
      <c r="F20"/>
      <c r="G20"/>
      <c r="H20" s="129">
        <f>+'bichgdes&amp;$'!H20+'bidcgdes&amp;$ '!H20+'bncgdes&amp;$ '!H20+'bphgdes&amp;$'!H20+'buhgdes&amp;$'!H20+'capitalbkgdes&amp;$'!H20+'cbnagdes&amp;$'!H20++'promobkgdes&amp;$'!H20+'scotiagdes&amp;$'!H20+'socabkgdes&amp;$ '!H20+'sogebkgdes&amp;$  '!H20+'sgbelgdes&amp;$'!H20+'unibkgdes&amp;$'!H20+'bmhgdes&amp;$'!H20</f>
        <v>0</v>
      </c>
      <c r="I20" s="92">
        <f>+'bichgdes&amp;$'!I20+'bidcgdes&amp;$ '!I20+'bncgdes&amp;$ '!I20+'bphgdes&amp;$'!I20+'buhgdes&amp;$'!I20+'capitalbkgdes&amp;$'!I20+'cbnagdes&amp;$'!I20+'promobkgdes&amp;$'!I20+'scotiagdes&amp;$'!I20+'socabkgdes&amp;$ '!I20+'sogebkgdes&amp;$  '!I20+'sgbelgdes&amp;$'!I20+'unibkgdes&amp;$'!I20+'bmhgdes&amp;$'!I20</f>
        <v>1207804.9000000001</v>
      </c>
      <c r="J20" s="366">
        <f t="shared" si="5"/>
        <v>1207804.9000000001</v>
      </c>
      <c r="K20" s="136">
        <f t="shared" si="6"/>
        <v>0</v>
      </c>
    </row>
    <row r="21" spans="1:11">
      <c r="A21" s="1" t="s">
        <v>274</v>
      </c>
      <c r="B21" s="920">
        <f>+'bilsysbandéc.99$ '!R21</f>
        <v>592389.69999999995</v>
      </c>
      <c r="C21" s="221">
        <f>+'bilsysbandéc.99gdes '!R21</f>
        <v>458654.1</v>
      </c>
      <c r="D21" s="940">
        <f t="shared" si="4"/>
        <v>1051043.7999999998</v>
      </c>
      <c r="E21" s="373">
        <f>+B21/D21</f>
        <v>0.56362037433644541</v>
      </c>
      <c r="F21"/>
      <c r="G21"/>
      <c r="H21" s="920">
        <f>+'bichgdes&amp;$'!H21+'bidcgdes&amp;$ '!H21+'bncgdes&amp;$ '!H21+'bphgdes&amp;$'!H21+'buhgdes&amp;$'!H21+'capitalbkgdes&amp;$'!H21+'cbnagdes&amp;$'!H21++'promobkgdes&amp;$'!H21+'scotiagdes&amp;$'!H21+'socabkgdes&amp;$ '!H21+'sogebkgdes&amp;$  '!H21+'sgbelgdes&amp;$'!H21+'unibkgdes&amp;$'!H21+'bmhgdes&amp;$'!H21</f>
        <v>445797.2</v>
      </c>
      <c r="I21" s="221">
        <f>+'bichgdes&amp;$'!I21+'bidcgdes&amp;$ '!I21+'bncgdes&amp;$ '!I21+'bphgdes&amp;$'!I21+'buhgdes&amp;$'!I21+'capitalbkgdes&amp;$'!I21+'cbnagdes&amp;$'!I21+'promobkgdes&amp;$'!I21+'scotiagdes&amp;$'!I21+'socabkgdes&amp;$ '!I21+'sogebkgdes&amp;$  '!I21+'sgbelgdes&amp;$'!I21+'unibkgdes&amp;$'!I21+'bmhgdes&amp;$'!I21</f>
        <v>516729.1</v>
      </c>
      <c r="J21" s="940">
        <f t="shared" si="5"/>
        <v>962526.3</v>
      </c>
      <c r="K21" s="373">
        <f t="shared" si="6"/>
        <v>0.4631532665652876</v>
      </c>
    </row>
    <row r="22" spans="1:11">
      <c r="A22" s="1" t="s">
        <v>275</v>
      </c>
      <c r="B22" s="132">
        <f>SUM(B15:B21)</f>
        <v>7388622.7999999998</v>
      </c>
      <c r="C22" s="95">
        <f>SUM(C15:C21)</f>
        <v>14823219.899999997</v>
      </c>
      <c r="D22" s="368">
        <f t="shared" si="4"/>
        <v>22211842.699999996</v>
      </c>
      <c r="E22" s="431">
        <f>+B22/D22</f>
        <v>0.33264339657870895</v>
      </c>
      <c r="F22"/>
      <c r="G22"/>
      <c r="H22" s="132">
        <f>SUM(H15:H21)</f>
        <v>6539364.0999999996</v>
      </c>
      <c r="I22" s="95">
        <f>SUM(I15:I21)</f>
        <v>14557818.300000001</v>
      </c>
      <c r="J22" s="368">
        <f t="shared" si="5"/>
        <v>21097182.399999999</v>
      </c>
      <c r="K22" s="431">
        <f t="shared" si="6"/>
        <v>0.3099638603873473</v>
      </c>
    </row>
    <row r="23" spans="1:11" ht="7.9" customHeight="1">
      <c r="A23" s="1"/>
      <c r="B23" s="129"/>
      <c r="C23" s="93" t="s">
        <v>0</v>
      </c>
      <c r="D23" s="366"/>
      <c r="E23" s="373" t="s">
        <v>0</v>
      </c>
      <c r="F23"/>
      <c r="G23"/>
      <c r="H23" s="126"/>
      <c r="I23" s="92"/>
      <c r="J23" s="371" t="s">
        <v>0</v>
      </c>
      <c r="K23" s="373" t="s">
        <v>0</v>
      </c>
    </row>
    <row r="24" spans="1:11">
      <c r="A24" s="87" t="s">
        <v>276</v>
      </c>
      <c r="B24" s="129"/>
      <c r="C24" s="93" t="s">
        <v>0</v>
      </c>
      <c r="D24" s="366"/>
      <c r="E24" s="373" t="s">
        <v>0</v>
      </c>
      <c r="F24"/>
      <c r="G24"/>
      <c r="H24" s="126"/>
      <c r="I24" s="92"/>
      <c r="J24" s="371" t="s">
        <v>0</v>
      </c>
      <c r="K24" s="373" t="s">
        <v>0</v>
      </c>
    </row>
    <row r="25" spans="1:11">
      <c r="A25" s="1" t="s">
        <v>277</v>
      </c>
      <c r="B25" s="129"/>
      <c r="C25" s="93" t="s">
        <v>0</v>
      </c>
      <c r="D25" s="366"/>
      <c r="E25" s="373" t="s">
        <v>0</v>
      </c>
      <c r="F25"/>
      <c r="G25"/>
      <c r="H25" s="126"/>
      <c r="I25" s="92"/>
      <c r="J25" s="371" t="s">
        <v>0</v>
      </c>
      <c r="K25" s="373" t="s">
        <v>0</v>
      </c>
    </row>
    <row r="26" spans="1:11">
      <c r="A26" s="1" t="s">
        <v>278</v>
      </c>
      <c r="B26" s="129">
        <f>+'bilsysbandéc.99$ '!R26</f>
        <v>1544779.5000000002</v>
      </c>
      <c r="C26" s="92">
        <f>+'bilsysbandéc.99gdes '!R26</f>
        <v>3278178</v>
      </c>
      <c r="D26" s="366">
        <f>SUM(B26:C26)</f>
        <v>4822957.5</v>
      </c>
      <c r="E26" s="373">
        <f>+B26/D26</f>
        <v>0.32029714132873871</v>
      </c>
      <c r="F26"/>
      <c r="G26"/>
      <c r="H26" s="129">
        <f>+'bichgdes&amp;$'!H26+'bidcgdes&amp;$ '!H26+'bncgdes&amp;$ '!H26+'bphgdes&amp;$'!H26+'buhgdes&amp;$'!H26+'capitalbkgdes&amp;$'!H26+'cbnagdes&amp;$'!H26++'promobkgdes&amp;$'!H26+'scotiagdes&amp;$'!H26+'socabkgdes&amp;$ '!H26+'sogebkgdes&amp;$  '!H26+'sgbelgdes&amp;$'!H26+'unibkgdes&amp;$'!H26+'bmhgdes&amp;$'!H26</f>
        <v>1301506.8999999999</v>
      </c>
      <c r="I26" s="92">
        <f>+'bichgdes&amp;$'!I26+'bidcgdes&amp;$ '!I26+'bncgdes&amp;$ '!I26+'bphgdes&amp;$'!I26+'buhgdes&amp;$'!I26+'capitalbkgdes&amp;$'!I26+'cbnagdes&amp;$'!I26+'promobkgdes&amp;$'!I26+'scotiagdes&amp;$'!I26+'socabkgdes&amp;$ '!I26+'sogebkgdes&amp;$  '!I26+'sgbelgdes&amp;$'!I26+'unibkgdes&amp;$'!I26+'bmhgdes&amp;$'!I26</f>
        <v>3259226.4</v>
      </c>
      <c r="J26" s="366">
        <f>SUM(H26:I26)</f>
        <v>4560733.3</v>
      </c>
      <c r="K26" s="373">
        <f>+H26/J26</f>
        <v>0.285372288706292</v>
      </c>
    </row>
    <row r="27" spans="1:11">
      <c r="A27" s="1" t="s">
        <v>279</v>
      </c>
      <c r="B27" s="129">
        <f>+'bilsysbandéc.99$ '!R27</f>
        <v>2323028.2000000002</v>
      </c>
      <c r="C27" s="92">
        <f>+'bilsysbandéc.99gdes '!R27</f>
        <v>5709175</v>
      </c>
      <c r="D27" s="366">
        <f>SUM(B27:C27)</f>
        <v>8032203.2000000002</v>
      </c>
      <c r="E27" s="373">
        <f>+B27/D27</f>
        <v>0.28921432166955141</v>
      </c>
      <c r="F27"/>
      <c r="G27"/>
      <c r="H27" s="129">
        <f>+'bichgdes&amp;$'!H27+'bidcgdes&amp;$ '!H27+'bncgdes&amp;$ '!H27+'bphgdes&amp;$'!H27+'buhgdes&amp;$'!H27+'capitalbkgdes&amp;$'!H27+'cbnagdes&amp;$'!H27++'promobkgdes&amp;$'!H27+'scotiagdes&amp;$'!H27+'socabkgdes&amp;$ '!H27+'sogebkgdes&amp;$  '!H27+'sgbelgdes&amp;$'!H27+'unibkgdes&amp;$'!H27+'bmhgdes&amp;$'!H27</f>
        <v>2159870</v>
      </c>
      <c r="I27" s="92">
        <f>+'bichgdes&amp;$'!I27+'bidcgdes&amp;$ '!I27+'bncgdes&amp;$ '!I27+'bphgdes&amp;$'!I27+'buhgdes&amp;$'!I27+'capitalbkgdes&amp;$'!I27+'cbnagdes&amp;$'!I27+'promobkgdes&amp;$'!I27+'scotiagdes&amp;$'!I27+'socabkgdes&amp;$ '!I27+'sogebkgdes&amp;$  '!I27+'sgbelgdes&amp;$'!I27+'unibkgdes&amp;$'!I27+'bmhgdes&amp;$'!I27</f>
        <v>5586949.5</v>
      </c>
      <c r="J27" s="366">
        <f>SUM(H27:I27)</f>
        <v>7746819.5</v>
      </c>
      <c r="K27" s="373">
        <f>+H27/J27</f>
        <v>0.27880732215330434</v>
      </c>
    </row>
    <row r="28" spans="1:11">
      <c r="A28" s="1" t="s">
        <v>280</v>
      </c>
      <c r="B28" s="920">
        <f>+'bilsysbandéc.99$ '!R28</f>
        <v>2665717.1</v>
      </c>
      <c r="C28" s="221">
        <f>+'bilsysbandéc.99gdes '!R28</f>
        <v>3839862.0000000005</v>
      </c>
      <c r="D28" s="940">
        <f>SUM(B28:C28)</f>
        <v>6505579.1000000006</v>
      </c>
      <c r="E28" s="373">
        <f>+B28/D28</f>
        <v>0.40975861779929784</v>
      </c>
      <c r="F28"/>
      <c r="G28"/>
      <c r="H28" s="920">
        <f>+'bichgdes&amp;$'!H28+'bidcgdes&amp;$ '!H28+'bncgdes&amp;$ '!H28+'bphgdes&amp;$'!H28+'buhgdes&amp;$'!H28+'capitalbkgdes&amp;$'!H28+'cbnagdes&amp;$'!H28++'promobkgdes&amp;$'!H28+'scotiagdes&amp;$'!H28+'socabkgdes&amp;$ '!H28+'sogebkgdes&amp;$  '!H28+'sgbelgdes&amp;$'!H28+'unibkgdes&amp;$'!H28+'bmhgdes&amp;$'!H28</f>
        <v>2277481.7999999998</v>
      </c>
      <c r="I28" s="221">
        <f>+'bichgdes&amp;$'!I28+'bidcgdes&amp;$ '!I28+'bncgdes&amp;$ '!I28+'bphgdes&amp;$'!I28+'buhgdes&amp;$'!I28+'capitalbkgdes&amp;$'!I28+'cbnagdes&amp;$'!I28+'promobkgdes&amp;$'!I28+'scotiagdes&amp;$'!I28+'socabkgdes&amp;$ '!I28+'sogebkgdes&amp;$  '!I28+'sgbelgdes&amp;$'!I28+'unibkgdes&amp;$'!I28+'bmhgdes&amp;$'!I28</f>
        <v>3611453.8</v>
      </c>
      <c r="J28" s="940">
        <f>SUM(H28:I28)</f>
        <v>5888935.5999999996</v>
      </c>
      <c r="K28" s="373">
        <f>+H28/J28</f>
        <v>0.38673912480890432</v>
      </c>
    </row>
    <row r="29" spans="1:11">
      <c r="A29" s="1"/>
      <c r="B29" s="129">
        <f>SUM(B26:B28)</f>
        <v>6533524.8000000007</v>
      </c>
      <c r="C29" s="92">
        <f>SUM(C26:C28)</f>
        <v>12827215</v>
      </c>
      <c r="D29" s="366">
        <f>SUM(B29:C29)</f>
        <v>19360739.800000001</v>
      </c>
      <c r="E29" s="373">
        <f>+B29/D29</f>
        <v>0.33746255915282741</v>
      </c>
      <c r="F29"/>
      <c r="G29"/>
      <c r="H29" s="129">
        <f>SUM(H26:H28)</f>
        <v>5738858.6999999993</v>
      </c>
      <c r="I29" s="92">
        <f>SUM(I26:I28)</f>
        <v>12457629.699999999</v>
      </c>
      <c r="J29" s="366">
        <f>SUM(H29:I29)</f>
        <v>18196488.399999999</v>
      </c>
      <c r="K29" s="373">
        <f>+H29/J29</f>
        <v>0.31538275813700406</v>
      </c>
    </row>
    <row r="30" spans="1:11" ht="7.9" customHeight="1">
      <c r="A30" s="1"/>
      <c r="B30" s="129"/>
      <c r="C30" s="93" t="s">
        <v>0</v>
      </c>
      <c r="D30" s="366"/>
      <c r="E30" s="373" t="s">
        <v>0</v>
      </c>
      <c r="F30"/>
      <c r="G30"/>
      <c r="H30" s="126"/>
      <c r="I30" s="92"/>
      <c r="J30" s="371" t="s">
        <v>0</v>
      </c>
      <c r="K30" s="373" t="s">
        <v>0</v>
      </c>
    </row>
    <row r="31" spans="1:11">
      <c r="A31" s="1" t="s">
        <v>281</v>
      </c>
      <c r="B31" s="129"/>
      <c r="C31" s="93" t="s">
        <v>0</v>
      </c>
      <c r="D31" s="366"/>
      <c r="E31" s="373" t="s">
        <v>0</v>
      </c>
      <c r="F31"/>
      <c r="G31"/>
      <c r="H31" s="126"/>
      <c r="I31" s="92"/>
      <c r="J31" s="371" t="s">
        <v>0</v>
      </c>
      <c r="K31" s="373" t="s">
        <v>0</v>
      </c>
    </row>
    <row r="32" spans="1:11">
      <c r="A32" s="1" t="s">
        <v>282</v>
      </c>
      <c r="B32" s="129">
        <f>+'bilsysbandéc.99$ '!R32</f>
        <v>0</v>
      </c>
      <c r="C32" s="92">
        <f>+'bilsysbandéc.99gdes '!R32</f>
        <v>29000</v>
      </c>
      <c r="D32" s="366">
        <f>SUM(B32:C32)</f>
        <v>29000</v>
      </c>
      <c r="E32" s="136">
        <f>+B32/D32</f>
        <v>0</v>
      </c>
      <c r="F32"/>
      <c r="G32"/>
      <c r="H32" s="129">
        <f>+'bichgdes&amp;$'!H32+'bidcgdes&amp;$ '!H32+'bncgdes&amp;$ '!H32+'bphgdes&amp;$'!H32+'buhgdes&amp;$'!H32+'capitalbkgdes&amp;$'!H32+'cbnagdes&amp;$'!H32++'promobkgdes&amp;$'!H32+'scotiagdes&amp;$'!H32+'socabkgdes&amp;$ '!H32+'sogebkgdes&amp;$  '!H32+'sgbelgdes&amp;$'!H32+'unibkgdes&amp;$'!H32+'bmhgdes&amp;$'!H32</f>
        <v>0</v>
      </c>
      <c r="I32" s="92">
        <f>+'bichgdes&amp;$'!I32+'bidcgdes&amp;$ '!I32+'bncgdes&amp;$ '!I32+'bphgdes&amp;$'!I32+'buhgdes&amp;$'!I32+'capitalbkgdes&amp;$'!I32+'cbnagdes&amp;$'!I32+'promobkgdes&amp;$'!I32+'scotiagdes&amp;$'!I32+'socabkgdes&amp;$ '!I32+'sogebkgdes&amp;$  '!I32+'sgbelgdes&amp;$'!I32+'unibkgdes&amp;$'!I32+'bmhgdes&amp;$'!I32</f>
        <v>50500</v>
      </c>
      <c r="J32" s="366">
        <f>SUM(H32:I32)</f>
        <v>50500</v>
      </c>
      <c r="K32" s="136">
        <f>+H32/J32</f>
        <v>0</v>
      </c>
    </row>
    <row r="33" spans="1:15">
      <c r="A33" s="1" t="s">
        <v>283</v>
      </c>
      <c r="B33" s="129">
        <f>+'bilsysbandéc.99$ '!R33</f>
        <v>0</v>
      </c>
      <c r="C33" s="92">
        <f>+'bilsysbandéc.99gdes '!R33</f>
        <v>0</v>
      </c>
      <c r="D33" s="366">
        <f>SUM(B33:C33)</f>
        <v>0</v>
      </c>
      <c r="E33" s="136">
        <v>0</v>
      </c>
      <c r="F33"/>
      <c r="G33"/>
      <c r="H33" s="129">
        <f>+'bichgdes&amp;$'!H33+'bidcgdes&amp;$ '!H33+'bncgdes&amp;$ '!H33+'bphgdes&amp;$'!H33+'buhgdes&amp;$'!H33+'capitalbkgdes&amp;$'!H33+'cbnagdes&amp;$'!H33++'promobkgdes&amp;$'!H33+'scotiagdes&amp;$'!H33+'socabkgdes&amp;$ '!H33+'sogebkgdes&amp;$  '!H33+'sgbelgdes&amp;$'!H33+'unibkgdes&amp;$'!H33+'bmhgdes&amp;$'!H33</f>
        <v>0</v>
      </c>
      <c r="I33" s="92">
        <f>+'bichgdes&amp;$'!I33+'bidcgdes&amp;$ '!I33+'bncgdes&amp;$ '!I33+'bphgdes&amp;$'!I33+'buhgdes&amp;$'!I33+'capitalbkgdes&amp;$'!I33+'cbnagdes&amp;$'!I33+'promobkgdes&amp;$'!I33+'scotiagdes&amp;$'!I33+'socabkgdes&amp;$ '!I33+'sogebkgdes&amp;$  '!I33+'sgbelgdes&amp;$'!I33+'unibkgdes&amp;$'!I33+'bmhgdes&amp;$'!I33</f>
        <v>0</v>
      </c>
      <c r="J33" s="366">
        <f>SUM(H33:I33)</f>
        <v>0</v>
      </c>
      <c r="K33" s="136">
        <v>0</v>
      </c>
    </row>
    <row r="34" spans="1:15" ht="18">
      <c r="A34" s="1" t="s">
        <v>284</v>
      </c>
      <c r="B34" s="920">
        <f>+'bilsysbandéc.99$ '!R34</f>
        <v>286692.59999999998</v>
      </c>
      <c r="C34" s="221">
        <f>+'bilsysbandéc.99gdes '!R34</f>
        <v>815706.4</v>
      </c>
      <c r="D34" s="940">
        <f>SUM(B34:C34)</f>
        <v>1102399</v>
      </c>
      <c r="E34" s="373">
        <f>+B34/D34</f>
        <v>0.26006246377219133</v>
      </c>
      <c r="F34"/>
      <c r="G34"/>
      <c r="H34" s="920">
        <f>+'bichgdes&amp;$'!H34+'bidcgdes&amp;$ '!H34+'bncgdes&amp;$ '!H34+'bphgdes&amp;$'!H34+'buhgdes&amp;$'!H34+'capitalbkgdes&amp;$'!H34+'cbnagdes&amp;$'!H34++'promobkgdes&amp;$'!H34+'scotiagdes&amp;$'!H34+'socabkgdes&amp;$ '!H34+'sogebkgdes&amp;$  '!H34+'sgbelgdes&amp;$'!H34+'unibkgdes&amp;$'!H34+'bmhgdes&amp;$'!H34</f>
        <v>394683.70000000007</v>
      </c>
      <c r="I34" s="221">
        <f>+'bichgdes&amp;$'!I34+'bidcgdes&amp;$ '!I34+'bncgdes&amp;$ '!I34+'bphgdes&amp;$'!I34+'buhgdes&amp;$'!I34+'capitalbkgdes&amp;$'!I34+'cbnagdes&amp;$'!I34+'promobkgdes&amp;$'!I34+'scotiagdes&amp;$'!I34+'socabkgdes&amp;$ '!I34+'sogebkgdes&amp;$  '!I34+'sgbelgdes&amp;$'!I34+'unibkgdes&amp;$'!I34+'bmhgdes&amp;$'!I34</f>
        <v>813994.3</v>
      </c>
      <c r="J34" s="940">
        <f>SUM(H34:I34)</f>
        <v>1208678</v>
      </c>
      <c r="K34" s="373">
        <f>+H34/J34</f>
        <v>0.32654164301823985</v>
      </c>
      <c r="L34" s="6"/>
      <c r="M34" s="7"/>
      <c r="N34" s="7"/>
      <c r="O34" s="7"/>
    </row>
    <row r="35" spans="1:15">
      <c r="A35" s="1"/>
      <c r="B35" s="129">
        <f>SUM(B32:B34)</f>
        <v>286692.59999999998</v>
      </c>
      <c r="C35" s="92">
        <f>SUM(C32:C34)</f>
        <v>844706.4</v>
      </c>
      <c r="D35" s="366">
        <f>SUM(B35:C35)</f>
        <v>1131399</v>
      </c>
      <c r="E35" s="373">
        <f>+B35/D35</f>
        <v>0.2533965471067236</v>
      </c>
      <c r="F35"/>
      <c r="G35"/>
      <c r="H35" s="129">
        <f>SUM(H32:H34)</f>
        <v>394683.70000000007</v>
      </c>
      <c r="I35" s="92">
        <f>SUM(I32:I34)</f>
        <v>864494.3</v>
      </c>
      <c r="J35" s="366">
        <f>SUM(H35:I35)</f>
        <v>1259178</v>
      </c>
      <c r="K35" s="373">
        <f>+H35/J35</f>
        <v>0.31344551763134365</v>
      </c>
    </row>
    <row r="36" spans="1:15" ht="7.15" customHeight="1">
      <c r="A36" s="1"/>
      <c r="B36" s="129"/>
      <c r="C36" s="93" t="s">
        <v>0</v>
      </c>
      <c r="D36" s="366"/>
      <c r="E36" s="373" t="s">
        <v>275</v>
      </c>
      <c r="F36"/>
      <c r="G36"/>
      <c r="H36" s="138"/>
      <c r="I36" s="92"/>
      <c r="J36" s="371" t="s">
        <v>0</v>
      </c>
      <c r="K36" s="373" t="s">
        <v>275</v>
      </c>
    </row>
    <row r="37" spans="1:15">
      <c r="A37" s="1" t="s">
        <v>285</v>
      </c>
      <c r="B37" s="129"/>
      <c r="C37" s="93" t="s">
        <v>0</v>
      </c>
      <c r="D37" s="366"/>
      <c r="E37" s="373" t="s">
        <v>0</v>
      </c>
      <c r="F37"/>
      <c r="G37"/>
      <c r="H37" s="138"/>
      <c r="I37" s="92"/>
      <c r="J37" s="371" t="s">
        <v>0</v>
      </c>
      <c r="K37" s="373" t="s">
        <v>0</v>
      </c>
    </row>
    <row r="38" spans="1:15">
      <c r="A38" s="1" t="s">
        <v>282</v>
      </c>
      <c r="B38" s="129">
        <f>+'bilsysbandéc.99$ '!R38</f>
        <v>2803</v>
      </c>
      <c r="C38" s="92">
        <f>+'bilsysbandéc.99gdes '!R38</f>
        <v>147368</v>
      </c>
      <c r="D38" s="366">
        <f>SUM(B38:C38)</f>
        <v>150171</v>
      </c>
      <c r="E38" s="428">
        <f>+B38/D38</f>
        <v>1.8665388124205071E-2</v>
      </c>
      <c r="F38"/>
      <c r="G38"/>
      <c r="H38" s="129">
        <f>+'bichgdes&amp;$'!H38+'bidcgdes&amp;$ '!H38+'bncgdes&amp;$ '!H38+'bphgdes&amp;$'!H38+'buhgdes&amp;$'!H38+'capitalbkgdes&amp;$'!H38+'cbnagdes&amp;$'!H38++'promobkgdes&amp;$'!H38+'scotiagdes&amp;$'!H38+'socabkgdes&amp;$ '!H38+'sogebkgdes&amp;$  '!H38+'sgbelgdes&amp;$'!H38+'unibkgdes&amp;$'!H38+'bmhgdes&amp;$'!H38</f>
        <v>48882.1</v>
      </c>
      <c r="I38" s="92">
        <f>+'bichgdes&amp;$'!I38+'bidcgdes&amp;$ '!I38+'bncgdes&amp;$ '!I38+'bphgdes&amp;$'!I38+'buhgdes&amp;$'!I38+'capitalbkgdes&amp;$'!I38+'cbnagdes&amp;$'!I38+'promobkgdes&amp;$'!I38+'scotiagdes&amp;$'!I38+'socabkgdes&amp;$ '!I38+'sogebkgdes&amp;$  '!I38+'sgbelgdes&amp;$'!I38+'unibkgdes&amp;$'!I38+'bmhgdes&amp;$'!I38</f>
        <v>11809</v>
      </c>
      <c r="J38" s="371">
        <f>SUM(H38:I38)</f>
        <v>60691.1</v>
      </c>
      <c r="K38" s="373">
        <f>+H38/J38</f>
        <v>0.80542451858674502</v>
      </c>
    </row>
    <row r="39" spans="1:15">
      <c r="A39" s="1" t="s">
        <v>286</v>
      </c>
      <c r="B39" s="129">
        <f>+'bilsysbandéc.99$ '!R39</f>
        <v>0</v>
      </c>
      <c r="C39" s="92">
        <f>+'bilsysbandéc.99gdes '!R39</f>
        <v>0</v>
      </c>
      <c r="D39" s="366">
        <f>SUM(B39:C39)</f>
        <v>0</v>
      </c>
      <c r="E39" s="136">
        <v>0</v>
      </c>
      <c r="F39"/>
      <c r="G39"/>
      <c r="H39" s="129">
        <f>+'bichgdes&amp;$'!H39+'bidcgdes&amp;$ '!H39+'bncgdes&amp;$ '!H39+'bphgdes&amp;$'!H39+'buhgdes&amp;$'!H39+'capitalbkgdes&amp;$'!H39+'cbnagdes&amp;$'!H39++'promobkgdes&amp;$'!H39+'scotiagdes&amp;$'!H39+'socabkgdes&amp;$ '!H39+'sogebkgdes&amp;$  '!H39+'sgbelgdes&amp;$'!H39+'unibkgdes&amp;$'!H39+'bmhgdes&amp;$'!H39</f>
        <v>0</v>
      </c>
      <c r="I39" s="92">
        <f>+'bichgdes&amp;$'!I39+'bidcgdes&amp;$ '!I39+'bncgdes&amp;$ '!I39+'bphgdes&amp;$'!I39+'buhgdes&amp;$'!I39+'capitalbkgdes&amp;$'!I39+'cbnagdes&amp;$'!I39+'promobkgdes&amp;$'!I39+'scotiagdes&amp;$'!I39+'socabkgdes&amp;$ '!I39+'sogebkgdes&amp;$  '!I39+'sgbelgdes&amp;$'!I39+'unibkgdes&amp;$'!I39+'bmhgdes&amp;$'!I39</f>
        <v>0</v>
      </c>
      <c r="J39" s="371">
        <f>SUM(H39:I39)</f>
        <v>0</v>
      </c>
      <c r="K39" s="136">
        <v>0</v>
      </c>
    </row>
    <row r="40" spans="1:15">
      <c r="A40" s="1" t="s">
        <v>284</v>
      </c>
      <c r="B40" s="920">
        <f>+'bilsysbandéc.99$ '!R40</f>
        <v>87339</v>
      </c>
      <c r="C40" s="221">
        <f>+'bilsysbandéc.99gdes '!R40</f>
        <v>192537.80000000002</v>
      </c>
      <c r="D40" s="940">
        <f>SUM(B40:C40)</f>
        <v>279876.80000000005</v>
      </c>
      <c r="E40" s="373">
        <f>+B40/D40</f>
        <v>0.31206230741526264</v>
      </c>
      <c r="F40"/>
      <c r="G40"/>
      <c r="H40" s="920">
        <f>+'bichgdes&amp;$'!H40+'bidcgdes&amp;$ '!H40+'bncgdes&amp;$ '!H40+'bphgdes&amp;$'!H40+'buhgdes&amp;$'!H40+'capitalbkgdes&amp;$'!H40+'cbnagdes&amp;$'!H40++'promobkgdes&amp;$'!H40+'scotiagdes&amp;$'!H40+'socabkgdes&amp;$ '!H40+'sogebkgdes&amp;$  '!H40+'sgbelgdes&amp;$'!H40+'unibkgdes&amp;$'!H40+'bmhgdes&amp;$'!H40</f>
        <v>77962.5</v>
      </c>
      <c r="I40" s="221">
        <f>+'bichgdes&amp;$'!I40+'bidcgdes&amp;$ '!I40+'bncgdes&amp;$ '!I40+'bphgdes&amp;$'!I40+'buhgdes&amp;$'!I40+'capitalbkgdes&amp;$'!I40+'cbnagdes&amp;$'!I40+'promobkgdes&amp;$'!I40+'scotiagdes&amp;$'!I40+'socabkgdes&amp;$ '!I40+'sogebkgdes&amp;$  '!I40+'sgbelgdes&amp;$'!I40+'unibkgdes&amp;$'!I40+'bmhgdes&amp;$'!I40</f>
        <v>194476.4</v>
      </c>
      <c r="J40" s="940">
        <f>SUM(H40:I40)</f>
        <v>272438.90000000002</v>
      </c>
      <c r="K40" s="373">
        <f>+H40/J40</f>
        <v>0.28616508141825558</v>
      </c>
    </row>
    <row r="41" spans="1:15">
      <c r="A41" s="1"/>
      <c r="B41" s="1153">
        <f>SUM(B38:B40)</f>
        <v>90142</v>
      </c>
      <c r="C41" s="92">
        <f>SUM(C38:C40)</f>
        <v>339905.80000000005</v>
      </c>
      <c r="D41" s="366">
        <f>SUM(B41:C41)</f>
        <v>430047.80000000005</v>
      </c>
      <c r="E41" s="373">
        <f>+B41/D41</f>
        <v>0.20960925738952738</v>
      </c>
      <c r="F41"/>
      <c r="G41"/>
      <c r="H41" s="129">
        <f>SUM(H38:H40)</f>
        <v>126844.6</v>
      </c>
      <c r="I41" s="92">
        <f>SUM(I38:I40)</f>
        <v>206285.4</v>
      </c>
      <c r="J41" s="366">
        <f>SUM(H41:I41)</f>
        <v>333130</v>
      </c>
      <c r="K41" s="373">
        <f>+H41/J41</f>
        <v>0.38076606730105367</v>
      </c>
    </row>
    <row r="42" spans="1:15" ht="8.4499999999999993" customHeight="1">
      <c r="A42" s="1"/>
      <c r="B42" s="129"/>
      <c r="C42" s="93" t="s">
        <v>0</v>
      </c>
      <c r="D42" s="366"/>
      <c r="E42" s="373" t="s">
        <v>0</v>
      </c>
      <c r="F42"/>
      <c r="G42"/>
      <c r="H42" s="138"/>
      <c r="I42" s="92"/>
      <c r="J42" s="371" t="s">
        <v>0</v>
      </c>
      <c r="K42" s="373" t="s">
        <v>0</v>
      </c>
    </row>
    <row r="43" spans="1:15" ht="18">
      <c r="A43" s="1" t="s">
        <v>287</v>
      </c>
      <c r="B43" s="920">
        <f>+'bilsysbandéc.99$ '!R43</f>
        <v>192762.4</v>
      </c>
      <c r="C43" s="221">
        <f>+'bilsysbandéc.99gdes '!R43</f>
        <v>-33086.699999999997</v>
      </c>
      <c r="D43" s="940">
        <f>SUM(B43:C43)</f>
        <v>159675.70000000001</v>
      </c>
      <c r="E43" s="373">
        <f>+B43/D43</f>
        <v>1.2072118675540484</v>
      </c>
      <c r="F43"/>
      <c r="G43"/>
      <c r="H43" s="920">
        <f>+'bichgdes&amp;$'!H43+'bidcgdes&amp;$ '!H43+'bncgdes&amp;$ '!H43+'bphgdes&amp;$'!H43+'buhgdes&amp;$'!H43+'capitalbkgdes&amp;$'!H43+'cbnagdes&amp;$'!H43++'promobkgdes&amp;$'!H43+'scotiagdes&amp;$'!H43+'socabkgdes&amp;$ '!H43+'sogebkgdes&amp;$  '!H43+'sgbelgdes&amp;$'!H43+'unibkgdes&amp;$'!H43+'bmhgdes&amp;$'!H43</f>
        <v>196443.6</v>
      </c>
      <c r="I43" s="221">
        <f>+'bichgdes&amp;$'!I43+'bidcgdes&amp;$ '!I43+'bncgdes&amp;$ '!I43+'bphgdes&amp;$'!I43+'buhgdes&amp;$'!I43+'capitalbkgdes&amp;$'!I43+'cbnagdes&amp;$'!I43+'promobkgdes&amp;$'!I43+'scotiagdes&amp;$'!I43+'socabkgdes&amp;$ '!I43+'sogebkgdes&amp;$  '!I43+'sgbelgdes&amp;$'!I43+'unibkgdes&amp;$'!I43+'bmhgdes&amp;$'!I43</f>
        <v>23451.599999999999</v>
      </c>
      <c r="J43" s="940">
        <f>SUM(H43:I43)</f>
        <v>219895.2</v>
      </c>
      <c r="K43" s="373">
        <f>+H43/J43</f>
        <v>0.89335101448326293</v>
      </c>
      <c r="L43" s="6"/>
    </row>
    <row r="44" spans="1:15">
      <c r="A44" s="1"/>
      <c r="B44" s="129">
        <f>+B29+B35+B41+B43</f>
        <v>7103121.8000000007</v>
      </c>
      <c r="C44" s="93">
        <f>+C29+C35+C41+C43</f>
        <v>13978740.500000002</v>
      </c>
      <c r="D44" s="366">
        <f>+D29+D35+D41+D43</f>
        <v>21081862.300000001</v>
      </c>
      <c r="E44" s="373">
        <f>+B44/D44</f>
        <v>0.33693047127055759</v>
      </c>
      <c r="F44"/>
      <c r="G44"/>
      <c r="H44" s="568">
        <f>+H29+H35+H41+H43</f>
        <v>6456830.5999999987</v>
      </c>
      <c r="I44" s="93">
        <f>+I29+I35+I41+I43</f>
        <v>13551861</v>
      </c>
      <c r="J44" s="93">
        <f>+J29+J35+J41+J43</f>
        <v>20008691.599999998</v>
      </c>
      <c r="K44" s="382">
        <f>+H44/J44</f>
        <v>0.32270129047318613</v>
      </c>
    </row>
    <row r="45" spans="1:15" ht="8.4499999999999993" customHeight="1">
      <c r="A45" s="1"/>
      <c r="B45" s="129"/>
      <c r="C45" s="93" t="s">
        <v>0</v>
      </c>
      <c r="D45" s="366"/>
      <c r="E45" s="373" t="s">
        <v>0</v>
      </c>
      <c r="F45"/>
      <c r="G45"/>
      <c r="H45" s="138"/>
      <c r="I45" s="92"/>
      <c r="J45" s="371" t="s">
        <v>0</v>
      </c>
      <c r="K45" s="373" t="s">
        <v>0</v>
      </c>
    </row>
    <row r="46" spans="1:15">
      <c r="A46" s="87" t="s">
        <v>288</v>
      </c>
      <c r="B46" s="129"/>
      <c r="C46" s="93" t="s">
        <v>0</v>
      </c>
      <c r="D46" s="366"/>
      <c r="E46" s="373" t="s">
        <v>0</v>
      </c>
      <c r="F46"/>
      <c r="G46"/>
      <c r="H46" s="138"/>
      <c r="I46" s="92"/>
      <c r="J46" s="371" t="s">
        <v>0</v>
      </c>
      <c r="K46" s="373" t="s">
        <v>0</v>
      </c>
    </row>
    <row r="47" spans="1:15">
      <c r="A47" s="1" t="s">
        <v>289</v>
      </c>
      <c r="B47" s="129">
        <f>+'bilsysbandéc.99$ '!R47</f>
        <v>0</v>
      </c>
      <c r="C47" s="92">
        <f>+'bilsysbandéc.99gdes '!R47</f>
        <v>678721.4</v>
      </c>
      <c r="D47" s="366">
        <f>SUM(B47:C47)</f>
        <v>678721.4</v>
      </c>
      <c r="E47" s="136">
        <f>+B47/D47</f>
        <v>0</v>
      </c>
      <c r="F47"/>
      <c r="G47"/>
      <c r="H47" s="129">
        <f>+'bichgdes&amp;$'!H47+'bidcgdes&amp;$ '!H47+'bncgdes&amp;$ '!H47+'bphgdes&amp;$'!H47+'buhgdes&amp;$'!H47+'capitalbkgdes&amp;$'!H47+'cbnagdes&amp;$'!H47++'promobkgdes&amp;$'!H47+'scotiagdes&amp;$'!H47+'socabkgdes&amp;$ '!H47+'sogebkgdes&amp;$  '!H47+'sgbelgdes&amp;$'!H47+'unibkgdes&amp;$'!H47+'bmhgdes&amp;$'!H47</f>
        <v>0</v>
      </c>
      <c r="I47" s="92">
        <f>+'bichgdes&amp;$'!I47+'bidcgdes&amp;$ '!I47+'bncgdes&amp;$ '!I47+'bphgdes&amp;$'!I47+'buhgdes&amp;$'!I47+'capitalbkgdes&amp;$'!I47+'cbnagdes&amp;$'!I47+'promobkgdes&amp;$'!I47+'scotiagdes&amp;$'!I47+'socabkgdes&amp;$ '!I47+'sogebkgdes&amp;$  '!I47+'sgbelgdes&amp;$'!I47+'unibkgdes&amp;$'!I47+'bmhgdes&amp;$'!I47</f>
        <v>635084.80000000005</v>
      </c>
      <c r="J47" s="366">
        <f>SUM(H47:I47)</f>
        <v>635084.80000000005</v>
      </c>
      <c r="K47" s="136">
        <f>+H47/J47</f>
        <v>0</v>
      </c>
    </row>
    <row r="48" spans="1:15">
      <c r="A48" s="1" t="s">
        <v>290</v>
      </c>
      <c r="B48" s="129">
        <f>+'bilsysbandéc.99$ '!R48</f>
        <v>0</v>
      </c>
      <c r="C48" s="92">
        <f>+'bilsysbandéc.99gdes '!R48</f>
        <v>88488.2</v>
      </c>
      <c r="D48" s="366">
        <f>SUM(B48:C48)</f>
        <v>88488.2</v>
      </c>
      <c r="E48" s="136">
        <f>+B48/D48</f>
        <v>0</v>
      </c>
      <c r="F48"/>
      <c r="G48"/>
      <c r="H48" s="129">
        <f>+'bichgdes&amp;$'!H48+'bidcgdes&amp;$ '!H48+'bncgdes&amp;$ '!H48+'bphgdes&amp;$'!H48+'buhgdes&amp;$'!H48+'capitalbkgdes&amp;$'!H48+'cbnagdes&amp;$'!H48++'promobkgdes&amp;$'!H48+'scotiagdes&amp;$'!H48+'socabkgdes&amp;$ '!H48+'sogebkgdes&amp;$  '!H48+'sgbelgdes&amp;$'!H48+'unibkgdes&amp;$'!H48+'bmhgdes&amp;$'!H48</f>
        <v>0</v>
      </c>
      <c r="I48" s="92">
        <f>+'bichgdes&amp;$'!I48+'bidcgdes&amp;$ '!I48+'bncgdes&amp;$ '!I48+'bphgdes&amp;$'!I48+'buhgdes&amp;$'!I48+'capitalbkgdes&amp;$'!I48+'cbnagdes&amp;$'!I48+'promobkgdes&amp;$'!I48+'scotiagdes&amp;$'!I48+'socabkgdes&amp;$ '!I48+'sogebkgdes&amp;$  '!I48+'sgbelgdes&amp;$'!I48+'unibkgdes&amp;$'!I48+'bmhgdes&amp;$'!I48</f>
        <v>74006.3</v>
      </c>
      <c r="J48" s="366">
        <f>SUM(H48:I48)</f>
        <v>74006.3</v>
      </c>
      <c r="K48" s="136">
        <f>+H48/J48</f>
        <v>0</v>
      </c>
    </row>
    <row r="49" spans="1:15">
      <c r="A49" s="1" t="s">
        <v>302</v>
      </c>
      <c r="B49" s="129">
        <f>+'bilsysbandéc.99$ '!R49</f>
        <v>0</v>
      </c>
      <c r="C49" s="92">
        <f>+'bilsysbandéc.99gdes '!R49</f>
        <v>114087.7</v>
      </c>
      <c r="D49" s="366">
        <f>SUM(B49:C49)</f>
        <v>114087.7</v>
      </c>
      <c r="E49" s="136">
        <f>+B49/D49</f>
        <v>0</v>
      </c>
      <c r="F49"/>
      <c r="G49"/>
      <c r="H49" s="129">
        <f>+'bichgdes&amp;$'!H49+'bidcgdes&amp;$ '!H49+'bncgdes&amp;$ '!H49+'bphgdes&amp;$'!H49+'buhgdes&amp;$'!H49+'capitalbkgdes&amp;$'!H49+'cbnagdes&amp;$'!H49++'promobkgdes&amp;$'!H49+'scotiagdes&amp;$'!H49+'socabkgdes&amp;$ '!H49+'sogebkgdes&amp;$  '!H49+'sgbelgdes&amp;$'!H49+'unibkgdes&amp;$'!H49+'bmhgdes&amp;$'!H49</f>
        <v>0</v>
      </c>
      <c r="I49" s="92">
        <f>+'bichgdes&amp;$'!I49+'bidcgdes&amp;$ '!I49+'bncgdes&amp;$ '!I49+'bphgdes&amp;$'!I49+'buhgdes&amp;$'!I49+'capitalbkgdes&amp;$'!I49+'cbnagdes&amp;$'!I49+'promobkgdes&amp;$'!I49+'scotiagdes&amp;$'!I49+'socabkgdes&amp;$ '!I49+'sogebkgdes&amp;$  '!I49+'sgbelgdes&amp;$'!I49+'unibkgdes&amp;$'!I49+'bmhgdes&amp;$'!I49</f>
        <v>102702.2</v>
      </c>
      <c r="J49" s="366">
        <f>SUM(H49:I49)</f>
        <v>102702.2</v>
      </c>
      <c r="K49" s="136">
        <v>0</v>
      </c>
    </row>
    <row r="50" spans="1:15" ht="18">
      <c r="A50" s="1" t="s">
        <v>292</v>
      </c>
      <c r="B50" s="920">
        <f>+'bilsysbandéc.99$ '!R50</f>
        <v>0</v>
      </c>
      <c r="C50" s="221">
        <f>+'bilsysbandéc.99gdes '!R50</f>
        <v>248683.09999999998</v>
      </c>
      <c r="D50" s="940">
        <f>SUM(B50:C50)</f>
        <v>248683.09999999998</v>
      </c>
      <c r="E50" s="136">
        <v>0</v>
      </c>
      <c r="F50"/>
      <c r="G50"/>
      <c r="H50" s="920">
        <f>+'bichgdes&amp;$'!H50+'bidcgdes&amp;$ '!H50+'bncgdes&amp;$ '!H50+'bphgdes&amp;$'!H50+'buhgdes&amp;$'!H50+'capitalbkgdes&amp;$'!H50+'cbnagdes&amp;$'!H50++'promobkgdes&amp;$'!H50+'scotiagdes&amp;$'!H50+'socabkgdes&amp;$ '!H50+'sogebkgdes&amp;$  '!H50+'sgbelgdes&amp;$'!H50+'unibkgdes&amp;$'!H50+'bmhgdes&amp;$'!H50</f>
        <v>0</v>
      </c>
      <c r="I50" s="221">
        <f>+'bichgdes&amp;$'!I50+'bidcgdes&amp;$ '!I50+'bncgdes&amp;$ '!I50+'bphgdes&amp;$'!I50+'buhgdes&amp;$'!I50+'capitalbkgdes&amp;$'!I50+'cbnagdes&amp;$'!I50+'promobkgdes&amp;$'!I50+'scotiagdes&amp;$'!I50+'socabkgdes&amp;$ '!I50+'sogebkgdes&amp;$  '!I50+'sgbelgdes&amp;$'!I50+'unibkgdes&amp;$'!I50+'bmhgdes&amp;$'!I50</f>
        <v>276697.5</v>
      </c>
      <c r="J50" s="940">
        <f>SUM(H50:I50)</f>
        <v>276697.5</v>
      </c>
      <c r="K50" s="136">
        <v>0</v>
      </c>
      <c r="L50" s="6"/>
      <c r="M50" s="7"/>
      <c r="N50" s="7"/>
      <c r="O50" s="7"/>
    </row>
    <row r="51" spans="1:15">
      <c r="A51" s="1" t="s">
        <v>275</v>
      </c>
      <c r="B51" s="129">
        <f>SUM(B47:B50)</f>
        <v>0</v>
      </c>
      <c r="C51" s="92">
        <f>SUM(C47:C50)</f>
        <v>1129980.3999999999</v>
      </c>
      <c r="D51" s="366">
        <f>SUM(B51:C51)</f>
        <v>1129980.3999999999</v>
      </c>
      <c r="E51" s="136">
        <v>0</v>
      </c>
      <c r="F51"/>
      <c r="G51"/>
      <c r="H51" s="129">
        <f>SUM(H47:H50)</f>
        <v>0</v>
      </c>
      <c r="I51" s="92">
        <f>SUM(I47:I50)</f>
        <v>1088490.8</v>
      </c>
      <c r="J51" s="366">
        <f>SUM(H51:I51)</f>
        <v>1088490.8</v>
      </c>
      <c r="K51" s="136">
        <v>0</v>
      </c>
    </row>
    <row r="52" spans="1:15">
      <c r="A52" s="1" t="s">
        <v>0</v>
      </c>
      <c r="B52" s="129"/>
      <c r="C52" s="93" t="s">
        <v>0</v>
      </c>
      <c r="D52" s="366"/>
      <c r="E52" s="373" t="s">
        <v>0</v>
      </c>
      <c r="F52"/>
      <c r="G52"/>
      <c r="H52" s="138"/>
      <c r="I52" s="92"/>
      <c r="J52" s="371" t="s">
        <v>0</v>
      </c>
      <c r="K52" s="373" t="s">
        <v>0</v>
      </c>
    </row>
    <row r="53" spans="1:15" ht="16.5" thickBot="1">
      <c r="A53" s="1" t="s">
        <v>0</v>
      </c>
      <c r="B53" s="133">
        <f>+B29+B35+B41+B43+B51</f>
        <v>7103121.8000000007</v>
      </c>
      <c r="C53" s="134">
        <f>+C29+C35+C41+C43+C51</f>
        <v>15108720.900000002</v>
      </c>
      <c r="D53" s="369">
        <f>SUM(B53:C53)</f>
        <v>22211842.700000003</v>
      </c>
      <c r="E53" s="430">
        <f>+B53/D53</f>
        <v>0.31978984796250154</v>
      </c>
      <c r="F53"/>
      <c r="G53"/>
      <c r="H53" s="133">
        <f>+H29+H35+H41+H43+H51</f>
        <v>6456830.5999999987</v>
      </c>
      <c r="I53" s="134">
        <f>+I29+I35+I41+I43+I51</f>
        <v>14640351.800000001</v>
      </c>
      <c r="J53" s="369">
        <f>SUM(H53:I53)</f>
        <v>21097182.399999999</v>
      </c>
      <c r="K53" s="430">
        <f>+H53/J53</f>
        <v>0.30605179770356439</v>
      </c>
    </row>
    <row r="54" spans="1:15" ht="16.5" thickTop="1">
      <c r="A54" s="1"/>
      <c r="B54" s="95"/>
      <c r="C54" s="95"/>
      <c r="D54" s="384"/>
      <c r="E54" s="261"/>
      <c r="F54"/>
      <c r="G54"/>
      <c r="H54" s="95"/>
      <c r="I54" s="95"/>
      <c r="J54" s="384"/>
      <c r="K54" s="261"/>
    </row>
    <row r="55" spans="1:15">
      <c r="A55" s="1"/>
      <c r="B55" s="91" t="s">
        <v>315</v>
      </c>
      <c r="C55"/>
      <c r="D55" s="91"/>
      <c r="E55"/>
      <c r="F55"/>
      <c r="G55"/>
      <c r="H55" s="91" t="s">
        <v>316</v>
      </c>
      <c r="I55" s="91"/>
      <c r="J55"/>
    </row>
    <row r="56" spans="1:15">
      <c r="B56" s="4" t="s">
        <v>317</v>
      </c>
      <c r="C56" s="43"/>
      <c r="E56"/>
      <c r="F56"/>
      <c r="G56"/>
      <c r="H56" s="4" t="s">
        <v>318</v>
      </c>
      <c r="J56" s="43"/>
    </row>
    <row r="57" spans="1:15">
      <c r="A57" s="18" t="s">
        <v>319</v>
      </c>
      <c r="C57" s="43"/>
      <c r="E57" s="115" t="s">
        <v>0</v>
      </c>
      <c r="F57"/>
      <c r="G57"/>
      <c r="H57"/>
      <c r="J57" s="43"/>
    </row>
    <row r="58" spans="1:15">
      <c r="A58" t="s">
        <v>294</v>
      </c>
      <c r="B58" s="12">
        <f>+'capitalbkcomp '!B56</f>
        <v>0</v>
      </c>
      <c r="C58" s="43"/>
      <c r="E58" s="115" t="s">
        <v>0</v>
      </c>
      <c r="F58"/>
      <c r="G58"/>
      <c r="H58"/>
      <c r="J58" s="43"/>
    </row>
    <row r="59" spans="1:15">
      <c r="A59" t="s">
        <v>295</v>
      </c>
      <c r="B59" s="12">
        <f>+'capitalbkcomp '!B57</f>
        <v>0</v>
      </c>
      <c r="C59" s="43"/>
      <c r="E59" s="115" t="s">
        <v>0</v>
      </c>
      <c r="F59"/>
      <c r="G59"/>
      <c r="H59"/>
      <c r="J59" s="43"/>
    </row>
    <row r="60" spans="1:15">
      <c r="A60" t="s">
        <v>284</v>
      </c>
      <c r="B60" s="12">
        <f>+'capitalbkcomp '!B58</f>
        <v>35956</v>
      </c>
      <c r="C60" s="43"/>
      <c r="E60" s="115" t="s">
        <v>0</v>
      </c>
      <c r="F60"/>
      <c r="G60"/>
      <c r="H60"/>
      <c r="J60" s="43"/>
    </row>
    <row r="61" spans="1:15">
      <c r="C61" s="43"/>
      <c r="E61" s="115" t="s">
        <v>0</v>
      </c>
      <c r="F61"/>
      <c r="G61"/>
      <c r="H61"/>
      <c r="J61" s="43"/>
    </row>
    <row r="62" spans="1:15" ht="18.75">
      <c r="A62" s="122" t="s">
        <v>303</v>
      </c>
      <c r="B62" s="12">
        <f>+'capitalbkcomp '!B60</f>
        <v>509125</v>
      </c>
      <c r="C62" s="43"/>
      <c r="E62" s="115" t="s">
        <v>0</v>
      </c>
      <c r="F62"/>
      <c r="G62"/>
      <c r="H62" s="43">
        <v>0</v>
      </c>
      <c r="I62" s="43">
        <v>0</v>
      </c>
      <c r="J62" s="12">
        <f>+J19+J63</f>
        <v>8550874.1470999997</v>
      </c>
    </row>
    <row r="63" spans="1:15">
      <c r="A63" t="s">
        <v>217</v>
      </c>
      <c r="B63" s="12">
        <f>+'capitalbkcomp '!B61</f>
        <v>7325</v>
      </c>
      <c r="C63" s="43"/>
      <c r="E63" s="115" t="s">
        <v>0</v>
      </c>
      <c r="F63"/>
      <c r="G63"/>
      <c r="H63" s="43">
        <v>0</v>
      </c>
      <c r="I63" s="43">
        <v>0</v>
      </c>
      <c r="J63" s="12">
        <f>4466547.1/1000</f>
        <v>4466.5470999999998</v>
      </c>
    </row>
    <row r="64" spans="1:15">
      <c r="A64" t="s">
        <v>320</v>
      </c>
      <c r="B64" s="12">
        <f>+'capitalbkcomp '!B62</f>
        <v>7430</v>
      </c>
      <c r="C64" s="43"/>
      <c r="E64" s="115" t="s">
        <v>0</v>
      </c>
      <c r="F64"/>
      <c r="G64"/>
      <c r="H64" s="43">
        <v>0</v>
      </c>
      <c r="I64" s="43">
        <v>0</v>
      </c>
      <c r="J64" s="12">
        <f>2233273.55/1000</f>
        <v>2233.2735499999999</v>
      </c>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sheetData>
  <pageMargins left="0.7" right="0.28999999999999998" top="0.48" bottom="0.52" header="0.28999999999999998" footer="0.28999999999999998"/>
  <pageSetup scale="64" orientation="landscape" r:id="rId1"/>
  <headerFooter alignWithMargins="0">
    <oddFooter>&amp;R&amp;P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22"/>
  <sheetViews>
    <sheetView workbookViewId="0"/>
  </sheetViews>
  <sheetFormatPr defaultRowHeight="15.75"/>
  <cols>
    <col min="1" max="1" width="50" customWidth="1"/>
    <col min="2" max="2" width="15.75" style="27" customWidth="1"/>
    <col min="3" max="3" width="8.7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 style="27" customWidth="1"/>
    <col min="14" max="14" width="15.75" style="27" customWidth="1"/>
    <col min="15" max="15" width="11" style="27" customWidth="1"/>
    <col min="16" max="16" width="15.75" style="27" customWidth="1"/>
    <col min="17" max="17" width="11" style="27" customWidth="1"/>
    <col min="18" max="18" width="15.75" style="27" customWidth="1"/>
    <col min="19" max="19" width="11" style="27" customWidth="1"/>
    <col min="20" max="20" width="15.875" style="27" customWidth="1"/>
    <col min="21" max="21" width="14.25" style="27" customWidth="1"/>
    <col min="22" max="256" width="11" customWidth="1"/>
  </cols>
  <sheetData>
    <row r="1" spans="1:22">
      <c r="A1" s="142" t="s">
        <v>0</v>
      </c>
      <c r="B1" s="22" t="s">
        <v>321</v>
      </c>
      <c r="D1" s="22" t="s">
        <v>154</v>
      </c>
      <c r="F1" s="22" t="s">
        <v>322</v>
      </c>
      <c r="G1"/>
      <c r="H1" s="22" t="s">
        <v>155</v>
      </c>
      <c r="J1" s="22" t="s">
        <v>323</v>
      </c>
      <c r="L1" s="22" t="s">
        <v>157</v>
      </c>
      <c r="N1" s="22" t="s">
        <v>324</v>
      </c>
      <c r="P1" s="22" t="s">
        <v>159</v>
      </c>
      <c r="R1" s="22" t="s">
        <v>325</v>
      </c>
      <c r="T1" s="22" t="s">
        <v>326</v>
      </c>
    </row>
    <row r="2" spans="1:22">
      <c r="A2" s="114" t="s">
        <v>163</v>
      </c>
      <c r="B2" s="40"/>
      <c r="C2" s="40"/>
      <c r="D2" s="40"/>
      <c r="E2" s="40"/>
      <c r="F2" s="40"/>
      <c r="G2" s="40"/>
      <c r="H2" s="40"/>
      <c r="I2" s="40"/>
      <c r="J2" s="40"/>
      <c r="K2" s="40"/>
      <c r="L2" s="40"/>
      <c r="M2" s="40"/>
      <c r="N2" s="40"/>
      <c r="O2" s="40"/>
      <c r="P2" s="40"/>
      <c r="Q2" s="40"/>
      <c r="R2" s="40"/>
      <c r="S2" s="40"/>
      <c r="T2" s="40"/>
    </row>
    <row r="3" spans="1:22" ht="15" customHeight="1">
      <c r="A3" s="114" t="s">
        <v>164</v>
      </c>
      <c r="B3" s="40"/>
      <c r="C3" s="40"/>
      <c r="D3" s="40"/>
      <c r="E3" s="40"/>
      <c r="F3" s="40"/>
      <c r="G3" s="40"/>
      <c r="H3" s="40"/>
      <c r="I3" s="40"/>
      <c r="J3" s="40"/>
      <c r="K3" s="40"/>
      <c r="L3" s="40"/>
      <c r="M3" s="40"/>
      <c r="N3" s="40"/>
      <c r="O3" s="40"/>
      <c r="P3" s="40"/>
      <c r="Q3" s="40"/>
      <c r="R3" s="40"/>
      <c r="S3" s="40"/>
      <c r="T3" s="40"/>
    </row>
    <row r="4" spans="1:22">
      <c r="A4" s="114" t="s">
        <v>327</v>
      </c>
      <c r="B4" s="40"/>
      <c r="C4" s="40"/>
      <c r="D4" s="40"/>
      <c r="E4" s="40"/>
      <c r="F4" s="40"/>
      <c r="G4" s="40"/>
      <c r="H4" s="40"/>
      <c r="I4" s="40"/>
      <c r="J4" s="40"/>
      <c r="K4" s="40"/>
      <c r="L4" s="40"/>
      <c r="M4" s="40"/>
      <c r="N4" s="40"/>
      <c r="O4" s="40"/>
      <c r="P4" s="40"/>
      <c r="Q4" s="40"/>
      <c r="R4" s="40"/>
      <c r="S4" s="40"/>
      <c r="T4" s="40"/>
    </row>
    <row r="5" spans="1:22">
      <c r="A5" s="114" t="s">
        <v>179</v>
      </c>
      <c r="B5" s="40"/>
      <c r="C5" s="40"/>
      <c r="D5" s="40"/>
      <c r="E5" s="40"/>
      <c r="F5" s="40"/>
      <c r="G5" s="40"/>
      <c r="H5" s="40"/>
      <c r="I5" s="40"/>
      <c r="J5" s="40"/>
      <c r="K5" s="40"/>
      <c r="L5" s="40"/>
      <c r="M5" s="40"/>
      <c r="N5" s="40"/>
      <c r="O5" s="40"/>
      <c r="P5" s="40"/>
      <c r="Q5" s="40"/>
      <c r="R5" s="40"/>
      <c r="S5" s="40"/>
      <c r="T5" s="40"/>
    </row>
    <row r="6" spans="1:22" ht="16.5" thickBot="1">
      <c r="A6" t="s">
        <v>0</v>
      </c>
      <c r="B6" s="114">
        <v>2000</v>
      </c>
      <c r="C6" s="215"/>
      <c r="D6" s="216"/>
      <c r="E6" s="215"/>
      <c r="F6" s="216"/>
      <c r="G6" s="215"/>
      <c r="H6" s="216"/>
      <c r="J6" s="242" t="s">
        <v>174</v>
      </c>
      <c r="K6" s="217"/>
      <c r="L6" s="218"/>
      <c r="M6" s="217"/>
      <c r="N6" s="218"/>
      <c r="O6" s="217"/>
      <c r="P6" s="218"/>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7" t="s">
        <v>0</v>
      </c>
      <c r="D9" s="16" t="s">
        <v>0</v>
      </c>
      <c r="E9" s="29" t="s">
        <v>0</v>
      </c>
      <c r="F9" s="16" t="s">
        <v>0</v>
      </c>
      <c r="G9" s="29" t="s">
        <v>0</v>
      </c>
      <c r="H9" s="16" t="s">
        <v>0</v>
      </c>
      <c r="I9" s="29" t="s">
        <v>0</v>
      </c>
      <c r="J9" s="16" t="s">
        <v>0</v>
      </c>
      <c r="K9" s="47" t="s">
        <v>0</v>
      </c>
      <c r="L9" s="16" t="s">
        <v>0</v>
      </c>
      <c r="M9" s="47" t="s">
        <v>0</v>
      </c>
      <c r="N9" s="16" t="s">
        <v>0</v>
      </c>
      <c r="O9" s="47" t="s">
        <v>0</v>
      </c>
      <c r="P9" s="16" t="s">
        <v>0</v>
      </c>
      <c r="Q9" s="29" t="s">
        <v>0</v>
      </c>
    </row>
    <row r="10" spans="1:22">
      <c r="A10" t="s">
        <v>330</v>
      </c>
      <c r="B10" s="12">
        <f>+B50</f>
        <v>371548.3</v>
      </c>
      <c r="C10" s="43">
        <v>0</v>
      </c>
      <c r="D10" s="12">
        <f>+F50</f>
        <v>0</v>
      </c>
      <c r="E10" s="43">
        <v>0</v>
      </c>
      <c r="F10" s="12">
        <f>+J50</f>
        <v>0</v>
      </c>
      <c r="G10" s="43">
        <v>0</v>
      </c>
      <c r="H10" s="12">
        <f>+N50</f>
        <v>0</v>
      </c>
      <c r="J10" s="12">
        <f>+D50</f>
        <v>371904.09999999992</v>
      </c>
      <c r="K10" s="46">
        <f t="shared" ref="K10:K15" si="0">+(-J10+L10)/ABS(J10)</f>
        <v>-1.4583329412071336E-2</v>
      </c>
      <c r="L10" s="12">
        <f>+H50</f>
        <v>366480.5</v>
      </c>
      <c r="M10" s="46">
        <f t="shared" ref="M10:M15" si="1">+(-L10+N10)/ABS(L10)</f>
        <v>-8.9197105985175835E-3</v>
      </c>
      <c r="N10" s="12">
        <f>+L50</f>
        <v>363211.6</v>
      </c>
      <c r="O10" s="46">
        <f t="shared" ref="O10:O15" si="2">+(-N10+P10)/ABS(N10)</f>
        <v>7.0308327156952163E-2</v>
      </c>
      <c r="P10" s="12">
        <f>+P50</f>
        <v>388748.4</v>
      </c>
    </row>
    <row r="11" spans="1:22">
      <c r="A11" t="s">
        <v>331</v>
      </c>
      <c r="B11" s="12">
        <f>+B51</f>
        <v>83055.399999999994</v>
      </c>
      <c r="C11" s="43">
        <v>0</v>
      </c>
      <c r="D11" s="12">
        <f>+F51</f>
        <v>0</v>
      </c>
      <c r="E11" s="43">
        <v>0</v>
      </c>
      <c r="F11" s="12">
        <f>+J51</f>
        <v>0</v>
      </c>
      <c r="G11" s="43">
        <v>0</v>
      </c>
      <c r="H11" s="12">
        <f>+N51</f>
        <v>0</v>
      </c>
      <c r="J11" s="12">
        <f>+D51</f>
        <v>78372.699999999983</v>
      </c>
      <c r="K11" s="46">
        <f t="shared" si="0"/>
        <v>-0.4459754480833249</v>
      </c>
      <c r="L11" s="12">
        <f>+H51</f>
        <v>43420.399999999994</v>
      </c>
      <c r="M11" s="46">
        <f t="shared" si="1"/>
        <v>0.13170767657598742</v>
      </c>
      <c r="N11" s="12">
        <f>+L51</f>
        <v>49139.199999999997</v>
      </c>
      <c r="O11" s="46">
        <f t="shared" si="2"/>
        <v>0.25143062972128172</v>
      </c>
      <c r="P11" s="12">
        <f>+P51</f>
        <v>61494.3</v>
      </c>
    </row>
    <row r="12" spans="1:22">
      <c r="A12" t="s">
        <v>332</v>
      </c>
      <c r="B12" s="221">
        <f>+B52</f>
        <v>30141.5</v>
      </c>
      <c r="C12" s="43">
        <v>0</v>
      </c>
      <c r="D12" s="221">
        <f>+F52</f>
        <v>0</v>
      </c>
      <c r="E12" s="43">
        <v>0</v>
      </c>
      <c r="F12" s="221">
        <f>+J52</f>
        <v>0</v>
      </c>
      <c r="G12" s="43">
        <v>0</v>
      </c>
      <c r="H12" s="221">
        <f>+N52</f>
        <v>0</v>
      </c>
      <c r="J12" s="221">
        <f>+D52</f>
        <v>25034.699999999997</v>
      </c>
      <c r="K12" s="46">
        <f t="shared" si="0"/>
        <v>-7.2383531658058414E-2</v>
      </c>
      <c r="L12" s="221">
        <f>+H52</f>
        <v>23222.600000000002</v>
      </c>
      <c r="M12" s="46">
        <f t="shared" si="1"/>
        <v>8.3319697191528846E-2</v>
      </c>
      <c r="N12" s="221">
        <f>+L52</f>
        <v>25157.5</v>
      </c>
      <c r="O12" s="46">
        <f t="shared" si="2"/>
        <v>5.7318890986783264E-2</v>
      </c>
      <c r="P12" s="221">
        <f>+P52</f>
        <v>26599.5</v>
      </c>
    </row>
    <row r="13" spans="1:22">
      <c r="B13" s="12">
        <f>SUM(B10:B12)</f>
        <v>484745.19999999995</v>
      </c>
      <c r="C13" s="43">
        <v>0</v>
      </c>
      <c r="D13" s="12">
        <f>SUM(D10:D12)</f>
        <v>0</v>
      </c>
      <c r="E13" s="43">
        <v>0</v>
      </c>
      <c r="F13" s="12">
        <f>SUM(F10:F12)</f>
        <v>0</v>
      </c>
      <c r="G13" s="43">
        <v>0</v>
      </c>
      <c r="H13" s="12">
        <f>SUM(H10:H12)</f>
        <v>0</v>
      </c>
      <c r="J13" s="12">
        <f>SUM(J10:J12)</f>
        <v>475311.49999999994</v>
      </c>
      <c r="K13" s="46">
        <f t="shared" si="0"/>
        <v>-8.8758635126648416E-2</v>
      </c>
      <c r="L13" s="12">
        <f>SUM(L10:L12)</f>
        <v>433123.5</v>
      </c>
      <c r="M13" s="46">
        <f t="shared" si="1"/>
        <v>1.0123671423970273E-2</v>
      </c>
      <c r="N13" s="12">
        <f>SUM(N10:N12)</f>
        <v>437508.3</v>
      </c>
      <c r="O13" s="46">
        <f t="shared" si="2"/>
        <v>8.990435152887391E-2</v>
      </c>
      <c r="P13" s="12">
        <f>SUM(P10:P12)</f>
        <v>476842.2</v>
      </c>
    </row>
    <row r="14" spans="1:22">
      <c r="A14" t="s">
        <v>333</v>
      </c>
      <c r="B14" s="240">
        <f>+B54</f>
        <v>174400.9</v>
      </c>
      <c r="C14" s="43">
        <v>0</v>
      </c>
      <c r="D14" s="240">
        <f>+F54</f>
        <v>0</v>
      </c>
      <c r="E14" s="43">
        <v>0</v>
      </c>
      <c r="F14" s="240">
        <f>+J54</f>
        <v>0</v>
      </c>
      <c r="G14" s="43">
        <v>0</v>
      </c>
      <c r="H14" s="240">
        <f>+N54</f>
        <v>0</v>
      </c>
      <c r="J14" s="240">
        <f>+D54</f>
        <v>229551.09999999998</v>
      </c>
      <c r="K14" s="46">
        <f t="shared" si="0"/>
        <v>-0.21748185915902815</v>
      </c>
      <c r="L14" s="240">
        <f>+H54</f>
        <v>179627.9</v>
      </c>
      <c r="M14" s="46">
        <f t="shared" si="1"/>
        <v>-0.11956550179565641</v>
      </c>
      <c r="N14" s="240">
        <f>+L54</f>
        <v>158150.6</v>
      </c>
      <c r="O14" s="46">
        <f t="shared" si="2"/>
        <v>-6.4938103301543997E-4</v>
      </c>
      <c r="P14" s="240">
        <f>+P54</f>
        <v>158047.9</v>
      </c>
    </row>
    <row r="15" spans="1:22">
      <c r="B15" s="12">
        <f>+B13-B14</f>
        <v>310344.29999999993</v>
      </c>
      <c r="C15" s="43">
        <v>0</v>
      </c>
      <c r="D15" s="12">
        <f>+D13-D14</f>
        <v>0</v>
      </c>
      <c r="E15" s="43">
        <v>0</v>
      </c>
      <c r="F15" s="12">
        <f>+F13-F14</f>
        <v>0</v>
      </c>
      <c r="G15" s="43">
        <v>0</v>
      </c>
      <c r="H15" s="12">
        <f>+H13-H14</f>
        <v>0</v>
      </c>
      <c r="J15" s="12">
        <f>+J13-J14</f>
        <v>245760.39999999997</v>
      </c>
      <c r="K15" s="46">
        <f t="shared" si="0"/>
        <v>3.147455814687819E-2</v>
      </c>
      <c r="L15" s="12">
        <f>+L13-L14</f>
        <v>253495.6</v>
      </c>
      <c r="M15" s="46">
        <f t="shared" si="1"/>
        <v>0.10202188913732604</v>
      </c>
      <c r="N15" s="12">
        <f>+N13-N14</f>
        <v>279357.69999999995</v>
      </c>
      <c r="O15" s="46">
        <f t="shared" si="2"/>
        <v>0.14116883121532037</v>
      </c>
      <c r="P15" s="12">
        <f>+P13-P14</f>
        <v>318794.30000000005</v>
      </c>
    </row>
    <row r="16" spans="1:22" ht="9" customHeight="1">
      <c r="B16" s="12"/>
      <c r="C16" s="44" t="s">
        <v>0</v>
      </c>
      <c r="D16" s="12"/>
      <c r="E16" s="44" t="s">
        <v>0</v>
      </c>
      <c r="F16" s="12"/>
      <c r="G16" s="44" t="s">
        <v>0</v>
      </c>
      <c r="H16" s="12"/>
      <c r="J16" s="12"/>
      <c r="K16" s="46"/>
      <c r="L16" s="12"/>
      <c r="M16" s="46"/>
      <c r="N16" s="12"/>
      <c r="O16" s="46"/>
      <c r="P16" s="12"/>
    </row>
    <row r="17" spans="1:16">
      <c r="A17" t="s">
        <v>334</v>
      </c>
      <c r="B17" s="12"/>
      <c r="C17" s="44" t="s">
        <v>0</v>
      </c>
      <c r="D17" s="12"/>
      <c r="E17" s="44" t="s">
        <v>0</v>
      </c>
      <c r="F17" s="12"/>
      <c r="G17" s="44" t="s">
        <v>0</v>
      </c>
      <c r="H17" s="12"/>
      <c r="J17" s="12"/>
      <c r="K17" s="46"/>
      <c r="L17" s="12"/>
      <c r="M17" s="46"/>
      <c r="N17" s="12"/>
      <c r="O17" s="47" t="s">
        <v>0</v>
      </c>
      <c r="P17" s="12"/>
    </row>
    <row r="18" spans="1:16">
      <c r="A18" t="s">
        <v>335</v>
      </c>
      <c r="B18" s="12">
        <f>+B58</f>
        <v>59534.3</v>
      </c>
      <c r="C18" s="43">
        <v>0</v>
      </c>
      <c r="D18" s="12">
        <f>+F58</f>
        <v>0</v>
      </c>
      <c r="E18" s="43">
        <v>0</v>
      </c>
      <c r="F18" s="12">
        <f>+J58</f>
        <v>0</v>
      </c>
      <c r="G18" s="43">
        <v>0</v>
      </c>
      <c r="H18" s="12">
        <f>+N58</f>
        <v>0</v>
      </c>
      <c r="J18" s="12">
        <f>+D58</f>
        <v>50277.19999999999</v>
      </c>
      <c r="K18" s="46">
        <f>+(-J18+L18)/ABS(J18)</f>
        <v>-5.3853436547778806E-2</v>
      </c>
      <c r="L18" s="12">
        <f>+H58</f>
        <v>47569.600000000006</v>
      </c>
      <c r="M18" s="46">
        <f>+(-L18+N18)/ABS(L18)</f>
        <v>0.4092214355386633</v>
      </c>
      <c r="N18" s="12">
        <f>+L58</f>
        <v>67036.100000000006</v>
      </c>
      <c r="O18" s="46">
        <f>+(-N18+P18)/ABS(N18)</f>
        <v>4.4338796558869069E-2</v>
      </c>
      <c r="P18" s="12">
        <f>+P58</f>
        <v>70008.400000000009</v>
      </c>
    </row>
    <row r="19" spans="1:16">
      <c r="A19" t="s">
        <v>336</v>
      </c>
      <c r="B19" s="12">
        <f>+B59</f>
        <v>61926.000000000015</v>
      </c>
      <c r="C19" s="43">
        <v>0</v>
      </c>
      <c r="D19" s="12">
        <f>+F59</f>
        <v>0</v>
      </c>
      <c r="E19" s="43">
        <v>0</v>
      </c>
      <c r="F19" s="12">
        <f>+J59</f>
        <v>0</v>
      </c>
      <c r="G19" s="43">
        <v>0</v>
      </c>
      <c r="H19" s="12">
        <f>+N59</f>
        <v>0</v>
      </c>
      <c r="J19" s="12">
        <f>+D59</f>
        <v>49550.6</v>
      </c>
      <c r="K19" s="46">
        <f>+(-J19+L19)/ABS(J19)</f>
        <v>-8.8271383192130903E-2</v>
      </c>
      <c r="L19" s="12">
        <f>+H59</f>
        <v>45176.7</v>
      </c>
      <c r="M19" s="46">
        <f>+(-L19+N19)/ABS(L19)</f>
        <v>-0.11379095861362157</v>
      </c>
      <c r="N19" s="12">
        <f>+L59</f>
        <v>40036</v>
      </c>
      <c r="O19" s="46">
        <f>+(-N19+P19)/ABS(N19)</f>
        <v>0.34651064042361879</v>
      </c>
      <c r="P19" s="12">
        <f>+P59</f>
        <v>53908.9</v>
      </c>
    </row>
    <row r="20" spans="1:16">
      <c r="A20" t="s">
        <v>284</v>
      </c>
      <c r="B20" s="240">
        <f>+B60</f>
        <v>16052.2</v>
      </c>
      <c r="C20" s="43">
        <v>0</v>
      </c>
      <c r="D20" s="240">
        <f>+F60</f>
        <v>0</v>
      </c>
      <c r="E20" s="43">
        <v>0</v>
      </c>
      <c r="F20" s="240">
        <f>+J60</f>
        <v>0</v>
      </c>
      <c r="G20" s="43">
        <v>0</v>
      </c>
      <c r="H20" s="240">
        <f>+N60</f>
        <v>0</v>
      </c>
      <c r="J20" s="240">
        <f>+D60</f>
        <v>8751.2000000000007</v>
      </c>
      <c r="K20" s="46">
        <f>+(-J20+L20)/ABS(J20)</f>
        <v>1.6629605082731507</v>
      </c>
      <c r="L20" s="240">
        <f>+H60</f>
        <v>23304.1</v>
      </c>
      <c r="M20" s="46">
        <f>+(-L20+N20)/ABS(L20)</f>
        <v>-0.52506211353367005</v>
      </c>
      <c r="N20" s="240">
        <f>+L60</f>
        <v>11068</v>
      </c>
      <c r="O20" s="46">
        <f>+(-N20+P20)/ABS(N20)</f>
        <v>6.0732110589085639</v>
      </c>
      <c r="P20" s="240">
        <f>+P60</f>
        <v>78286.299999999988</v>
      </c>
    </row>
    <row r="21" spans="1:16">
      <c r="B21" s="12">
        <f>SUM(B18:B20)</f>
        <v>137512.50000000003</v>
      </c>
      <c r="C21" s="43">
        <v>0</v>
      </c>
      <c r="D21" s="12">
        <f>SUM(D18:D20)</f>
        <v>0</v>
      </c>
      <c r="E21" s="43">
        <v>0</v>
      </c>
      <c r="F21" s="12">
        <f>SUM(F18:F20)</f>
        <v>0</v>
      </c>
      <c r="G21" s="43">
        <v>0</v>
      </c>
      <c r="H21" s="12">
        <f>SUM(H18:H20)</f>
        <v>0</v>
      </c>
      <c r="J21" s="12">
        <f>SUM(J18:J20)</f>
        <v>108578.99999999999</v>
      </c>
      <c r="K21" s="46">
        <f>+(-J21+L21)/ABS(J21)</f>
        <v>6.8810727672938693E-2</v>
      </c>
      <c r="L21" s="12">
        <f>SUM(L18:L20)</f>
        <v>116050.4</v>
      </c>
      <c r="M21" s="46">
        <f>+(-L21+N21)/ABS(L21)</f>
        <v>1.8006831514583418E-2</v>
      </c>
      <c r="N21" s="12">
        <f>+L61</f>
        <v>118140.1</v>
      </c>
      <c r="O21" s="46">
        <f>+(-N21+P21)/ABS(N21)</f>
        <v>0.71155771833611103</v>
      </c>
      <c r="P21" s="12">
        <f>SUM(P18:P20)</f>
        <v>202203.6</v>
      </c>
    </row>
    <row r="22" spans="1:16">
      <c r="B22" s="240"/>
      <c r="C22" s="44" t="s">
        <v>0</v>
      </c>
      <c r="D22" s="240"/>
      <c r="E22" s="44" t="s">
        <v>0</v>
      </c>
      <c r="F22" s="240"/>
      <c r="G22" s="44" t="s">
        <v>0</v>
      </c>
      <c r="H22" s="240"/>
      <c r="J22" s="240"/>
      <c r="K22" s="46"/>
      <c r="L22" s="240"/>
      <c r="M22" s="46"/>
      <c r="N22" s="240"/>
      <c r="O22" s="46"/>
      <c r="P22" s="240"/>
    </row>
    <row r="23" spans="1:16">
      <c r="A23" t="s">
        <v>337</v>
      </c>
      <c r="B23" s="12">
        <f>+B15+B21</f>
        <v>447856.79999999993</v>
      </c>
      <c r="C23" s="43">
        <v>0</v>
      </c>
      <c r="D23" s="12">
        <f>+D15+D21</f>
        <v>0</v>
      </c>
      <c r="E23" s="43">
        <v>0</v>
      </c>
      <c r="F23" s="12">
        <f>+F15+F21</f>
        <v>0</v>
      </c>
      <c r="G23" s="43">
        <v>0</v>
      </c>
      <c r="H23" s="12">
        <f>+H15+H21</f>
        <v>0</v>
      </c>
      <c r="J23" s="12">
        <f>+J15+J21</f>
        <v>354339.39999999997</v>
      </c>
      <c r="K23" s="46">
        <f>+(-J23+L23)/ABS(J23)</f>
        <v>4.2915351778549146E-2</v>
      </c>
      <c r="L23" s="12">
        <f>+L15+L21</f>
        <v>369546</v>
      </c>
      <c r="M23" s="46">
        <f>+(-L23+N23)/ABS(L23)</f>
        <v>7.5638215540149073E-2</v>
      </c>
      <c r="N23" s="12">
        <f>+N15+N21</f>
        <v>397497.79999999993</v>
      </c>
      <c r="O23" s="46">
        <f>+(-N23+P23)/ABS(N23)</f>
        <v>0.31069379503484074</v>
      </c>
      <c r="P23" s="12">
        <f>+P15+P21</f>
        <v>520997.9</v>
      </c>
    </row>
    <row r="24" spans="1:16">
      <c r="B24" s="12"/>
      <c r="C24" s="44" t="s">
        <v>0</v>
      </c>
      <c r="D24" s="12"/>
      <c r="E24" s="44" t="s">
        <v>0</v>
      </c>
      <c r="F24" s="12"/>
      <c r="G24" s="44" t="s">
        <v>0</v>
      </c>
      <c r="H24" s="12"/>
      <c r="J24" s="12"/>
      <c r="K24" s="46"/>
      <c r="L24" s="12"/>
      <c r="M24" s="46"/>
      <c r="N24" s="12"/>
      <c r="O24" s="46"/>
      <c r="P24" s="12"/>
    </row>
    <row r="25" spans="1:16">
      <c r="A25" t="s">
        <v>338</v>
      </c>
      <c r="B25" s="12">
        <f>+B65</f>
        <v>16959.2</v>
      </c>
      <c r="C25" s="43">
        <v>0</v>
      </c>
      <c r="D25" s="12">
        <f>+F65</f>
        <v>0</v>
      </c>
      <c r="E25" s="43">
        <v>0</v>
      </c>
      <c r="F25" s="12">
        <f>+J65</f>
        <v>0</v>
      </c>
      <c r="G25" s="43">
        <v>0</v>
      </c>
      <c r="H25" s="12">
        <f>+N65</f>
        <v>0</v>
      </c>
      <c r="J25" s="12">
        <f>+D65</f>
        <v>19202.8</v>
      </c>
      <c r="K25" s="46">
        <f>+(-J25+L25)/ABS(J25)</f>
        <v>-0.14116691315849769</v>
      </c>
      <c r="L25" s="12">
        <f>+H65</f>
        <v>16492</v>
      </c>
      <c r="M25" s="46">
        <f>+(-L25+N25)/ABS(L25)</f>
        <v>1.2288260975018193</v>
      </c>
      <c r="N25" s="12">
        <f>+L65</f>
        <v>36757.800000000003</v>
      </c>
      <c r="O25" s="46">
        <f>+(-N25+P25)/ABS(N25)</f>
        <v>5.5634450375158465E-3</v>
      </c>
      <c r="P25" s="12">
        <f>+P65</f>
        <v>36962.300000000003</v>
      </c>
    </row>
    <row r="26" spans="1:16">
      <c r="B26" s="12"/>
      <c r="C26" s="44" t="s">
        <v>0</v>
      </c>
      <c r="D26" s="12"/>
      <c r="E26" s="44" t="s">
        <v>0</v>
      </c>
      <c r="F26" s="12"/>
      <c r="G26" s="44" t="s">
        <v>0</v>
      </c>
      <c r="H26" s="12"/>
      <c r="J26" s="12"/>
      <c r="K26" s="46"/>
      <c r="L26" s="12"/>
      <c r="M26" s="46"/>
      <c r="N26" s="12"/>
      <c r="O26" s="46"/>
      <c r="P26" s="12"/>
    </row>
    <row r="27" spans="1:16">
      <c r="A27" t="s">
        <v>339</v>
      </c>
      <c r="B27" s="240"/>
      <c r="C27" s="44" t="s">
        <v>0</v>
      </c>
      <c r="D27" s="240"/>
      <c r="E27" s="44" t="s">
        <v>0</v>
      </c>
      <c r="F27" s="240"/>
      <c r="G27" s="44" t="s">
        <v>0</v>
      </c>
      <c r="H27" s="240"/>
      <c r="J27" s="240"/>
      <c r="K27" s="46"/>
      <c r="L27" s="240"/>
      <c r="M27" s="46"/>
      <c r="N27" s="240"/>
      <c r="O27" s="46"/>
      <c r="P27" s="240"/>
    </row>
    <row r="28" spans="1:16">
      <c r="A28" t="s">
        <v>340</v>
      </c>
      <c r="B28" s="12">
        <f>+B23-B25</f>
        <v>430897.59999999992</v>
      </c>
      <c r="C28" s="43">
        <v>0</v>
      </c>
      <c r="D28" s="12">
        <f>+D23-D25</f>
        <v>0</v>
      </c>
      <c r="E28" s="43">
        <v>0</v>
      </c>
      <c r="F28" s="12">
        <f>+F23-F25</f>
        <v>0</v>
      </c>
      <c r="G28" s="43">
        <v>0</v>
      </c>
      <c r="H28" s="12">
        <f>+H23-H25</f>
        <v>0</v>
      </c>
      <c r="J28" s="12">
        <f>+J23-J25</f>
        <v>335136.59999999998</v>
      </c>
      <c r="K28" s="46">
        <f>+(-J28+L28)/ABS(J28)</f>
        <v>5.3462975992475979E-2</v>
      </c>
      <c r="L28" s="12">
        <f>+L23-L25</f>
        <v>353054</v>
      </c>
      <c r="M28" s="46">
        <f>+(-L28+N28)/ABS(L28)</f>
        <v>2.1770040843610162E-2</v>
      </c>
      <c r="N28" s="12">
        <f>+N23-N25</f>
        <v>360739.99999999994</v>
      </c>
      <c r="O28" s="46">
        <f>+(-N28+P28)/ABS(N28)</f>
        <v>0.3417852192714978</v>
      </c>
      <c r="P28" s="12">
        <f>+P23-P25</f>
        <v>484035.60000000003</v>
      </c>
    </row>
    <row r="29" spans="1:16">
      <c r="B29" s="12"/>
      <c r="C29" s="44" t="s">
        <v>0</v>
      </c>
      <c r="D29" s="12"/>
      <c r="E29" s="44" t="s">
        <v>0</v>
      </c>
      <c r="F29" s="12"/>
      <c r="G29" s="44" t="s">
        <v>0</v>
      </c>
      <c r="H29" s="12"/>
      <c r="J29" s="12"/>
      <c r="K29" s="46"/>
      <c r="L29" s="12"/>
      <c r="M29" s="46"/>
      <c r="N29" s="12"/>
      <c r="O29" s="46"/>
      <c r="P29" s="12"/>
    </row>
    <row r="30" spans="1:16">
      <c r="A30" t="s">
        <v>341</v>
      </c>
      <c r="B30" s="12"/>
      <c r="C30" s="44" t="s">
        <v>0</v>
      </c>
      <c r="D30" s="12"/>
      <c r="E30" s="44" t="s">
        <v>0</v>
      </c>
      <c r="F30" s="12"/>
      <c r="G30" s="44" t="s">
        <v>0</v>
      </c>
      <c r="H30" s="12"/>
      <c r="J30" s="12"/>
      <c r="K30" s="46"/>
      <c r="L30" s="12"/>
      <c r="M30" s="46"/>
      <c r="N30" s="12"/>
      <c r="O30" s="46"/>
      <c r="P30" s="12"/>
    </row>
    <row r="31" spans="1:16">
      <c r="A31" t="s">
        <v>342</v>
      </c>
      <c r="B31" s="12">
        <f>+B71</f>
        <v>159683.09999999998</v>
      </c>
      <c r="C31" s="43">
        <v>0</v>
      </c>
      <c r="D31" s="12">
        <f>+F71</f>
        <v>0</v>
      </c>
      <c r="E31" s="43">
        <v>0</v>
      </c>
      <c r="F31" s="12">
        <f>+J71</f>
        <v>0</v>
      </c>
      <c r="G31" s="43">
        <v>0</v>
      </c>
      <c r="H31" s="12">
        <f>+N71</f>
        <v>0</v>
      </c>
      <c r="J31" s="12">
        <f>+D71</f>
        <v>146981.80000000002</v>
      </c>
      <c r="K31" s="46">
        <f>+(-J31+L31)/ABS(J31)</f>
        <v>-4.2444030485407035E-2</v>
      </c>
      <c r="L31" s="12">
        <f>+H71</f>
        <v>140743.30000000002</v>
      </c>
      <c r="M31" s="46">
        <f>+(-L31+N31)/ABS(L31)</f>
        <v>-6.6028720372479574E-2</v>
      </c>
      <c r="N31" s="12">
        <f>+L71</f>
        <v>131450.20000000001</v>
      </c>
      <c r="O31" s="46">
        <f>+(-N31+P31)/ABS(N31)</f>
        <v>0.16836185871151188</v>
      </c>
      <c r="P31" s="12">
        <f>+P71</f>
        <v>153581.4</v>
      </c>
    </row>
    <row r="32" spans="1:16">
      <c r="A32" t="s">
        <v>343</v>
      </c>
      <c r="B32" s="12">
        <f>+B72</f>
        <v>16175.199999999999</v>
      </c>
      <c r="C32" s="43">
        <v>0</v>
      </c>
      <c r="D32" s="12">
        <f>+F72</f>
        <v>0</v>
      </c>
      <c r="E32" s="43">
        <v>0</v>
      </c>
      <c r="F32" s="12">
        <f>+J72</f>
        <v>0</v>
      </c>
      <c r="G32" s="43">
        <v>0</v>
      </c>
      <c r="H32" s="12">
        <f>+N72</f>
        <v>0</v>
      </c>
      <c r="J32" s="12">
        <f>+D72</f>
        <v>13693.2</v>
      </c>
      <c r="K32" s="46">
        <f>+(-J32+L32)/ABS(J32)</f>
        <v>-7.648321794759437E-2</v>
      </c>
      <c r="L32" s="12">
        <f>+H72</f>
        <v>12645.900000000001</v>
      </c>
      <c r="M32" s="46">
        <f>+(-L32+N32)/ABS(L32)</f>
        <v>-3.5948410156651733E-2</v>
      </c>
      <c r="N32" s="12">
        <f>+L72</f>
        <v>12191.3</v>
      </c>
      <c r="O32" s="46">
        <f>+(-N32+P32)/ABS(N32)</f>
        <v>0.19419586098283204</v>
      </c>
      <c r="P32" s="12">
        <f>+P72</f>
        <v>14558.8</v>
      </c>
    </row>
    <row r="33" spans="1:22">
      <c r="A33" t="s">
        <v>344</v>
      </c>
      <c r="B33" s="12">
        <f>+B73</f>
        <v>49760.2</v>
      </c>
      <c r="C33" s="43">
        <v>0</v>
      </c>
      <c r="D33" s="12">
        <f>+F73</f>
        <v>0</v>
      </c>
      <c r="E33" s="43">
        <v>0</v>
      </c>
      <c r="F33" s="12">
        <f>+J73</f>
        <v>0</v>
      </c>
      <c r="G33" s="43">
        <v>0</v>
      </c>
      <c r="H33" s="12">
        <f>+N73</f>
        <v>0</v>
      </c>
      <c r="J33" s="12">
        <f>+D73</f>
        <v>39563.199999999997</v>
      </c>
      <c r="K33" s="46">
        <f>+(-J33+L33)/ABS(J33)</f>
        <v>5.3099850365996765E-2</v>
      </c>
      <c r="L33" s="12">
        <f>+H73</f>
        <v>41664</v>
      </c>
      <c r="M33" s="46">
        <f>+(-L33+N33)/ABS(L33)</f>
        <v>-2.0374903993855643E-2</v>
      </c>
      <c r="N33" s="12">
        <f>+L73</f>
        <v>40815.1</v>
      </c>
      <c r="O33" s="46">
        <f>+(-N33+P33)/ABS(N33)</f>
        <v>0.11652060144407347</v>
      </c>
      <c r="P33" s="12">
        <f>+P73</f>
        <v>45570.9</v>
      </c>
    </row>
    <row r="34" spans="1:22">
      <c r="A34" t="s">
        <v>345</v>
      </c>
      <c r="B34" s="240">
        <f>+B74</f>
        <v>124915.8</v>
      </c>
      <c r="C34" s="43">
        <v>0</v>
      </c>
      <c r="D34" s="240">
        <f>+F74</f>
        <v>0</v>
      </c>
      <c r="E34" s="43">
        <v>0</v>
      </c>
      <c r="F34" s="240">
        <f>+J74</f>
        <v>0</v>
      </c>
      <c r="G34" s="43">
        <v>0</v>
      </c>
      <c r="H34" s="240">
        <f>+N74</f>
        <v>0</v>
      </c>
      <c r="J34" s="240">
        <f>+D74</f>
        <v>108547.69999999998</v>
      </c>
      <c r="K34" s="46">
        <f>+(-J34+L34)/ABS(J34)</f>
        <v>-6.6503481879394866E-2</v>
      </c>
      <c r="L34" s="240">
        <f>+H74</f>
        <v>101328.9</v>
      </c>
      <c r="M34" s="46">
        <f>+(-L34+N34)/ABS(L34)</f>
        <v>7.9810399599719389E-2</v>
      </c>
      <c r="N34" s="240">
        <f>+L74</f>
        <v>109416</v>
      </c>
      <c r="O34" s="46">
        <f>+(-N34+P34)/ABS(N34)</f>
        <v>0.53152646779264456</v>
      </c>
      <c r="P34" s="240">
        <f>+P74</f>
        <v>167573.5</v>
      </c>
    </row>
    <row r="35" spans="1:22">
      <c r="B35" s="12">
        <f>SUM(B31:B34)</f>
        <v>350534.3</v>
      </c>
      <c r="C35" s="43">
        <v>0</v>
      </c>
      <c r="D35" s="12">
        <f>SUM(D31:D34)</f>
        <v>0</v>
      </c>
      <c r="E35" s="43">
        <v>0</v>
      </c>
      <c r="F35" s="12">
        <f>SUM(F31:F34)</f>
        <v>0</v>
      </c>
      <c r="G35" s="43">
        <v>0</v>
      </c>
      <c r="H35" s="12">
        <f>SUM(H31:H34)</f>
        <v>0</v>
      </c>
      <c r="J35" s="12">
        <f>SUM(J31:J34)</f>
        <v>308785.90000000002</v>
      </c>
      <c r="K35" s="46">
        <f>+(-J35+L35)/ABS(J35)</f>
        <v>-4.0169580282001363E-2</v>
      </c>
      <c r="L35" s="12">
        <f>SUM(L31:L34)</f>
        <v>296382.09999999998</v>
      </c>
      <c r="M35" s="46">
        <f>+(-L35+N35)/ABS(L35)</f>
        <v>-8.4671105306292124E-3</v>
      </c>
      <c r="N35" s="12">
        <f>SUM(N31:N34)</f>
        <v>293872.59999999998</v>
      </c>
      <c r="O35" s="46">
        <f>+(-N35+P35)/ABS(N35)</f>
        <v>0.29744862229415064</v>
      </c>
      <c r="P35" s="12">
        <f>SUM(P31:P34)</f>
        <v>381284.6</v>
      </c>
    </row>
    <row r="36" spans="1:22">
      <c r="B36" s="240"/>
      <c r="C36" s="43"/>
      <c r="D36" s="240"/>
      <c r="E36" s="43"/>
      <c r="F36" s="240"/>
      <c r="G36" s="43"/>
      <c r="H36" s="240"/>
      <c r="J36" s="240"/>
      <c r="K36" s="46"/>
      <c r="L36" s="240"/>
      <c r="M36" s="46"/>
      <c r="N36" s="240"/>
      <c r="O36" s="46"/>
      <c r="P36" s="240"/>
    </row>
    <row r="37" spans="1:22">
      <c r="A37" t="s">
        <v>346</v>
      </c>
      <c r="B37" s="12">
        <f>+B28-B35</f>
        <v>80363.29999999993</v>
      </c>
      <c r="C37" s="43">
        <v>0</v>
      </c>
      <c r="D37" s="12">
        <f>+D28-D35</f>
        <v>0</v>
      </c>
      <c r="E37" s="43">
        <v>0</v>
      </c>
      <c r="F37" s="12">
        <f>+F28-F35</f>
        <v>0</v>
      </c>
      <c r="G37" s="43">
        <v>0</v>
      </c>
      <c r="H37" s="12">
        <f>+H28-H35</f>
        <v>0</v>
      </c>
      <c r="J37" s="12">
        <f>+J28-J35</f>
        <v>26350.699999999953</v>
      </c>
      <c r="K37" s="46">
        <f>+(-J37+L37)/ABS(J37)</f>
        <v>1.1506791090938808</v>
      </c>
      <c r="L37" s="12">
        <f>+L28-L35</f>
        <v>56671.900000000023</v>
      </c>
      <c r="M37" s="46">
        <f>+(-L37+N37)/ABS(L37)</f>
        <v>0.1799039735742041</v>
      </c>
      <c r="N37" s="12">
        <f>+N28-N35</f>
        <v>66867.399999999965</v>
      </c>
      <c r="O37" s="46">
        <f>+(-N37+P37)/ABS(N37)</f>
        <v>0.53663818243269679</v>
      </c>
      <c r="P37" s="12">
        <f>+P28-P35</f>
        <v>102751.00000000006</v>
      </c>
    </row>
    <row r="38" spans="1:22">
      <c r="B38" s="12"/>
      <c r="C38" s="44" t="s">
        <v>0</v>
      </c>
      <c r="D38" s="12"/>
      <c r="E38" s="44" t="s">
        <v>0</v>
      </c>
      <c r="F38" s="12"/>
      <c r="G38" s="44" t="s">
        <v>0</v>
      </c>
      <c r="H38" s="12"/>
      <c r="J38" s="12"/>
      <c r="K38" s="46"/>
      <c r="L38" s="12"/>
      <c r="M38" s="46"/>
      <c r="N38" s="12"/>
      <c r="O38" s="46"/>
      <c r="P38" s="12"/>
    </row>
    <row r="39" spans="1:22">
      <c r="A39" t="s">
        <v>347</v>
      </c>
      <c r="B39" s="12">
        <f>+B79</f>
        <v>20789.5</v>
      </c>
      <c r="C39" s="43">
        <v>0</v>
      </c>
      <c r="D39" s="12">
        <f>+F79</f>
        <v>0</v>
      </c>
      <c r="E39" s="43">
        <v>0</v>
      </c>
      <c r="F39" s="12">
        <f>+J79</f>
        <v>0</v>
      </c>
      <c r="G39" s="43">
        <v>0</v>
      </c>
      <c r="H39" s="12">
        <f>+N79</f>
        <v>0</v>
      </c>
      <c r="J39" s="12">
        <f>+D79</f>
        <v>11121.2</v>
      </c>
      <c r="K39" s="46">
        <f>+(-J39+L39)/ABS(J39)</f>
        <v>0.67692335359493583</v>
      </c>
      <c r="L39" s="12">
        <f>+H79</f>
        <v>18649.400000000001</v>
      </c>
      <c r="M39" s="46">
        <f>+(-L39+N39)/ABS(L39)</f>
        <v>-0.23096721610346718</v>
      </c>
      <c r="N39" s="12">
        <f>+L79</f>
        <v>14342</v>
      </c>
      <c r="O39" s="46">
        <f>+(-N39+P39)/ABS(N39)</f>
        <v>-1.1142100125505457E-2</v>
      </c>
      <c r="P39" s="12">
        <f>+P79</f>
        <v>14182.2</v>
      </c>
    </row>
    <row r="40" spans="1:22" ht="16.5" thickBot="1">
      <c r="A40" t="s">
        <v>0</v>
      </c>
      <c r="B40" s="76"/>
      <c r="C40" s="44" t="s">
        <v>0</v>
      </c>
      <c r="D40" s="76" t="str">
        <f>+F80</f>
        <v xml:space="preserve"> </v>
      </c>
      <c r="E40" s="44" t="s">
        <v>0</v>
      </c>
      <c r="F40" s="76"/>
      <c r="G40" s="44" t="s">
        <v>0</v>
      </c>
      <c r="H40" s="76"/>
      <c r="J40" s="76"/>
      <c r="K40" s="46"/>
      <c r="L40" s="76"/>
      <c r="M40" s="46"/>
      <c r="N40" s="76"/>
      <c r="O40" s="46"/>
      <c r="P40" s="76"/>
    </row>
    <row r="41" spans="1:22" s="2" customFormat="1">
      <c r="A41" s="2" t="s">
        <v>348</v>
      </c>
      <c r="B41" s="4">
        <f>+B37-B39</f>
        <v>59573.79999999993</v>
      </c>
      <c r="C41" s="42">
        <v>0</v>
      </c>
      <c r="D41" s="4">
        <f>+D37-D39</f>
        <v>0</v>
      </c>
      <c r="E41" s="42">
        <v>0</v>
      </c>
      <c r="F41" s="4">
        <f>+F37-F39</f>
        <v>0</v>
      </c>
      <c r="G41" s="42">
        <v>0</v>
      </c>
      <c r="H41" s="4">
        <f>+H37-H39</f>
        <v>0</v>
      </c>
      <c r="I41" s="146"/>
      <c r="J41" s="4">
        <f>+J37-J39</f>
        <v>15229.499999999953</v>
      </c>
      <c r="K41" s="112">
        <f>+(-J41+L41)/ABS(J41)</f>
        <v>1.4966348205784918</v>
      </c>
      <c r="L41" s="4">
        <f>+L37-L39</f>
        <v>38022.500000000022</v>
      </c>
      <c r="M41" s="112">
        <f>+(-L41+N41)/ABS(L41)</f>
        <v>0.38142941679268683</v>
      </c>
      <c r="N41" s="4">
        <f>+N37-N39</f>
        <v>52525.399999999965</v>
      </c>
      <c r="O41" s="112">
        <f>+(-N41+P41)/ABS(N41)</f>
        <v>0.68620895795177417</v>
      </c>
      <c r="P41" s="4">
        <f>+P37-P39</f>
        <v>88568.800000000061</v>
      </c>
      <c r="Q41" s="146"/>
      <c r="R41" s="146" t="s">
        <v>0</v>
      </c>
      <c r="S41" s="146"/>
      <c r="T41" s="146"/>
      <c r="U41" s="146"/>
    </row>
    <row r="42" spans="1:22" ht="5.45" customHeight="1">
      <c r="C42" s="29"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c r="B46" s="241" t="s">
        <v>349</v>
      </c>
      <c r="C46" s="29" t="s">
        <v>0</v>
      </c>
      <c r="D46" s="241" t="s">
        <v>350</v>
      </c>
      <c r="F46" s="241" t="s">
        <v>349</v>
      </c>
      <c r="H46" s="241" t="s">
        <v>350</v>
      </c>
      <c r="J46" s="241" t="s">
        <v>349</v>
      </c>
      <c r="L46" s="241" t="s">
        <v>350</v>
      </c>
      <c r="N46" s="241" t="s">
        <v>349</v>
      </c>
      <c r="P46" s="241" t="s">
        <v>350</v>
      </c>
      <c r="R46" s="993" t="s">
        <v>351</v>
      </c>
      <c r="T46" s="993" t="s">
        <v>352</v>
      </c>
    </row>
    <row r="47" spans="1:22" ht="16.5" thickBot="1">
      <c r="B47" s="243" t="s">
        <v>353</v>
      </c>
      <c r="C47" s="245"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c r="V47" s="18"/>
    </row>
    <row r="48" spans="1:22">
      <c r="A48" t="s">
        <v>328</v>
      </c>
      <c r="B48" s="29" t="s">
        <v>0</v>
      </c>
    </row>
    <row r="49" spans="1:21">
      <c r="A49" t="s">
        <v>329</v>
      </c>
      <c r="B49" s="16" t="s">
        <v>0</v>
      </c>
      <c r="C49" s="47" t="s">
        <v>0</v>
      </c>
      <c r="D49" s="16" t="s">
        <v>0</v>
      </c>
      <c r="E49" s="29" t="s">
        <v>0</v>
      </c>
      <c r="F49" s="16" t="s">
        <v>0</v>
      </c>
      <c r="G49" s="47" t="s">
        <v>0</v>
      </c>
      <c r="H49" s="16" t="s">
        <v>0</v>
      </c>
      <c r="I49" s="29" t="s">
        <v>0</v>
      </c>
      <c r="J49" s="16" t="s">
        <v>0</v>
      </c>
      <c r="K49" s="47" t="s">
        <v>0</v>
      </c>
      <c r="L49" s="16" t="s">
        <v>0</v>
      </c>
      <c r="M49" s="29" t="s">
        <v>0</v>
      </c>
      <c r="N49" s="16" t="s">
        <v>0</v>
      </c>
      <c r="O49" s="47" t="s">
        <v>0</v>
      </c>
      <c r="P49" s="16" t="s">
        <v>0</v>
      </c>
      <c r="Q49" s="29" t="s">
        <v>0</v>
      </c>
      <c r="R49" s="16" t="s">
        <v>0</v>
      </c>
      <c r="S49" s="47" t="s">
        <v>0</v>
      </c>
      <c r="T49" s="16" t="s">
        <v>0</v>
      </c>
    </row>
    <row r="50" spans="1:21">
      <c r="A50" t="s">
        <v>330</v>
      </c>
      <c r="B50" s="78">
        <f>+'SCOTIARÉSULT         '!B50+'CBNARÉSULT         '!B50+'SGBELRÉSULT       '!B50+BHdRÉSULT!B50+'CAPITALBKRÉSULT      '!B50+'BICHRÉSULT     '!B50+'PROMOBKRÉSULT    '!B50+'UNIBKRÉSULT   '!B50+'BPHRÉSULT  '!B50+'BIDCRÉSULT '!B50+SOCABKRÉSULT!B50+SOGEBKRÉSULT!B50+'bncrésult '!B50+buhrésult!B50+BMHRÉSULT!B50</f>
        <v>371548.3</v>
      </c>
      <c r="C50" s="46">
        <f t="shared" ref="C50:C55" si="3">+(B50-D50)/ABS(D50)</f>
        <v>-9.5669824559592171E-4</v>
      </c>
      <c r="D50" s="88">
        <f>+'SCOTIARÉSULT         '!D50+'CBNARÉSULT         '!D50+'SGBELRÉSULT       '!D50+'CAPITALBKRÉSULT      '!D50+'BICHRÉSULT     '!D50+'PROMOBKRÉSULT    '!D50+'UNIBKRÉSULT   '!D50+'BPHRÉSULT  '!D50+'BIDCRÉSULT '!D50+SOCABKRÉSULT!D50+SOGEBKRÉSULT!D50+'bncrésult '!D50+buhrésult!D50+BMHRÉSULT!D50</f>
        <v>371904.09999999992</v>
      </c>
      <c r="E50" s="29"/>
      <c r="F50" s="78">
        <f>+'SCOTIARÉSULT         '!F50+'CBNARÉSULT         '!F50+'SGBELRÉSULT       '!F50+BHdRÉSULT!F50+'CAPITALBKRÉSULT      '!F50+'BICHRÉSULT     '!F50+'PROMOBKRÉSULT    '!F50+'UNIBKRÉSULT   '!F50+'BPHRÉSULT  '!F50+'BIDCRÉSULT '!F50+SOCABKRÉSULT!F50+SOGEBKRÉSULT!F50+'bncrésult '!F50+buhrésult!F50+BMHRÉSULT!F50</f>
        <v>0</v>
      </c>
      <c r="G50" s="43">
        <v>0</v>
      </c>
      <c r="H50" s="88">
        <f>+'SCOTIARÉSULT         '!H50+'CBNARÉSULT         '!H50+'SGBELRÉSULT       '!H50+'CAPITALBKRÉSULT      '!H50+'BICHRÉSULT     '!H50+'PROMOBKRÉSULT    '!H50+'UNIBKRÉSULT   '!H50+'BPHRÉSULT  '!H50+'BIDCRÉSULT '!H50+SOCABKRÉSULT!H50+SOGEBKRÉSULT!H50+'bncrésult '!H50+buhrésult!H50+BMHRÉSULT!H50</f>
        <v>366480.5</v>
      </c>
      <c r="J50" s="78">
        <f>+'SCOTIARÉSULT         '!J50+'CBNARÉSULT         '!J50+'SGBELRÉSULT       '!J50+BHdRÉSULT!J50+'CAPITALBKRÉSULT      '!J50+'BICHRÉSULT     '!J50+'PROMOBKRÉSULT    '!J50+'UNIBKRÉSULT   '!J50+'BPHRÉSULT  '!J50+'BIDCRÉSULT '!J50+SOCABKRÉSULT!J50+SOGEBKRÉSULT!J50+'bncrésult '!J50+buhrésult!J50+BMHRÉSULT!J50</f>
        <v>0</v>
      </c>
      <c r="K50" s="43">
        <v>0</v>
      </c>
      <c r="L50" s="88">
        <f>+'SCOTIARÉSULT         '!L50+'CBNARÉSULT         '!L50+'SGBELRÉSULT       '!L50+'CAPITALBKRÉSULT      '!L50+'BICHRÉSULT     '!L50+'PROMOBKRÉSULT    '!L50+'UNIBKRÉSULT   '!L50+'BPHRÉSULT  '!L50+'BIDCRÉSULT '!L50+SOCABKRÉSULT!L50+SOGEBKRÉSULT!L50+'bncrésult '!L50+buhrésult!L50+BMHRÉSULT!L50</f>
        <v>363211.6</v>
      </c>
      <c r="M50" s="29"/>
      <c r="N50" s="78">
        <f>+'SCOTIARÉSULT         '!N50+'CBNARÉSULT         '!N50+'SGBELRÉSULT       '!N50+BHdRÉSULT!N50+'CAPITALBKRÉSULT      '!N50+'BICHRÉSULT     '!N50+'PROMOBKRÉSULT    '!N50+'UNIBKRÉSULT   '!N50+'BPHRÉSULT  '!N50+'BIDCRÉSULT '!N50+SOCABKRÉSULT!N50+SOGEBKRÉSULT!N50+'bncrésult '!N50+buhrésult!N50+BMHRÉSULT!N50</f>
        <v>0</v>
      </c>
      <c r="O50" s="43">
        <v>0</v>
      </c>
      <c r="P50" s="12">
        <f>+'BICHRÉSULT     '!P50+'BIDCRÉSULT '!P50+BMHRÉSULT!P50+'bncrésult '!P50+'BPHRÉSULT  '!P50+buhrésult!P50+'CAPITALBKRÉSULT      '!P50+'CBNARÉSULT         '!P50+'PROMOBKRÉSULT    '!P50+'SCOTIARÉSULT         '!P50+SOCABKRÉSULT!P50+SOGEBKRÉSULT!P50+'SGBELRÉSULT       '!P50+'UNIBKRÉSULT   '!P50</f>
        <v>388748.4</v>
      </c>
      <c r="R50" s="12">
        <f>+B50+F50+J50+N50</f>
        <v>371548.3</v>
      </c>
      <c r="S50" s="46">
        <f t="shared" ref="S50:S55" si="4">+(R50-T50)/ABS(T50)</f>
        <v>-9.5669824559592171E-4</v>
      </c>
      <c r="T50" s="12">
        <f>+D50</f>
        <v>371904.09999999992</v>
      </c>
      <c r="U50" s="12">
        <f>+D50+H50+L50+P50</f>
        <v>1490344.5999999996</v>
      </c>
    </row>
    <row r="51" spans="1:21">
      <c r="A51" t="s">
        <v>354</v>
      </c>
      <c r="B51" s="78">
        <f>+'SCOTIARÉSULT         '!B51+'CBNARÉSULT         '!B51+'SGBELRÉSULT       '!B51+BHdRÉSULT!B51+'CAPITALBKRÉSULT      '!B51+'BICHRÉSULT     '!B51+'PROMOBKRÉSULT    '!B51+'UNIBKRÉSULT   '!B51+'BPHRÉSULT  '!B51+'BIDCRÉSULT '!B51+SOCABKRÉSULT!B51+SOGEBKRÉSULT!B51+'bncrésult '!B51+buhrésult!B51+BMHRÉSULT!B51</f>
        <v>83055.399999999994</v>
      </c>
      <c r="C51" s="113">
        <f t="shared" si="3"/>
        <v>5.974912182430888E-2</v>
      </c>
      <c r="D51" s="88">
        <f>+'SCOTIARÉSULT         '!D51+'CBNARÉSULT         '!D51+'SGBELRÉSULT       '!D51+'CAPITALBKRÉSULT      '!D51+'BICHRÉSULT     '!D51+'PROMOBKRÉSULT    '!D51+'UNIBKRÉSULT   '!D51+'BPHRÉSULT  '!D51+'BIDCRÉSULT '!D51+SOCABKRÉSULT!D51+SOGEBKRÉSULT!D51+'bncrésult '!D51+buhrésult!D51+BMHRÉSULT!D51</f>
        <v>78372.699999999983</v>
      </c>
      <c r="E51" s="29"/>
      <c r="F51" s="78">
        <f>+'SCOTIARÉSULT         '!F51+'CBNARÉSULT         '!F51+'SGBELRÉSULT       '!F51+BHdRÉSULT!F51+'CAPITALBKRÉSULT      '!F51+'BICHRÉSULT     '!F51+'PROMOBKRÉSULT    '!F51+'UNIBKRÉSULT   '!F51+'BPHRÉSULT  '!F51+'BIDCRÉSULT '!F51+SOCABKRÉSULT!F51+SOGEBKRÉSULT!F51+'bncrésult '!F51+buhrésult!F51+BMHRÉSULT!F51</f>
        <v>0</v>
      </c>
      <c r="G51" s="43">
        <v>0</v>
      </c>
      <c r="H51" s="88">
        <f>+'SCOTIARÉSULT         '!H51+'CBNARÉSULT         '!H51+'SGBELRÉSULT       '!H51+'CAPITALBKRÉSULT      '!H51+'BICHRÉSULT     '!H51+'PROMOBKRÉSULT    '!H51+'UNIBKRÉSULT   '!H51+'BPHRÉSULT  '!H51+'BIDCRÉSULT '!H51+SOCABKRÉSULT!H51+SOGEBKRÉSULT!H51+'bncrésult '!H51+buhrésult!H51+BMHRÉSULT!H51</f>
        <v>43420.399999999994</v>
      </c>
      <c r="J51" s="78">
        <f>+'SCOTIARÉSULT         '!J51+'CBNARÉSULT         '!J51+'SGBELRÉSULT       '!J51+BHdRÉSULT!J51+'CAPITALBKRÉSULT      '!J51+'BICHRÉSULT     '!J51+'PROMOBKRÉSULT    '!J51+'UNIBKRÉSULT   '!J51+'BPHRÉSULT  '!J51+'BIDCRÉSULT '!J51+SOCABKRÉSULT!J51+SOGEBKRÉSULT!J51+'bncrésult '!J51+buhrésult!J51+BMHRÉSULT!J51</f>
        <v>0</v>
      </c>
      <c r="K51" s="43">
        <v>0</v>
      </c>
      <c r="L51" s="88">
        <f>+'SCOTIARÉSULT         '!L51+'CBNARÉSULT         '!L51+'SGBELRÉSULT       '!L51+'CAPITALBKRÉSULT      '!L51+'BICHRÉSULT     '!L51+'PROMOBKRÉSULT    '!L51+'UNIBKRÉSULT   '!L51+'BPHRÉSULT  '!L51+'BIDCRÉSULT '!L51+SOCABKRÉSULT!L51+SOGEBKRÉSULT!L51+'bncrésult '!L51+buhrésult!L51+BMHRÉSULT!L51</f>
        <v>49139.199999999997</v>
      </c>
      <c r="M51" s="29"/>
      <c r="N51" s="78">
        <f>+'SCOTIARÉSULT         '!N51+'CBNARÉSULT         '!N51+'SGBELRÉSULT       '!N51+BHdRÉSULT!N51+'CAPITALBKRÉSULT      '!N51+'BICHRÉSULT     '!N51+'PROMOBKRÉSULT    '!N51+'UNIBKRÉSULT   '!N51+'BPHRÉSULT  '!N51+'BIDCRÉSULT '!N51+SOCABKRÉSULT!N51+SOGEBKRÉSULT!N51+'bncrésult '!N51+buhrésult!N51+BMHRÉSULT!N51</f>
        <v>0</v>
      </c>
      <c r="O51" s="43">
        <v>0</v>
      </c>
      <c r="P51" s="12">
        <f>+'BICHRÉSULT     '!P51+'BIDCRÉSULT '!P51+BMHRÉSULT!P51+'bncrésult '!P51+'BPHRÉSULT  '!P51+buhrésult!P51+'CAPITALBKRÉSULT      '!P51+'CBNARÉSULT         '!P51+'PROMOBKRÉSULT    '!P51+'SCOTIARÉSULT         '!P51+SOCABKRÉSULT!P51+SOGEBKRÉSULT!P51+'SGBELRÉSULT       '!P51+'UNIBKRÉSULT   '!P51</f>
        <v>61494.3</v>
      </c>
      <c r="R51" s="12">
        <f>+B51+F51+J51+N51</f>
        <v>83055.399999999994</v>
      </c>
      <c r="S51" s="113">
        <f t="shared" si="4"/>
        <v>5.974912182430888E-2</v>
      </c>
      <c r="T51" s="12">
        <f>+D51</f>
        <v>78372.699999999983</v>
      </c>
      <c r="U51" s="12">
        <f>+D51+H51+L51+P51</f>
        <v>232426.59999999998</v>
      </c>
    </row>
    <row r="52" spans="1:21">
      <c r="A52" t="s">
        <v>332</v>
      </c>
      <c r="B52" s="240">
        <f>+'SCOTIARÉSULT         '!B52+'CBNARÉSULT         '!B52+'SGBELRÉSULT       '!B52+BHdRÉSULT!B52+'CAPITALBKRÉSULT      '!B52+'BICHRÉSULT     '!B52+'PROMOBKRÉSULT    '!B52+'UNIBKRÉSULT   '!B52+'BPHRÉSULT  '!B52+'BIDCRÉSULT '!B52+SOCABKRÉSULT!B52+SOGEBKRÉSULT!B52+'bncrésult '!B52+buhrésult!B52+BMHRÉSULT!B52</f>
        <v>30141.5</v>
      </c>
      <c r="C52" s="46">
        <f t="shared" si="3"/>
        <v>0.2039888634575211</v>
      </c>
      <c r="D52" s="221">
        <f>+'SCOTIARÉSULT         '!D52+'CBNARÉSULT         '!D52+'SGBELRÉSULT       '!D52+'CAPITALBKRÉSULT      '!D52+'BICHRÉSULT     '!D52+'PROMOBKRÉSULT    '!D52+'UNIBKRÉSULT   '!D52+'BPHRÉSULT  '!D52+'BIDCRÉSULT '!D52+SOCABKRÉSULT!D52+SOGEBKRÉSULT!D52+'bncrésult '!D52+buhrésult!D52+BMHRÉSULT!D52</f>
        <v>25034.699999999997</v>
      </c>
      <c r="E52" s="29"/>
      <c r="F52" s="240">
        <f>+'SCOTIARÉSULT         '!F52+'CBNARÉSULT         '!F52+'SGBELRÉSULT       '!F52+BHdRÉSULT!F52+'CAPITALBKRÉSULT      '!F52+'BICHRÉSULT     '!F52+'PROMOBKRÉSULT    '!F52+'UNIBKRÉSULT   '!F52+'BPHRÉSULT  '!F52+'BIDCRÉSULT '!F52+SOCABKRÉSULT!F52+SOGEBKRÉSULT!F52+'bncrésult '!F52+buhrésult!F52+BMHRÉSULT!F52</f>
        <v>0</v>
      </c>
      <c r="G52" s="43">
        <v>0</v>
      </c>
      <c r="H52" s="221">
        <f>+'SCOTIARÉSULT         '!H52+'CBNARÉSULT         '!H52+'SGBELRÉSULT       '!H52+'CAPITALBKRÉSULT      '!H52+'BICHRÉSULT     '!H52+'PROMOBKRÉSULT    '!H52+'UNIBKRÉSULT   '!H52+'BPHRÉSULT  '!H52+'BIDCRÉSULT '!H52+SOCABKRÉSULT!H52+SOGEBKRÉSULT!H52+'bncrésult '!H52+buhrésult!H52+BMHRÉSULT!H52</f>
        <v>23222.600000000002</v>
      </c>
      <c r="J52" s="240">
        <f>+'SCOTIARÉSULT         '!J52+'CBNARÉSULT         '!J52+'SGBELRÉSULT       '!J52+BHdRÉSULT!J52+'CAPITALBKRÉSULT      '!J52+'BICHRÉSULT     '!J52+'PROMOBKRÉSULT    '!J52+'UNIBKRÉSULT   '!J52+'BPHRÉSULT  '!J52+'BIDCRÉSULT '!J52+SOCABKRÉSULT!J52+SOGEBKRÉSULT!J52+'bncrésult '!J52+buhrésult!J52+BMHRÉSULT!J52</f>
        <v>0</v>
      </c>
      <c r="K52" s="43">
        <v>0</v>
      </c>
      <c r="L52" s="221">
        <f>+'SCOTIARÉSULT         '!L52+'CBNARÉSULT         '!L52+'SGBELRÉSULT       '!L52+'CAPITALBKRÉSULT      '!L52+'BICHRÉSULT     '!L52+'PROMOBKRÉSULT    '!L52+'UNIBKRÉSULT   '!L52+'BPHRÉSULT  '!L52+'BIDCRÉSULT '!L52+SOCABKRÉSULT!L52+SOGEBKRÉSULT!L52+'bncrésult '!L52+buhrésult!L52+BMHRÉSULT!L52</f>
        <v>25157.5</v>
      </c>
      <c r="M52" s="29"/>
      <c r="N52" s="240">
        <f>+'SCOTIARÉSULT         '!N52+'CBNARÉSULT         '!N52+'SGBELRÉSULT       '!N52+BHdRÉSULT!N52+'CAPITALBKRÉSULT      '!N52+'BICHRÉSULT     '!N52+'PROMOBKRÉSULT    '!N52+'UNIBKRÉSULT   '!N52+'BPHRÉSULT  '!N52+'BIDCRÉSULT '!N52+SOCABKRÉSULT!N52+SOGEBKRÉSULT!N52+'bncrésult '!N52+buhrésult!N52+BMHRÉSULT!N52</f>
        <v>0</v>
      </c>
      <c r="O52" s="43">
        <v>0</v>
      </c>
      <c r="P52" s="240">
        <f>+'BICHRÉSULT     '!P52+'BIDCRÉSULT '!P52+BMHRÉSULT!P52+'bncrésult '!P52+'BPHRÉSULT  '!P52+buhrésult!P52+'CAPITALBKRÉSULT      '!P52+'CBNARÉSULT         '!P52+'PROMOBKRÉSULT    '!P52+'SCOTIARÉSULT         '!P52+SOCABKRÉSULT!P52+SOGEBKRÉSULT!P52+'SGBELRÉSULT       '!P52+'UNIBKRÉSULT   '!P52</f>
        <v>26599.5</v>
      </c>
      <c r="R52" s="240">
        <f>+B52+F52+J52+N52</f>
        <v>30141.5</v>
      </c>
      <c r="S52" s="46">
        <f t="shared" si="4"/>
        <v>0.2039888634575211</v>
      </c>
      <c r="T52" s="240">
        <f>+D52</f>
        <v>25034.699999999997</v>
      </c>
      <c r="U52" s="240">
        <f>+D52+H52+L52+P52</f>
        <v>100014.3</v>
      </c>
    </row>
    <row r="53" spans="1:21">
      <c r="B53" s="12">
        <f>SUM(B50:B52)</f>
        <v>484745.19999999995</v>
      </c>
      <c r="C53" s="46">
        <f t="shared" si="3"/>
        <v>1.9847405333134192E-2</v>
      </c>
      <c r="D53" s="12">
        <f>SUM(D50:D52)</f>
        <v>475311.49999999994</v>
      </c>
      <c r="E53" s="29"/>
      <c r="F53" s="12">
        <f>SUM(F50:F52)</f>
        <v>0</v>
      </c>
      <c r="G53" s="43">
        <v>0</v>
      </c>
      <c r="H53" s="12">
        <f>SUM(H50:H52)</f>
        <v>433123.5</v>
      </c>
      <c r="J53" s="12">
        <f>SUM(J50:J52)</f>
        <v>0</v>
      </c>
      <c r="K53" s="43">
        <v>0</v>
      </c>
      <c r="L53" s="12">
        <f>SUM(L50:L52)</f>
        <v>437508.3</v>
      </c>
      <c r="M53" s="29"/>
      <c r="N53" s="12">
        <f>+'BICHRÉSULT     '!N53+'BIDCRÉSULT '!N53+BMHRÉSULT!N53+'bncrésult '!N53+'BPHRÉSULT  '!N53+buhrésult!N53+'CAPITALBKRÉSULT      '!N53+'CBNARÉSULT         '!N53+'PROMOBKRÉSULT    '!N53+'SCOTIARÉSULT         '!N53+SOCABKRÉSULT!N53+SOGEBKRÉSULT!N53+'SGBELRÉSULT       '!N53+'UNIBKRÉSULT   '!N53</f>
        <v>0</v>
      </c>
      <c r="O53" s="43">
        <v>0</v>
      </c>
      <c r="P53" s="12">
        <f>SUM(P50:P52)</f>
        <v>476842.2</v>
      </c>
      <c r="R53" s="12">
        <f>SUM(R50:R52)</f>
        <v>484745.19999999995</v>
      </c>
      <c r="S53" s="46">
        <f t="shared" si="4"/>
        <v>1.9847405333134192E-2</v>
      </c>
      <c r="T53" s="12">
        <f>SUM(T50:T52)</f>
        <v>475311.49999999994</v>
      </c>
      <c r="U53" s="12">
        <f>SUM(U50:U52)</f>
        <v>1822785.4999999998</v>
      </c>
    </row>
    <row r="54" spans="1:21">
      <c r="A54" t="s">
        <v>333</v>
      </c>
      <c r="B54" s="240">
        <f>+'SCOTIARÉSULT         '!B54+'CBNARÉSULT         '!B54+'SGBELRÉSULT       '!B54+BHdRÉSULT!B54+'CAPITALBKRÉSULT      '!B54+'BICHRÉSULT     '!B54+'PROMOBKRÉSULT    '!B54+'UNIBKRÉSULT   '!B54+'BPHRÉSULT  '!B54+'BIDCRÉSULT '!B54+SOCABKRÉSULT!B54+SOGEBKRÉSULT!B54+'bncrésult '!B54+buhrésult!B54+BMHRÉSULT!B54</f>
        <v>174400.9</v>
      </c>
      <c r="C54" s="46">
        <f t="shared" si="3"/>
        <v>-0.24025238824819392</v>
      </c>
      <c r="D54" s="221">
        <f>+'SCOTIARÉSULT         '!D54+'CBNARÉSULT         '!D54+'SGBELRÉSULT       '!D54+'CAPITALBKRÉSULT      '!D54+'BICHRÉSULT     '!D54+'PROMOBKRÉSULT    '!D54+'UNIBKRÉSULT   '!D54+'BPHRÉSULT  '!D54+'BIDCRÉSULT '!D54+SOCABKRÉSULT!D54+SOGEBKRÉSULT!D54+'bncrésult '!D54+buhrésult!D54+BMHRÉSULT!D54</f>
        <v>229551.09999999998</v>
      </c>
      <c r="E54" s="29" t="s">
        <v>0</v>
      </c>
      <c r="F54" s="240">
        <f>+'SCOTIARÉSULT         '!F54+'CBNARÉSULT         '!F54+'SGBELRÉSULT       '!F54+BHdRÉSULT!F54+'CAPITALBKRÉSULT      '!F54+'BICHRÉSULT     '!F54+'PROMOBKRÉSULT    '!F54+'UNIBKRÉSULT   '!F54+'BPHRÉSULT  '!F54+'BIDCRÉSULT '!F54+SOCABKRÉSULT!F54+SOGEBKRÉSULT!F54+'bncrésult '!F54+buhrésult!F54+BMHRÉSULT!F54</f>
        <v>0</v>
      </c>
      <c r="G54" s="43">
        <v>0</v>
      </c>
      <c r="H54" s="221">
        <f>+'SCOTIARÉSULT         '!H54+'CBNARÉSULT         '!H54+'SGBELRÉSULT       '!H54+'CAPITALBKRÉSULT      '!H54+'BICHRÉSULT     '!H54+'PROMOBKRÉSULT    '!H54+'UNIBKRÉSULT   '!H54+'BPHRÉSULT  '!H54+'BIDCRÉSULT '!H54+SOCABKRÉSULT!H54+SOGEBKRÉSULT!H54+'bncrésult '!H54+buhrésult!H54+BMHRÉSULT!H54</f>
        <v>179627.9</v>
      </c>
      <c r="J54" s="240">
        <f>+'SCOTIARÉSULT         '!J54+'CBNARÉSULT         '!J54+'SGBELRÉSULT       '!J54+BHdRÉSULT!J54+'CAPITALBKRÉSULT      '!J54+'BICHRÉSULT     '!J54+'PROMOBKRÉSULT    '!J54+'UNIBKRÉSULT   '!J54+'BPHRÉSULT  '!J54+'BIDCRÉSULT '!J54+SOCABKRÉSULT!J54+SOGEBKRÉSULT!J54+'bncrésult '!J54+buhrésult!J54+BMHRÉSULT!J54</f>
        <v>0</v>
      </c>
      <c r="K54" s="43">
        <v>0</v>
      </c>
      <c r="L54" s="221">
        <f>+'SCOTIARÉSULT         '!L54+'CBNARÉSULT         '!L54+'SGBELRÉSULT       '!L54+'CAPITALBKRÉSULT      '!L54+'BICHRÉSULT     '!L54+'PROMOBKRÉSULT    '!L54+'UNIBKRÉSULT   '!L54+'BPHRÉSULT  '!L54+'BIDCRÉSULT '!L54+SOCABKRÉSULT!L54+SOGEBKRÉSULT!L54+'bncrésult '!L54+buhrésult!L54+BMHRÉSULT!L54</f>
        <v>158150.6</v>
      </c>
      <c r="M54" s="29" t="s">
        <v>0</v>
      </c>
      <c r="N54" s="240">
        <f>+'SCOTIARÉSULT         '!N54+'CBNARÉSULT         '!N54+'SGBELRÉSULT       '!N54+BHdRÉSULT!N54+'CAPITALBKRÉSULT      '!N54+'BICHRÉSULT     '!N54+'PROMOBKRÉSULT    '!N54+'UNIBKRÉSULT   '!N54+'BPHRÉSULT  '!N54+'BIDCRÉSULT '!N54+SOCABKRÉSULT!N54+SOGEBKRÉSULT!N54+'bncrésult '!N54+buhrésult!N54+BMHRÉSULT!N54</f>
        <v>0</v>
      </c>
      <c r="O54" s="43">
        <v>0</v>
      </c>
      <c r="P54" s="240">
        <f>+'BICHRÉSULT     '!P54+'BIDCRÉSULT '!P54+BMHRÉSULT!P54+'bncrésult '!P54+'BPHRÉSULT  '!P54+buhrésult!P54+'CAPITALBKRÉSULT      '!P54+'CBNARÉSULT         '!P54+'PROMOBKRÉSULT    '!P54+'SCOTIARÉSULT         '!P54+SOCABKRÉSULT!P54+SOGEBKRÉSULT!P54+'SGBELRÉSULT       '!P54+'UNIBKRÉSULT   '!P54</f>
        <v>158047.9</v>
      </c>
      <c r="R54" s="240">
        <f>+B54+F54+J54+N54</f>
        <v>174400.9</v>
      </c>
      <c r="S54" s="46">
        <f t="shared" si="4"/>
        <v>-0.24025238824819392</v>
      </c>
      <c r="T54" s="240">
        <f>+D54</f>
        <v>229551.09999999998</v>
      </c>
      <c r="U54" s="240">
        <f>+D54+H54+L54+P54</f>
        <v>725377.5</v>
      </c>
    </row>
    <row r="55" spans="1:21">
      <c r="B55" s="12">
        <f>+B53-B54</f>
        <v>310344.29999999993</v>
      </c>
      <c r="C55" s="46">
        <f t="shared" si="3"/>
        <v>0.26279213412738578</v>
      </c>
      <c r="D55" s="12">
        <f>+D53-D54</f>
        <v>245760.39999999997</v>
      </c>
      <c r="E55" s="29" t="s">
        <v>0</v>
      </c>
      <c r="F55" s="12">
        <f>+F53-F54</f>
        <v>0</v>
      </c>
      <c r="G55" s="43">
        <v>0</v>
      </c>
      <c r="H55" s="12">
        <f>+H53-H54</f>
        <v>253495.6</v>
      </c>
      <c r="J55" s="12">
        <f>+J53-J54</f>
        <v>0</v>
      </c>
      <c r="K55" s="43">
        <v>0</v>
      </c>
      <c r="L55" s="12">
        <f>+L53-L54</f>
        <v>279357.69999999995</v>
      </c>
      <c r="M55" s="29" t="s">
        <v>0</v>
      </c>
      <c r="N55" s="12">
        <f>+N53-N54</f>
        <v>0</v>
      </c>
      <c r="O55" s="43">
        <v>0</v>
      </c>
      <c r="P55" s="12">
        <f>+P53-P54</f>
        <v>318794.30000000005</v>
      </c>
      <c r="R55" s="12">
        <f>+R53-R54</f>
        <v>310344.29999999993</v>
      </c>
      <c r="S55" s="46">
        <f t="shared" si="4"/>
        <v>0.26279213412738578</v>
      </c>
      <c r="T55" s="12">
        <f>+T53-T54</f>
        <v>245760.39999999997</v>
      </c>
      <c r="U55" s="12">
        <f>+U53-U54</f>
        <v>1097407.9999999998</v>
      </c>
    </row>
    <row r="56" spans="1:21">
      <c r="B56" s="12"/>
      <c r="C56" s="47" t="s">
        <v>0</v>
      </c>
      <c r="D56" s="12"/>
      <c r="E56" s="29" t="s">
        <v>0</v>
      </c>
      <c r="F56" s="12"/>
      <c r="G56" s="44" t="s">
        <v>0</v>
      </c>
      <c r="H56" s="12"/>
      <c r="J56" s="12"/>
      <c r="K56" s="44" t="s">
        <v>0</v>
      </c>
      <c r="L56" s="12"/>
      <c r="M56" s="29" t="s">
        <v>0</v>
      </c>
      <c r="N56" s="12"/>
      <c r="O56" s="44" t="s">
        <v>0</v>
      </c>
      <c r="P56" s="12"/>
      <c r="R56" s="12"/>
      <c r="S56" s="46"/>
      <c r="T56" s="12"/>
      <c r="U56" s="12"/>
    </row>
    <row r="57" spans="1:21">
      <c r="A57" t="s">
        <v>334</v>
      </c>
      <c r="B57" s="12"/>
      <c r="C57" s="47" t="s">
        <v>0</v>
      </c>
      <c r="D57" s="12"/>
      <c r="E57" s="29" t="s">
        <v>0</v>
      </c>
      <c r="F57" s="12"/>
      <c r="G57" s="44" t="s">
        <v>0</v>
      </c>
      <c r="H57" s="12"/>
      <c r="J57" s="12"/>
      <c r="K57" s="44" t="s">
        <v>0</v>
      </c>
      <c r="L57" s="12"/>
      <c r="M57" s="29" t="s">
        <v>0</v>
      </c>
      <c r="N57" s="12"/>
      <c r="O57" s="44" t="s">
        <v>0</v>
      </c>
      <c r="P57" s="12"/>
      <c r="R57" s="12"/>
      <c r="S57" s="47" t="s">
        <v>0</v>
      </c>
      <c r="T57" s="12"/>
      <c r="U57" s="12"/>
    </row>
    <row r="58" spans="1:21">
      <c r="A58" t="s">
        <v>335</v>
      </c>
      <c r="B58" s="78">
        <f>+'SCOTIARÉSULT         '!B58+'CBNARÉSULT         '!B58+'SGBELRÉSULT       '!B58+BHdRÉSULT!B58+'CAPITALBKRÉSULT      '!B58+'BICHRÉSULT     '!B58+'PROMOBKRÉSULT    '!B58+'UNIBKRÉSULT   '!B58+'BPHRÉSULT  '!B58+'BIDCRÉSULT '!B58+SOCABKRÉSULT!B58+SOGEBKRÉSULT!B58+'bncrésult '!B58+buhrésult!B58+BMHRÉSULT!B58</f>
        <v>59534.3</v>
      </c>
      <c r="C58" s="46">
        <f>+(B58-D58)/ABS(D58)</f>
        <v>0.18412123189039992</v>
      </c>
      <c r="D58" s="88">
        <f>+'SCOTIARÉSULT         '!D58+'CBNARÉSULT         '!D58+'SGBELRÉSULT       '!D58+'CAPITALBKRÉSULT      '!D58+'BICHRÉSULT     '!D58+'PROMOBKRÉSULT    '!D58+'UNIBKRÉSULT   '!D58+'BPHRÉSULT  '!D58+'BIDCRÉSULT '!D58+SOCABKRÉSULT!D58+SOGEBKRÉSULT!D58+'bncrésult '!D58+buhrésult!D58+BMHRÉSULT!D58</f>
        <v>50277.19999999999</v>
      </c>
      <c r="E58" s="29" t="s">
        <v>0</v>
      </c>
      <c r="F58" s="78">
        <f>+'SCOTIARÉSULT         '!F58+'CBNARÉSULT         '!F58+'SGBELRÉSULT       '!F58+BHdRÉSULT!F58+'CAPITALBKRÉSULT      '!F58+'BICHRÉSULT     '!F58+'PROMOBKRÉSULT    '!F58+'UNIBKRÉSULT   '!F58+'BPHRÉSULT  '!F58+'BIDCRÉSULT '!F58+SOCABKRÉSULT!F58+SOGEBKRÉSULT!F58+'bncrésult '!F58+buhrésult!F58+BMHRÉSULT!F58</f>
        <v>0</v>
      </c>
      <c r="G58" s="43">
        <v>0</v>
      </c>
      <c r="H58" s="88">
        <f>+'SCOTIARÉSULT         '!H58+'CBNARÉSULT         '!H58+'SGBELRÉSULT       '!H58+'CAPITALBKRÉSULT      '!H58+'BICHRÉSULT     '!H58+'PROMOBKRÉSULT    '!H58+'UNIBKRÉSULT   '!H58+'BPHRÉSULT  '!H58+'BIDCRÉSULT '!H58+SOCABKRÉSULT!H58+SOGEBKRÉSULT!H58+'bncrésult '!H58+buhrésult!H58+BMHRÉSULT!H58</f>
        <v>47569.600000000006</v>
      </c>
      <c r="J58" s="78">
        <f>+'SCOTIARÉSULT         '!J58+'CBNARÉSULT         '!J58+'SGBELRÉSULT       '!J58+BHdRÉSULT!J58+'CAPITALBKRÉSULT      '!J58+'BICHRÉSULT     '!J58+'PROMOBKRÉSULT    '!J58+'UNIBKRÉSULT   '!J58+'BPHRÉSULT  '!J58+'BIDCRÉSULT '!J58+SOCABKRÉSULT!J58+SOGEBKRÉSULT!J58+'bncrésult '!J58+buhrésult!J58+BMHRÉSULT!J58</f>
        <v>0</v>
      </c>
      <c r="K58" s="43">
        <v>0</v>
      </c>
      <c r="L58" s="88">
        <f>+'SCOTIARÉSULT         '!L58+'CBNARÉSULT         '!L58+'SGBELRÉSULT       '!L58+'CAPITALBKRÉSULT      '!L58+'BICHRÉSULT     '!L58+'PROMOBKRÉSULT    '!L58+'UNIBKRÉSULT   '!L58+'BPHRÉSULT  '!L58+'BIDCRÉSULT '!L58+SOCABKRÉSULT!L58+SOGEBKRÉSULT!L58+'bncrésult '!L58+buhrésult!L58+BMHRÉSULT!L58</f>
        <v>67036.100000000006</v>
      </c>
      <c r="M58" s="29" t="s">
        <v>0</v>
      </c>
      <c r="N58" s="78">
        <f>+'SCOTIARÉSULT         '!N58+'CBNARÉSULT         '!N58+'SGBELRÉSULT       '!N58+BHdRÉSULT!N58+'CAPITALBKRÉSULT      '!N58+'BICHRÉSULT     '!N58+'PROMOBKRÉSULT    '!N58+'UNIBKRÉSULT   '!N58+'BPHRÉSULT  '!N58+'BIDCRÉSULT '!N58+SOCABKRÉSULT!N58+SOGEBKRÉSULT!N58+'bncrésult '!N58+buhrésult!N58+BMHRÉSULT!N58</f>
        <v>0</v>
      </c>
      <c r="O58" s="43">
        <v>0</v>
      </c>
      <c r="P58" s="12">
        <f>+'BICHRÉSULT     '!P58+'BIDCRÉSULT '!P58+BMHRÉSULT!P58+'bncrésult '!P58+'BPHRÉSULT  '!P58+buhrésult!P58+'CAPITALBKRÉSULT      '!P58+'CBNARÉSULT         '!P58+'PROMOBKRÉSULT    '!P58+'SCOTIARÉSULT         '!P58+SOCABKRÉSULT!P58+SOGEBKRÉSULT!P58+'SGBELRÉSULT       '!P58+'UNIBKRÉSULT   '!P58</f>
        <v>70008.400000000009</v>
      </c>
      <c r="R58" s="12">
        <f>+B58+F58+J58+N58</f>
        <v>59534.3</v>
      </c>
      <c r="S58" s="46">
        <f>+(R58-T58)/ABS(T58)</f>
        <v>0.18412123189039992</v>
      </c>
      <c r="T58" s="12">
        <f>+D58</f>
        <v>50277.19999999999</v>
      </c>
      <c r="U58" s="12">
        <f>+D58+H58+L58+P58</f>
        <v>234891.3</v>
      </c>
    </row>
    <row r="59" spans="1:21">
      <c r="A59" t="s">
        <v>336</v>
      </c>
      <c r="B59" s="78">
        <f>+'SCOTIARÉSULT         '!B59+'CBNARÉSULT         '!B59+'SGBELRÉSULT       '!B59+BHdRÉSULT!B59+'CAPITALBKRÉSULT      '!B59+'BICHRÉSULT     '!B59+'PROMOBKRÉSULT    '!B59+'UNIBKRÉSULT   '!B59+'BPHRÉSULT  '!B59+'BIDCRÉSULT '!B59+SOCABKRÉSULT!B59+SOGEBKRÉSULT!B59+'bncrésult '!B59+buhrésult!B59+BMHRÉSULT!B59</f>
        <v>61926.000000000015</v>
      </c>
      <c r="C59" s="46">
        <f>+(B59-D59)/ABS(D59)</f>
        <v>0.24975277796838014</v>
      </c>
      <c r="D59" s="88">
        <f>+'SCOTIARÉSULT         '!D59+'CBNARÉSULT         '!D59+'SGBELRÉSULT       '!D59+'CAPITALBKRÉSULT      '!D59+'BICHRÉSULT     '!D59+'PROMOBKRÉSULT    '!D59+'UNIBKRÉSULT   '!D59+'BPHRÉSULT  '!D59+'BIDCRÉSULT '!D59+SOCABKRÉSULT!D59+SOGEBKRÉSULT!D59+'bncrésult '!D59+buhrésult!D59+BMHRÉSULT!D59</f>
        <v>49550.6</v>
      </c>
      <c r="E59" s="29" t="s">
        <v>0</v>
      </c>
      <c r="F59" s="78">
        <f>+'SCOTIARÉSULT         '!F59+'CBNARÉSULT         '!F59+'SGBELRÉSULT       '!F59+BHdRÉSULT!F59+'CAPITALBKRÉSULT      '!F59+'BICHRÉSULT     '!F59+'PROMOBKRÉSULT    '!F59+'UNIBKRÉSULT   '!F59+'BPHRÉSULT  '!F59+'BIDCRÉSULT '!F59+SOCABKRÉSULT!F59+SOGEBKRÉSULT!F59+'bncrésult '!F59+buhrésult!F59+BMHRÉSULT!F59</f>
        <v>0</v>
      </c>
      <c r="G59" s="43">
        <v>0</v>
      </c>
      <c r="H59" s="88">
        <f>+'SCOTIARÉSULT         '!H59+'CBNARÉSULT         '!H59+'SGBELRÉSULT       '!H59+'CAPITALBKRÉSULT      '!H59+'BICHRÉSULT     '!H59+'PROMOBKRÉSULT    '!H59+'UNIBKRÉSULT   '!H59+'BPHRÉSULT  '!H59+'BIDCRÉSULT '!H59+SOCABKRÉSULT!H59+SOGEBKRÉSULT!H59+'bncrésult '!H59+buhrésult!H59+BMHRÉSULT!H59</f>
        <v>45176.7</v>
      </c>
      <c r="J59" s="78">
        <f>+'SCOTIARÉSULT         '!J59+'CBNARÉSULT         '!J59+'SGBELRÉSULT       '!J59+BHdRÉSULT!J59+'CAPITALBKRÉSULT      '!J59+'BICHRÉSULT     '!J59+'PROMOBKRÉSULT    '!J59+'UNIBKRÉSULT   '!J59+'BPHRÉSULT  '!J59+'BIDCRÉSULT '!J59+SOCABKRÉSULT!J59+SOGEBKRÉSULT!J59+'bncrésult '!J59+buhrésult!J59+BMHRÉSULT!J59</f>
        <v>0</v>
      </c>
      <c r="K59" s="43">
        <v>0</v>
      </c>
      <c r="L59" s="88">
        <f>+'SCOTIARÉSULT         '!L59+'CBNARÉSULT         '!L59+'SGBELRÉSULT       '!L59+'CAPITALBKRÉSULT      '!L59+'BICHRÉSULT     '!L59+'PROMOBKRÉSULT    '!L59+'UNIBKRÉSULT   '!L59+'BPHRÉSULT  '!L59+'BIDCRÉSULT '!L59+SOCABKRÉSULT!L59+SOGEBKRÉSULT!L59+'bncrésult '!L59+buhrésult!L59+BMHRÉSULT!L59</f>
        <v>40036</v>
      </c>
      <c r="M59" s="29" t="s">
        <v>0</v>
      </c>
      <c r="N59" s="78">
        <f>+'SCOTIARÉSULT         '!N59+'CBNARÉSULT         '!N59+'SGBELRÉSULT       '!N59+BHdRÉSULT!N59+'CAPITALBKRÉSULT      '!N59+'BICHRÉSULT     '!N59+'PROMOBKRÉSULT    '!N59+'UNIBKRÉSULT   '!N59+'BPHRÉSULT  '!N59+'BIDCRÉSULT '!N59+SOCABKRÉSULT!N59+SOGEBKRÉSULT!N59+'bncrésult '!N59+buhrésult!N59+BMHRÉSULT!N59</f>
        <v>0</v>
      </c>
      <c r="O59" s="43">
        <v>0</v>
      </c>
      <c r="P59" s="12">
        <f>+'BICHRÉSULT     '!P59+'BIDCRÉSULT '!P59+BMHRÉSULT!P59+'bncrésult '!P59+'BPHRÉSULT  '!P59+buhrésult!P59+'CAPITALBKRÉSULT      '!P59+'CBNARÉSULT         '!P59+'PROMOBKRÉSULT    '!P59+'SCOTIARÉSULT         '!P59+SOCABKRÉSULT!P59+SOGEBKRÉSULT!P59+'SGBELRÉSULT       '!P59+'UNIBKRÉSULT   '!P59</f>
        <v>53908.9</v>
      </c>
      <c r="R59" s="12">
        <f>+B59+F59+J59+N59</f>
        <v>61926.000000000015</v>
      </c>
      <c r="S59" s="46">
        <f>+(R59-T59)/ABS(T59)</f>
        <v>0.24975277796838014</v>
      </c>
      <c r="T59" s="12">
        <f>+D59</f>
        <v>49550.6</v>
      </c>
      <c r="U59" s="12">
        <f>+D59+H59+L59+P59</f>
        <v>188672.19999999998</v>
      </c>
    </row>
    <row r="60" spans="1:21">
      <c r="A60" t="s">
        <v>284</v>
      </c>
      <c r="B60" s="240">
        <f>+'SCOTIARÉSULT         '!B60+'CBNARÉSULT         '!B60+'SGBELRÉSULT       '!B60+BHdRÉSULT!B60+'CAPITALBKRÉSULT      '!B60+'BICHRÉSULT     '!B60+'PROMOBKRÉSULT    '!B60+'UNIBKRÉSULT   '!B60+'BPHRÉSULT  '!B60+'BIDCRÉSULT '!B60+SOCABKRÉSULT!B60+SOGEBKRÉSULT!B60+'bncrésult '!B60+buhrésult!B60+BMHRÉSULT!B60</f>
        <v>16052.2</v>
      </c>
      <c r="C60" s="46">
        <f>+(B60-D60)/ABS(D60)</f>
        <v>0.8342855836913794</v>
      </c>
      <c r="D60" s="221">
        <f>+'SCOTIARÉSULT         '!D60+'CBNARÉSULT         '!D60+'SGBELRÉSULT       '!D60+'CAPITALBKRÉSULT      '!D60+'BICHRÉSULT     '!D60+'PROMOBKRÉSULT    '!D60+'UNIBKRÉSULT   '!D60+'BPHRÉSULT  '!D60+'BIDCRÉSULT '!D60+SOCABKRÉSULT!D60+SOGEBKRÉSULT!D60+'bncrésult '!D60+buhrésult!D60+BMHRÉSULT!D60</f>
        <v>8751.2000000000007</v>
      </c>
      <c r="E60" s="29" t="s">
        <v>0</v>
      </c>
      <c r="F60" s="240">
        <f>+'SCOTIARÉSULT         '!F60+'CBNARÉSULT         '!F60+'SGBELRÉSULT       '!F60+BHdRÉSULT!F60+'CAPITALBKRÉSULT      '!F60+'BICHRÉSULT     '!F60+'PROMOBKRÉSULT    '!F60+'UNIBKRÉSULT   '!F60+'BPHRÉSULT  '!F60+'BIDCRÉSULT '!F60+SOCABKRÉSULT!F60+SOGEBKRÉSULT!F60+'bncrésult '!F60+buhrésult!F60+BMHRÉSULT!F60</f>
        <v>0</v>
      </c>
      <c r="G60" s="43">
        <v>0</v>
      </c>
      <c r="H60" s="221">
        <f>+'SCOTIARÉSULT         '!H60+'CBNARÉSULT         '!H60+'SGBELRÉSULT       '!H60+'CAPITALBKRÉSULT      '!H60+'BICHRÉSULT     '!H60+'PROMOBKRÉSULT    '!H60+'UNIBKRÉSULT   '!H60+'BPHRÉSULT  '!H60+'BIDCRÉSULT '!H60+SOCABKRÉSULT!H60+SOGEBKRÉSULT!H60+'bncrésult '!H60+buhrésult!H60+BMHRÉSULT!H60</f>
        <v>23304.1</v>
      </c>
      <c r="J60" s="240">
        <f>+'SCOTIARÉSULT         '!J60+'CBNARÉSULT         '!J60+'SGBELRÉSULT       '!J60+BHdRÉSULT!J60+'CAPITALBKRÉSULT      '!J60+'BICHRÉSULT     '!J60+'PROMOBKRÉSULT    '!J60+'UNIBKRÉSULT   '!J60+'BPHRÉSULT  '!J60+'BIDCRÉSULT '!J60+SOCABKRÉSULT!J60+SOGEBKRÉSULT!J60+'bncrésult '!J60+buhrésult!J60+BMHRÉSULT!J60</f>
        <v>0</v>
      </c>
      <c r="K60" s="43">
        <v>0</v>
      </c>
      <c r="L60" s="221">
        <f>+'SCOTIARÉSULT         '!L60+'CBNARÉSULT         '!L60+'SGBELRÉSULT       '!L60+'CAPITALBKRÉSULT      '!L60+'BICHRÉSULT     '!L60+'PROMOBKRÉSULT    '!L60+'UNIBKRÉSULT   '!L60+'BPHRÉSULT  '!L60+'BIDCRÉSULT '!L60+SOCABKRÉSULT!L60+SOGEBKRÉSULT!L60+'bncrésult '!L60+buhrésult!L60+BMHRÉSULT!L60</f>
        <v>11068</v>
      </c>
      <c r="M60" s="29" t="s">
        <v>0</v>
      </c>
      <c r="N60" s="240">
        <f>+'SCOTIARÉSULT         '!N60+'CBNARÉSULT         '!N60+'SGBELRÉSULT       '!N60+BHdRÉSULT!N60+'CAPITALBKRÉSULT      '!N60+'BICHRÉSULT     '!N60+'PROMOBKRÉSULT    '!N60+'UNIBKRÉSULT   '!N60+'BPHRÉSULT  '!N60+'BIDCRÉSULT '!N60+SOCABKRÉSULT!N60+SOGEBKRÉSULT!N60+'bncrésult '!N60+buhrésult!N60+BMHRÉSULT!N60</f>
        <v>0</v>
      </c>
      <c r="O60" s="43">
        <v>0</v>
      </c>
      <c r="P60" s="240">
        <f>+'BICHRÉSULT     '!P60+'BIDCRÉSULT '!P60+BMHRÉSULT!P60+'bncrésult '!P60+'BPHRÉSULT  '!P60+buhrésult!P60+'CAPITALBKRÉSULT      '!P60+'CBNARÉSULT         '!P60+'PROMOBKRÉSULT    '!P60+'SCOTIARÉSULT         '!P60+SOCABKRÉSULT!P60+SOGEBKRÉSULT!P60+'SGBELRÉSULT       '!P60+'UNIBKRÉSULT   '!P60</f>
        <v>78286.299999999988</v>
      </c>
      <c r="R60" s="240">
        <f>+B60+F60+J60+N60</f>
        <v>16052.2</v>
      </c>
      <c r="S60" s="46">
        <f>+(R60-T60)/ABS(T60)</f>
        <v>0.8342855836913794</v>
      </c>
      <c r="T60" s="240">
        <f>+D60</f>
        <v>8751.2000000000007</v>
      </c>
      <c r="U60" s="240">
        <f>+D60+H60+L60+P60</f>
        <v>121409.59999999999</v>
      </c>
    </row>
    <row r="61" spans="1:21">
      <c r="B61" s="12">
        <f>SUM(B58:B60)</f>
        <v>137512.50000000003</v>
      </c>
      <c r="C61" s="46">
        <f>+(B61-D61)/ABS(D61)</f>
        <v>0.26647418009007312</v>
      </c>
      <c r="D61" s="12">
        <f>SUM(D58:D60)</f>
        <v>108578.99999999999</v>
      </c>
      <c r="E61" s="29" t="s">
        <v>0</v>
      </c>
      <c r="F61" s="12">
        <f>SUM(F58:F60)</f>
        <v>0</v>
      </c>
      <c r="G61" s="43">
        <v>0</v>
      </c>
      <c r="H61" s="12">
        <f>SUM(H58:H60)</f>
        <v>116050.4</v>
      </c>
      <c r="J61" s="12">
        <f>SUM(J58:J60)</f>
        <v>0</v>
      </c>
      <c r="K61" s="43">
        <v>0</v>
      </c>
      <c r="L61" s="12">
        <f>SUM(L58:L60)</f>
        <v>118140.1</v>
      </c>
      <c r="M61" s="29" t="s">
        <v>0</v>
      </c>
      <c r="N61" s="12">
        <f>SUM(N58:N60)</f>
        <v>0</v>
      </c>
      <c r="O61" s="43">
        <v>0</v>
      </c>
      <c r="P61" s="12">
        <f>SUM(P58:P60)</f>
        <v>202203.6</v>
      </c>
      <c r="R61" s="12">
        <f>SUM(R58:R60)</f>
        <v>137512.50000000003</v>
      </c>
      <c r="S61" s="46">
        <f>+(R61-T61)/ABS(T61)</f>
        <v>0.26647418009007312</v>
      </c>
      <c r="T61" s="12">
        <f>SUM(T58:T60)</f>
        <v>108578.99999999999</v>
      </c>
      <c r="U61" s="12">
        <f>SUM(U58:U60)</f>
        <v>544973.1</v>
      </c>
    </row>
    <row r="62" spans="1:21">
      <c r="B62" s="240"/>
      <c r="C62" s="47" t="s">
        <v>0</v>
      </c>
      <c r="D62" s="240"/>
      <c r="E62" s="29" t="s">
        <v>0</v>
      </c>
      <c r="F62" s="240"/>
      <c r="G62" s="44" t="s">
        <v>0</v>
      </c>
      <c r="H62" s="240"/>
      <c r="J62" s="240"/>
      <c r="K62" s="44" t="s">
        <v>0</v>
      </c>
      <c r="L62" s="240"/>
      <c r="M62" s="29" t="s">
        <v>0</v>
      </c>
      <c r="N62" s="240"/>
      <c r="O62" s="44" t="s">
        <v>0</v>
      </c>
      <c r="P62" s="240"/>
      <c r="R62" s="240"/>
      <c r="S62" s="46"/>
      <c r="T62" s="240"/>
      <c r="U62" s="240"/>
    </row>
    <row r="63" spans="1:21">
      <c r="A63" t="s">
        <v>337</v>
      </c>
      <c r="B63" s="12">
        <f>+B55+B61</f>
        <v>447856.79999999993</v>
      </c>
      <c r="C63" s="46">
        <f>+(B63-D63)/ABS(D63)</f>
        <v>0.2639204107700131</v>
      </c>
      <c r="D63" s="12">
        <f>+D55+D61</f>
        <v>354339.39999999997</v>
      </c>
      <c r="E63" s="29" t="s">
        <v>0</v>
      </c>
      <c r="F63" s="12">
        <f>+F55+F61</f>
        <v>0</v>
      </c>
      <c r="G63" s="43">
        <v>0</v>
      </c>
      <c r="H63" s="12">
        <f>+H55+H61</f>
        <v>369546</v>
      </c>
      <c r="J63" s="12">
        <f>+J55+J61</f>
        <v>0</v>
      </c>
      <c r="K63" s="43">
        <v>0</v>
      </c>
      <c r="L63" s="12">
        <f>+L55+L61</f>
        <v>397497.79999999993</v>
      </c>
      <c r="M63" s="29" t="s">
        <v>0</v>
      </c>
      <c r="N63" s="12">
        <f>+N55+N61</f>
        <v>0</v>
      </c>
      <c r="O63" s="43">
        <v>0</v>
      </c>
      <c r="P63" s="12">
        <f>+P55+P61</f>
        <v>520997.9</v>
      </c>
      <c r="R63" s="12">
        <f>+R55+R61</f>
        <v>447856.79999999993</v>
      </c>
      <c r="S63" s="46">
        <f>+(R63-T63)/ABS(T63)</f>
        <v>0.2639204107700131</v>
      </c>
      <c r="T63" s="12">
        <f>+T55+T61</f>
        <v>354339.39999999997</v>
      </c>
      <c r="U63" s="12">
        <f>+U55+U61</f>
        <v>1642381.0999999996</v>
      </c>
    </row>
    <row r="64" spans="1:21">
      <c r="B64" s="12"/>
      <c r="C64" s="47" t="s">
        <v>0</v>
      </c>
      <c r="D64" s="12"/>
      <c r="E64" s="29" t="s">
        <v>0</v>
      </c>
      <c r="F64" s="12"/>
      <c r="G64" s="44" t="s">
        <v>0</v>
      </c>
      <c r="H64" s="12"/>
      <c r="J64" s="12"/>
      <c r="K64" s="44" t="s">
        <v>0</v>
      </c>
      <c r="L64" s="12"/>
      <c r="M64" s="29" t="s">
        <v>0</v>
      </c>
      <c r="N64" s="12"/>
      <c r="O64" s="44" t="s">
        <v>0</v>
      </c>
      <c r="P64" s="12"/>
      <c r="R64" s="12"/>
      <c r="S64" s="46"/>
      <c r="T64" s="12"/>
      <c r="U64" s="12"/>
    </row>
    <row r="65" spans="1:21">
      <c r="A65" t="s">
        <v>338</v>
      </c>
      <c r="B65" s="78">
        <f>+'SCOTIARÉSULT         '!B65+'CBNARÉSULT         '!B65+'SGBELRÉSULT       '!B65+BHdRÉSULT!B65+'CAPITALBKRÉSULT      '!B65+'BICHRÉSULT     '!B65+'PROMOBKRÉSULT    '!B65+'UNIBKRÉSULT   '!B65+'BPHRÉSULT  '!B65+'BIDCRÉSULT '!B65+SOCABKRÉSULT!B65+SOGEBKRÉSULT!B65+'bncrésult '!B65+buhrésult!B65+BMHRÉSULT!B65</f>
        <v>16959.2</v>
      </c>
      <c r="C65" s="46">
        <f>+(B65-D65)/ABS(D65)</f>
        <v>-0.1168371279188451</v>
      </c>
      <c r="D65" s="88">
        <f>+'SCOTIARÉSULT         '!D65+'CBNARÉSULT         '!D65+'SGBELRÉSULT       '!D65+'CAPITALBKRÉSULT      '!D65+'BICHRÉSULT     '!D65+'PROMOBKRÉSULT    '!D65+'UNIBKRÉSULT   '!D65+'BPHRÉSULT  '!D65+'BIDCRÉSULT '!D65+SOCABKRÉSULT!D65+SOGEBKRÉSULT!D65+'bncrésult '!D65+buhrésult!D65+BMHRÉSULT!D65</f>
        <v>19202.8</v>
      </c>
      <c r="E65" s="29" t="s">
        <v>0</v>
      </c>
      <c r="F65" s="78">
        <f>+'SCOTIARÉSULT         '!F65+'CBNARÉSULT         '!F65+'SGBELRÉSULT       '!F65+BHdRÉSULT!F65+'CAPITALBKRÉSULT      '!F65+'BICHRÉSULT     '!F65+'PROMOBKRÉSULT    '!F65+'UNIBKRÉSULT   '!F65+'BPHRÉSULT  '!F65+'BIDCRÉSULT '!F65+SOCABKRÉSULT!F65+SOGEBKRÉSULT!F65+'bncrésult '!F65+buhrésult!F65+BMHRÉSULT!F65</f>
        <v>0</v>
      </c>
      <c r="G65" s="43">
        <v>0</v>
      </c>
      <c r="H65" s="88">
        <f>+'SCOTIARÉSULT         '!H65+'CBNARÉSULT         '!H65+'SGBELRÉSULT       '!H65+'CAPITALBKRÉSULT      '!H65+'BICHRÉSULT     '!H65+'PROMOBKRÉSULT    '!H65+'UNIBKRÉSULT   '!H65+'BPHRÉSULT  '!H65+'BIDCRÉSULT '!H65+SOCABKRÉSULT!H65+SOGEBKRÉSULT!H65+'bncrésult '!H65+buhrésult!H65+BMHRÉSULT!H65</f>
        <v>16492</v>
      </c>
      <c r="J65" s="78">
        <f>+'SCOTIARÉSULT         '!J65+'CBNARÉSULT         '!J65+'SGBELRÉSULT       '!J65+BHdRÉSULT!J65+'CAPITALBKRÉSULT      '!J65+'BICHRÉSULT     '!J65+'PROMOBKRÉSULT    '!J65+'UNIBKRÉSULT   '!J65+'BPHRÉSULT  '!J65+'BIDCRÉSULT '!J65+SOCABKRÉSULT!J65+SOGEBKRÉSULT!J65+'bncrésult '!J65+buhrésult!J65+BMHRÉSULT!J65</f>
        <v>0</v>
      </c>
      <c r="K65" s="43">
        <v>0</v>
      </c>
      <c r="L65" s="88">
        <f>+'SCOTIARÉSULT         '!L65+'CBNARÉSULT         '!L65+'SGBELRÉSULT       '!L65+'CAPITALBKRÉSULT      '!L65+'BICHRÉSULT     '!L65+'PROMOBKRÉSULT    '!L65+'UNIBKRÉSULT   '!L65+'BPHRÉSULT  '!L65+'BIDCRÉSULT '!L65+SOCABKRÉSULT!L65+SOGEBKRÉSULT!L65+'bncrésult '!L65+buhrésult!L65+BMHRÉSULT!L65</f>
        <v>36757.800000000003</v>
      </c>
      <c r="M65" s="29" t="s">
        <v>0</v>
      </c>
      <c r="N65" s="78">
        <f>+'SCOTIARÉSULT         '!N65+'CBNARÉSULT         '!N65+'SGBELRÉSULT       '!N65+BHdRÉSULT!N65+'CAPITALBKRÉSULT      '!N65+'BICHRÉSULT     '!N65+'PROMOBKRÉSULT    '!N65+'UNIBKRÉSULT   '!N65+'BPHRÉSULT  '!N65+'BIDCRÉSULT '!N65+SOCABKRÉSULT!N65+SOGEBKRÉSULT!N65+'bncrésult '!N65+buhrésult!N65+BMHRÉSULT!N65</f>
        <v>0</v>
      </c>
      <c r="O65" s="43">
        <v>0</v>
      </c>
      <c r="P65" s="12">
        <f>+'BICHRÉSULT     '!P65+'BIDCRÉSULT '!P65+BMHRÉSULT!P65+'bncrésult '!P65+'BPHRÉSULT  '!P65+buhrésult!P65+'CAPITALBKRÉSULT      '!P65+'CBNARÉSULT         '!P65+'PROMOBKRÉSULT    '!P65+'SCOTIARÉSULT         '!P65+SOCABKRÉSULT!P65+SOGEBKRÉSULT!P65+'SGBELRÉSULT       '!P65+'UNIBKRÉSULT   '!P65</f>
        <v>36962.300000000003</v>
      </c>
      <c r="R65" s="12">
        <f>+B65+F65+J65+N65</f>
        <v>16959.2</v>
      </c>
      <c r="S65" s="46">
        <f>+(R65-T65)/ABS(T65)</f>
        <v>-0.1168371279188451</v>
      </c>
      <c r="T65" s="12">
        <f>+D65</f>
        <v>19202.8</v>
      </c>
      <c r="U65" s="12">
        <f>+D65+H65+L65+P65</f>
        <v>109414.90000000001</v>
      </c>
    </row>
    <row r="66" spans="1:21">
      <c r="B66" s="12"/>
      <c r="C66" s="47" t="s">
        <v>0</v>
      </c>
      <c r="D66" s="12"/>
      <c r="E66" s="29" t="s">
        <v>0</v>
      </c>
      <c r="F66" s="12"/>
      <c r="G66" s="44" t="s">
        <v>0</v>
      </c>
      <c r="H66" s="12"/>
      <c r="J66" s="12"/>
      <c r="K66" s="44" t="s">
        <v>0</v>
      </c>
      <c r="L66" s="12"/>
      <c r="M66" s="29" t="s">
        <v>0</v>
      </c>
      <c r="N66" s="12"/>
      <c r="O66" s="44" t="s">
        <v>0</v>
      </c>
      <c r="P66" s="12"/>
      <c r="R66" s="12"/>
      <c r="S66" s="46"/>
      <c r="T66" s="12"/>
      <c r="U66" s="12"/>
    </row>
    <row r="67" spans="1:21">
      <c r="A67" t="s">
        <v>339</v>
      </c>
      <c r="B67" s="240"/>
      <c r="C67" s="47" t="s">
        <v>0</v>
      </c>
      <c r="D67" s="240"/>
      <c r="E67" s="29" t="s">
        <v>0</v>
      </c>
      <c r="F67" s="240"/>
      <c r="G67" s="44" t="s">
        <v>0</v>
      </c>
      <c r="H67" s="240"/>
      <c r="J67" s="240"/>
      <c r="K67" s="44" t="s">
        <v>0</v>
      </c>
      <c r="L67" s="240"/>
      <c r="M67" s="29" t="s">
        <v>0</v>
      </c>
      <c r="N67" s="240"/>
      <c r="O67" s="44" t="s">
        <v>0</v>
      </c>
      <c r="P67" s="240"/>
      <c r="R67" s="240"/>
      <c r="S67" s="46"/>
      <c r="T67" s="240"/>
      <c r="U67" s="240"/>
    </row>
    <row r="68" spans="1:21">
      <c r="A68" t="s">
        <v>340</v>
      </c>
      <c r="B68" s="12">
        <f>+B63-B65</f>
        <v>430897.59999999992</v>
      </c>
      <c r="C68" s="46">
        <f>+(B68-D68)/ABS(D68)</f>
        <v>0.28573721879376929</v>
      </c>
      <c r="D68" s="12">
        <f>+D63-D65</f>
        <v>335136.59999999998</v>
      </c>
      <c r="E68" s="29" t="s">
        <v>0</v>
      </c>
      <c r="F68" s="12">
        <f>+F63-F65</f>
        <v>0</v>
      </c>
      <c r="G68" s="43">
        <v>0</v>
      </c>
      <c r="H68" s="12">
        <f>+H63-H65</f>
        <v>353054</v>
      </c>
      <c r="J68" s="12">
        <f>+J63-J65</f>
        <v>0</v>
      </c>
      <c r="K68" s="43">
        <v>0</v>
      </c>
      <c r="L68" s="12">
        <f>+L63-L65</f>
        <v>360739.99999999994</v>
      </c>
      <c r="M68" s="29" t="s">
        <v>0</v>
      </c>
      <c r="N68" s="12">
        <f>+N63-N65</f>
        <v>0</v>
      </c>
      <c r="O68" s="43">
        <v>0</v>
      </c>
      <c r="P68" s="12">
        <f>+P63-P65</f>
        <v>484035.60000000003</v>
      </c>
      <c r="R68" s="12">
        <f>+R63-R65</f>
        <v>430897.59999999992</v>
      </c>
      <c r="S68" s="46">
        <f>+(R68-T68)/ABS(T68)</f>
        <v>0.28573721879376929</v>
      </c>
      <c r="T68" s="12">
        <f>+T63-T65</f>
        <v>335136.59999999998</v>
      </c>
      <c r="U68" s="12">
        <f>+U63-U65</f>
        <v>1532966.1999999997</v>
      </c>
    </row>
    <row r="69" spans="1:21">
      <c r="B69" s="12"/>
      <c r="C69" s="47" t="s">
        <v>0</v>
      </c>
      <c r="D69" s="12"/>
      <c r="E69" s="29" t="s">
        <v>0</v>
      </c>
      <c r="F69" s="12"/>
      <c r="G69" s="44" t="s">
        <v>0</v>
      </c>
      <c r="H69" s="12"/>
      <c r="J69" s="12"/>
      <c r="K69" s="44" t="s">
        <v>0</v>
      </c>
      <c r="L69" s="12"/>
      <c r="M69" s="29" t="s">
        <v>0</v>
      </c>
      <c r="N69" s="12"/>
      <c r="O69" s="44" t="s">
        <v>0</v>
      </c>
      <c r="P69" s="12"/>
      <c r="R69" s="12"/>
      <c r="S69" s="46"/>
      <c r="T69" s="12"/>
      <c r="U69" s="12"/>
    </row>
    <row r="70" spans="1:21">
      <c r="A70" t="s">
        <v>341</v>
      </c>
      <c r="B70" s="12"/>
      <c r="C70" s="47" t="s">
        <v>0</v>
      </c>
      <c r="D70" s="12"/>
      <c r="E70" s="29" t="s">
        <v>0</v>
      </c>
      <c r="F70" s="12"/>
      <c r="G70" s="44" t="s">
        <v>0</v>
      </c>
      <c r="H70" s="12"/>
      <c r="J70" s="12"/>
      <c r="K70" s="44" t="s">
        <v>0</v>
      </c>
      <c r="L70" s="12"/>
      <c r="M70" s="29" t="s">
        <v>0</v>
      </c>
      <c r="N70" s="12"/>
      <c r="O70" s="44" t="s">
        <v>0</v>
      </c>
      <c r="P70" s="12"/>
      <c r="R70" s="12"/>
      <c r="S70" s="46"/>
      <c r="T70" s="12"/>
      <c r="U70" s="12"/>
    </row>
    <row r="71" spans="1:21">
      <c r="A71" t="s">
        <v>342</v>
      </c>
      <c r="B71" s="78">
        <f>+'SCOTIARÉSULT         '!B71+'CBNARÉSULT         '!B71+'SGBELRÉSULT       '!B71+BHdRÉSULT!B71+'CAPITALBKRÉSULT      '!B71+'BICHRÉSULT     '!B71+'PROMOBKRÉSULT    '!B71+'UNIBKRÉSULT   '!B71+'BPHRÉSULT  '!B71+'BIDCRÉSULT '!B71+SOCABKRÉSULT!B71+SOGEBKRÉSULT!B71+'bncrésult '!B71+buhrésult!B71+BMHRÉSULT!B71</f>
        <v>159683.09999999998</v>
      </c>
      <c r="C71" s="46">
        <f>+(B71-D71)/ABS(D71)</f>
        <v>8.6414100249146211E-2</v>
      </c>
      <c r="D71" s="88">
        <f>+'SCOTIARÉSULT         '!D71+'CBNARÉSULT         '!D71+'SGBELRÉSULT       '!D71+'CAPITALBKRÉSULT      '!D71+'BICHRÉSULT     '!D71+'PROMOBKRÉSULT    '!D71+'UNIBKRÉSULT   '!D71+'BPHRÉSULT  '!D71+'BIDCRÉSULT '!D71+SOCABKRÉSULT!D71+SOGEBKRÉSULT!D71+'bncrésult '!D71+buhrésult!D71+BMHRÉSULT!D71</f>
        <v>146981.80000000002</v>
      </c>
      <c r="E71" s="29" t="s">
        <v>0</v>
      </c>
      <c r="F71" s="78">
        <f>+'SCOTIARÉSULT         '!F71+'CBNARÉSULT         '!F71+'SGBELRÉSULT       '!F71+BHdRÉSULT!F71+'CAPITALBKRÉSULT      '!F71+'BICHRÉSULT     '!F71+'PROMOBKRÉSULT    '!F71+'UNIBKRÉSULT   '!F71+'BPHRÉSULT  '!F71+'BIDCRÉSULT '!F71+SOCABKRÉSULT!F71+SOGEBKRÉSULT!F71+'bncrésult '!F71+buhrésult!F71+BMHRÉSULT!F71</f>
        <v>0</v>
      </c>
      <c r="G71" s="43">
        <v>0</v>
      </c>
      <c r="H71" s="88">
        <f>+'SCOTIARÉSULT         '!H71+'CBNARÉSULT         '!H71+'SGBELRÉSULT       '!H71+'CAPITALBKRÉSULT      '!H71+'BICHRÉSULT     '!H71+'PROMOBKRÉSULT    '!H71+'UNIBKRÉSULT   '!H71+'BPHRÉSULT  '!H71+'BIDCRÉSULT '!H71+SOCABKRÉSULT!H71+SOGEBKRÉSULT!H71+'bncrésult '!H71+buhrésult!H71+BMHRÉSULT!H71</f>
        <v>140743.30000000002</v>
      </c>
      <c r="J71" s="78">
        <f>+'SCOTIARÉSULT         '!J71+'CBNARÉSULT         '!J71+'SGBELRÉSULT       '!J71+BHdRÉSULT!J71+'CAPITALBKRÉSULT      '!J71+'BICHRÉSULT     '!J71+'PROMOBKRÉSULT    '!J71+'UNIBKRÉSULT   '!J71+'BPHRÉSULT  '!J71+'BIDCRÉSULT '!J71+SOCABKRÉSULT!J71+SOGEBKRÉSULT!J71+'bncrésult '!J71+buhrésult!J71+BMHRÉSULT!J71</f>
        <v>0</v>
      </c>
      <c r="K71" s="43">
        <v>0</v>
      </c>
      <c r="L71" s="88">
        <f>+'SCOTIARÉSULT         '!L71+'CBNARÉSULT         '!L71+'SGBELRÉSULT       '!L71+'CAPITALBKRÉSULT      '!L71+'BICHRÉSULT     '!L71+'PROMOBKRÉSULT    '!L71+'UNIBKRÉSULT   '!L71+'BPHRÉSULT  '!L71+'BIDCRÉSULT '!L71+SOCABKRÉSULT!L71+SOGEBKRÉSULT!L71+'bncrésult '!L71+buhrésult!L71+BMHRÉSULT!L71</f>
        <v>131450.20000000001</v>
      </c>
      <c r="M71" s="29" t="s">
        <v>0</v>
      </c>
      <c r="N71" s="78">
        <f>+'SCOTIARÉSULT         '!N71+'CBNARÉSULT         '!N71+'SGBELRÉSULT       '!N71+BHdRÉSULT!N71+'CAPITALBKRÉSULT      '!N71+'BICHRÉSULT     '!N71+'PROMOBKRÉSULT    '!N71+'UNIBKRÉSULT   '!N71+'BPHRÉSULT  '!N71+'BIDCRÉSULT '!N71+SOCABKRÉSULT!N71+SOGEBKRÉSULT!N71+'bncrésult '!N71+buhrésult!N71+BMHRÉSULT!N71</f>
        <v>0</v>
      </c>
      <c r="O71" s="43">
        <v>0</v>
      </c>
      <c r="P71" s="12">
        <f>+'BICHRÉSULT     '!P71+'BIDCRÉSULT '!P71+BMHRÉSULT!P71+'bncrésult '!P71+'BPHRÉSULT  '!P71+buhrésult!P71+'CAPITALBKRÉSULT      '!P71+'CBNARÉSULT         '!P71+'PROMOBKRÉSULT    '!P71+'SCOTIARÉSULT         '!P71+SOCABKRÉSULT!P71+SOGEBKRÉSULT!P71+'SGBELRÉSULT       '!P71+'UNIBKRÉSULT   '!P71</f>
        <v>153581.4</v>
      </c>
      <c r="R71" s="12">
        <f>+B71+F71+J71+N71</f>
        <v>159683.09999999998</v>
      </c>
      <c r="S71" s="46">
        <f>+(R71-T71)/ABS(T71)</f>
        <v>8.6414100249146211E-2</v>
      </c>
      <c r="T71" s="12">
        <f>+D71</f>
        <v>146981.80000000002</v>
      </c>
      <c r="U71" s="12">
        <f>+D71+H71+L71+P71</f>
        <v>572756.70000000007</v>
      </c>
    </row>
    <row r="72" spans="1:21">
      <c r="A72" t="s">
        <v>343</v>
      </c>
      <c r="B72" s="78">
        <f>+'SCOTIARÉSULT         '!B72+'CBNARÉSULT         '!B72+'SGBELRÉSULT       '!B72+BHdRÉSULT!B72+'CAPITALBKRÉSULT      '!B72+'BICHRÉSULT     '!B72+'PROMOBKRÉSULT    '!B72+'UNIBKRÉSULT   '!B72+'BPHRÉSULT  '!B72+'BIDCRÉSULT '!B72+SOCABKRÉSULT!B72+SOGEBKRÉSULT!B72+'bncrésult '!B72+buhrésult!B72+BMHRÉSULT!B72</f>
        <v>16175.199999999999</v>
      </c>
      <c r="C72" s="46">
        <f>+(B72-D72)/ABS(D72)</f>
        <v>0.18125785061198244</v>
      </c>
      <c r="D72" s="88">
        <f>+'SCOTIARÉSULT         '!D72+'CBNARÉSULT         '!D72+'SGBELRÉSULT       '!D72+'CAPITALBKRÉSULT      '!D72+'BICHRÉSULT     '!D72+'PROMOBKRÉSULT    '!D72+'UNIBKRÉSULT   '!D72+'BPHRÉSULT  '!D72+'BIDCRÉSULT '!D72+SOCABKRÉSULT!D72+SOGEBKRÉSULT!D72+'bncrésult '!D72+buhrésult!D72+BMHRÉSULT!D72</f>
        <v>13693.2</v>
      </c>
      <c r="E72" s="29" t="s">
        <v>0</v>
      </c>
      <c r="F72" s="78">
        <f>+'SCOTIARÉSULT         '!F72+'CBNARÉSULT         '!F72+'SGBELRÉSULT       '!F72+BHdRÉSULT!F72+'CAPITALBKRÉSULT      '!F72+'BICHRÉSULT     '!F72+'PROMOBKRÉSULT    '!F72+'UNIBKRÉSULT   '!F72+'BPHRÉSULT  '!F72+'BIDCRÉSULT '!F72+SOCABKRÉSULT!F72+SOGEBKRÉSULT!F72+'bncrésult '!F72+buhrésult!F72+BMHRÉSULT!F72</f>
        <v>0</v>
      </c>
      <c r="G72" s="43">
        <v>0</v>
      </c>
      <c r="H72" s="88">
        <f>+'SCOTIARÉSULT         '!H72+'CBNARÉSULT         '!H72+'SGBELRÉSULT       '!H72+'CAPITALBKRÉSULT      '!H72+'BICHRÉSULT     '!H72+'PROMOBKRÉSULT    '!H72+'UNIBKRÉSULT   '!H72+'BPHRÉSULT  '!H72+'BIDCRÉSULT '!H72+SOCABKRÉSULT!H72+SOGEBKRÉSULT!H72+'bncrésult '!H72+buhrésult!H72+BMHRÉSULT!H72</f>
        <v>12645.900000000001</v>
      </c>
      <c r="J72" s="78">
        <f>+'SCOTIARÉSULT         '!J72+'CBNARÉSULT         '!J72+'SGBELRÉSULT       '!J72+BHdRÉSULT!J72+'CAPITALBKRÉSULT      '!J72+'BICHRÉSULT     '!J72+'PROMOBKRÉSULT    '!J72+'UNIBKRÉSULT   '!J72+'BPHRÉSULT  '!J72+'BIDCRÉSULT '!J72+SOCABKRÉSULT!J72+SOGEBKRÉSULT!J72+'bncrésult '!J72+buhrésult!J72+BMHRÉSULT!J72</f>
        <v>0</v>
      </c>
      <c r="K72" s="43">
        <v>0</v>
      </c>
      <c r="L72" s="88">
        <f>+'SCOTIARÉSULT         '!L72+'CBNARÉSULT         '!L72+'SGBELRÉSULT       '!L72+'CAPITALBKRÉSULT      '!L72+'BICHRÉSULT     '!L72+'PROMOBKRÉSULT    '!L72+'UNIBKRÉSULT   '!L72+'BPHRÉSULT  '!L72+'BIDCRÉSULT '!L72+SOCABKRÉSULT!L72+SOGEBKRÉSULT!L72+'bncrésult '!L72+buhrésult!L72+BMHRÉSULT!L72</f>
        <v>12191.3</v>
      </c>
      <c r="M72" s="29" t="s">
        <v>0</v>
      </c>
      <c r="N72" s="78">
        <f>+'SCOTIARÉSULT         '!N72+'CBNARÉSULT         '!N72+'SGBELRÉSULT       '!N72+BHdRÉSULT!N72+'CAPITALBKRÉSULT      '!N72+'BICHRÉSULT     '!N72+'PROMOBKRÉSULT    '!N72+'UNIBKRÉSULT   '!N72+'BPHRÉSULT  '!N72+'BIDCRÉSULT '!N72+SOCABKRÉSULT!N72+SOGEBKRÉSULT!N72+'bncrésult '!N72+buhrésult!N72+BMHRÉSULT!N72</f>
        <v>0</v>
      </c>
      <c r="O72" s="43">
        <v>0</v>
      </c>
      <c r="P72" s="12">
        <f>+'BICHRÉSULT     '!P72+'BIDCRÉSULT '!P72+BMHRÉSULT!P72+'bncrésult '!P72+'BPHRÉSULT  '!P72+buhrésult!P72+'CAPITALBKRÉSULT      '!P72+'CBNARÉSULT         '!P72+'PROMOBKRÉSULT    '!P72+'SCOTIARÉSULT         '!P72+SOCABKRÉSULT!P72+SOGEBKRÉSULT!P72+'SGBELRÉSULT       '!P72+'UNIBKRÉSULT   '!P72</f>
        <v>14558.8</v>
      </c>
      <c r="R72" s="12">
        <f>+B72+F72+J72+N72</f>
        <v>16175.199999999999</v>
      </c>
      <c r="S72" s="46">
        <f>+(R72-T72)/ABS(T72)</f>
        <v>0.18125785061198244</v>
      </c>
      <c r="T72" s="12">
        <f>+D72</f>
        <v>13693.2</v>
      </c>
      <c r="U72" s="12">
        <f>+D72+H72+L72+P72</f>
        <v>53089.2</v>
      </c>
    </row>
    <row r="73" spans="1:21">
      <c r="A73" t="s">
        <v>344</v>
      </c>
      <c r="B73" s="78">
        <f>+'SCOTIARÉSULT         '!B73+'CBNARÉSULT         '!B73+'SGBELRÉSULT       '!B73+BHdRÉSULT!B73+'CAPITALBKRÉSULT      '!B73+'BICHRÉSULT     '!B73+'PROMOBKRÉSULT    '!B73+'UNIBKRÉSULT   '!B73+'BPHRÉSULT  '!B73+'BIDCRÉSULT '!B73+SOCABKRÉSULT!B73+SOGEBKRÉSULT!B73+'bncrésult '!B73+buhrésult!B73+BMHRÉSULT!B73</f>
        <v>49760.2</v>
      </c>
      <c r="C73" s="46">
        <f>+(B73-D73)/ABS(D73)</f>
        <v>0.25773951550936225</v>
      </c>
      <c r="D73" s="88">
        <f>+'SCOTIARÉSULT         '!D73+'CBNARÉSULT         '!D73+'SGBELRÉSULT       '!D73+'CAPITALBKRÉSULT      '!D73+'BICHRÉSULT     '!D73+'PROMOBKRÉSULT    '!D73+'UNIBKRÉSULT   '!D73+'BPHRÉSULT  '!D73+'BIDCRÉSULT '!D73+SOCABKRÉSULT!D73+SOGEBKRÉSULT!D73+'bncrésult '!D73+buhrésult!D73+BMHRÉSULT!D73</f>
        <v>39563.199999999997</v>
      </c>
      <c r="E73" s="29" t="s">
        <v>0</v>
      </c>
      <c r="F73" s="78">
        <f>+'SCOTIARÉSULT         '!F73+'CBNARÉSULT         '!F73+'SGBELRÉSULT       '!F73+BHdRÉSULT!F73+'CAPITALBKRÉSULT      '!F73+'BICHRÉSULT     '!F73+'PROMOBKRÉSULT    '!F73+'UNIBKRÉSULT   '!F73+'BPHRÉSULT  '!F73+'BIDCRÉSULT '!F73+SOCABKRÉSULT!F73+SOGEBKRÉSULT!F73+'bncrésult '!F73+buhrésult!F73+BMHRÉSULT!F73</f>
        <v>0</v>
      </c>
      <c r="G73" s="43">
        <v>0</v>
      </c>
      <c r="H73" s="88">
        <f>+'SCOTIARÉSULT         '!H73+'CBNARÉSULT         '!H73+'SGBELRÉSULT       '!H73+'CAPITALBKRÉSULT      '!H73+'BICHRÉSULT     '!H73+'PROMOBKRÉSULT    '!H73+'UNIBKRÉSULT   '!H73+'BPHRÉSULT  '!H73+'BIDCRÉSULT '!H73+SOCABKRÉSULT!H73+SOGEBKRÉSULT!H73+'bncrésult '!H73+buhrésult!H73+BMHRÉSULT!H73</f>
        <v>41664</v>
      </c>
      <c r="J73" s="78">
        <f>+'SCOTIARÉSULT         '!J73+'CBNARÉSULT         '!J73+'SGBELRÉSULT       '!J73+BHdRÉSULT!J73+'CAPITALBKRÉSULT      '!J73+'BICHRÉSULT     '!J73+'PROMOBKRÉSULT    '!J73+'UNIBKRÉSULT   '!J73+'BPHRÉSULT  '!J73+'BIDCRÉSULT '!J73+SOCABKRÉSULT!J73+SOGEBKRÉSULT!J73+'bncrésult '!J73+buhrésult!J73+BMHRÉSULT!J73</f>
        <v>0</v>
      </c>
      <c r="K73" s="43">
        <v>0</v>
      </c>
      <c r="L73" s="88">
        <f>+'SCOTIARÉSULT         '!L73+'CBNARÉSULT         '!L73+'SGBELRÉSULT       '!L73+'CAPITALBKRÉSULT      '!L73+'BICHRÉSULT     '!L73+'PROMOBKRÉSULT    '!L73+'UNIBKRÉSULT   '!L73+'BPHRÉSULT  '!L73+'BIDCRÉSULT '!L73+SOCABKRÉSULT!L73+SOGEBKRÉSULT!L73+'bncrésult '!L73+buhrésult!L73+BMHRÉSULT!L73</f>
        <v>40815.1</v>
      </c>
      <c r="M73" s="29" t="s">
        <v>0</v>
      </c>
      <c r="N73" s="78">
        <f>+'SCOTIARÉSULT         '!N73+'CBNARÉSULT         '!N73+'SGBELRÉSULT       '!N73+BHdRÉSULT!N73+'CAPITALBKRÉSULT      '!N73+'BICHRÉSULT     '!N73+'PROMOBKRÉSULT    '!N73+'UNIBKRÉSULT   '!N73+'BPHRÉSULT  '!N73+'BIDCRÉSULT '!N73+SOCABKRÉSULT!N73+SOGEBKRÉSULT!N73+'bncrésult '!N73+buhrésult!N73+BMHRÉSULT!N73</f>
        <v>0</v>
      </c>
      <c r="O73" s="43">
        <v>0</v>
      </c>
      <c r="P73" s="12">
        <f>+'BICHRÉSULT     '!P73+'BIDCRÉSULT '!P73+BMHRÉSULT!P73+'bncrésult '!P73+'BPHRÉSULT  '!P73+buhrésult!P73+'CAPITALBKRÉSULT      '!P73+'CBNARÉSULT         '!P73+'PROMOBKRÉSULT    '!P73+'SCOTIARÉSULT         '!P73+SOCABKRÉSULT!P73+SOGEBKRÉSULT!P73+'SGBELRÉSULT       '!P73+'UNIBKRÉSULT   '!P73</f>
        <v>45570.9</v>
      </c>
      <c r="R73" s="12">
        <f>+B73+F73+J73+N73</f>
        <v>49760.2</v>
      </c>
      <c r="S73" s="46">
        <f>+(R73-T73)/ABS(T73)</f>
        <v>0.25773951550936225</v>
      </c>
      <c r="T73" s="12">
        <f>+D73</f>
        <v>39563.199999999997</v>
      </c>
      <c r="U73" s="12">
        <f>+D73+H73+L73+P73</f>
        <v>167613.19999999998</v>
      </c>
    </row>
    <row r="74" spans="1:21">
      <c r="A74" t="s">
        <v>345</v>
      </c>
      <c r="B74" s="240">
        <f>+'SCOTIARÉSULT         '!B74+'CBNARÉSULT         '!B74+'SGBELRÉSULT       '!B74+BHdRÉSULT!B74+'CAPITALBKRÉSULT      '!B74+'BICHRÉSULT     '!B74+'PROMOBKRÉSULT    '!B74+'UNIBKRÉSULT   '!B74+'BPHRÉSULT  '!B74+'BIDCRÉSULT '!B74+SOCABKRÉSULT!B74+SOGEBKRÉSULT!B74+'bncrésult '!B74+buhrésult!B74+BMHRÉSULT!B74</f>
        <v>124915.8</v>
      </c>
      <c r="C74" s="46">
        <f>+(B74-D74)/ABS(D74)</f>
        <v>0.15079177172800551</v>
      </c>
      <c r="D74" s="221">
        <f>+'SCOTIARÉSULT         '!D74+'CBNARÉSULT         '!D74+'SGBELRÉSULT       '!D74+'CAPITALBKRÉSULT      '!D74+'BICHRÉSULT     '!D74+'PROMOBKRÉSULT    '!D74+'UNIBKRÉSULT   '!D74+'BPHRÉSULT  '!D74+'BIDCRÉSULT '!D74+SOCABKRÉSULT!D74+SOGEBKRÉSULT!D74+'bncrésult '!D74+buhrésult!D74+BMHRÉSULT!D74</f>
        <v>108547.69999999998</v>
      </c>
      <c r="E74" s="29" t="s">
        <v>0</v>
      </c>
      <c r="F74" s="240">
        <f>+'SCOTIARÉSULT         '!F74+'CBNARÉSULT         '!F74+'SGBELRÉSULT       '!F74+BHdRÉSULT!F74+'CAPITALBKRÉSULT      '!F74+'BICHRÉSULT     '!F74+'PROMOBKRÉSULT    '!F74+'UNIBKRÉSULT   '!F74+'BPHRÉSULT  '!F74+'BIDCRÉSULT '!F74+SOCABKRÉSULT!F74+SOGEBKRÉSULT!F74+'bncrésult '!F74+buhrésult!F74+BMHRÉSULT!F74</f>
        <v>0</v>
      </c>
      <c r="G74" s="43">
        <v>0</v>
      </c>
      <c r="H74" s="221">
        <f>+'SCOTIARÉSULT         '!H74+'CBNARÉSULT         '!H74+'SGBELRÉSULT       '!H74+'CAPITALBKRÉSULT      '!H74+'BICHRÉSULT     '!H74+'PROMOBKRÉSULT    '!H74+'UNIBKRÉSULT   '!H74+'BPHRÉSULT  '!H74+'BIDCRÉSULT '!H74+SOCABKRÉSULT!H74+SOGEBKRÉSULT!H74+'bncrésult '!H74+buhrésult!H74+BMHRÉSULT!H74</f>
        <v>101328.9</v>
      </c>
      <c r="J74" s="240">
        <f>+'SCOTIARÉSULT         '!J74+'CBNARÉSULT         '!J74+'SGBELRÉSULT       '!J74+BHdRÉSULT!J74+'CAPITALBKRÉSULT      '!J74+'BICHRÉSULT     '!J74+'PROMOBKRÉSULT    '!J74+'UNIBKRÉSULT   '!J74+'BPHRÉSULT  '!J74+'BIDCRÉSULT '!J74+SOCABKRÉSULT!J74+SOGEBKRÉSULT!J74+'bncrésult '!J74+buhrésult!J74+BMHRÉSULT!J74</f>
        <v>0</v>
      </c>
      <c r="K74" s="43">
        <v>0</v>
      </c>
      <c r="L74" s="221">
        <f>+'SCOTIARÉSULT         '!L74+'CBNARÉSULT         '!L74+'SGBELRÉSULT       '!L74+'CAPITALBKRÉSULT      '!L74+'BICHRÉSULT     '!L74+'PROMOBKRÉSULT    '!L74+'UNIBKRÉSULT   '!L74+'BPHRÉSULT  '!L74+'BIDCRÉSULT '!L74+SOCABKRÉSULT!L74+SOGEBKRÉSULT!L74+'bncrésult '!L74+buhrésult!L74+BMHRÉSULT!L74</f>
        <v>109416</v>
      </c>
      <c r="M74" s="29" t="s">
        <v>0</v>
      </c>
      <c r="N74" s="240">
        <f>+'SCOTIARÉSULT         '!N74+'CBNARÉSULT         '!N74+'SGBELRÉSULT       '!N74+BHdRÉSULT!N74+'CAPITALBKRÉSULT      '!N74+'BICHRÉSULT     '!N74+'PROMOBKRÉSULT    '!N74+'UNIBKRÉSULT   '!N74+'BPHRÉSULT  '!N74+'BIDCRÉSULT '!N74+SOCABKRÉSULT!N74+SOGEBKRÉSULT!N74+'bncrésult '!N74+buhrésult!N74+BMHRÉSULT!N74</f>
        <v>0</v>
      </c>
      <c r="O74" s="43">
        <v>0</v>
      </c>
      <c r="P74" s="240">
        <f>+'BICHRÉSULT     '!P74+'BIDCRÉSULT '!P74+BMHRÉSULT!P74+'bncrésult '!P74+'BPHRÉSULT  '!P74+buhrésult!P74+'CAPITALBKRÉSULT      '!P74+'CBNARÉSULT         '!P74+'PROMOBKRÉSULT    '!P74+'SCOTIARÉSULT         '!P74+SOCABKRÉSULT!P74+SOGEBKRÉSULT!P74+'SGBELRÉSULT       '!P74+'UNIBKRÉSULT   '!P74</f>
        <v>167573.5</v>
      </c>
      <c r="R74" s="240">
        <f>+B74+F74+J74+N74</f>
        <v>124915.8</v>
      </c>
      <c r="S74" s="46">
        <f>+(R74-T74)/ABS(T74)</f>
        <v>0.15079177172800551</v>
      </c>
      <c r="T74" s="240">
        <f>+D74</f>
        <v>108547.69999999998</v>
      </c>
      <c r="U74" s="240">
        <f>+D74+H74+L74+P74</f>
        <v>486866.1</v>
      </c>
    </row>
    <row r="75" spans="1:21">
      <c r="B75" s="12">
        <f>SUM(B71:B74)</f>
        <v>350534.3</v>
      </c>
      <c r="C75" s="46">
        <f>+(B75-D75)/ABS(D75)</f>
        <v>0.13520176925176947</v>
      </c>
      <c r="D75" s="12">
        <f>SUM(D71:D74)</f>
        <v>308785.90000000002</v>
      </c>
      <c r="E75" s="29" t="s">
        <v>0</v>
      </c>
      <c r="F75" s="12">
        <f>SUM(F71:F74)</f>
        <v>0</v>
      </c>
      <c r="G75" s="43">
        <v>0</v>
      </c>
      <c r="H75" s="12">
        <f>SUM(H71:H74)</f>
        <v>296382.09999999998</v>
      </c>
      <c r="J75" s="12">
        <f>SUM(J71:J74)</f>
        <v>0</v>
      </c>
      <c r="K75" s="43">
        <v>0</v>
      </c>
      <c r="L75" s="12">
        <f>SUM(L71:L74)</f>
        <v>293872.59999999998</v>
      </c>
      <c r="M75" s="29" t="s">
        <v>0</v>
      </c>
      <c r="N75" s="12">
        <f>SUM(N71:N74)</f>
        <v>0</v>
      </c>
      <c r="O75" s="43">
        <v>0</v>
      </c>
      <c r="P75" s="12">
        <f>SUM(P71:P74)</f>
        <v>381284.6</v>
      </c>
      <c r="R75" s="12">
        <f>SUM(R71:R74)</f>
        <v>350534.3</v>
      </c>
      <c r="S75" s="46">
        <f>+(R75-T75)/ABS(T75)</f>
        <v>0.13520176925176947</v>
      </c>
      <c r="T75" s="12">
        <f>SUM(T71:T74)</f>
        <v>308785.90000000002</v>
      </c>
      <c r="U75" s="12">
        <f>SUM(U71:U74)</f>
        <v>1280325.2</v>
      </c>
    </row>
    <row r="76" spans="1:21">
      <c r="B76" s="240"/>
      <c r="C76" s="46"/>
      <c r="D76" s="240"/>
      <c r="E76" s="29"/>
      <c r="F76" s="240"/>
      <c r="G76" s="43"/>
      <c r="H76" s="240"/>
      <c r="J76" s="240"/>
      <c r="K76" s="43"/>
      <c r="L76" s="240"/>
      <c r="M76" s="29"/>
      <c r="N76" s="240"/>
      <c r="O76" s="43"/>
      <c r="P76" s="240"/>
      <c r="R76" s="240"/>
      <c r="S76" s="46"/>
      <c r="T76" s="240"/>
      <c r="U76" s="240"/>
    </row>
    <row r="77" spans="1:21">
      <c r="A77" t="s">
        <v>346</v>
      </c>
      <c r="B77" s="12">
        <f>+B68-B75</f>
        <v>80363.29999999993</v>
      </c>
      <c r="C77" s="46">
        <f>+(B77-D77)/ABS(D77)</f>
        <v>2.0497595889293292</v>
      </c>
      <c r="D77" s="12">
        <f>+D68-D75</f>
        <v>26350.699999999953</v>
      </c>
      <c r="E77" s="29" t="s">
        <v>0</v>
      </c>
      <c r="F77" s="12">
        <f>+F68-F75</f>
        <v>0</v>
      </c>
      <c r="G77" s="43">
        <v>0</v>
      </c>
      <c r="H77" s="12">
        <f>+H68-H75</f>
        <v>56671.900000000023</v>
      </c>
      <c r="J77" s="12">
        <f>+J68-J75</f>
        <v>0</v>
      </c>
      <c r="K77" s="43">
        <v>0</v>
      </c>
      <c r="L77" s="12">
        <f>+L68-L75</f>
        <v>66867.399999999965</v>
      </c>
      <c r="M77" s="29" t="s">
        <v>0</v>
      </c>
      <c r="N77" s="12">
        <f>+N68-N75</f>
        <v>0</v>
      </c>
      <c r="O77" s="43">
        <v>0</v>
      </c>
      <c r="P77" s="12">
        <f>+P68-P75</f>
        <v>102751.00000000006</v>
      </c>
      <c r="R77" s="12">
        <f>+R68-R75</f>
        <v>80363.29999999993</v>
      </c>
      <c r="S77" s="46">
        <f>+(R77-T77)/ABS(T77)</f>
        <v>2.0497595889293292</v>
      </c>
      <c r="T77" s="12">
        <f>+T68-T75</f>
        <v>26350.699999999953</v>
      </c>
      <c r="U77" s="12">
        <f>+U68-U75</f>
        <v>252640.99999999977</v>
      </c>
    </row>
    <row r="78" spans="1:21">
      <c r="B78" s="12"/>
      <c r="C78" s="47" t="s">
        <v>0</v>
      </c>
      <c r="D78" s="12"/>
      <c r="E78" s="29" t="s">
        <v>0</v>
      </c>
      <c r="F78" s="12"/>
      <c r="G78" s="44" t="s">
        <v>0</v>
      </c>
      <c r="H78" s="12"/>
      <c r="J78" s="12"/>
      <c r="K78" s="44" t="s">
        <v>0</v>
      </c>
      <c r="L78" s="12"/>
      <c r="M78" s="29" t="s">
        <v>0</v>
      </c>
      <c r="N78" s="12"/>
      <c r="O78" s="44" t="s">
        <v>0</v>
      </c>
      <c r="P78" s="12"/>
      <c r="R78" s="12"/>
      <c r="S78" s="46"/>
      <c r="T78" s="12"/>
      <c r="U78" s="12"/>
    </row>
    <row r="79" spans="1:21">
      <c r="A79" t="s">
        <v>347</v>
      </c>
      <c r="B79" s="78">
        <f>+'SCOTIARÉSULT         '!B79+'CBNARÉSULT         '!B79+'SGBELRÉSULT       '!B79+BHdRÉSULT!B79+'CAPITALBKRÉSULT      '!B79+'BICHRÉSULT     '!B79+'PROMOBKRÉSULT    '!B79+'UNIBKRÉSULT   '!B79+'BPHRÉSULT  '!B79+'BIDCRÉSULT '!B79+SOCABKRÉSULT!B79+SOGEBKRÉSULT!B79+'bncrésult '!B79+buhrésult!B79+BMHRÉSULT!B79</f>
        <v>20789.5</v>
      </c>
      <c r="C79" s="46">
        <f>+(B79-D79)/ABS(D79)</f>
        <v>0.86935762327806343</v>
      </c>
      <c r="D79" s="88">
        <f>+'SCOTIARÉSULT         '!D79+'CBNARÉSULT         '!D79+'SGBELRÉSULT       '!D79+'CAPITALBKRÉSULT      '!D79+'BICHRÉSULT     '!D79+'PROMOBKRÉSULT    '!D79+'UNIBKRÉSULT   '!D79+'BPHRÉSULT  '!D79+'BIDCRÉSULT '!D79+SOCABKRÉSULT!D79+SOGEBKRÉSULT!D79+'bncrésult '!D79+buhrésult!D79+BMHRÉSULT!D79</f>
        <v>11121.2</v>
      </c>
      <c r="E79" s="29" t="s">
        <v>0</v>
      </c>
      <c r="F79" s="78">
        <f>+'SCOTIARÉSULT         '!F79+'CBNARÉSULT         '!F79+'SGBELRÉSULT       '!F79+BHdRÉSULT!F79+'CAPITALBKRÉSULT      '!F79+'BICHRÉSULT     '!F79+'PROMOBKRÉSULT    '!F79+'UNIBKRÉSULT   '!F79+'BPHRÉSULT  '!F79+'BIDCRÉSULT '!F79+SOCABKRÉSULT!F79+SOGEBKRÉSULT!F79+'bncrésult '!F79+buhrésult!F79+BMHRÉSULT!F79</f>
        <v>0</v>
      </c>
      <c r="G79" s="43">
        <v>0</v>
      </c>
      <c r="H79" s="88">
        <f>+'SCOTIARÉSULT         '!H79+'CBNARÉSULT         '!H79+'SGBELRÉSULT       '!H79+'CAPITALBKRÉSULT      '!H79+'BICHRÉSULT     '!H79+'PROMOBKRÉSULT    '!H79+'UNIBKRÉSULT   '!H79+'BPHRÉSULT  '!H79+'BIDCRÉSULT '!H79+SOCABKRÉSULT!H79+SOGEBKRÉSULT!H79+'bncrésult '!H79+buhrésult!H79+BMHRÉSULT!H79</f>
        <v>18649.400000000001</v>
      </c>
      <c r="J79" s="78">
        <f>+'SCOTIARÉSULT         '!J79+'CBNARÉSULT         '!J79+'SGBELRÉSULT       '!J79+BHdRÉSULT!J79+'CAPITALBKRÉSULT      '!J79+'BICHRÉSULT     '!J79+'PROMOBKRÉSULT    '!J79+'UNIBKRÉSULT   '!J79+'BPHRÉSULT  '!J79+'BIDCRÉSULT '!J79+SOCABKRÉSULT!J79+SOGEBKRÉSULT!J79+'bncrésult '!J79+buhrésult!J79+BMHRÉSULT!J79</f>
        <v>0</v>
      </c>
      <c r="K79" s="43">
        <v>0</v>
      </c>
      <c r="L79" s="88">
        <f>+'SCOTIARÉSULT         '!L79+'CBNARÉSULT         '!L79+'SGBELRÉSULT       '!L79+'CAPITALBKRÉSULT      '!L79+'BICHRÉSULT     '!L79+'PROMOBKRÉSULT    '!L79+'UNIBKRÉSULT   '!L79+'BPHRÉSULT  '!L79+'BIDCRÉSULT '!L79+SOCABKRÉSULT!L79+SOGEBKRÉSULT!L79+'bncrésult '!L79+buhrésult!L79+BMHRÉSULT!L79</f>
        <v>14342</v>
      </c>
      <c r="M79" s="29" t="s">
        <v>0</v>
      </c>
      <c r="N79" s="78">
        <f>+'SCOTIARÉSULT         '!N79+'CBNARÉSULT         '!N79+'SGBELRÉSULT       '!N79+BHdRÉSULT!N79+'CAPITALBKRÉSULT      '!N79+'BICHRÉSULT     '!N79+'PROMOBKRÉSULT    '!N79+'UNIBKRÉSULT   '!N79+'BPHRÉSULT  '!N79+'BIDCRÉSULT '!N79+SOCABKRÉSULT!N79+SOGEBKRÉSULT!N79+'bncrésult '!N79+buhrésult!N79+BMHRÉSULT!N79</f>
        <v>0</v>
      </c>
      <c r="O79" s="43">
        <v>0</v>
      </c>
      <c r="P79" s="12">
        <f>+'BICHRÉSULT     '!P79+'BIDCRÉSULT '!P79+BMHRÉSULT!P79+'bncrésult '!P79+'BPHRÉSULT  '!P79+buhrésult!P79+'CAPITALBKRÉSULT      '!P79+'CBNARÉSULT         '!P79+'PROMOBKRÉSULT    '!P79+'SCOTIARÉSULT         '!P79+SOCABKRÉSULT!P79+SOGEBKRÉSULT!P79+'SGBELRÉSULT       '!P79+'UNIBKRÉSULT   '!P79</f>
        <v>14182.2</v>
      </c>
      <c r="R79" s="12">
        <f>+B79+F79+J79+N79</f>
        <v>20789.5</v>
      </c>
      <c r="S79" s="46">
        <f>+(R79-T79)/ABS(T79)</f>
        <v>0.86935762327806343</v>
      </c>
      <c r="T79" s="12">
        <f>+D79</f>
        <v>11121.2</v>
      </c>
      <c r="U79" s="12">
        <f>+D79+H79+L79+P79</f>
        <v>58294.8</v>
      </c>
    </row>
    <row r="80" spans="1:21" ht="16.5" thickBot="1">
      <c r="A80" t="s">
        <v>0</v>
      </c>
      <c r="B80" s="76"/>
      <c r="C80" s="47" t="s">
        <v>0</v>
      </c>
      <c r="D80" s="76"/>
      <c r="E80" s="29" t="s">
        <v>0</v>
      </c>
      <c r="F80" s="77" t="s">
        <v>0</v>
      </c>
      <c r="G80" s="44" t="s">
        <v>0</v>
      </c>
      <c r="H80" s="76"/>
      <c r="J80" s="76"/>
      <c r="K80" s="44" t="s">
        <v>0</v>
      </c>
      <c r="L80" s="76"/>
      <c r="M80" s="29" t="s">
        <v>0</v>
      </c>
      <c r="N80" s="76"/>
      <c r="O80" s="44" t="s">
        <v>0</v>
      </c>
      <c r="P80" s="76"/>
      <c r="R80" s="77" t="s">
        <v>0</v>
      </c>
      <c r="S80" s="46"/>
      <c r="T80" s="76"/>
      <c r="U80" s="76"/>
    </row>
    <row r="81" spans="1:21" s="2" customFormat="1">
      <c r="A81" s="2" t="s">
        <v>348</v>
      </c>
      <c r="B81" s="4">
        <f>+B77-B79</f>
        <v>59573.79999999993</v>
      </c>
      <c r="C81" s="112">
        <f>+(B81-D81)/ABS(D81)</f>
        <v>2.9117370892018855</v>
      </c>
      <c r="D81" s="4">
        <f>+D77-D79</f>
        <v>15229.499999999953</v>
      </c>
      <c r="E81" s="146" t="s">
        <v>0</v>
      </c>
      <c r="F81" s="4">
        <f>+F77-F79</f>
        <v>0</v>
      </c>
      <c r="G81" s="42">
        <v>0</v>
      </c>
      <c r="H81" s="4">
        <f>+H77-H79</f>
        <v>38022.500000000022</v>
      </c>
      <c r="I81" s="146"/>
      <c r="J81" s="4">
        <f>+J77-J79</f>
        <v>0</v>
      </c>
      <c r="K81" s="42">
        <v>0</v>
      </c>
      <c r="L81" s="4">
        <f>+L77-L79</f>
        <v>52525.399999999965</v>
      </c>
      <c r="M81" s="146" t="s">
        <v>0</v>
      </c>
      <c r="N81" s="4">
        <f>+N77-N79</f>
        <v>0</v>
      </c>
      <c r="O81" s="42">
        <v>0</v>
      </c>
      <c r="P81" s="4">
        <f>+P77-P79</f>
        <v>88568.800000000061</v>
      </c>
      <c r="Q81" s="146"/>
      <c r="R81" s="4">
        <f>+R77-R79</f>
        <v>59573.79999999993</v>
      </c>
      <c r="S81" s="112">
        <f>+(R81-T81)/ABS(T81)</f>
        <v>2.9117370892018855</v>
      </c>
      <c r="T81" s="4">
        <f>+T77-T79</f>
        <v>15229.499999999953</v>
      </c>
      <c r="U81" s="4">
        <f>+U77-U79</f>
        <v>194346.19999999978</v>
      </c>
    </row>
    <row r="82" spans="1:21">
      <c r="A82" s="964"/>
      <c r="E82" s="29"/>
      <c r="M82" s="29"/>
    </row>
    <row r="83" spans="1:21">
      <c r="A83" s="964"/>
      <c r="E83" s="29"/>
      <c r="M83" s="29"/>
      <c r="N83" s="29" t="s">
        <v>0</v>
      </c>
      <c r="P83" s="29" t="s">
        <v>0</v>
      </c>
    </row>
    <row r="84" spans="1:21">
      <c r="A84" t="s">
        <v>355</v>
      </c>
      <c r="B84" s="149">
        <f>+B55/B53</f>
        <v>0.64022150193544969</v>
      </c>
      <c r="D84" s="149">
        <f>+D55/D53</f>
        <v>0.51705123902956274</v>
      </c>
      <c r="E84" s="29"/>
      <c r="F84" s="149" t="e">
        <f>+F55/F53</f>
        <v>#DIV/0!</v>
      </c>
      <c r="H84" s="149">
        <f>+H55/H53</f>
        <v>0.58527325347158488</v>
      </c>
      <c r="J84" s="149" t="e">
        <f>+J55/J53</f>
        <v>#DIV/0!</v>
      </c>
      <c r="L84" s="149">
        <f>+L55/L53</f>
        <v>0.63851977208203814</v>
      </c>
      <c r="M84" s="29"/>
      <c r="N84" s="149" t="e">
        <f>+N55/N53</f>
        <v>#DIV/0!</v>
      </c>
      <c r="P84" s="149">
        <f>+P55/P53</f>
        <v>0.66855303494531326</v>
      </c>
      <c r="R84" s="149">
        <f>+R55/R53</f>
        <v>0.64022150193544969</v>
      </c>
      <c r="T84" s="149">
        <f>+T55/T53</f>
        <v>0.51705123902956274</v>
      </c>
    </row>
    <row r="85" spans="1:21">
      <c r="B85"/>
      <c r="C85"/>
      <c r="D85"/>
      <c r="E85"/>
      <c r="F85"/>
      <c r="G85"/>
      <c r="H85"/>
      <c r="I85"/>
      <c r="J85"/>
      <c r="K85"/>
      <c r="L85"/>
      <c r="M85"/>
      <c r="N85"/>
      <c r="O85"/>
      <c r="P85"/>
      <c r="Q85"/>
    </row>
    <row r="86" spans="1:21">
      <c r="A86" t="s">
        <v>356</v>
      </c>
      <c r="B86" s="142">
        <f>+B75/B63</f>
        <v>0.78269281609657382</v>
      </c>
      <c r="C86"/>
      <c r="D86" s="142">
        <f>+D75/D63</f>
        <v>0.87144105340811673</v>
      </c>
      <c r="E86"/>
      <c r="F86" s="142" t="e">
        <f>+F75/F63</f>
        <v>#DIV/0!</v>
      </c>
      <c r="G86"/>
      <c r="H86" s="142">
        <f>+H75/H63</f>
        <v>0.80201679899119449</v>
      </c>
      <c r="I86"/>
      <c r="J86" s="142" t="e">
        <f>+J75/J63</f>
        <v>#DIV/0!</v>
      </c>
      <c r="K86"/>
      <c r="L86" s="142">
        <f>+L75/L63</f>
        <v>0.7393062301225316</v>
      </c>
      <c r="M86"/>
      <c r="N86" s="142" t="e">
        <f>+N75/N63</f>
        <v>#DIV/0!</v>
      </c>
      <c r="O86"/>
      <c r="P86" s="142">
        <f>+P75/P63</f>
        <v>0.7318351954969492</v>
      </c>
      <c r="Q86"/>
      <c r="R86" s="149">
        <f>+R75/R63</f>
        <v>0.78269281609657382</v>
      </c>
      <c r="T86" s="149">
        <f>+T75/T63</f>
        <v>0.87144105340811673</v>
      </c>
    </row>
    <row r="87" spans="1:21">
      <c r="B87"/>
      <c r="C87"/>
      <c r="D87"/>
      <c r="E87"/>
      <c r="F87"/>
      <c r="G87"/>
      <c r="H87"/>
      <c r="I87"/>
      <c r="J87"/>
      <c r="K87"/>
      <c r="L87"/>
      <c r="M87"/>
      <c r="N87"/>
      <c r="O87"/>
      <c r="P87"/>
      <c r="Q87"/>
    </row>
    <row r="88" spans="1:21">
      <c r="B88"/>
      <c r="C88"/>
      <c r="D88"/>
      <c r="E88"/>
      <c r="F88"/>
      <c r="G88"/>
      <c r="H88"/>
      <c r="I88"/>
      <c r="J88"/>
      <c r="K88"/>
      <c r="L88"/>
      <c r="M88"/>
      <c r="N88"/>
      <c r="O88"/>
      <c r="P88"/>
      <c r="Q88"/>
    </row>
    <row r="89" spans="1:21">
      <c r="B89"/>
      <c r="C89"/>
      <c r="D89"/>
      <c r="E89"/>
      <c r="F89" s="932">
        <f>+(J63/((2459+2533)/2)*4)</f>
        <v>0</v>
      </c>
      <c r="G89"/>
      <c r="H89"/>
      <c r="I89"/>
      <c r="J89" s="142" t="s">
        <v>0</v>
      </c>
      <c r="K89"/>
      <c r="L89"/>
      <c r="M89"/>
      <c r="N89"/>
      <c r="O89"/>
      <c r="P89"/>
      <c r="Q89"/>
    </row>
    <row r="90" spans="1:21">
      <c r="B90"/>
      <c r="C90"/>
      <c r="D90"/>
      <c r="E90"/>
      <c r="F90"/>
      <c r="G90"/>
      <c r="H90"/>
      <c r="I90"/>
      <c r="J90"/>
      <c r="K90"/>
      <c r="L90"/>
      <c r="M90"/>
      <c r="N90"/>
      <c r="O90"/>
      <c r="P90"/>
      <c r="Q90"/>
    </row>
    <row r="91" spans="1:21">
      <c r="B91"/>
      <c r="C91"/>
      <c r="D91"/>
      <c r="E91"/>
      <c r="F91"/>
      <c r="G91"/>
      <c r="H91"/>
      <c r="I91"/>
      <c r="J91"/>
      <c r="K91"/>
      <c r="L91"/>
      <c r="M91"/>
      <c r="N91"/>
      <c r="O91"/>
      <c r="P91"/>
      <c r="Q91"/>
    </row>
    <row r="92" spans="1:21">
      <c r="B92"/>
      <c r="C92"/>
      <c r="D92"/>
      <c r="E92"/>
      <c r="F92"/>
      <c r="G92"/>
      <c r="H92"/>
      <c r="I92"/>
      <c r="J92"/>
      <c r="K92"/>
      <c r="L92"/>
      <c r="M92"/>
      <c r="N92"/>
      <c r="O92"/>
      <c r="P92"/>
      <c r="Q92"/>
    </row>
    <row r="93" spans="1:21">
      <c r="B93"/>
      <c r="C93"/>
      <c r="D93"/>
      <c r="E93"/>
      <c r="F93"/>
      <c r="G93"/>
      <c r="H93"/>
      <c r="I93"/>
      <c r="J93"/>
      <c r="K93"/>
      <c r="L93"/>
      <c r="M93"/>
      <c r="N93"/>
      <c r="O93"/>
      <c r="P93"/>
      <c r="Q93"/>
    </row>
    <row r="94" spans="1:21">
      <c r="B94"/>
      <c r="C94"/>
      <c r="D94"/>
      <c r="E94"/>
      <c r="F94"/>
      <c r="G94"/>
      <c r="H94"/>
      <c r="I94"/>
      <c r="J94"/>
      <c r="K94"/>
      <c r="L94"/>
      <c r="M94"/>
      <c r="N94"/>
      <c r="O94"/>
      <c r="P94"/>
      <c r="Q94"/>
    </row>
    <row r="95" spans="1:21">
      <c r="B95"/>
      <c r="C95"/>
      <c r="D95"/>
      <c r="E95"/>
      <c r="F95"/>
      <c r="G95"/>
      <c r="H95"/>
      <c r="I95"/>
      <c r="J95"/>
      <c r="K95"/>
      <c r="L95"/>
      <c r="M95"/>
      <c r="N95"/>
      <c r="O95"/>
      <c r="P95"/>
      <c r="Q95"/>
    </row>
    <row r="96" spans="1:21">
      <c r="B96"/>
      <c r="C96"/>
      <c r="D96"/>
      <c r="E96"/>
      <c r="F96"/>
      <c r="G96"/>
      <c r="H96"/>
      <c r="I96"/>
      <c r="J96"/>
      <c r="K96"/>
      <c r="L96"/>
      <c r="M96"/>
      <c r="N96"/>
      <c r="O96"/>
      <c r="P96"/>
      <c r="Q96"/>
    </row>
    <row r="97" spans="2:17">
      <c r="B97"/>
      <c r="C97"/>
      <c r="D97"/>
      <c r="E97"/>
      <c r="F97"/>
      <c r="G97"/>
      <c r="H97"/>
      <c r="I97"/>
      <c r="J97"/>
      <c r="K97"/>
      <c r="L97"/>
      <c r="M97"/>
      <c r="N97"/>
      <c r="O97"/>
      <c r="P97"/>
      <c r="Q97"/>
    </row>
    <row r="98" spans="2:17">
      <c r="B98"/>
      <c r="C98"/>
      <c r="D98"/>
      <c r="E98"/>
      <c r="F98"/>
      <c r="G98"/>
      <c r="H98"/>
      <c r="I98"/>
      <c r="J98"/>
      <c r="K98"/>
      <c r="L98"/>
      <c r="M98"/>
      <c r="N98"/>
      <c r="O98"/>
      <c r="P98"/>
      <c r="Q98"/>
    </row>
    <row r="99" spans="2:17">
      <c r="B99"/>
      <c r="C99"/>
      <c r="D99"/>
      <c r="E99"/>
      <c r="F99"/>
      <c r="G99"/>
      <c r="H99"/>
      <c r="I99"/>
      <c r="J99"/>
      <c r="K99"/>
      <c r="L99"/>
      <c r="M99"/>
      <c r="N99"/>
      <c r="O99"/>
      <c r="P99"/>
      <c r="Q99"/>
    </row>
    <row r="100" spans="2:17">
      <c r="B100"/>
      <c r="C100"/>
      <c r="D100"/>
      <c r="E100"/>
      <c r="F100"/>
      <c r="G100"/>
      <c r="H100"/>
      <c r="I100"/>
      <c r="J100"/>
      <c r="K100"/>
      <c r="L100"/>
      <c r="M100"/>
      <c r="N100"/>
      <c r="O100"/>
      <c r="P100"/>
      <c r="Q100"/>
    </row>
    <row r="101" spans="2:17">
      <c r="B101"/>
      <c r="C101"/>
      <c r="D101"/>
      <c r="E101"/>
      <c r="F101"/>
      <c r="G101"/>
      <c r="H101"/>
      <c r="I101"/>
      <c r="J101"/>
      <c r="K101"/>
      <c r="L101"/>
      <c r="M101"/>
      <c r="N101"/>
      <c r="O101"/>
      <c r="P101"/>
      <c r="Q101"/>
    </row>
    <row r="102" spans="2:17">
      <c r="B102"/>
      <c r="C102"/>
      <c r="D102"/>
      <c r="E102"/>
      <c r="F102"/>
      <c r="G102"/>
      <c r="H102"/>
      <c r="I102"/>
      <c r="J102"/>
      <c r="K102"/>
      <c r="L102"/>
      <c r="M102"/>
      <c r="N102"/>
      <c r="O102"/>
      <c r="P102"/>
      <c r="Q102"/>
    </row>
    <row r="103" spans="2:17">
      <c r="B103"/>
      <c r="C103"/>
      <c r="D103"/>
      <c r="E103"/>
      <c r="F103"/>
      <c r="G103"/>
      <c r="H103"/>
      <c r="I103"/>
      <c r="J103"/>
      <c r="K103"/>
      <c r="L103"/>
      <c r="M103"/>
      <c r="N103"/>
      <c r="O103"/>
      <c r="P103"/>
      <c r="Q103"/>
    </row>
    <row r="104" spans="2:17">
      <c r="B104"/>
      <c r="C104"/>
      <c r="D104"/>
      <c r="E104"/>
      <c r="F104"/>
      <c r="G104"/>
      <c r="H104"/>
      <c r="I104"/>
      <c r="J104"/>
      <c r="K104"/>
      <c r="L104"/>
      <c r="M104"/>
      <c r="N104"/>
      <c r="O104"/>
      <c r="P104"/>
      <c r="Q104"/>
    </row>
    <row r="105" spans="2:17">
      <c r="B105"/>
      <c r="C105"/>
      <c r="D105"/>
      <c r="E105"/>
      <c r="F105"/>
      <c r="G105"/>
      <c r="H105"/>
      <c r="I105"/>
      <c r="J105"/>
      <c r="K105"/>
      <c r="L105"/>
      <c r="M105"/>
      <c r="N105"/>
      <c r="O105"/>
      <c r="P105"/>
      <c r="Q105"/>
    </row>
    <row r="106" spans="2:17">
      <c r="B106"/>
      <c r="C106"/>
      <c r="D106"/>
      <c r="E106"/>
      <c r="F106"/>
      <c r="G106"/>
      <c r="H106"/>
      <c r="I106"/>
      <c r="J106"/>
      <c r="K106"/>
      <c r="L106"/>
      <c r="M106"/>
      <c r="N106"/>
      <c r="O106"/>
      <c r="P106"/>
      <c r="Q106"/>
    </row>
    <row r="107" spans="2:17">
      <c r="B107"/>
      <c r="C107"/>
      <c r="D107"/>
      <c r="E107"/>
      <c r="F107"/>
      <c r="G107"/>
      <c r="H107"/>
      <c r="I107"/>
      <c r="J107"/>
      <c r="K107"/>
      <c r="L107"/>
      <c r="M107"/>
      <c r="N107"/>
      <c r="O107"/>
      <c r="P107"/>
      <c r="Q107"/>
    </row>
    <row r="108" spans="2:17">
      <c r="B108"/>
      <c r="C108"/>
      <c r="D108"/>
      <c r="E108"/>
      <c r="F108"/>
      <c r="G108"/>
      <c r="H108"/>
      <c r="I108"/>
      <c r="J108"/>
      <c r="K108"/>
      <c r="L108"/>
      <c r="M108"/>
      <c r="N108"/>
      <c r="O108"/>
      <c r="P108"/>
      <c r="Q108"/>
    </row>
    <row r="109" spans="2:17">
      <c r="B109"/>
      <c r="C109"/>
      <c r="D109"/>
      <c r="E109"/>
      <c r="F109"/>
      <c r="G109"/>
      <c r="H109"/>
      <c r="I109"/>
      <c r="J109"/>
      <c r="K109"/>
      <c r="L109"/>
      <c r="M109"/>
      <c r="N109"/>
      <c r="O109"/>
      <c r="P109"/>
      <c r="Q109"/>
    </row>
    <row r="110" spans="2:17">
      <c r="B110"/>
      <c r="C110"/>
      <c r="D110"/>
      <c r="E110"/>
      <c r="F110"/>
      <c r="G110"/>
      <c r="H110"/>
      <c r="I110"/>
      <c r="J110"/>
      <c r="K110"/>
      <c r="L110"/>
      <c r="M110"/>
      <c r="N110"/>
      <c r="O110"/>
      <c r="P110"/>
      <c r="Q110"/>
    </row>
    <row r="111" spans="2:17">
      <c r="B111"/>
      <c r="C111"/>
      <c r="D111"/>
      <c r="E111"/>
      <c r="F111"/>
      <c r="G111"/>
      <c r="H111"/>
      <c r="I111"/>
      <c r="J111"/>
      <c r="K111"/>
      <c r="L111"/>
      <c r="M111"/>
      <c r="N111"/>
      <c r="O111"/>
      <c r="P111"/>
      <c r="Q111"/>
    </row>
    <row r="112" spans="2:17">
      <c r="B112"/>
      <c r="C112"/>
      <c r="D112"/>
      <c r="E112"/>
      <c r="F112"/>
      <c r="G112"/>
      <c r="H112"/>
      <c r="I112"/>
      <c r="J112"/>
      <c r="K112"/>
      <c r="L112"/>
      <c r="M112"/>
      <c r="N112"/>
      <c r="O112"/>
      <c r="P112"/>
      <c r="Q112"/>
    </row>
    <row r="113" spans="2:17">
      <c r="B113"/>
      <c r="C113"/>
      <c r="D113"/>
      <c r="E113"/>
      <c r="F113"/>
      <c r="G113"/>
      <c r="H113"/>
      <c r="I113"/>
      <c r="J113"/>
      <c r="K113"/>
      <c r="L113"/>
      <c r="M113"/>
      <c r="N113"/>
      <c r="O113"/>
      <c r="P113"/>
      <c r="Q113"/>
    </row>
    <row r="114" spans="2:17">
      <c r="B114"/>
      <c r="C114"/>
      <c r="D114"/>
      <c r="E114"/>
      <c r="F114"/>
      <c r="G114"/>
      <c r="H114"/>
      <c r="I114"/>
      <c r="J114"/>
      <c r="K114"/>
      <c r="L114"/>
      <c r="M114"/>
      <c r="N114"/>
      <c r="O114"/>
      <c r="P114"/>
      <c r="Q114"/>
    </row>
    <row r="115" spans="2:17">
      <c r="B115"/>
      <c r="C115"/>
      <c r="D115"/>
      <c r="E115"/>
      <c r="F115"/>
      <c r="G115"/>
      <c r="H115"/>
      <c r="I115"/>
      <c r="J115"/>
      <c r="K115"/>
      <c r="L115"/>
      <c r="M115"/>
      <c r="N115"/>
      <c r="O115"/>
      <c r="P115"/>
      <c r="Q115"/>
    </row>
    <row r="116" spans="2:17">
      <c r="B116"/>
      <c r="C116"/>
      <c r="D116"/>
      <c r="E116"/>
      <c r="F116"/>
      <c r="G116"/>
      <c r="H116"/>
      <c r="I116"/>
      <c r="J116"/>
      <c r="K116"/>
      <c r="L116"/>
      <c r="M116"/>
      <c r="N116"/>
      <c r="O116"/>
      <c r="P116"/>
      <c r="Q116"/>
    </row>
    <row r="117" spans="2:17">
      <c r="B117"/>
      <c r="C117"/>
      <c r="D117"/>
      <c r="E117"/>
      <c r="F117"/>
      <c r="G117"/>
      <c r="H117"/>
      <c r="I117"/>
      <c r="J117"/>
      <c r="K117"/>
      <c r="L117"/>
      <c r="M117"/>
      <c r="N117"/>
      <c r="O117"/>
      <c r="P117"/>
      <c r="Q117"/>
    </row>
    <row r="118" spans="2:17">
      <c r="B118"/>
      <c r="C118"/>
      <c r="D118"/>
      <c r="E118"/>
      <c r="F118"/>
      <c r="G118"/>
      <c r="H118"/>
      <c r="I118"/>
      <c r="J118"/>
      <c r="K118"/>
      <c r="L118"/>
      <c r="M118"/>
      <c r="N118"/>
      <c r="O118"/>
      <c r="P118"/>
      <c r="Q118"/>
    </row>
    <row r="119" spans="2:17">
      <c r="B119"/>
      <c r="C119"/>
      <c r="D119"/>
      <c r="E119"/>
      <c r="F119"/>
      <c r="G119"/>
      <c r="H119"/>
      <c r="I119"/>
      <c r="J119"/>
      <c r="K119"/>
      <c r="L119"/>
      <c r="M119"/>
      <c r="N119"/>
      <c r="O119"/>
      <c r="P119"/>
      <c r="Q119"/>
    </row>
    <row r="120" spans="2:17">
      <c r="B120"/>
      <c r="C120"/>
      <c r="D120"/>
      <c r="E120"/>
      <c r="F120"/>
      <c r="G120"/>
      <c r="H120"/>
      <c r="I120"/>
      <c r="J120"/>
      <c r="K120"/>
      <c r="L120"/>
      <c r="M120"/>
      <c r="N120"/>
      <c r="O120"/>
      <c r="P120"/>
      <c r="Q120"/>
    </row>
    <row r="121" spans="2:17">
      <c r="B121"/>
      <c r="C121"/>
      <c r="D121"/>
      <c r="E121"/>
      <c r="F121"/>
      <c r="G121"/>
      <c r="H121"/>
      <c r="I121"/>
      <c r="J121"/>
      <c r="K121"/>
      <c r="L121"/>
      <c r="M121"/>
      <c r="N121"/>
      <c r="O121"/>
      <c r="P121"/>
      <c r="Q121"/>
    </row>
    <row r="122" spans="2:17">
      <c r="B122"/>
      <c r="C122"/>
      <c r="D122"/>
      <c r="E122"/>
      <c r="F122"/>
      <c r="G122"/>
      <c r="H122"/>
      <c r="I122"/>
      <c r="J122"/>
      <c r="K122"/>
      <c r="L122"/>
      <c r="M122"/>
      <c r="N122"/>
      <c r="O122"/>
      <c r="P122"/>
      <c r="Q122"/>
    </row>
  </sheetData>
  <pageMargins left="0.22" right="0.25" top="0.48" bottom="0.48" header="0.31" footer="0.22"/>
  <pageSetup scale="44" orientation="landscape" r:id="rId1"/>
  <headerFooter alignWithMargins="0">
    <oddFooter>&amp;L* Jusqu'au Trim 1 1998, la majorité des banques incluaient les intérêts sur bons BRH dans la rubrique "Autres".&amp;R&amp;16&amp;P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sheetViews>
  <sheetFormatPr defaultRowHeight="15.75"/>
  <cols>
    <col min="1" max="1" width="50" customWidth="1"/>
    <col min="2" max="2" width="15.75" customWidth="1"/>
    <col min="3" max="3" width="11" customWidth="1"/>
    <col min="4" max="4" width="15.75" customWidth="1"/>
    <col min="5" max="5" width="6.125" customWidth="1"/>
    <col min="6" max="6" width="16" customWidth="1"/>
    <col min="7" max="7" width="10" customWidth="1"/>
    <col min="8" max="8" width="16" customWidth="1"/>
    <col min="9" max="9" width="9.75" customWidth="1"/>
    <col min="10" max="10" width="15.875" customWidth="1"/>
    <col min="11" max="11" width="9.75" customWidth="1"/>
    <col min="12" max="12" width="15.875" customWidth="1"/>
    <col min="13" max="256" width="11" customWidth="1"/>
  </cols>
  <sheetData>
    <row r="1" spans="1:14">
      <c r="A1" s="114" t="s">
        <v>163</v>
      </c>
      <c r="B1" s="34"/>
      <c r="C1" s="34"/>
      <c r="D1" s="34"/>
      <c r="E1" s="34"/>
      <c r="F1" s="34"/>
      <c r="G1" s="34"/>
      <c r="H1" s="34"/>
      <c r="I1" s="34"/>
      <c r="J1" s="34"/>
      <c r="K1" s="34"/>
      <c r="L1" s="34"/>
    </row>
    <row r="2" spans="1:14">
      <c r="A2" s="114" t="s">
        <v>164</v>
      </c>
      <c r="B2" s="34"/>
      <c r="C2" s="34"/>
      <c r="D2" s="34"/>
      <c r="E2" s="34"/>
      <c r="F2" s="34"/>
      <c r="G2" s="34"/>
      <c r="H2" s="34"/>
      <c r="I2" s="34"/>
      <c r="J2" s="34"/>
      <c r="K2" s="34"/>
      <c r="L2" s="34"/>
    </row>
    <row r="3" spans="1:14">
      <c r="A3" s="114" t="s">
        <v>357</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358</v>
      </c>
      <c r="C8" s="34"/>
      <c r="D8" s="34"/>
      <c r="E8" s="2"/>
      <c r="F8" s="114" t="s">
        <v>206</v>
      </c>
      <c r="G8" s="114"/>
      <c r="H8" s="114"/>
      <c r="I8" s="114"/>
      <c r="J8" s="114"/>
      <c r="K8" s="114"/>
      <c r="L8" s="114"/>
    </row>
    <row r="9" spans="1:14" ht="16.5" thickBot="1">
      <c r="B9" s="247" t="s">
        <v>185</v>
      </c>
      <c r="C9" s="226" t="s">
        <v>169</v>
      </c>
      <c r="D9" s="247" t="s">
        <v>174</v>
      </c>
      <c r="E9" s="2"/>
      <c r="F9" s="226">
        <v>1999</v>
      </c>
      <c r="G9" s="226" t="s">
        <v>169</v>
      </c>
      <c r="H9" s="226">
        <v>1998</v>
      </c>
      <c r="I9" s="226" t="s">
        <v>169</v>
      </c>
      <c r="J9" s="226">
        <v>1997</v>
      </c>
      <c r="K9" s="226" t="s">
        <v>169</v>
      </c>
      <c r="L9" s="226">
        <v>1996</v>
      </c>
    </row>
    <row r="10" spans="1:14">
      <c r="A10" t="s">
        <v>328</v>
      </c>
    </row>
    <row r="11" spans="1:14">
      <c r="A11" t="s">
        <v>329</v>
      </c>
      <c r="B11" s="16" t="s">
        <v>0</v>
      </c>
      <c r="C11" s="47" t="s">
        <v>0</v>
      </c>
      <c r="D11" s="16" t="s">
        <v>0</v>
      </c>
      <c r="E11" s="44" t="s">
        <v>0</v>
      </c>
      <c r="F11" s="16" t="s">
        <v>0</v>
      </c>
      <c r="G11" s="47" t="s">
        <v>0</v>
      </c>
      <c r="M11" s="43"/>
      <c r="N11" s="43"/>
    </row>
    <row r="12" spans="1:14">
      <c r="A12" t="s">
        <v>330</v>
      </c>
      <c r="B12" s="16">
        <f>+somfinrésys!R50</f>
        <v>371548.3</v>
      </c>
      <c r="C12" s="46">
        <f t="shared" ref="C12:C17" si="0">+(B12-D12)/ABS(D12)</f>
        <v>-9.5669824559592171E-4</v>
      </c>
      <c r="D12" s="88">
        <f>+somfinrésys!T50</f>
        <v>371904.09999999992</v>
      </c>
      <c r="E12" s="44"/>
      <c r="F12" s="12">
        <f>+somfinrésys!U50</f>
        <v>1490344.5999999996</v>
      </c>
      <c r="G12" s="46">
        <f t="shared" ref="G12:G17" si="1">+(F12-H12)/ABS(H12)</f>
        <v>-9.6267933820890217E-3</v>
      </c>
      <c r="H12" s="12">
        <v>1504831.3</v>
      </c>
      <c r="I12" s="46">
        <f>+(H12-J12)/ABS(J12)</f>
        <v>0.30152659805598453</v>
      </c>
      <c r="J12" s="12">
        <f>+'BICHVARAN       '!J12+BHdVARAN!J12+'BIDCVARAN   '!J12+BMHVARAN!H12+'BNCVARAN '!J12+'BPHVARAN    '!J12+BUHVARAN!J11+'CAPITALBKVARAN        '!J12+'CBNAVARAN           '!J13+'PROMOBKVARAN      '!J12+'SCOTIAVARAN            '!J12+'SOCABKVARAN  '!J12+'SOGEBKVARAN '!J12+'SGBELVARAN         '!J12+'UNIBKVARAN     '!J12</f>
        <v>1156204.8</v>
      </c>
      <c r="K12" s="46">
        <f>+(J12-L12)/ABS(L12)</f>
        <v>0.23041834369266359</v>
      </c>
      <c r="L12" s="12">
        <f>+'BICHVARAN       '!L12+BHdVARAN!L12+'BIDCVARAN   '!L12+BMHVARAN!J12+'BNCVARAN '!L12+'BPHVARAN    '!L12+BUHVARAN!L11+'CAPITALBKVARAN        '!L12+'CBNAVARAN           '!L13+'PROMOBKVARAN      '!L12+'SCOTIAVARAN            '!L12+'SOCABKVARAN  '!L12+'SOGEBKVARAN '!L12+'SGBELVARAN         '!L12+'UNIBKVARAN     '!L12</f>
        <v>939684.3</v>
      </c>
      <c r="M12" s="43"/>
      <c r="N12" s="43"/>
    </row>
    <row r="13" spans="1:14">
      <c r="A13" t="s">
        <v>354</v>
      </c>
      <c r="B13" s="16">
        <f>+somfinrésys!R51</f>
        <v>83055.399999999994</v>
      </c>
      <c r="C13" s="113">
        <f t="shared" si="0"/>
        <v>5.974912182430888E-2</v>
      </c>
      <c r="D13" s="88">
        <f>+somfinrésys!T51</f>
        <v>78372.699999999983</v>
      </c>
      <c r="E13" s="44"/>
      <c r="F13" s="12">
        <f>+somfinrésys!U51</f>
        <v>232426.59999999998</v>
      </c>
      <c r="G13" s="46">
        <f t="shared" si="1"/>
        <v>0.3447033775730996</v>
      </c>
      <c r="H13" s="12">
        <v>172846</v>
      </c>
      <c r="I13" s="12">
        <f>+'BICHVARAN       '!I13+'BIDCVARAN   '!I13+BMHVARAN!I13+'BNCVARAN '!I13+'BPHVARAN    '!I13+BUHVARAN!I12+'CAPITALBKVARAN        '!I13+'CBNAVARAN           '!I14+'PROMOBKVARAN      '!I13+'SCOTIAVARAN            '!I13+'SOCABKVARAN  '!I13+'SOGEBKVARAN '!I13+'SGBELVARAN         '!I13+'UNIBKVARAN     '!I13</f>
        <v>0</v>
      </c>
      <c r="J13" s="43">
        <v>0</v>
      </c>
      <c r="K13" s="43">
        <v>0</v>
      </c>
      <c r="L13" s="12">
        <f>+'BICHVARAN       '!L13+'BIDCVARAN   '!L13+BMHVARAN!L13+'BNCVARAN '!L13+'BPHVARAN    '!L13+BUHVARAN!L12+'CAPITALBKVARAN        '!L13+'CBNAVARAN           '!L14+'PROMOBKVARAN      '!L13+'SCOTIAVARAN            '!L13+'SOCABKVARAN  '!L13+'SOGEBKVARAN '!L13+'SGBELVARAN         '!L13+'UNIBKVARAN     '!L13</f>
        <v>0</v>
      </c>
      <c r="M13" s="43"/>
      <c r="N13" s="43"/>
    </row>
    <row r="14" spans="1:14">
      <c r="A14" t="s">
        <v>332</v>
      </c>
      <c r="B14" s="248">
        <f>+somfinrésys!R52</f>
        <v>30141.5</v>
      </c>
      <c r="C14" s="46">
        <f t="shared" si="0"/>
        <v>0.2039888634575211</v>
      </c>
      <c r="D14" s="221">
        <f>+somfinrésys!T52</f>
        <v>25034.699999999997</v>
      </c>
      <c r="E14" s="44"/>
      <c r="F14" s="240">
        <f>+somfinrésys!U52</f>
        <v>100014.3</v>
      </c>
      <c r="G14" s="46">
        <f t="shared" si="1"/>
        <v>-0.35154643787309114</v>
      </c>
      <c r="H14" s="240">
        <v>154235.1</v>
      </c>
      <c r="I14" s="46">
        <f>+(H14-J14)/ABS(J14)</f>
        <v>-0.12595707737146364</v>
      </c>
      <c r="J14" s="240">
        <f>+'BICHVARAN       '!J14+BHdVARAN!J14+'BIDCVARAN   '!J14+BMHVARAN!H14+'BNCVARAN '!J14+'BPHVARAN    '!J14+BUHVARAN!J13+'CAPITALBKVARAN        '!J14+'CBNAVARAN           '!J15+'PROMOBKVARAN      '!J14+'SCOTIAVARAN            '!J14+'SOCABKVARAN  '!J14+'SOGEBKVARAN '!J14+'SGBELVARAN         '!J14+'UNIBKVARAN     '!J14</f>
        <v>176461.7</v>
      </c>
      <c r="K14" s="43">
        <v>0</v>
      </c>
      <c r="L14" s="240">
        <f>+'BICHVARAN       '!L14+BHdVARAN!L14+'BIDCVARAN   '!L14+BMHVARAN!J14+'BNCVARAN '!L14+'BPHVARAN    '!L14+BUHVARAN!L13+'CAPITALBKVARAN        '!L14+'CBNAVARAN           '!L15+'PROMOBKVARAN      '!L14+'SCOTIAVARAN            '!L14+'SOCABKVARAN  '!L14+'SOGEBKVARAN '!L14+'SGBELVARAN         '!L14+'UNIBKVARAN     '!L14</f>
        <v>38306.800000000003</v>
      </c>
      <c r="M14" s="43"/>
      <c r="N14" s="43"/>
    </row>
    <row r="15" spans="1:14">
      <c r="B15" s="16">
        <f>SUM(B12:B14)</f>
        <v>484745.19999999995</v>
      </c>
      <c r="C15" s="46">
        <f t="shared" si="0"/>
        <v>1.9847405333134192E-2</v>
      </c>
      <c r="D15" s="16">
        <f>SUM(D12:D14)</f>
        <v>475311.49999999994</v>
      </c>
      <c r="E15" s="44"/>
      <c r="F15" s="16">
        <f>SUM(F12:F14)</f>
        <v>1822785.4999999998</v>
      </c>
      <c r="G15" s="46">
        <f t="shared" si="1"/>
        <v>-4.9821705448362986E-3</v>
      </c>
      <c r="H15" s="16">
        <f>SUM(H12:H14)</f>
        <v>1831912.4000000001</v>
      </c>
      <c r="I15" s="46">
        <f>+(H15-J15)/ABS(J15)</f>
        <v>0.37462178271908247</v>
      </c>
      <c r="J15" s="16">
        <f>SUM(J12:J14)</f>
        <v>1332666.5</v>
      </c>
      <c r="K15" s="46">
        <f>+(J15-L15)/ABS(L15)</f>
        <v>0.36265708348470643</v>
      </c>
      <c r="L15" s="16">
        <f>SUM(L12:L14)</f>
        <v>977991.10000000009</v>
      </c>
      <c r="M15" s="43"/>
      <c r="N15" s="43"/>
    </row>
    <row r="16" spans="1:14">
      <c r="A16" t="s">
        <v>333</v>
      </c>
      <c r="B16" s="248">
        <f>+somfinrésys!R54</f>
        <v>174400.9</v>
      </c>
      <c r="C16" s="46">
        <f t="shared" si="0"/>
        <v>-0.24025238824819392</v>
      </c>
      <c r="D16" s="221">
        <f>+somfinrésys!T54</f>
        <v>229551.09999999998</v>
      </c>
      <c r="E16" s="44" t="s">
        <v>0</v>
      </c>
      <c r="F16" s="240">
        <f>+somfinrésys!U54</f>
        <v>725377.5</v>
      </c>
      <c r="G16" s="46">
        <f t="shared" si="1"/>
        <v>-0.10510461496098315</v>
      </c>
      <c r="H16" s="12">
        <v>810572.4</v>
      </c>
      <c r="I16" s="46">
        <f>+(H16-J16)/ABS(J16)</f>
        <v>0.49586243207167413</v>
      </c>
      <c r="J16" s="240">
        <f>+'BICHVARAN       '!J16+BHdVARAN!J16+'BIDCVARAN   '!J16+BMHVARAN!H16+'BNCVARAN '!J16+'BPHVARAN    '!J16+BUHVARAN!J15+'CAPITALBKVARAN        '!J16+'CBNAVARAN           '!J17+'PROMOBKVARAN      '!J16+'SCOTIAVARAN            '!J16+'SOCABKVARAN  '!J16+'SOGEBKVARAN '!J16+'SGBELVARAN         '!J16+'UNIBKVARAN     '!J16</f>
        <v>541876.29999999993</v>
      </c>
      <c r="K16" s="46">
        <f>+(J16-L16)/ABS(L16)</f>
        <v>0.24836270496712959</v>
      </c>
      <c r="L16" s="240">
        <f>+'BICHVARAN       '!L16+BHdVARAN!L16+'BIDCVARAN   '!L16+BMHVARAN!J16+'BNCVARAN '!L16+'BPHVARAN    '!L16+BUHVARAN!L15+'CAPITALBKVARAN        '!L16+'CBNAVARAN           '!L17+'PROMOBKVARAN      '!L16+'SCOTIAVARAN            '!L16+'SOCABKVARAN  '!L16+'SOGEBKVARAN '!L16+'SGBELVARAN         '!L16+'UNIBKVARAN     '!L16</f>
        <v>434069.6</v>
      </c>
      <c r="M16" s="43"/>
      <c r="N16" s="43"/>
    </row>
    <row r="17" spans="1:14" s="209" customFormat="1">
      <c r="B17" s="16">
        <f>+B15-B16</f>
        <v>310344.29999999993</v>
      </c>
      <c r="C17" s="46">
        <f t="shared" si="0"/>
        <v>0.26279213412738578</v>
      </c>
      <c r="D17" s="16">
        <f>+D15-D16</f>
        <v>245760.39999999997</v>
      </c>
      <c r="E17" s="44" t="s">
        <v>0</v>
      </c>
      <c r="F17" s="16">
        <f>+F15-F16</f>
        <v>1097407.9999999998</v>
      </c>
      <c r="G17" s="46">
        <f t="shared" si="1"/>
        <v>7.4478626118628113E-2</v>
      </c>
      <c r="H17" s="16">
        <f>+H15-H16</f>
        <v>1021340.0000000001</v>
      </c>
      <c r="I17" s="46">
        <f>+(H17-J17)/ABS(J17)</f>
        <v>0.29154357249242596</v>
      </c>
      <c r="J17" s="16">
        <f>+J15-J16</f>
        <v>790790.20000000007</v>
      </c>
      <c r="K17" s="46">
        <f>+(J17-L17)/ABS(L17)</f>
        <v>0.45386825120904378</v>
      </c>
      <c r="L17" s="16">
        <f>+L15-L16</f>
        <v>543921.50000000012</v>
      </c>
      <c r="M17" s="44"/>
      <c r="N17" s="44"/>
    </row>
    <row r="18" spans="1:14">
      <c r="B18" s="12"/>
      <c r="C18" s="46"/>
      <c r="D18" s="12"/>
      <c r="E18" s="44"/>
      <c r="F18" s="12"/>
      <c r="G18" s="46"/>
      <c r="H18" s="12"/>
      <c r="I18" s="46"/>
      <c r="J18" s="12"/>
      <c r="K18" s="46"/>
      <c r="L18" s="12"/>
      <c r="M18" s="43"/>
      <c r="N18" s="43"/>
    </row>
    <row r="19" spans="1:14">
      <c r="A19" t="s">
        <v>334</v>
      </c>
      <c r="B19" s="12"/>
      <c r="C19" s="46"/>
      <c r="D19" s="12"/>
      <c r="E19" s="44" t="s">
        <v>0</v>
      </c>
      <c r="F19" s="12"/>
      <c r="G19" s="46"/>
      <c r="H19" s="12"/>
      <c r="I19" s="46"/>
      <c r="J19" s="12"/>
      <c r="K19" s="46"/>
      <c r="L19" s="12"/>
      <c r="M19" s="43"/>
      <c r="N19" s="43"/>
    </row>
    <row r="20" spans="1:14">
      <c r="A20" t="s">
        <v>335</v>
      </c>
      <c r="B20" s="16">
        <f>+somfinrésys!R58</f>
        <v>59534.3</v>
      </c>
      <c r="C20" s="46">
        <f>+(B20-D20)/ABS(D20)</f>
        <v>0.18412123189039992</v>
      </c>
      <c r="D20" s="88">
        <f>+somfinrésys!T58</f>
        <v>50277.19999999999</v>
      </c>
      <c r="E20" s="44" t="s">
        <v>0</v>
      </c>
      <c r="F20" s="12">
        <f>+somfinrésys!U58</f>
        <v>234891.3</v>
      </c>
      <c r="G20" s="46">
        <f>+(F20-H20)/ABS(H20)</f>
        <v>0.43917293200835456</v>
      </c>
      <c r="H20" s="12">
        <v>163212.70000000001</v>
      </c>
      <c r="I20" s="46">
        <f>+(H20-J20)/ABS(J20)</f>
        <v>5.6547430238986528E-2</v>
      </c>
      <c r="J20" s="12">
        <f>+'BICHVARAN       '!J20+BHdVARAN!J20+'BIDCVARAN   '!J20+BMHVARAN!H20+'BNCVARAN '!J20+'BPHVARAN    '!J20+BUHVARAN!J19+'CAPITALBKVARAN        '!J20+'CBNAVARAN           '!J21+'PROMOBKVARAN      '!J20+'SCOTIAVARAN            '!J20+'SOCABKVARAN  '!J20+'SOGEBKVARAN '!J20+'SGBELVARAN         '!J20+'UNIBKVARAN     '!J20</f>
        <v>154477.4</v>
      </c>
      <c r="K20" s="46">
        <f>+(J20-L20)/ABS(L20)</f>
        <v>7.795411360716667E-2</v>
      </c>
      <c r="L20" s="12">
        <f>+'BICHVARAN       '!L20+BHdVARAN!L20+'BIDCVARAN   '!L20+BMHVARAN!J20+'BNCVARAN '!L20+'BPHVARAN    '!L20+BUHVARAN!L19+'CAPITALBKVARAN        '!L20+'CBNAVARAN           '!L21+'PROMOBKVARAN      '!L20+'SCOTIAVARAN            '!L20+'SOCABKVARAN  '!L20+'SOGEBKVARAN '!L20+'SGBELVARAN         '!L20+'UNIBKVARAN     '!L20</f>
        <v>143306.1</v>
      </c>
      <c r="M20" s="43"/>
      <c r="N20" s="43"/>
    </row>
    <row r="21" spans="1:14">
      <c r="A21" t="s">
        <v>336</v>
      </c>
      <c r="B21" s="16">
        <f>+somfinrésys!R59</f>
        <v>61926.000000000015</v>
      </c>
      <c r="C21" s="46">
        <f>+(B21-D21)/ABS(D21)</f>
        <v>0.24975277796838014</v>
      </c>
      <c r="D21" s="88">
        <f>+somfinrésys!T59</f>
        <v>49550.6</v>
      </c>
      <c r="E21" s="44" t="s">
        <v>0</v>
      </c>
      <c r="F21" s="12">
        <f>+somfinrésys!U59</f>
        <v>188672.19999999998</v>
      </c>
      <c r="G21" s="46">
        <f>+(F21-H21)/ABS(H21)</f>
        <v>0.78719659596395886</v>
      </c>
      <c r="H21" s="12">
        <v>105568.8</v>
      </c>
      <c r="I21" s="46">
        <f>+(H21-J21)/ABS(J21)</f>
        <v>-0.11290897235088099</v>
      </c>
      <c r="J21" s="12">
        <f>+'BICHVARAN       '!J21+BHdVARAN!J21+'BIDCVARAN   '!J21+BMHVARAN!H21+'BNCVARAN '!J21+'BPHVARAN    '!J21+BUHVARAN!J20+'CAPITALBKVARAN        '!J21+'CBNAVARAN           '!J22+'PROMOBKVARAN      '!J21+'SCOTIAVARAN            '!J21+'SOCABKVARAN  '!J21+'SOGEBKVARAN '!J21+'SGBELVARAN         '!J21+'UNIBKVARAN     '!J21</f>
        <v>119005.6</v>
      </c>
      <c r="K21" s="46">
        <f>+(J21-L21)/ABS(L21)</f>
        <v>-9.8469060383821916E-2</v>
      </c>
      <c r="L21" s="12">
        <f>+'BICHVARAN       '!L21+BHdVARAN!L21+'BIDCVARAN   '!L21+BMHVARAN!J21+'BNCVARAN '!L21+'BPHVARAN    '!L21+BUHVARAN!L20+'CAPITALBKVARAN        '!L21+'CBNAVARAN           '!L22+'PROMOBKVARAN      '!L21+'SCOTIAVARAN            '!L21+'SOCABKVARAN  '!L21+'SOGEBKVARAN '!L21+'SGBELVARAN         '!L21+'UNIBKVARAN     '!L21</f>
        <v>132003.9</v>
      </c>
      <c r="M21" s="43"/>
      <c r="N21" s="43"/>
    </row>
    <row r="22" spans="1:14">
      <c r="A22" t="s">
        <v>284</v>
      </c>
      <c r="B22" s="248">
        <f>+somfinrésys!R60</f>
        <v>16052.2</v>
      </c>
      <c r="C22" s="46">
        <f>+(B22-D22)/ABS(D22)</f>
        <v>0.8342855836913794</v>
      </c>
      <c r="D22" s="221">
        <f>+somfinrésys!T60</f>
        <v>8751.2000000000007</v>
      </c>
      <c r="E22" s="44" t="s">
        <v>0</v>
      </c>
      <c r="F22" s="240">
        <f>+somfinrésys!U60</f>
        <v>121409.59999999999</v>
      </c>
      <c r="G22" s="46">
        <f>+(F22-H22)/ABS(H22)</f>
        <v>-0.15904265893287226</v>
      </c>
      <c r="H22" s="12">
        <v>144370.70000000001</v>
      </c>
      <c r="I22" s="46">
        <f>+(H22-J22)/ABS(J22)</f>
        <v>1.7663793698119856</v>
      </c>
      <c r="J22" s="240">
        <f>+'BICHVARAN       '!J22+BHdVARAN!J22+'BIDCVARAN   '!J22+BMHVARAN!H22+'BNCVARAN '!J22+'BPHVARAN    '!J22+BUHVARAN!J21+'CAPITALBKVARAN        '!J22+'CBNAVARAN           '!J23+'PROMOBKVARAN      '!J22+'SCOTIAVARAN            '!J22+'SOCABKVARAN  '!J22+'SOGEBKVARAN '!J22+'SGBELVARAN         '!J22+'UNIBKVARAN     '!J22</f>
        <v>52187.600000000013</v>
      </c>
      <c r="K22" s="46">
        <f>+(J22-L22)/ABS(L22)</f>
        <v>4.1489883972012927E-2</v>
      </c>
      <c r="L22" s="240">
        <f>+'BICHVARAN       '!L22+BHdVARAN!L22+'BIDCVARAN   '!L22+BMHVARAN!J22+'BNCVARAN '!L22+'BPHVARAN    '!L22+BUHVARAN!L21+'CAPITALBKVARAN        '!L22+'CBNAVARAN           '!L23+'PROMOBKVARAN      '!L22+'SCOTIAVARAN            '!L22+'SOCABKVARAN  '!L22+'SOGEBKVARAN '!L22+'SGBELVARAN         '!L22+'UNIBKVARAN     '!L22</f>
        <v>50108.600000000006</v>
      </c>
      <c r="M22" s="43"/>
      <c r="N22" s="43"/>
    </row>
    <row r="23" spans="1:14" s="209" customFormat="1">
      <c r="B23" s="16">
        <f>SUM(B20:B22)</f>
        <v>137512.50000000003</v>
      </c>
      <c r="C23" s="46">
        <f>+(B23-D23)/ABS(D23)</f>
        <v>0.26647418009007312</v>
      </c>
      <c r="D23" s="16">
        <f>SUM(D20:D22)</f>
        <v>108578.99999999999</v>
      </c>
      <c r="E23" s="44" t="s">
        <v>0</v>
      </c>
      <c r="F23" s="16">
        <f>SUM(F20:F22)</f>
        <v>544973.1</v>
      </c>
      <c r="G23" s="46">
        <f>+(F23-H23)/ABS(H23)</f>
        <v>0.3190613531768679</v>
      </c>
      <c r="H23" s="16">
        <f>SUM(H20:H22)</f>
        <v>413152.2</v>
      </c>
      <c r="I23" s="46">
        <f>+(H23-J23)/ABS(J23)</f>
        <v>0.26861988770248207</v>
      </c>
      <c r="J23" s="16">
        <f>SUM(J20:J22)</f>
        <v>325670.60000000003</v>
      </c>
      <c r="K23" s="46">
        <f>+(J23-L23)/ABS(L23)</f>
        <v>7.7438720466518581E-4</v>
      </c>
      <c r="L23" s="16">
        <f>SUM(L20:L22)</f>
        <v>325418.59999999998</v>
      </c>
      <c r="M23" s="44"/>
      <c r="N23" s="44"/>
    </row>
    <row r="24" spans="1:14">
      <c r="B24" s="240"/>
      <c r="C24" s="46"/>
      <c r="D24" s="240"/>
      <c r="E24" s="44"/>
      <c r="F24" s="240"/>
      <c r="G24" s="46"/>
      <c r="H24" s="240"/>
      <c r="I24" s="46"/>
      <c r="J24" s="240"/>
      <c r="K24" s="46"/>
      <c r="L24" s="240"/>
      <c r="M24" s="43"/>
      <c r="N24" s="43"/>
    </row>
    <row r="25" spans="1:14" s="209" customFormat="1">
      <c r="A25" s="209" t="s">
        <v>337</v>
      </c>
      <c r="B25" s="16">
        <f>+B17+B23</f>
        <v>447856.79999999993</v>
      </c>
      <c r="C25" s="46">
        <f>+(B25-D25)/ABS(D25)</f>
        <v>0.2639204107700131</v>
      </c>
      <c r="D25" s="16">
        <f>+D17+D23</f>
        <v>354339.39999999997</v>
      </c>
      <c r="E25" s="44" t="s">
        <v>0</v>
      </c>
      <c r="F25" s="16">
        <f>+F17+F23</f>
        <v>1642381.0999999996</v>
      </c>
      <c r="G25" s="46">
        <f>+(F25-H25)/ABS(H25)</f>
        <v>0.14492159664583706</v>
      </c>
      <c r="H25" s="16">
        <f>+H17+H23</f>
        <v>1434492.2000000002</v>
      </c>
      <c r="I25" s="46">
        <f>+(H25-J25)/ABS(J25)</f>
        <v>0.28485675448703629</v>
      </c>
      <c r="J25" s="16">
        <f>+J17+J23</f>
        <v>1116460.8</v>
      </c>
      <c r="K25" s="46">
        <f>+(J25-L25)/ABS(L25)</f>
        <v>0.28426239627045841</v>
      </c>
      <c r="L25" s="16">
        <f>+L17+L23</f>
        <v>869340.10000000009</v>
      </c>
      <c r="M25" s="44"/>
      <c r="N25" s="44"/>
    </row>
    <row r="26" spans="1:14">
      <c r="B26" s="12"/>
      <c r="C26" s="46"/>
      <c r="D26" s="12"/>
      <c r="E26" s="44" t="s">
        <v>0</v>
      </c>
      <c r="F26" s="12"/>
      <c r="G26" s="46"/>
      <c r="H26" s="12"/>
      <c r="I26" s="46"/>
      <c r="J26" s="12"/>
      <c r="K26" s="46"/>
      <c r="L26" s="12"/>
      <c r="M26" s="43"/>
      <c r="N26" s="43"/>
    </row>
    <row r="27" spans="1:14">
      <c r="A27" t="s">
        <v>338</v>
      </c>
      <c r="B27" s="16">
        <f>+somfinrésys!R65</f>
        <v>16959.2</v>
      </c>
      <c r="C27" s="46">
        <f>+(B27-D27)/ABS(D27)</f>
        <v>-0.1168371279188451</v>
      </c>
      <c r="D27" s="88">
        <f>+somfinrésys!T65</f>
        <v>19202.8</v>
      </c>
      <c r="E27" s="44" t="s">
        <v>0</v>
      </c>
      <c r="F27" s="12">
        <f>+somfinrésys!U65</f>
        <v>109414.90000000001</v>
      </c>
      <c r="G27" s="46">
        <f>+(F27-H27)/ABS(H27)</f>
        <v>-0.24214892862486079</v>
      </c>
      <c r="H27" s="12">
        <v>144375.20000000001</v>
      </c>
      <c r="I27" s="46">
        <f>+(H27-J27)/ABS(J27)</f>
        <v>2.7857187808101371</v>
      </c>
      <c r="J27" s="12">
        <f>+'BICHVARAN       '!J27+BHdVARAN!J27+'BIDCVARAN   '!J27+BMHVARAN!H27+'BNCVARAN '!J27+'BPHVARAN    '!J27+BUHVARAN!J26+'CAPITALBKVARAN        '!J27+'CBNAVARAN           '!J28+'PROMOBKVARAN      '!J27+'SCOTIAVARAN            '!J27+'SOCABKVARAN  '!J27+'SOGEBKVARAN '!J27+'SGBELVARAN         '!J27+'UNIBKVARAN     '!J27</f>
        <v>38136.799999999996</v>
      </c>
      <c r="K27" s="46">
        <f>+(J27-L27)/ABS(L27)</f>
        <v>6.5803667745415281E-2</v>
      </c>
      <c r="L27" s="12">
        <f>+'BICHVARAN       '!L27+BHdVARAN!L27+'BIDCVARAN   '!L27+BMHVARAN!J27+'BNCVARAN '!L27+'BPHVARAN    '!L27+BUHVARAN!L26+'CAPITALBKVARAN        '!L27+'CBNAVARAN           '!L28+'PROMOBKVARAN      '!L27+'SCOTIAVARAN            '!L27+'SOCABKVARAN  '!L27+'SOGEBKVARAN '!L27+'SGBELVARAN         '!L27+'UNIBKVARAN     '!L27</f>
        <v>35782.199999999997</v>
      </c>
      <c r="M27" s="43"/>
      <c r="N27" s="43"/>
    </row>
    <row r="28" spans="1:14">
      <c r="B28" s="12"/>
      <c r="C28" s="46"/>
      <c r="D28" s="12"/>
      <c r="E28" s="44" t="s">
        <v>0</v>
      </c>
      <c r="F28" s="12"/>
      <c r="G28" s="46"/>
      <c r="H28" s="12"/>
      <c r="I28" s="46"/>
      <c r="J28" s="12"/>
      <c r="K28" s="46"/>
      <c r="L28" s="12"/>
      <c r="M28" s="43"/>
      <c r="N28" s="43"/>
    </row>
    <row r="29" spans="1:14">
      <c r="A29" t="s">
        <v>339</v>
      </c>
      <c r="B29" s="221"/>
      <c r="C29" s="46"/>
      <c r="D29" s="240"/>
      <c r="E29" s="44" t="s">
        <v>0</v>
      </c>
      <c r="F29" s="240"/>
      <c r="G29" s="46"/>
      <c r="H29" s="240"/>
      <c r="I29" s="46"/>
      <c r="J29" s="240"/>
      <c r="K29" s="46"/>
      <c r="L29" s="240"/>
      <c r="M29" s="43"/>
      <c r="N29" s="43"/>
    </row>
    <row r="30" spans="1:14" s="209" customFormat="1">
      <c r="A30" s="209" t="s">
        <v>340</v>
      </c>
      <c r="B30" s="16">
        <f>+B25-B27</f>
        <v>430897.59999999992</v>
      </c>
      <c r="C30" s="46">
        <f>+(B30-D30)/ABS(D30)</f>
        <v>0.28573721879376929</v>
      </c>
      <c r="D30" s="16">
        <f>+D25-D27</f>
        <v>335136.59999999998</v>
      </c>
      <c r="E30" s="44" t="s">
        <v>0</v>
      </c>
      <c r="F30" s="16">
        <f>+F25-F27</f>
        <v>1532966.1999999997</v>
      </c>
      <c r="G30" s="46">
        <f>+(F30-H30)/ABS(H30)</f>
        <v>0.18823812103863405</v>
      </c>
      <c r="H30" s="16">
        <f>+H25-H27</f>
        <v>1290117.0000000002</v>
      </c>
      <c r="I30" s="46">
        <f>+(H30-J30)/ABS(J30)</f>
        <v>0.19640942796413716</v>
      </c>
      <c r="J30" s="16">
        <f>+J25-J27</f>
        <v>1078324</v>
      </c>
      <c r="K30" s="46">
        <f>+(J30-L30)/ABS(L30)</f>
        <v>0.29364018984164125</v>
      </c>
      <c r="L30" s="16">
        <f>+L25-L27</f>
        <v>833557.90000000014</v>
      </c>
      <c r="M30" s="44"/>
      <c r="N30" s="44"/>
    </row>
    <row r="31" spans="1:14">
      <c r="B31" s="12"/>
      <c r="C31" s="46"/>
      <c r="D31" s="12"/>
      <c r="E31" s="44" t="s">
        <v>0</v>
      </c>
      <c r="F31" s="12"/>
      <c r="G31" s="46"/>
      <c r="H31" s="12"/>
      <c r="I31" s="46"/>
      <c r="J31" s="12"/>
      <c r="K31" s="46"/>
      <c r="L31" s="12"/>
      <c r="M31" s="43"/>
      <c r="N31" s="43"/>
    </row>
    <row r="32" spans="1:14">
      <c r="A32" t="s">
        <v>341</v>
      </c>
      <c r="B32" s="12"/>
      <c r="C32" s="46"/>
      <c r="D32" s="12"/>
      <c r="E32" s="44" t="s">
        <v>0</v>
      </c>
      <c r="F32" s="12"/>
      <c r="G32" s="46"/>
      <c r="H32" s="12"/>
      <c r="I32" s="46"/>
      <c r="J32" s="12"/>
      <c r="K32" s="46"/>
      <c r="L32" s="12"/>
      <c r="M32" s="43"/>
      <c r="N32" s="43"/>
    </row>
    <row r="33" spans="1:14">
      <c r="A33" t="s">
        <v>342</v>
      </c>
      <c r="B33" s="16">
        <f>+somfinrésys!R71</f>
        <v>159683.09999999998</v>
      </c>
      <c r="C33" s="46">
        <f>+(B33-D33)/ABS(D33)</f>
        <v>8.6414100249146211E-2</v>
      </c>
      <c r="D33" s="88">
        <f>+somfinrésys!T71</f>
        <v>146981.80000000002</v>
      </c>
      <c r="E33" s="44" t="s">
        <v>0</v>
      </c>
      <c r="F33" s="12">
        <f>+somfinrésys!U71</f>
        <v>572756.70000000007</v>
      </c>
      <c r="G33" s="46">
        <f>+(F33-H33)/ABS(H33)</f>
        <v>0.10998844191422374</v>
      </c>
      <c r="H33" s="12">
        <v>516002.4</v>
      </c>
      <c r="I33" s="46">
        <f>+(H33-J33)/ABS(J33)</f>
        <v>0.25716630186274136</v>
      </c>
      <c r="J33" s="12">
        <f>+'BICHVARAN       '!J33+BHdVARAN!J33+'BIDCVARAN   '!J33+BMHVARAN!H33+'BNCVARAN '!J33+'BPHVARAN    '!J33+BUHVARAN!J32+'CAPITALBKVARAN        '!J33+'CBNAVARAN           '!J34+'PROMOBKVARAN      '!J33+'SCOTIAVARAN            '!J33+'SOCABKVARAN  '!J33+'SOGEBKVARAN '!J33+'SGBELVARAN         '!J33+'UNIBKVARAN     '!J33</f>
        <v>410448.80000000005</v>
      </c>
      <c r="K33" s="46">
        <f>+(J33-L33)/ABS(L33)</f>
        <v>0.28170043689421986</v>
      </c>
      <c r="L33" s="12">
        <f>+'BICHVARAN       '!L33+BHdVARAN!L33+'BIDCVARAN   '!L33+BMHVARAN!J33+'BNCVARAN '!L33+'BPHVARAN    '!L33+BUHVARAN!L32+'CAPITALBKVARAN        '!L33+'CBNAVARAN           '!L34+'PROMOBKVARAN      '!L33+'SCOTIAVARAN            '!L33+'SOCABKVARAN  '!L33+'SOGEBKVARAN '!L33+'SGBELVARAN         '!L33+'UNIBKVARAN     '!L33</f>
        <v>320237.69999999995</v>
      </c>
      <c r="M33" s="43"/>
      <c r="N33" s="43"/>
    </row>
    <row r="34" spans="1:14">
      <c r="A34" t="s">
        <v>343</v>
      </c>
      <c r="B34" s="16">
        <f>+somfinrésys!R72</f>
        <v>16175.199999999999</v>
      </c>
      <c r="C34" s="46">
        <f>+(B34-D34)/ABS(D34)</f>
        <v>0.18125785061198244</v>
      </c>
      <c r="D34" s="88">
        <f>+somfinrésys!T72</f>
        <v>13693.2</v>
      </c>
      <c r="E34" s="44" t="s">
        <v>0</v>
      </c>
      <c r="F34" s="12">
        <f>+somfinrésys!U72</f>
        <v>53089.2</v>
      </c>
      <c r="G34" s="46">
        <f>+(F34-H34)/ABS(H34)</f>
        <v>2.9255411960403412E-2</v>
      </c>
      <c r="H34" s="12">
        <v>51580.2</v>
      </c>
      <c r="I34" s="46">
        <f>+(H34-J34)/ABS(J34)</f>
        <v>2.1185861837533602E-2</v>
      </c>
      <c r="J34" s="12">
        <f>+'BICHVARAN       '!J34+BHdVARAN!J34+'BIDCVARAN   '!J34+BMHVARAN!H34+'BNCVARAN '!J34+'BPHVARAN    '!J34+BUHVARAN!J33+'CAPITALBKVARAN        '!J34+'CBNAVARAN           '!J35+'PROMOBKVARAN      '!J34+'SCOTIAVARAN            '!J34+'SOCABKVARAN  '!J34+'SOGEBKVARAN '!J34+'SGBELVARAN         '!J34+'UNIBKVARAN     '!J34</f>
        <v>50510.099999999991</v>
      </c>
      <c r="K34" s="46">
        <f>+(J34-L34)/ABS(L34)</f>
        <v>0.33401561410551633</v>
      </c>
      <c r="L34" s="12">
        <f>+'BICHVARAN       '!L34+BHdVARAN!L34+'BIDCVARAN   '!L34+BMHVARAN!J34+'BNCVARAN '!L34+'BPHVARAN    '!L34+BUHVARAN!L33+'CAPITALBKVARAN        '!L34+'CBNAVARAN           '!L35+'PROMOBKVARAN      '!L34+'SCOTIAVARAN            '!L34+'SOCABKVARAN  '!L34+'SOGEBKVARAN '!L34+'SGBELVARAN         '!L34+'UNIBKVARAN     '!L34</f>
        <v>37863.200000000004</v>
      </c>
      <c r="M34" s="43"/>
      <c r="N34" s="43"/>
    </row>
    <row r="35" spans="1:14">
      <c r="A35" t="s">
        <v>344</v>
      </c>
      <c r="B35" s="16">
        <f>+somfinrésys!R73</f>
        <v>49760.2</v>
      </c>
      <c r="C35" s="46">
        <f>+(B35-D35)/ABS(D35)</f>
        <v>0.25773951550936225</v>
      </c>
      <c r="D35" s="88">
        <f>+somfinrésys!T73</f>
        <v>39563.199999999997</v>
      </c>
      <c r="E35" s="44" t="s">
        <v>0</v>
      </c>
      <c r="F35" s="12">
        <f>+somfinrésys!U73</f>
        <v>167613.19999999998</v>
      </c>
      <c r="G35" s="46">
        <f>+(F35-H35)/ABS(H35)</f>
        <v>0.29324287518642905</v>
      </c>
      <c r="H35" s="12">
        <v>129606.9</v>
      </c>
      <c r="I35" s="46">
        <f>+(H35-J35)/ABS(J35)</f>
        <v>0.36654154761026109</v>
      </c>
      <c r="J35" s="12">
        <f>+'BICHVARAN       '!J35+BHdVARAN!J35+'BIDCVARAN   '!J35+BMHVARAN!H35+'BNCVARAN '!J35+'BPHVARAN    '!J35+BUHVARAN!J34+'CAPITALBKVARAN        '!J35+'CBNAVARAN           '!J36+'PROMOBKVARAN      '!J35+'SCOTIAVARAN            '!J35+'SOCABKVARAN  '!J35+'SOGEBKVARAN '!J35+'SGBELVARAN         '!J35+'UNIBKVARAN     '!J35</f>
        <v>94843</v>
      </c>
      <c r="K35" s="46">
        <f>+(J35-L35)/ABS(L35)</f>
        <v>0.42631562325645034</v>
      </c>
      <c r="L35" s="12">
        <f>+'BICHVARAN       '!L35+BHdVARAN!L35+'BIDCVARAN   '!L35+BMHVARAN!J35+'BNCVARAN '!L35+'BPHVARAN    '!L35+BUHVARAN!L34+'CAPITALBKVARAN        '!L35+'CBNAVARAN           '!L36+'PROMOBKVARAN      '!L35+'SCOTIAVARAN            '!L35+'SOCABKVARAN  '!L35+'SOGEBKVARAN '!L35+'SGBELVARAN         '!L35+'UNIBKVARAN     '!L35</f>
        <v>66495.100000000006</v>
      </c>
      <c r="M35" s="43"/>
      <c r="N35" s="43"/>
    </row>
    <row r="36" spans="1:14">
      <c r="A36" t="s">
        <v>345</v>
      </c>
      <c r="B36" s="248">
        <f>+somfinrésys!R74</f>
        <v>124915.8</v>
      </c>
      <c r="C36" s="46">
        <f>+(B36-D36)/ABS(D36)</f>
        <v>0.15079177172800551</v>
      </c>
      <c r="D36" s="221">
        <f>+somfinrésys!T74</f>
        <v>108547.69999999998</v>
      </c>
      <c r="E36" s="44" t="s">
        <v>0</v>
      </c>
      <c r="F36" s="240">
        <f>+somfinrésys!U74</f>
        <v>486866.1</v>
      </c>
      <c r="G36" s="46">
        <f>+(F36-H36)/ABS(H36)</f>
        <v>0.13908176457899235</v>
      </c>
      <c r="H36" s="12">
        <v>427419.8</v>
      </c>
      <c r="I36" s="46">
        <f>+(H36-J36)/ABS(J36)</f>
        <v>0.48901285529200383</v>
      </c>
      <c r="J36" s="240">
        <f>+'BICHVARAN       '!J36+BHdVARAN!J36+'BIDCVARAN   '!J36+BMHVARAN!H36+'BNCVARAN '!J36+'BPHVARAN    '!J36+BUHVARAN!J35+'CAPITALBKVARAN        '!J36+'CBNAVARAN           '!J37+'PROMOBKVARAN      '!J36+'SCOTIAVARAN            '!J36+'SOCABKVARAN  '!J36+'SOGEBKVARAN '!J36+'SGBELVARAN         '!J36+'UNIBKVARAN     '!J36</f>
        <v>287049.10000000003</v>
      </c>
      <c r="K36" s="46">
        <f>+(J36-L36)/ABS(L36)</f>
        <v>0.26127029056542278</v>
      </c>
      <c r="L36" s="240">
        <f>+'BICHVARAN       '!L36+BHdVARAN!L36+'BIDCVARAN   '!L36+BMHVARAN!J36+'BNCVARAN '!L36+'BPHVARAN    '!L36+BUHVARAN!L35+'CAPITALBKVARAN        '!L36+'CBNAVARAN           '!L37+'PROMOBKVARAN      '!L36+'SCOTIAVARAN            '!L36+'SOCABKVARAN  '!L36+'SOGEBKVARAN '!L36+'SGBELVARAN         '!L36+'UNIBKVARAN     '!L36</f>
        <v>227587.3</v>
      </c>
      <c r="M36" s="43"/>
      <c r="N36" s="43"/>
    </row>
    <row r="37" spans="1:14" s="209" customFormat="1">
      <c r="B37" s="16">
        <f>SUM(B33:B36)</f>
        <v>350534.3</v>
      </c>
      <c r="C37" s="46">
        <f>+(B37-D37)/ABS(D37)</f>
        <v>0.13520176925176947</v>
      </c>
      <c r="D37" s="16">
        <f>SUM(D33:D36)</f>
        <v>308785.90000000002</v>
      </c>
      <c r="E37" s="44" t="s">
        <v>0</v>
      </c>
      <c r="F37" s="16">
        <f>SUM(F33:F36)</f>
        <v>1280325.2</v>
      </c>
      <c r="G37" s="46">
        <f>+(F37-H37)/ABS(H37)</f>
        <v>0.1384622197237742</v>
      </c>
      <c r="H37" s="16">
        <f>SUM(H33:H36)</f>
        <v>1124609.3</v>
      </c>
      <c r="I37" s="46">
        <f>+(H37-J37)/ABS(J37)</f>
        <v>0.33429194483959807</v>
      </c>
      <c r="J37" s="16">
        <f>SUM(J33:J36)</f>
        <v>842851</v>
      </c>
      <c r="K37" s="46">
        <f>+(J37-L37)/ABS(L37)</f>
        <v>0.29235293206679769</v>
      </c>
      <c r="L37" s="16">
        <f>SUM(L33:L36)</f>
        <v>652183.30000000005</v>
      </c>
      <c r="M37" s="44"/>
      <c r="N37" s="44"/>
    </row>
    <row r="38" spans="1:14">
      <c r="B38" s="249"/>
      <c r="C38" s="112"/>
      <c r="D38" s="249"/>
      <c r="E38" s="42"/>
      <c r="F38" s="249"/>
      <c r="G38" s="112"/>
      <c r="H38" s="249"/>
      <c r="I38" s="112"/>
      <c r="J38" s="249"/>
      <c r="K38" s="112"/>
      <c r="L38" s="249"/>
      <c r="M38" s="43"/>
      <c r="N38" s="43"/>
    </row>
    <row r="39" spans="1:14" s="209" customFormat="1">
      <c r="A39" s="209" t="s">
        <v>346</v>
      </c>
      <c r="B39" s="16">
        <f>+B30-B37</f>
        <v>80363.29999999993</v>
      </c>
      <c r="C39" s="46">
        <f>+(B39-D39)/ABS(D39)</f>
        <v>2.0497595889293292</v>
      </c>
      <c r="D39" s="16">
        <f>+D30-D37</f>
        <v>26350.699999999953</v>
      </c>
      <c r="E39" s="44" t="s">
        <v>0</v>
      </c>
      <c r="F39" s="16">
        <f>+F30-F37</f>
        <v>252640.99999999977</v>
      </c>
      <c r="G39" s="46">
        <f>+(F39-H39)/ABS(H39)</f>
        <v>0.52646070243257248</v>
      </c>
      <c r="H39" s="16">
        <f>+H30-H37</f>
        <v>165507.70000000019</v>
      </c>
      <c r="I39" s="46">
        <f>+(H39-J39)/ABS(J39)</f>
        <v>-0.29712663447613874</v>
      </c>
      <c r="J39" s="16">
        <f>+J30-J37</f>
        <v>235473</v>
      </c>
      <c r="K39" s="46">
        <f>+(J39-L39)/ABS(L39)</f>
        <v>0.29826888660264378</v>
      </c>
      <c r="L39" s="16">
        <f>+L30-L37</f>
        <v>181374.60000000009</v>
      </c>
      <c r="M39" s="44"/>
      <c r="N39" s="44"/>
    </row>
    <row r="40" spans="1:14">
      <c r="B40" s="12"/>
      <c r="C40" s="46"/>
      <c r="D40" s="12"/>
      <c r="E40" s="44" t="s">
        <v>0</v>
      </c>
      <c r="F40" s="15" t="s">
        <v>0</v>
      </c>
      <c r="G40" s="46"/>
      <c r="H40" s="12"/>
      <c r="I40" s="46"/>
      <c r="J40" s="12"/>
      <c r="K40" s="46"/>
      <c r="L40" s="12"/>
      <c r="M40" s="43"/>
      <c r="N40" s="43"/>
    </row>
    <row r="41" spans="1:14">
      <c r="A41" t="s">
        <v>347</v>
      </c>
      <c r="B41" s="16">
        <f>+somfinrésys!R79</f>
        <v>20789.5</v>
      </c>
      <c r="C41" s="46">
        <f>+(B41-D41)/ABS(D41)</f>
        <v>0.86935762327806343</v>
      </c>
      <c r="D41" s="88">
        <f>+somfinrésys!T79</f>
        <v>11121.2</v>
      </c>
      <c r="E41" s="44" t="s">
        <v>0</v>
      </c>
      <c r="F41" s="12">
        <f>+somfinrésys!U79</f>
        <v>58294.8</v>
      </c>
      <c r="G41" s="46">
        <f>+(F41-H41)/ABS(H41)</f>
        <v>-0.16611403084651971</v>
      </c>
      <c r="H41" s="12">
        <v>69907.399999999994</v>
      </c>
      <c r="I41" s="46">
        <f>+(H41-J41)/ABS(J41)</f>
        <v>1.178798390540216</v>
      </c>
      <c r="J41" s="12">
        <f>+'BICHVARAN       '!J41+BHdVARAN!J41+'BIDCVARAN   '!J41+BMHVARAN!H41+'BNCVARAN '!J41+'BPHVARAN    '!J41+BUHVARAN!J40+'CAPITALBKVARAN        '!J41+'CBNAVARAN           '!J42+'PROMOBKVARAN      '!J41+'SCOTIAVARAN            '!J41+'SOCABKVARAN  '!J41+'SOGEBKVARAN '!J41+'SGBELVARAN         '!J41+'UNIBKVARAN     '!J41</f>
        <v>32085.300000000003</v>
      </c>
      <c r="K41" s="46">
        <f>+(J41-L41)/ABS(L41)</f>
        <v>-8.258777309807068E-2</v>
      </c>
      <c r="L41" s="12">
        <f>+'BICHVARAN       '!L41+BHdVARAN!L41+'BIDCVARAN   '!L41+BMHVARAN!J41+'BNCVARAN '!L41+'BPHVARAN    '!L41+BUHVARAN!L40+'CAPITALBKVARAN        '!L41+'CBNAVARAN           '!L42+'PROMOBKVARAN      '!L41+'SCOTIAVARAN            '!L41+'SOCABKVARAN  '!L41+'SOGEBKVARAN '!L41+'SGBELVARAN         '!L41+'UNIBKVARAN     '!L41</f>
        <v>34973.699999999997</v>
      </c>
      <c r="M41" s="43"/>
      <c r="N41" s="43"/>
    </row>
    <row r="42" spans="1:14" ht="16.5" thickBot="1">
      <c r="B42" s="77" t="s">
        <v>0</v>
      </c>
      <c r="C42" s="47" t="s">
        <v>0</v>
      </c>
      <c r="D42" s="76"/>
      <c r="E42" s="44" t="s">
        <v>0</v>
      </c>
      <c r="F42" s="76"/>
      <c r="G42" s="46"/>
      <c r="H42" s="76"/>
      <c r="I42" s="46"/>
      <c r="J42" s="76"/>
      <c r="K42" s="47" t="s">
        <v>0</v>
      </c>
      <c r="L42" s="76"/>
      <c r="M42" s="43"/>
      <c r="N42" s="43"/>
    </row>
    <row r="43" spans="1:14">
      <c r="A43" s="2" t="s">
        <v>359</v>
      </c>
      <c r="B43" s="4">
        <f>+B39-B41</f>
        <v>59573.79999999993</v>
      </c>
      <c r="C43" s="112">
        <f>+(B43-D43)/ABS(D43)</f>
        <v>2.9117370892018855</v>
      </c>
      <c r="D43" s="4">
        <f>+D39-D41</f>
        <v>15229.499999999953</v>
      </c>
      <c r="E43" s="42" t="s">
        <v>0</v>
      </c>
      <c r="F43" s="4">
        <f>+F39-F41</f>
        <v>194346.19999999978</v>
      </c>
      <c r="G43" s="112">
        <f>+(F43-H43)/ABS(H43)</f>
        <v>1.0329036624361994</v>
      </c>
      <c r="H43" s="4">
        <f>+H39-H41</f>
        <v>95600.300000000192</v>
      </c>
      <c r="I43" s="112">
        <f>+(H43-J43)/ABS(J43)</f>
        <v>-0.52996026800047302</v>
      </c>
      <c r="J43" s="4">
        <f>+J39-J41</f>
        <v>203387.7</v>
      </c>
      <c r="K43" s="112">
        <f>+(J43-L43)/ABS(L43)</f>
        <v>0.38925170541984305</v>
      </c>
      <c r="L43" s="4">
        <f>+L39-L41</f>
        <v>146400.90000000008</v>
      </c>
      <c r="M43" s="43"/>
      <c r="N43" s="43"/>
    </row>
    <row r="44" spans="1:14">
      <c r="B44" t="s">
        <v>0</v>
      </c>
      <c r="E44" t="s">
        <v>0</v>
      </c>
    </row>
    <row r="45" spans="1:14">
      <c r="B45" t="s">
        <v>0</v>
      </c>
      <c r="E45" t="s">
        <v>0</v>
      </c>
    </row>
  </sheetData>
  <pageMargins left="0.43" right="0.49" top="0.75" bottom="0.75" header="0.5" footer="0.5"/>
  <pageSetup scale="62" orientation="landscape" r:id="rId1"/>
  <headerFooter alignWithMargins="0">
    <oddFooter>&amp;R&amp;P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4"/>
  <sheetViews>
    <sheetView workbookViewId="0"/>
  </sheetViews>
  <sheetFormatPr defaultRowHeight="15.75"/>
  <cols>
    <col min="1" max="4" width="11" customWidth="1"/>
    <col min="5" max="5" width="55.875" customWidth="1"/>
    <col min="6" max="6" width="13.125" customWidth="1"/>
    <col min="7" max="256" width="11" customWidth="1"/>
  </cols>
  <sheetData>
    <row r="1" spans="1:9">
      <c r="A1" s="843"/>
      <c r="B1" s="843"/>
      <c r="C1" s="843"/>
      <c r="D1" s="843"/>
      <c r="E1" s="843"/>
      <c r="F1" s="843"/>
      <c r="G1" s="843"/>
      <c r="H1" s="843"/>
      <c r="I1" s="843"/>
    </row>
    <row r="2" spans="1:9">
      <c r="A2" s="843"/>
      <c r="B2" s="843"/>
      <c r="C2" s="843"/>
      <c r="D2" s="843"/>
      <c r="E2" s="843"/>
      <c r="F2" s="843"/>
      <c r="G2" s="843"/>
      <c r="H2" s="843"/>
      <c r="I2" s="843"/>
    </row>
    <row r="3" spans="1:9">
      <c r="A3" s="843"/>
      <c r="B3" s="843"/>
      <c r="C3" s="843"/>
      <c r="D3" s="843"/>
      <c r="E3" s="843"/>
      <c r="F3" s="843"/>
      <c r="G3" s="843"/>
      <c r="H3" s="843"/>
      <c r="I3" s="843"/>
    </row>
    <row r="4" spans="1:9">
      <c r="A4" s="843"/>
      <c r="B4" s="843"/>
      <c r="C4" s="843"/>
      <c r="D4" s="843"/>
      <c r="E4" s="843"/>
      <c r="F4" s="843"/>
      <c r="G4" s="843"/>
      <c r="H4" s="843"/>
      <c r="I4" s="843"/>
    </row>
    <row r="5" spans="1:9">
      <c r="A5" s="843"/>
      <c r="B5" s="843"/>
      <c r="C5" s="843"/>
      <c r="D5" s="843"/>
      <c r="E5" s="843"/>
      <c r="F5" s="843"/>
      <c r="G5" s="843"/>
      <c r="H5" s="843"/>
      <c r="I5" s="843"/>
    </row>
    <row r="6" spans="1:9">
      <c r="A6" s="843"/>
      <c r="B6" s="843"/>
      <c r="C6" s="843"/>
      <c r="D6" s="843"/>
      <c r="E6" s="843"/>
      <c r="F6" s="843"/>
      <c r="G6" s="843"/>
      <c r="H6" s="843"/>
      <c r="I6" s="843"/>
    </row>
    <row r="7" spans="1:9">
      <c r="A7" s="843"/>
      <c r="B7" s="843"/>
      <c r="C7" s="843"/>
      <c r="D7" s="843"/>
      <c r="E7" s="843"/>
      <c r="F7" s="843"/>
      <c r="G7" s="843"/>
      <c r="H7" s="843"/>
      <c r="I7" s="843"/>
    </row>
    <row r="8" spans="1:9">
      <c r="A8" s="843"/>
      <c r="B8" s="843"/>
      <c r="C8" s="843"/>
      <c r="D8" s="843"/>
      <c r="E8" s="843"/>
      <c r="F8" s="843"/>
      <c r="G8" s="843"/>
      <c r="H8" s="843"/>
      <c r="I8" s="843"/>
    </row>
    <row r="9" spans="1:9">
      <c r="A9" s="843"/>
      <c r="B9" s="843"/>
      <c r="C9" s="843"/>
      <c r="D9" s="843"/>
      <c r="E9" s="843"/>
      <c r="F9" s="843"/>
      <c r="G9" s="843"/>
      <c r="H9" s="843"/>
      <c r="I9" s="843"/>
    </row>
    <row r="10" spans="1:9">
      <c r="A10" s="843"/>
      <c r="B10" s="843"/>
      <c r="C10" s="843"/>
      <c r="D10" s="843"/>
      <c r="E10" s="843"/>
      <c r="F10" s="843"/>
      <c r="G10" s="843"/>
      <c r="H10" s="843"/>
      <c r="I10" s="843"/>
    </row>
    <row r="11" spans="1:9">
      <c r="A11" s="843"/>
      <c r="B11" s="843"/>
      <c r="C11" s="843"/>
      <c r="D11" s="843"/>
      <c r="E11" s="843"/>
      <c r="F11" s="843"/>
      <c r="G11" s="843"/>
      <c r="H11" s="843"/>
      <c r="I11" s="843"/>
    </row>
    <row r="12" spans="1:9">
      <c r="A12" s="843"/>
      <c r="B12" s="843"/>
      <c r="C12" s="843"/>
      <c r="D12" s="843"/>
      <c r="E12" s="843"/>
      <c r="F12" s="843"/>
      <c r="G12" s="843"/>
      <c r="H12" s="843"/>
      <c r="I12" s="843"/>
    </row>
    <row r="13" spans="1:9">
      <c r="A13" s="843"/>
      <c r="B13" s="843"/>
      <c r="C13" s="843"/>
      <c r="D13" s="843"/>
      <c r="E13" s="843"/>
      <c r="F13" s="843"/>
      <c r="G13" s="843"/>
      <c r="H13" s="843"/>
      <c r="I13" s="843"/>
    </row>
    <row r="14" spans="1:9">
      <c r="A14" s="843"/>
      <c r="B14" s="843"/>
      <c r="C14" s="843"/>
      <c r="D14" s="843"/>
      <c r="E14" s="843"/>
      <c r="F14" s="843"/>
      <c r="G14" s="843"/>
      <c r="H14" s="843"/>
      <c r="I14" s="843"/>
    </row>
    <row r="15" spans="1:9">
      <c r="A15" s="843"/>
      <c r="B15" s="843"/>
      <c r="C15" s="843"/>
      <c r="D15" s="843"/>
      <c r="E15" s="843"/>
      <c r="F15" s="843"/>
      <c r="G15" s="843"/>
      <c r="H15" s="843"/>
      <c r="I15" s="843"/>
    </row>
    <row r="16" spans="1:9" ht="25.5">
      <c r="A16" s="818" t="s">
        <v>55</v>
      </c>
      <c r="B16" s="812"/>
      <c r="C16" s="812"/>
      <c r="D16" s="812"/>
      <c r="E16" s="812"/>
      <c r="F16" s="812"/>
      <c r="G16" s="812"/>
      <c r="H16" s="812"/>
      <c r="I16" s="812"/>
    </row>
    <row r="17" spans="1:9">
      <c r="A17" s="843"/>
      <c r="B17" s="843"/>
      <c r="C17" s="843"/>
      <c r="D17" s="843"/>
      <c r="E17" s="843"/>
      <c r="F17" s="843"/>
      <c r="G17" s="843"/>
      <c r="H17" s="843"/>
      <c r="I17" s="843"/>
    </row>
    <row r="18" spans="1:9">
      <c r="A18" s="843"/>
      <c r="B18" s="843"/>
      <c r="C18" s="843"/>
      <c r="D18" s="843"/>
      <c r="E18" s="843"/>
      <c r="F18" s="843"/>
      <c r="G18" s="843"/>
      <c r="H18" s="843"/>
      <c r="I18" s="843"/>
    </row>
    <row r="19" spans="1:9" ht="20.25">
      <c r="A19" s="845" t="s">
        <v>56</v>
      </c>
      <c r="B19" s="844"/>
      <c r="C19" s="844"/>
      <c r="D19" s="844"/>
      <c r="E19" s="844"/>
      <c r="F19" s="844"/>
      <c r="G19" s="844"/>
      <c r="H19" s="844"/>
      <c r="I19" s="844"/>
    </row>
    <row r="20" spans="1:9">
      <c r="A20" s="843"/>
      <c r="B20" s="843"/>
      <c r="C20" s="843"/>
      <c r="D20" s="843"/>
      <c r="E20" s="843"/>
      <c r="F20" s="843"/>
      <c r="G20" s="843"/>
      <c r="H20" s="843"/>
      <c r="I20" s="843"/>
    </row>
    <row r="21" spans="1:9">
      <c r="A21" s="843"/>
      <c r="B21" s="843"/>
      <c r="C21" s="843"/>
      <c r="D21" s="843"/>
      <c r="E21" s="843"/>
      <c r="F21" s="843"/>
      <c r="G21" s="843"/>
      <c r="H21" s="843"/>
      <c r="I21" s="843"/>
    </row>
    <row r="22" spans="1:9">
      <c r="A22" s="843"/>
      <c r="B22" s="843"/>
      <c r="C22" s="843"/>
      <c r="D22" s="843"/>
      <c r="E22" s="843"/>
      <c r="F22" s="843"/>
      <c r="G22" s="843"/>
      <c r="H22" s="843"/>
      <c r="I22" s="843"/>
    </row>
    <row r="23" spans="1:9">
      <c r="A23" s="843"/>
      <c r="B23" s="844"/>
      <c r="C23" s="844"/>
      <c r="D23" s="844"/>
      <c r="E23" s="844"/>
      <c r="F23" s="844"/>
      <c r="G23" s="844"/>
      <c r="H23" s="844"/>
      <c r="I23" s="844"/>
    </row>
    <row r="24" spans="1:9">
      <c r="A24" s="843"/>
      <c r="B24" s="843"/>
      <c r="C24" s="843"/>
      <c r="D24" s="843"/>
      <c r="E24" s="843"/>
      <c r="F24" s="843"/>
      <c r="G24" s="843"/>
      <c r="H24" s="843"/>
      <c r="I24" s="843"/>
    </row>
    <row r="25" spans="1:9">
      <c r="A25" s="843"/>
      <c r="B25" s="843"/>
      <c r="C25" s="843"/>
      <c r="D25" s="843"/>
      <c r="E25" s="843"/>
      <c r="F25" s="843"/>
      <c r="G25" s="843"/>
      <c r="H25" s="843"/>
      <c r="I25" s="843"/>
    </row>
    <row r="26" spans="1:9">
      <c r="A26" s="843"/>
      <c r="B26" s="843"/>
      <c r="C26" s="843"/>
      <c r="D26" s="843"/>
      <c r="E26" s="843"/>
      <c r="F26" s="843"/>
      <c r="G26" s="843"/>
      <c r="H26" s="843"/>
      <c r="I26" s="843"/>
    </row>
    <row r="27" spans="1:9">
      <c r="A27" s="843"/>
      <c r="B27" s="843"/>
      <c r="C27" s="843"/>
      <c r="D27" s="843"/>
      <c r="E27" s="843"/>
      <c r="F27" s="843"/>
      <c r="G27" s="843"/>
      <c r="H27" s="843"/>
      <c r="I27" s="843"/>
    </row>
    <row r="28" spans="1:9">
      <c r="A28" s="843"/>
      <c r="B28" s="843"/>
      <c r="C28" s="843"/>
      <c r="D28" s="843"/>
      <c r="E28" s="843"/>
      <c r="F28" s="843"/>
      <c r="G28" s="843"/>
      <c r="H28" s="843"/>
      <c r="I28" s="843"/>
    </row>
    <row r="29" spans="1:9">
      <c r="A29" s="843"/>
      <c r="B29" s="843"/>
      <c r="C29" s="843"/>
      <c r="D29" s="843"/>
      <c r="E29" s="843"/>
      <c r="F29" s="843"/>
      <c r="G29" s="843"/>
      <c r="H29" s="843"/>
      <c r="I29" s="843"/>
    </row>
    <row r="30" spans="1:9">
      <c r="A30" s="843"/>
      <c r="B30" s="843"/>
      <c r="C30" s="843"/>
      <c r="D30" s="843"/>
      <c r="E30" s="843"/>
      <c r="F30" s="843"/>
      <c r="G30" s="843"/>
      <c r="H30" s="843"/>
      <c r="I30" s="843"/>
    </row>
    <row r="31" spans="1:9">
      <c r="A31" s="843"/>
      <c r="B31" s="843"/>
      <c r="C31" s="843"/>
      <c r="D31" s="843"/>
      <c r="E31" s="843"/>
      <c r="F31" s="843"/>
      <c r="G31" s="843"/>
      <c r="H31" s="843"/>
      <c r="I31" s="843"/>
    </row>
    <row r="32" spans="1:9">
      <c r="A32" s="843"/>
      <c r="B32" s="843"/>
      <c r="C32" s="843"/>
      <c r="D32" s="843"/>
      <c r="E32" s="843"/>
      <c r="F32" s="843"/>
      <c r="G32" s="843"/>
      <c r="H32" s="843"/>
      <c r="I32" s="843"/>
    </row>
    <row r="33" spans="1:9">
      <c r="A33" s="843"/>
      <c r="B33" s="843"/>
      <c r="C33" s="843"/>
      <c r="D33" s="843"/>
      <c r="E33" s="843"/>
      <c r="F33" s="843"/>
      <c r="G33" s="843"/>
      <c r="H33" s="843"/>
      <c r="I33" s="843"/>
    </row>
    <row r="34" spans="1:9">
      <c r="A34" s="843"/>
      <c r="B34" s="843"/>
      <c r="C34" s="843"/>
      <c r="D34" s="843"/>
      <c r="E34" s="843"/>
      <c r="F34" s="843"/>
      <c r="G34" s="843"/>
      <c r="H34" s="843"/>
      <c r="I34" s="843"/>
    </row>
  </sheetData>
  <sheetProtection password="C7D6" sheet="1" objects="1" scenarios="1"/>
  <pageMargins left="0.75" right="0.38" top="0.81" bottom="0.85" header="0.5" footer="0.44"/>
  <pageSetup scale="8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278"/>
  <sheetViews>
    <sheetView topLeftCell="A6" workbookViewId="0">
      <pane xSplit="1" ySplit="1" topLeftCell="B7" activePane="bottomRight" state="frozen"/>
      <selection activeCell="A6" sqref="A6"/>
      <selection pane="topRight" activeCell="B6" sqref="B6"/>
      <selection pane="bottomLeft" activeCell="A7" sqref="A7"/>
      <selection pane="bottomRight" activeCell="B8" sqref="B8"/>
    </sheetView>
  </sheetViews>
  <sheetFormatPr defaultRowHeight="15.75"/>
  <cols>
    <col min="1" max="1" width="35.25" customWidth="1"/>
    <col min="2" max="2" width="12.5" style="12" customWidth="1"/>
    <col min="3" max="3" width="12.75" style="13" customWidth="1"/>
    <col min="4" max="4" width="12.25" style="13" customWidth="1"/>
    <col min="5" max="5" width="13" style="12" customWidth="1"/>
    <col min="6" max="6" width="12.5" style="13" customWidth="1"/>
    <col min="7" max="8" width="12.75" style="12" customWidth="1"/>
    <col min="9" max="9" width="12.5" style="12" customWidth="1"/>
    <col min="10" max="10" width="12.75" style="13" customWidth="1"/>
    <col min="11" max="11" width="12.75" style="12" customWidth="1"/>
    <col min="12" max="12" width="12.5" style="12" customWidth="1"/>
    <col min="13" max="14" width="13.75" style="12" customWidth="1"/>
    <col min="15" max="15" width="10.75" style="12" customWidth="1"/>
    <col min="16" max="16" width="12.25" style="12" customWidth="1"/>
    <col min="17" max="17" width="12.625" style="12" customWidth="1"/>
    <col min="18" max="18" width="11" style="13" customWidth="1"/>
    <col min="19" max="19" width="13.5" style="12" customWidth="1"/>
    <col min="20" max="20" width="13.75" style="12" customWidth="1"/>
    <col min="21" max="21" width="14.375" style="12" customWidth="1"/>
    <col min="22" max="26" width="14.375" customWidth="1"/>
    <col min="27" max="256" width="11" customWidth="1"/>
  </cols>
  <sheetData>
    <row r="1" spans="1:44">
      <c r="A1" s="114" t="s">
        <v>163</v>
      </c>
      <c r="B1" s="37"/>
      <c r="C1" s="38"/>
      <c r="D1" s="38"/>
      <c r="E1" s="37"/>
      <c r="F1" s="38"/>
      <c r="G1" s="37"/>
      <c r="H1" s="37"/>
      <c r="I1" s="37"/>
      <c r="J1" s="38"/>
      <c r="K1" s="37"/>
      <c r="L1" s="37"/>
      <c r="M1" s="37"/>
      <c r="N1" s="37"/>
      <c r="O1" s="37"/>
      <c r="P1" s="37"/>
      <c r="Q1" s="37"/>
      <c r="R1" s="38"/>
      <c r="S1" s="37"/>
    </row>
    <row r="2" spans="1:44">
      <c r="A2" s="114" t="s">
        <v>360</v>
      </c>
      <c r="B2" s="37"/>
      <c r="C2" s="38"/>
      <c r="D2" s="38"/>
      <c r="E2" s="37"/>
      <c r="F2" s="38"/>
      <c r="G2" s="37"/>
      <c r="H2" s="37"/>
      <c r="I2" s="37"/>
      <c r="J2" s="38"/>
      <c r="K2" s="37"/>
      <c r="L2" s="37"/>
      <c r="M2" s="37"/>
      <c r="N2" s="37"/>
      <c r="O2" s="37"/>
      <c r="P2" s="37"/>
      <c r="Q2" s="37"/>
      <c r="R2" s="38"/>
      <c r="S2" s="37"/>
    </row>
    <row r="3" spans="1:44">
      <c r="A3" s="114" t="s">
        <v>178</v>
      </c>
      <c r="B3" s="37"/>
      <c r="C3" s="38"/>
      <c r="D3" s="38"/>
      <c r="E3" s="37"/>
      <c r="F3" s="38"/>
      <c r="G3" s="37"/>
      <c r="H3" s="37"/>
      <c r="I3" s="37"/>
      <c r="J3" s="38"/>
      <c r="K3" s="37"/>
      <c r="L3" s="37"/>
      <c r="M3" s="37"/>
      <c r="N3" s="37"/>
      <c r="O3" s="37"/>
      <c r="P3" s="37"/>
      <c r="Q3" s="37"/>
      <c r="R3" s="38"/>
      <c r="S3" s="37"/>
    </row>
    <row r="4" spans="1:44">
      <c r="A4" s="114" t="s">
        <v>179</v>
      </c>
      <c r="B4" s="37"/>
      <c r="C4" s="38"/>
      <c r="D4" s="38"/>
      <c r="E4" s="37"/>
      <c r="F4" s="38"/>
      <c r="G4" s="37"/>
      <c r="H4" s="37"/>
      <c r="I4" s="37"/>
      <c r="J4" s="38"/>
      <c r="K4" s="37"/>
      <c r="L4" s="37"/>
      <c r="M4" s="37"/>
      <c r="N4" s="37"/>
      <c r="O4" s="37"/>
      <c r="P4" s="37"/>
      <c r="Q4" s="37"/>
      <c r="R4" s="38"/>
      <c r="S4" s="37"/>
    </row>
    <row r="5" spans="1:44">
      <c r="A5" s="34"/>
      <c r="B5" s="37"/>
      <c r="C5" s="38"/>
      <c r="D5" s="38"/>
      <c r="E5" s="37"/>
      <c r="F5" s="38"/>
      <c r="G5" s="37"/>
      <c r="H5" s="37"/>
      <c r="I5" s="37"/>
      <c r="J5" s="38"/>
      <c r="K5" s="37"/>
      <c r="L5" s="37"/>
      <c r="M5" s="37"/>
      <c r="N5" s="37"/>
      <c r="O5" s="37"/>
      <c r="P5" s="37"/>
      <c r="Q5" s="37"/>
      <c r="R5" s="38"/>
      <c r="S5" s="37"/>
    </row>
    <row r="6" spans="1:44" ht="16.5" thickBot="1">
      <c r="A6" s="72"/>
      <c r="B6" s="150" t="s">
        <v>98</v>
      </c>
      <c r="C6" s="150" t="s">
        <v>134</v>
      </c>
      <c r="D6" s="150" t="s">
        <v>126</v>
      </c>
      <c r="E6" s="151" t="s">
        <v>100</v>
      </c>
      <c r="F6" s="151" t="s">
        <v>101</v>
      </c>
      <c r="G6" s="150" t="s">
        <v>102</v>
      </c>
      <c r="H6" s="151" t="s">
        <v>107</v>
      </c>
      <c r="I6" s="151" t="s">
        <v>103</v>
      </c>
      <c r="J6" s="151" t="s">
        <v>104</v>
      </c>
      <c r="K6" s="150" t="s">
        <v>105</v>
      </c>
      <c r="L6" s="150" t="s">
        <v>361</v>
      </c>
      <c r="M6" s="164" t="s">
        <v>362</v>
      </c>
      <c r="N6" s="1117" t="s">
        <v>250</v>
      </c>
      <c r="O6" s="150" t="s">
        <v>108</v>
      </c>
      <c r="P6" s="164" t="s">
        <v>362</v>
      </c>
      <c r="Q6" s="150" t="s">
        <v>109</v>
      </c>
      <c r="R6" s="151" t="s">
        <v>110</v>
      </c>
      <c r="S6" s="164" t="s">
        <v>362</v>
      </c>
      <c r="T6" s="275" t="s">
        <v>111</v>
      </c>
      <c r="U6" s="60"/>
      <c r="V6" s="1"/>
      <c r="W6" s="1"/>
      <c r="X6" s="1"/>
      <c r="Y6" s="1"/>
      <c r="Z6" s="1"/>
      <c r="AA6" s="1"/>
      <c r="AB6" s="1"/>
      <c r="AC6" s="1"/>
      <c r="AD6" s="1"/>
      <c r="AE6" s="1"/>
      <c r="AF6" s="1"/>
      <c r="AG6" s="1"/>
      <c r="AH6" s="1"/>
      <c r="AI6" s="1"/>
      <c r="AJ6" s="1"/>
      <c r="AK6" s="1"/>
      <c r="AL6" s="1"/>
      <c r="AM6" s="1"/>
      <c r="AN6" s="1"/>
      <c r="AO6" s="1"/>
      <c r="AP6" s="1"/>
      <c r="AQ6" s="1"/>
      <c r="AR6" s="1"/>
    </row>
    <row r="7" spans="1:44" ht="16.5" thickBot="1">
      <c r="A7" s="72"/>
      <c r="B7" s="276"/>
      <c r="C7" s="276"/>
      <c r="D7" s="276"/>
      <c r="E7" s="277"/>
      <c r="F7" s="277"/>
      <c r="G7" s="276"/>
      <c r="H7" s="277"/>
      <c r="I7" s="277"/>
      <c r="J7" s="277"/>
      <c r="K7" s="276"/>
      <c r="L7" s="276"/>
      <c r="M7" s="285"/>
      <c r="N7" s="285"/>
      <c r="O7" s="276"/>
      <c r="P7" s="285"/>
      <c r="Q7" s="276"/>
      <c r="R7" s="277"/>
      <c r="S7" s="285"/>
      <c r="T7" s="276"/>
      <c r="U7" s="60"/>
      <c r="V7" s="1"/>
      <c r="W7" s="1"/>
      <c r="X7" s="1"/>
      <c r="Y7" s="1"/>
      <c r="Z7" s="1"/>
      <c r="AA7" s="1"/>
      <c r="AB7" s="1"/>
      <c r="AC7" s="1"/>
      <c r="AD7" s="1"/>
      <c r="AE7" s="1"/>
      <c r="AF7" s="1"/>
      <c r="AG7" s="1"/>
      <c r="AH7" s="1"/>
      <c r="AI7" s="1"/>
      <c r="AJ7" s="1"/>
      <c r="AK7" s="1"/>
      <c r="AL7" s="1"/>
      <c r="AM7" s="1"/>
      <c r="AN7" s="1"/>
      <c r="AO7" s="1"/>
      <c r="AP7" s="1"/>
      <c r="AQ7" s="1"/>
      <c r="AR7" s="1"/>
    </row>
    <row r="8" spans="1:44" ht="19.5" thickTop="1">
      <c r="A8" s="290" t="s">
        <v>305</v>
      </c>
      <c r="B8" s="278"/>
      <c r="C8" s="278"/>
      <c r="D8" s="278"/>
      <c r="E8" s="278"/>
      <c r="F8" s="278"/>
      <c r="G8" s="278"/>
      <c r="H8" s="278"/>
      <c r="I8" s="278"/>
      <c r="J8" s="278"/>
      <c r="K8" s="278"/>
      <c r="L8" s="278"/>
      <c r="M8" s="279"/>
      <c r="N8" s="1118"/>
      <c r="O8" s="278"/>
      <c r="P8" s="279"/>
      <c r="Q8" s="278"/>
      <c r="R8" s="278"/>
      <c r="S8" s="279"/>
      <c r="T8" s="280"/>
      <c r="U8" s="62"/>
      <c r="V8" s="63"/>
      <c r="W8" s="63"/>
      <c r="X8" s="63"/>
      <c r="Y8" s="1"/>
      <c r="Z8" s="1"/>
      <c r="AA8" s="1"/>
      <c r="AB8" s="1"/>
      <c r="AC8" s="1"/>
      <c r="AD8" s="1"/>
      <c r="AE8" s="1"/>
      <c r="AF8" s="1"/>
      <c r="AG8" s="1"/>
      <c r="AH8" s="1"/>
      <c r="AI8" s="1"/>
      <c r="AJ8" s="1"/>
      <c r="AK8" s="1"/>
      <c r="AL8" s="1"/>
      <c r="AM8" s="1"/>
      <c r="AN8" s="1"/>
      <c r="AO8" s="1"/>
      <c r="AP8" s="1"/>
      <c r="AQ8" s="1"/>
      <c r="AR8" s="1"/>
    </row>
    <row r="9" spans="1:44">
      <c r="A9" s="260" t="s">
        <v>242</v>
      </c>
      <c r="B9" s="159"/>
      <c r="C9" s="159"/>
      <c r="D9" s="159"/>
      <c r="E9" s="250"/>
      <c r="F9" s="250"/>
      <c r="G9" s="72"/>
      <c r="H9" s="250"/>
      <c r="I9" s="250"/>
      <c r="J9" s="250"/>
      <c r="K9" s="159"/>
      <c r="L9" s="159"/>
      <c r="M9" s="190"/>
      <c r="N9" s="86"/>
      <c r="O9" s="159"/>
      <c r="P9" s="190"/>
      <c r="Q9" s="159"/>
      <c r="R9" s="250"/>
      <c r="S9" s="190"/>
      <c r="T9" s="251"/>
      <c r="U9" s="60"/>
      <c r="V9" s="1"/>
      <c r="W9" s="1"/>
      <c r="X9" s="1"/>
      <c r="Y9" s="1"/>
      <c r="Z9" s="1"/>
      <c r="AA9" s="1"/>
      <c r="AB9" s="1"/>
      <c r="AC9" s="1"/>
      <c r="AD9" s="1"/>
      <c r="AE9" s="1"/>
      <c r="AF9" s="1"/>
      <c r="AG9" s="1"/>
      <c r="AH9" s="1"/>
      <c r="AI9" s="1"/>
      <c r="AJ9" s="1"/>
      <c r="AK9" s="1"/>
      <c r="AL9" s="1"/>
      <c r="AM9" s="1"/>
      <c r="AN9" s="1"/>
      <c r="AO9" s="1"/>
      <c r="AP9" s="1"/>
      <c r="AQ9" s="1"/>
      <c r="AR9" s="1"/>
    </row>
    <row r="10" spans="1:44">
      <c r="A10" s="252" t="s">
        <v>180</v>
      </c>
      <c r="B10" s="92">
        <f>+'bilsysbandéc.99  '!B22</f>
        <v>11316.400000000001</v>
      </c>
      <c r="C10" s="93">
        <v>0</v>
      </c>
      <c r="D10" s="93">
        <v>0</v>
      </c>
      <c r="E10" s="92">
        <f>+'bilsysbandéc.99  '!C22</f>
        <v>1812734</v>
      </c>
      <c r="F10" s="92">
        <f>+'bilsysbandéc.99  '!D22</f>
        <v>800349.7</v>
      </c>
      <c r="G10" s="92">
        <f>+'bilsysbandéc.99  '!E22</f>
        <v>2115184</v>
      </c>
      <c r="H10" s="92">
        <f>+'bilsysbandéc.99  '!F22</f>
        <v>1113063</v>
      </c>
      <c r="I10" s="92">
        <f>+'bilsysbandéc.99  '!G22</f>
        <v>1567981</v>
      </c>
      <c r="J10" s="92">
        <f>+'bilsysbandéc.99  '!H22</f>
        <v>2520617.6999999997</v>
      </c>
      <c r="K10" s="92">
        <f>+'bilsysbandéc.99  '!I22</f>
        <v>5401096</v>
      </c>
      <c r="L10" s="92">
        <f>+'bilsysbandéc.99  '!J22</f>
        <v>3742086.6999999997</v>
      </c>
      <c r="M10" s="191">
        <f>SUM(B10:L10)</f>
        <v>19084428.5</v>
      </c>
      <c r="N10" s="92">
        <f>+'bilsysbandéc.99  '!L22</f>
        <v>28161.600000000002</v>
      </c>
      <c r="O10" s="92">
        <f>+'bilsysbandéc.99  '!M22</f>
        <v>534932.6</v>
      </c>
      <c r="P10" s="1125">
        <f>SUM(N10:O10)</f>
        <v>563094.19999999995</v>
      </c>
      <c r="Q10" s="92">
        <f>+'bilsysbandéc.99  '!O22</f>
        <v>1606782</v>
      </c>
      <c r="R10" s="92">
        <f>+'bilsysbandéc.99  '!P22</f>
        <v>957538</v>
      </c>
      <c r="S10" s="197">
        <f>SUM(Q10:R10)</f>
        <v>2564320</v>
      </c>
      <c r="T10" s="253">
        <f>+M10+P10+S10</f>
        <v>22211842.699999999</v>
      </c>
      <c r="U10" s="60"/>
      <c r="V10" s="1"/>
      <c r="W10" s="1"/>
      <c r="X10" s="1"/>
      <c r="Y10" s="1"/>
      <c r="Z10" s="1"/>
      <c r="AA10" s="1"/>
      <c r="AB10" s="1"/>
      <c r="AC10" s="1"/>
      <c r="AD10" s="1"/>
      <c r="AE10" s="1"/>
      <c r="AF10" s="1"/>
      <c r="AG10" s="1"/>
      <c r="AH10" s="1"/>
      <c r="AI10" s="1"/>
      <c r="AJ10" s="1"/>
      <c r="AK10" s="1"/>
      <c r="AL10" s="1"/>
      <c r="AM10" s="1"/>
      <c r="AN10" s="1"/>
      <c r="AO10" s="1"/>
      <c r="AP10" s="1"/>
      <c r="AQ10" s="1"/>
      <c r="AR10" s="1"/>
    </row>
    <row r="11" spans="1:44">
      <c r="A11" s="252" t="s">
        <v>181</v>
      </c>
      <c r="B11" s="92">
        <f>+'bilsysbandéc.99  '!B17</f>
        <v>0</v>
      </c>
      <c r="C11" s="93">
        <v>0</v>
      </c>
      <c r="D11" s="93">
        <v>0</v>
      </c>
      <c r="E11" s="92">
        <f>+'bilsysbandéc.99  '!C17</f>
        <v>389000</v>
      </c>
      <c r="F11" s="92">
        <f>+'bilsysbandéc.99  '!D17</f>
        <v>155000</v>
      </c>
      <c r="G11" s="92">
        <f>+'bilsysbandéc.99  '!E17</f>
        <v>125000</v>
      </c>
      <c r="H11" s="92">
        <f>+'bilsysbandéc.99  '!F17</f>
        <v>80000</v>
      </c>
      <c r="I11" s="92">
        <f>+'bilsysbandéc.99  '!G17</f>
        <v>90000</v>
      </c>
      <c r="J11" s="92">
        <f>+'bilsysbandéc.99  '!H17</f>
        <v>50000</v>
      </c>
      <c r="K11" s="92">
        <f>+'bilsysbandéc.99  '!I17</f>
        <v>935000</v>
      </c>
      <c r="L11" s="92">
        <f>+'bilsysbandéc.99  '!J17</f>
        <v>270000</v>
      </c>
      <c r="M11" s="191">
        <f>SUM(B11:L11)</f>
        <v>2094000</v>
      </c>
      <c r="N11" s="92">
        <f>+'bilsysbandéc.99  '!L17</f>
        <v>0</v>
      </c>
      <c r="O11" s="92">
        <f>+'bilsysbandéc.99  '!M17</f>
        <v>46000</v>
      </c>
      <c r="P11" s="1125">
        <f>SUM(N11:O11)</f>
        <v>46000</v>
      </c>
      <c r="Q11" s="92">
        <f>+'bilsysbandéc.99  '!O17</f>
        <v>116970</v>
      </c>
      <c r="R11" s="92">
        <f>+'bilsysbandéc.99  '!P17</f>
        <v>25000</v>
      </c>
      <c r="S11" s="197">
        <f>SUM(Q11:R11)</f>
        <v>141970</v>
      </c>
      <c r="T11" s="253">
        <f>+M11+P11+S11</f>
        <v>2281970</v>
      </c>
      <c r="U11" s="60"/>
      <c r="V11" s="1"/>
      <c r="W11" s="1"/>
      <c r="X11" s="1"/>
      <c r="Y11" s="1"/>
      <c r="Z11" s="1"/>
      <c r="AA11" s="1"/>
      <c r="AB11" s="1"/>
      <c r="AC11" s="1"/>
      <c r="AD11" s="1"/>
      <c r="AE11" s="1"/>
      <c r="AF11" s="1"/>
      <c r="AG11" s="1"/>
      <c r="AH11" s="1"/>
      <c r="AI11" s="1"/>
      <c r="AJ11" s="1"/>
      <c r="AK11" s="1"/>
      <c r="AL11" s="1"/>
      <c r="AM11" s="1"/>
      <c r="AN11" s="1"/>
      <c r="AO11" s="1"/>
      <c r="AP11" s="1"/>
      <c r="AQ11" s="1"/>
      <c r="AR11" s="1"/>
    </row>
    <row r="12" spans="1:44">
      <c r="A12" s="252" t="s">
        <v>182</v>
      </c>
      <c r="B12" s="92">
        <f>+'bilsysbandéc.99  '!B19</f>
        <v>3752.9</v>
      </c>
      <c r="C12" s="93">
        <v>0</v>
      </c>
      <c r="D12" s="93">
        <v>0</v>
      </c>
      <c r="E12" s="92">
        <f>+'bilsysbandéc.99  '!C19</f>
        <v>345925</v>
      </c>
      <c r="F12" s="92">
        <f>+'bilsysbandéc.99  '!D19</f>
        <v>316912.7</v>
      </c>
      <c r="G12" s="92">
        <f>+'bilsysbandéc.99  '!E19</f>
        <v>746670</v>
      </c>
      <c r="H12" s="92">
        <f>+'bilsysbandéc.99  '!F19</f>
        <v>501800</v>
      </c>
      <c r="I12" s="92">
        <f>+'bilsysbandéc.99  '!G19</f>
        <v>772879</v>
      </c>
      <c r="J12" s="92">
        <f>+'bilsysbandéc.99  '!H19</f>
        <v>1484208</v>
      </c>
      <c r="K12" s="92">
        <f>+'bilsysbandéc.99  '!I19</f>
        <v>1730929</v>
      </c>
      <c r="L12" s="92">
        <f>+'bilsysbandéc.99  '!J19</f>
        <v>1489899</v>
      </c>
      <c r="M12" s="191">
        <f>SUM(B12:L12)</f>
        <v>7392975.5999999996</v>
      </c>
      <c r="N12" s="92">
        <f>+'bilsysbandéc.99  '!L19</f>
        <v>5467.1</v>
      </c>
      <c r="O12" s="92">
        <f>+'bilsysbandéc.99  '!M19</f>
        <v>341630.7</v>
      </c>
      <c r="P12" s="1125">
        <f>SUM(N12:O12)</f>
        <v>347097.8</v>
      </c>
      <c r="Q12" s="92">
        <f>+'bilsysbandéc.99  '!O19</f>
        <v>729160</v>
      </c>
      <c r="R12" s="92">
        <f>+'bilsysbandéc.99  '!P19</f>
        <v>494790</v>
      </c>
      <c r="S12" s="197">
        <f>SUM(Q12:R12)</f>
        <v>1223950</v>
      </c>
      <c r="T12" s="253">
        <f>+M12+P12+S12</f>
        <v>8964023.3999999985</v>
      </c>
      <c r="U12" s="60"/>
      <c r="V12" s="1"/>
      <c r="W12" s="1"/>
      <c r="X12" s="1"/>
      <c r="Y12" s="1"/>
      <c r="Z12" s="1"/>
      <c r="AA12" s="1"/>
      <c r="AB12" s="1"/>
      <c r="AC12" s="1"/>
      <c r="AD12" s="1"/>
      <c r="AE12" s="1"/>
      <c r="AF12" s="1"/>
      <c r="AG12" s="1"/>
      <c r="AH12" s="1"/>
      <c r="AI12" s="1"/>
      <c r="AJ12" s="1"/>
      <c r="AK12" s="1"/>
      <c r="AL12" s="1"/>
      <c r="AM12" s="1"/>
      <c r="AN12" s="1"/>
      <c r="AO12" s="1"/>
      <c r="AP12" s="1"/>
      <c r="AQ12" s="1"/>
      <c r="AR12" s="1"/>
    </row>
    <row r="13" spans="1:44">
      <c r="A13" s="252" t="s">
        <v>183</v>
      </c>
      <c r="B13" s="92">
        <f>+'bilsysbandéc.99  '!B29</f>
        <v>5346.3</v>
      </c>
      <c r="C13" s="93">
        <v>0</v>
      </c>
      <c r="D13" s="93">
        <v>0</v>
      </c>
      <c r="E13" s="92">
        <f>+'bilsysbandéc.99  '!C29</f>
        <v>1472739</v>
      </c>
      <c r="F13" s="92">
        <f>+'bilsysbandéc.99  '!D29</f>
        <v>684781.8</v>
      </c>
      <c r="G13" s="92">
        <f>+'bilsysbandéc.99  '!E29</f>
        <v>1956363</v>
      </c>
      <c r="H13" s="92">
        <f>+'bilsysbandéc.99  '!F29</f>
        <v>874223</v>
      </c>
      <c r="I13" s="92">
        <f>+'bilsysbandéc.99  '!G29</f>
        <v>1355039</v>
      </c>
      <c r="J13" s="92">
        <f>+'bilsysbandéc.99  '!H29</f>
        <v>2284054.7999999998</v>
      </c>
      <c r="K13" s="92">
        <f>+'bilsysbandéc.99  '!I29</f>
        <v>4638569</v>
      </c>
      <c r="L13" s="92">
        <f>+'bilsysbandéc.99  '!J29</f>
        <v>3371393</v>
      </c>
      <c r="M13" s="191">
        <f>SUM(B13:L13)</f>
        <v>16642508.899999999</v>
      </c>
      <c r="N13" s="92">
        <f>+'bilsysbandéc.99  '!L29</f>
        <v>4276</v>
      </c>
      <c r="O13" s="92">
        <f>+'bilsysbandéc.99  '!M29</f>
        <v>464678.89999999997</v>
      </c>
      <c r="P13" s="1125">
        <f>SUM(N13:O13)</f>
        <v>468954.89999999997</v>
      </c>
      <c r="Q13" s="92">
        <f>+'bilsysbandéc.99  '!O29</f>
        <v>1360488</v>
      </c>
      <c r="R13" s="92">
        <f>+'bilsysbandéc.99  '!P29</f>
        <v>888788</v>
      </c>
      <c r="S13" s="197">
        <f>SUM(Q13:R13)</f>
        <v>2249276</v>
      </c>
      <c r="T13" s="253">
        <f>+M13+P13+S13</f>
        <v>19360739.799999997</v>
      </c>
      <c r="U13" s="60"/>
      <c r="V13" s="1"/>
      <c r="W13" s="1"/>
      <c r="X13" s="1"/>
      <c r="Y13" s="1"/>
      <c r="Z13" s="1"/>
      <c r="AA13" s="1"/>
      <c r="AB13" s="1"/>
      <c r="AC13" s="1"/>
      <c r="AD13" s="1"/>
      <c r="AE13" s="1"/>
      <c r="AF13" s="1"/>
      <c r="AG13" s="1"/>
      <c r="AH13" s="1"/>
      <c r="AI13" s="1"/>
      <c r="AJ13" s="1"/>
      <c r="AK13" s="1"/>
      <c r="AL13" s="1"/>
      <c r="AM13" s="1"/>
      <c r="AN13" s="1"/>
      <c r="AO13" s="1"/>
      <c r="AP13" s="1"/>
      <c r="AQ13" s="1"/>
      <c r="AR13" s="1"/>
    </row>
    <row r="14" spans="1:44">
      <c r="A14" s="252" t="s">
        <v>184</v>
      </c>
      <c r="B14" s="92">
        <f>+'bilsysbandéc.99  '!B51</f>
        <v>5789.6</v>
      </c>
      <c r="C14" s="93">
        <v>0</v>
      </c>
      <c r="D14" s="93">
        <v>0</v>
      </c>
      <c r="E14" s="92">
        <f>+'bilsysbandéc.99  '!C51</f>
        <v>45824</v>
      </c>
      <c r="F14" s="92">
        <f>+'bilsysbandéc.99  '!D51</f>
        <v>29487</v>
      </c>
      <c r="G14" s="92">
        <f>+'bilsysbandéc.99  '!E51</f>
        <v>5194</v>
      </c>
      <c r="H14" s="92">
        <f>+'bilsysbandéc.99  '!F51</f>
        <v>119824</v>
      </c>
      <c r="I14" s="92">
        <f>+'bilsysbandéc.99  '!G51</f>
        <v>95371</v>
      </c>
      <c r="J14" s="92">
        <f>+'bilsysbandéc.99  '!H51</f>
        <v>122955.29999999999</v>
      </c>
      <c r="K14" s="92">
        <f>+'bilsysbandéc.99  '!I51</f>
        <v>360354</v>
      </c>
      <c r="L14" s="92">
        <f>+'bilsysbandéc.99  '!J51</f>
        <v>200094.7</v>
      </c>
      <c r="M14" s="191">
        <f>SUM(B14:L14)</f>
        <v>984893.59999999986</v>
      </c>
      <c r="N14" s="92">
        <f>+'bilsysbandéc.99  '!L51</f>
        <v>12420.4</v>
      </c>
      <c r="O14" s="92">
        <f>+'bilsysbandéc.99  '!M51</f>
        <v>43402.399999999994</v>
      </c>
      <c r="P14" s="1125">
        <f>SUM(N14:O14)</f>
        <v>55822.799999999996</v>
      </c>
      <c r="Q14" s="92">
        <f>+'bilsysbandéc.99  '!O51</f>
        <v>47353</v>
      </c>
      <c r="R14" s="92">
        <f>+'bilsysbandéc.99  '!P51</f>
        <v>41911</v>
      </c>
      <c r="S14" s="197">
        <f>SUM(Q14:R14)</f>
        <v>89264</v>
      </c>
      <c r="T14" s="253">
        <f>+M14+P14+S14</f>
        <v>1129980.3999999999</v>
      </c>
      <c r="U14" s="60"/>
      <c r="V14" s="1"/>
      <c r="W14" s="1"/>
      <c r="X14" s="1"/>
      <c r="Y14" s="1"/>
      <c r="Z14" s="1"/>
      <c r="AA14" s="1"/>
      <c r="AB14" s="1"/>
      <c r="AC14" s="1"/>
      <c r="AD14" s="1"/>
      <c r="AE14" s="1"/>
      <c r="AF14" s="1"/>
      <c r="AG14" s="1"/>
      <c r="AH14" s="1"/>
      <c r="AI14" s="1"/>
      <c r="AJ14" s="1"/>
      <c r="AK14" s="1"/>
      <c r="AL14" s="1"/>
      <c r="AM14" s="1"/>
      <c r="AN14" s="1"/>
      <c r="AO14" s="1"/>
      <c r="AP14" s="1"/>
      <c r="AQ14" s="1"/>
      <c r="AR14" s="1"/>
    </row>
    <row r="15" spans="1:44">
      <c r="A15" s="252" t="s">
        <v>0</v>
      </c>
      <c r="B15" s="92" t="s">
        <v>0</v>
      </c>
      <c r="C15" s="92" t="s">
        <v>0</v>
      </c>
      <c r="D15" s="92"/>
      <c r="E15" s="93" t="s">
        <v>0</v>
      </c>
      <c r="F15" s="93" t="s">
        <v>0</v>
      </c>
      <c r="G15" s="92" t="s">
        <v>0</v>
      </c>
      <c r="H15" s="93" t="s">
        <v>0</v>
      </c>
      <c r="I15" s="93" t="s">
        <v>0</v>
      </c>
      <c r="J15" s="93" t="s">
        <v>0</v>
      </c>
      <c r="K15" s="92" t="s">
        <v>0</v>
      </c>
      <c r="L15" s="92" t="s">
        <v>0</v>
      </c>
      <c r="M15" s="191" t="s">
        <v>0</v>
      </c>
      <c r="N15" s="94"/>
      <c r="O15" s="92" t="s">
        <v>275</v>
      </c>
      <c r="P15" s="197"/>
      <c r="Q15" s="92" t="s">
        <v>0</v>
      </c>
      <c r="R15" s="93" t="s">
        <v>0</v>
      </c>
      <c r="S15" s="197" t="s">
        <v>0</v>
      </c>
      <c r="T15" s="253" t="s">
        <v>0</v>
      </c>
      <c r="U15" s="60" t="s">
        <v>0</v>
      </c>
      <c r="V15" s="1"/>
      <c r="W15" s="1"/>
      <c r="X15" s="1"/>
      <c r="Y15" s="1"/>
      <c r="Z15" s="1"/>
      <c r="AA15" s="1"/>
      <c r="AB15" s="1"/>
      <c r="AC15" s="1"/>
      <c r="AD15" s="1"/>
      <c r="AE15" s="1"/>
      <c r="AF15" s="1"/>
      <c r="AG15" s="1"/>
      <c r="AH15" s="1"/>
      <c r="AI15" s="1"/>
      <c r="AJ15" s="1"/>
      <c r="AK15" s="1"/>
      <c r="AL15" s="1"/>
      <c r="AM15" s="1"/>
      <c r="AN15" s="1"/>
      <c r="AO15" s="1"/>
      <c r="AP15" s="1"/>
      <c r="AQ15" s="1"/>
      <c r="AR15" s="1"/>
    </row>
    <row r="16" spans="1:44" ht="15.6" customHeight="1">
      <c r="A16" s="260" t="s">
        <v>251</v>
      </c>
      <c r="B16" s="92" t="s">
        <v>0</v>
      </c>
      <c r="C16" s="92" t="s">
        <v>0</v>
      </c>
      <c r="D16" s="92"/>
      <c r="E16" s="92" t="s">
        <v>0</v>
      </c>
      <c r="F16" s="92" t="s">
        <v>0</v>
      </c>
      <c r="G16" s="92" t="s">
        <v>0</v>
      </c>
      <c r="H16" s="94" t="s">
        <v>0</v>
      </c>
      <c r="I16" s="92" t="s">
        <v>0</v>
      </c>
      <c r="J16" s="92" t="s">
        <v>0</v>
      </c>
      <c r="K16" s="92" t="s">
        <v>0</v>
      </c>
      <c r="L16" s="92" t="s">
        <v>0</v>
      </c>
      <c r="M16" s="191" t="s">
        <v>0</v>
      </c>
      <c r="N16" s="94"/>
      <c r="O16" s="92" t="s">
        <v>0</v>
      </c>
      <c r="P16" s="197"/>
      <c r="Q16" s="92" t="s">
        <v>0</v>
      </c>
      <c r="R16" s="93" t="s">
        <v>0</v>
      </c>
      <c r="S16" s="197" t="s">
        <v>0</v>
      </c>
      <c r="T16" s="253" t="s">
        <v>0</v>
      </c>
      <c r="U16" s="60" t="s">
        <v>0</v>
      </c>
      <c r="V16" s="1"/>
      <c r="W16" s="1"/>
      <c r="X16" s="1"/>
      <c r="Y16" s="1"/>
      <c r="Z16" s="1"/>
      <c r="AA16" s="1"/>
      <c r="AB16" s="1"/>
      <c r="AC16" s="1"/>
      <c r="AD16" s="1"/>
      <c r="AE16" s="1"/>
      <c r="AF16" s="1"/>
      <c r="AG16" s="1"/>
      <c r="AH16" s="1"/>
      <c r="AI16" s="1"/>
      <c r="AJ16" s="1"/>
      <c r="AK16" s="1"/>
      <c r="AL16" s="1"/>
      <c r="AM16" s="1"/>
      <c r="AN16" s="1"/>
      <c r="AO16" s="1"/>
      <c r="AP16" s="1"/>
      <c r="AQ16" s="1"/>
      <c r="AR16" s="1"/>
    </row>
    <row r="17" spans="1:44">
      <c r="A17" s="252" t="s">
        <v>180</v>
      </c>
      <c r="B17" s="92">
        <f>+bilsysbansept99!B22</f>
        <v>10078.599999999999</v>
      </c>
      <c r="C17" s="92">
        <v>0</v>
      </c>
      <c r="D17" s="92">
        <v>0</v>
      </c>
      <c r="E17" s="92">
        <f>+bilsysbansept99!C22</f>
        <v>1904429</v>
      </c>
      <c r="F17" s="92">
        <f>+bilsysbansept99!D22</f>
        <v>819659.6</v>
      </c>
      <c r="G17" s="92">
        <f>+bilsysbansept99!E22</f>
        <v>2068939</v>
      </c>
      <c r="H17" s="92">
        <f>+bilsysbansept99!F22</f>
        <v>1029883</v>
      </c>
      <c r="I17" s="92">
        <f>+bilsysbansept99!G22</f>
        <v>1508802</v>
      </c>
      <c r="J17" s="92">
        <f>+bilsysbansept99!H22</f>
        <v>2294099.7000000002</v>
      </c>
      <c r="K17" s="92">
        <f>+bilsysbansept99!I22</f>
        <v>5177237</v>
      </c>
      <c r="L17" s="92">
        <f>+bilsysbansept99!J22</f>
        <v>3400856.3000000003</v>
      </c>
      <c r="M17" s="191">
        <f>SUM(B17:L17)</f>
        <v>18213984.199999999</v>
      </c>
      <c r="N17" s="1150">
        <v>0</v>
      </c>
      <c r="O17" s="92">
        <f>+bilsysbansept99!L22</f>
        <v>509206.19999999995</v>
      </c>
      <c r="P17" s="197">
        <f>+O17</f>
        <v>509206.19999999995</v>
      </c>
      <c r="Q17" s="92">
        <f>+bilsysbansept99!N22</f>
        <v>1453792</v>
      </c>
      <c r="R17" s="92">
        <f>+bilsysbansept99!O22</f>
        <v>920200</v>
      </c>
      <c r="S17" s="197">
        <f>SUM(Q17:R17)</f>
        <v>2373992</v>
      </c>
      <c r="T17" s="253">
        <f>+M17+O17+S17</f>
        <v>21097182.399999999</v>
      </c>
      <c r="U17" s="60"/>
      <c r="V17" s="1"/>
      <c r="W17" s="1"/>
      <c r="X17" s="1"/>
      <c r="Y17" s="1"/>
      <c r="Z17" s="1"/>
      <c r="AA17" s="1"/>
      <c r="AB17" s="1"/>
      <c r="AC17" s="1"/>
      <c r="AD17" s="1"/>
      <c r="AE17" s="1"/>
      <c r="AF17" s="1"/>
      <c r="AG17" s="1"/>
      <c r="AH17" s="1"/>
      <c r="AI17" s="1"/>
      <c r="AJ17" s="1"/>
      <c r="AK17" s="1"/>
      <c r="AL17" s="1"/>
      <c r="AM17" s="1"/>
      <c r="AN17" s="1"/>
      <c r="AO17" s="1"/>
      <c r="AP17" s="1"/>
      <c r="AQ17" s="1"/>
      <c r="AR17" s="1"/>
    </row>
    <row r="18" spans="1:44">
      <c r="A18" s="252" t="s">
        <v>181</v>
      </c>
      <c r="B18" s="92">
        <f>+bilsysbansept99!B17</f>
        <v>0</v>
      </c>
      <c r="C18" s="92">
        <v>0</v>
      </c>
      <c r="D18" s="92">
        <v>0</v>
      </c>
      <c r="E18" s="92">
        <f>+bilsysbansept99!C17</f>
        <v>496981</v>
      </c>
      <c r="F18" s="92">
        <f>+bilsysbansept99!D17</f>
        <v>165000</v>
      </c>
      <c r="G18" s="92">
        <f>+bilsysbansept99!E17</f>
        <v>80000</v>
      </c>
      <c r="H18" s="92">
        <f>+bilsysbansept99!F17</f>
        <v>75000</v>
      </c>
      <c r="I18" s="92">
        <f>+bilsysbansept99!G17</f>
        <v>110000</v>
      </c>
      <c r="J18" s="92">
        <f>+bilsysbansept99!H17</f>
        <v>490000</v>
      </c>
      <c r="K18" s="92">
        <f>+bilsysbansept99!I17</f>
        <v>1020000</v>
      </c>
      <c r="L18" s="92">
        <f>+bilsysbansept99!J17</f>
        <v>400000</v>
      </c>
      <c r="M18" s="191">
        <f>SUM(B18:L18)</f>
        <v>2836981</v>
      </c>
      <c r="N18" s="1150">
        <v>0</v>
      </c>
      <c r="O18" s="92">
        <f>+bilsysbansept99!L17</f>
        <v>35000</v>
      </c>
      <c r="P18" s="197">
        <f>+O18</f>
        <v>35000</v>
      </c>
      <c r="Q18" s="92">
        <f>+bilsysbansept99!N17</f>
        <v>177623</v>
      </c>
      <c r="R18" s="92">
        <f>+bilsysbansept99!O17</f>
        <v>50000</v>
      </c>
      <c r="S18" s="197">
        <f>SUM(Q18:R18)</f>
        <v>227623</v>
      </c>
      <c r="T18" s="253">
        <f>+M18+O18+S18</f>
        <v>3099604</v>
      </c>
      <c r="U18" s="60"/>
      <c r="V18" s="1"/>
      <c r="W18" s="1"/>
      <c r="X18" s="1"/>
      <c r="Y18" s="1"/>
      <c r="Z18" s="1"/>
      <c r="AA18" s="1"/>
      <c r="AB18" s="1"/>
      <c r="AC18" s="1"/>
      <c r="AD18" s="1"/>
      <c r="AE18" s="1"/>
      <c r="AF18" s="1"/>
      <c r="AG18" s="1"/>
      <c r="AH18" s="1"/>
      <c r="AI18" s="1"/>
      <c r="AJ18" s="1"/>
      <c r="AK18" s="1"/>
      <c r="AL18" s="1"/>
      <c r="AM18" s="1"/>
      <c r="AN18" s="1"/>
      <c r="AO18" s="1"/>
      <c r="AP18" s="1"/>
      <c r="AQ18" s="1"/>
      <c r="AR18" s="1"/>
    </row>
    <row r="19" spans="1:44">
      <c r="A19" s="252" t="s">
        <v>182</v>
      </c>
      <c r="B19" s="92">
        <f>+bilsysbansept99!B19</f>
        <v>3761.7</v>
      </c>
      <c r="C19" s="92">
        <v>0</v>
      </c>
      <c r="D19" s="92">
        <v>0</v>
      </c>
      <c r="E19" s="92">
        <f>+bilsysbansept99!C19</f>
        <v>358557</v>
      </c>
      <c r="F19" s="92">
        <f>+bilsysbansept99!D19</f>
        <v>300990.2</v>
      </c>
      <c r="G19" s="92">
        <f>+bilsysbansept99!E19</f>
        <v>698170</v>
      </c>
      <c r="H19" s="92">
        <f>+bilsysbansept99!F19</f>
        <v>507741</v>
      </c>
      <c r="I19" s="92">
        <f>+bilsysbansept99!G19</f>
        <v>679763</v>
      </c>
      <c r="J19" s="92">
        <f>+bilsysbansept99!H19</f>
        <v>1235113.8</v>
      </c>
      <c r="K19" s="92">
        <f>+bilsysbansept99!I19</f>
        <v>1695365</v>
      </c>
      <c r="L19" s="92">
        <f>+bilsysbansept99!J19</f>
        <v>1508389.5</v>
      </c>
      <c r="M19" s="191">
        <f>SUM(B19:L19)</f>
        <v>6987851.2000000002</v>
      </c>
      <c r="N19" s="1150">
        <v>0</v>
      </c>
      <c r="O19" s="92">
        <f>+bilsysbansept99!L19</f>
        <v>333096.40000000002</v>
      </c>
      <c r="P19" s="197">
        <f>+O19</f>
        <v>333096.40000000002</v>
      </c>
      <c r="Q19" s="92">
        <f>+bilsysbansept99!N19</f>
        <v>741436</v>
      </c>
      <c r="R19" s="92">
        <f>+bilsysbansept99!O19</f>
        <v>484024</v>
      </c>
      <c r="S19" s="197">
        <f>SUM(Q19:R19)</f>
        <v>1225460</v>
      </c>
      <c r="T19" s="253">
        <f>+M19+O19+S19</f>
        <v>8546407.6000000015</v>
      </c>
      <c r="U19" s="60"/>
      <c r="V19" s="1"/>
      <c r="W19" s="1"/>
      <c r="X19" s="1"/>
      <c r="Y19" s="1"/>
      <c r="Z19" s="1"/>
      <c r="AA19" s="1"/>
      <c r="AB19" s="1"/>
      <c r="AC19" s="1"/>
      <c r="AD19" s="1"/>
      <c r="AE19" s="1"/>
      <c r="AF19" s="1"/>
      <c r="AG19" s="1"/>
      <c r="AH19" s="1"/>
      <c r="AI19" s="1"/>
      <c r="AJ19" s="1"/>
      <c r="AK19" s="1"/>
      <c r="AL19" s="1"/>
      <c r="AM19" s="1"/>
      <c r="AN19" s="1"/>
      <c r="AO19" s="1"/>
      <c r="AP19" s="1"/>
      <c r="AQ19" s="1"/>
      <c r="AR19" s="1"/>
    </row>
    <row r="20" spans="1:44">
      <c r="A20" s="252" t="s">
        <v>183</v>
      </c>
      <c r="B20" s="92">
        <f>+bilsysbansept99!B29</f>
        <v>4158.5</v>
      </c>
      <c r="C20" s="92">
        <v>0</v>
      </c>
      <c r="D20" s="92">
        <v>0</v>
      </c>
      <c r="E20" s="92">
        <f>+bilsysbansept99!C29</f>
        <v>1440211</v>
      </c>
      <c r="F20" s="92">
        <f>+bilsysbansept99!D29</f>
        <v>696137.5</v>
      </c>
      <c r="G20" s="92">
        <f>+bilsysbansept99!E29</f>
        <v>1820256</v>
      </c>
      <c r="H20" s="92">
        <f>+bilsysbansept99!F29</f>
        <v>801700</v>
      </c>
      <c r="I20" s="92">
        <f>+bilsysbansept99!G29</f>
        <v>1269716</v>
      </c>
      <c r="J20" s="92">
        <f>+bilsysbansept99!H29</f>
        <v>2017277.8</v>
      </c>
      <c r="K20" s="92">
        <f>+bilsysbansept99!I29</f>
        <v>4573439</v>
      </c>
      <c r="L20" s="92">
        <f>+bilsysbansept99!J29</f>
        <v>3059196</v>
      </c>
      <c r="M20" s="191">
        <f>SUM(B20:L20)</f>
        <v>15682091.800000001</v>
      </c>
      <c r="N20" s="1150">
        <v>0</v>
      </c>
      <c r="O20" s="92">
        <f>+bilsysbansept99!L29</f>
        <v>425651.6</v>
      </c>
      <c r="P20" s="197">
        <f>+O20</f>
        <v>425651.6</v>
      </c>
      <c r="Q20" s="92">
        <f>+bilsysbansept99!N29</f>
        <v>1205052</v>
      </c>
      <c r="R20" s="92">
        <f>+bilsysbansept99!O29</f>
        <v>883693</v>
      </c>
      <c r="S20" s="197">
        <f>SUM(Q20:R20)</f>
        <v>2088745</v>
      </c>
      <c r="T20" s="253">
        <f>+M20+O20+S20</f>
        <v>18196488.399999999</v>
      </c>
      <c r="U20" s="60"/>
      <c r="V20" s="1"/>
      <c r="W20" s="1"/>
      <c r="X20" s="1"/>
      <c r="Y20" s="1"/>
      <c r="Z20" s="1"/>
      <c r="AA20" s="1"/>
      <c r="AB20" s="1"/>
      <c r="AC20" s="1"/>
      <c r="AD20" s="1"/>
      <c r="AE20" s="1"/>
      <c r="AF20" s="1"/>
      <c r="AG20" s="1"/>
      <c r="AH20" s="1"/>
      <c r="AI20" s="1"/>
      <c r="AJ20" s="1"/>
      <c r="AK20" s="1"/>
      <c r="AL20" s="1"/>
      <c r="AM20" s="1"/>
      <c r="AN20" s="1"/>
      <c r="AO20" s="1"/>
      <c r="AP20" s="1"/>
      <c r="AQ20" s="1"/>
      <c r="AR20" s="1"/>
    </row>
    <row r="21" spans="1:44">
      <c r="A21" s="252" t="s">
        <v>184</v>
      </c>
      <c r="B21" s="92">
        <f>+bilsysbansept99!B51</f>
        <v>5757.5</v>
      </c>
      <c r="C21" s="92">
        <v>0</v>
      </c>
      <c r="D21" s="92">
        <v>0</v>
      </c>
      <c r="E21" s="92">
        <f>+bilsysbansept99!C51</f>
        <v>47362</v>
      </c>
      <c r="F21" s="92">
        <f>+bilsysbansept99!D51</f>
        <v>29383.199999999997</v>
      </c>
      <c r="G21" s="92">
        <f>+bilsysbansept99!E51</f>
        <v>83966</v>
      </c>
      <c r="H21" s="92">
        <f>+bilsysbansept99!F51</f>
        <v>116625</v>
      </c>
      <c r="I21" s="92">
        <f>+bilsysbansept99!G51</f>
        <v>86523</v>
      </c>
      <c r="J21" s="92">
        <f>+bilsysbansept99!H51</f>
        <v>114117.29999999999</v>
      </c>
      <c r="K21" s="92">
        <f>+bilsysbansept99!I51</f>
        <v>352833</v>
      </c>
      <c r="L21" s="92">
        <f>+bilsysbansept99!J51</f>
        <v>190704.2</v>
      </c>
      <c r="M21" s="191">
        <f>SUM(B21:L21)</f>
        <v>1027271.2</v>
      </c>
      <c r="N21" s="1150">
        <v>0</v>
      </c>
      <c r="O21" s="92">
        <f>+bilsysbansept99!L51</f>
        <v>40230.600000000006</v>
      </c>
      <c r="P21" s="197">
        <f>+O21</f>
        <v>40230.600000000006</v>
      </c>
      <c r="Q21" s="92">
        <f>+bilsysbansept99!N51</f>
        <v>26821</v>
      </c>
      <c r="R21" s="92">
        <f>+bilsysbansept99!O51</f>
        <v>-5832</v>
      </c>
      <c r="S21" s="197">
        <f>SUM(Q21:R21)</f>
        <v>20989</v>
      </c>
      <c r="T21" s="253">
        <f>+M21+O21+S21</f>
        <v>1088490.8</v>
      </c>
      <c r="U21" s="60"/>
      <c r="V21" s="1"/>
      <c r="W21" s="1"/>
      <c r="X21" s="1"/>
      <c r="Y21" s="1"/>
      <c r="Z21" s="1"/>
      <c r="AA21" s="1"/>
      <c r="AB21" s="1"/>
      <c r="AC21" s="1"/>
      <c r="AD21" s="1"/>
      <c r="AE21" s="1"/>
      <c r="AF21" s="1"/>
      <c r="AG21" s="1"/>
      <c r="AH21" s="1"/>
      <c r="AI21" s="1"/>
      <c r="AJ21" s="1"/>
      <c r="AK21" s="1"/>
      <c r="AL21" s="1"/>
      <c r="AM21" s="1"/>
      <c r="AN21" s="1"/>
      <c r="AO21" s="1"/>
      <c r="AP21" s="1"/>
      <c r="AQ21" s="1"/>
      <c r="AR21" s="1"/>
    </row>
    <row r="22" spans="1:44">
      <c r="A22" s="252" t="s">
        <v>275</v>
      </c>
      <c r="B22" s="95" t="s">
        <v>0</v>
      </c>
      <c r="C22" s="95" t="s">
        <v>0</v>
      </c>
      <c r="D22" s="95"/>
      <c r="E22" s="95" t="s">
        <v>0</v>
      </c>
      <c r="F22" s="95" t="s">
        <v>0</v>
      </c>
      <c r="G22" s="95" t="s">
        <v>0</v>
      </c>
      <c r="H22" s="93" t="s">
        <v>0</v>
      </c>
      <c r="I22" s="95" t="s">
        <v>0</v>
      </c>
      <c r="J22" s="95" t="s">
        <v>0</v>
      </c>
      <c r="K22" s="95" t="s">
        <v>0</v>
      </c>
      <c r="L22" s="95" t="s">
        <v>0</v>
      </c>
      <c r="M22" s="191" t="s">
        <v>0</v>
      </c>
      <c r="N22" s="94"/>
      <c r="O22" s="95" t="s">
        <v>0</v>
      </c>
      <c r="P22" s="197"/>
      <c r="Q22" s="92" t="s">
        <v>0</v>
      </c>
      <c r="R22" s="93" t="s">
        <v>0</v>
      </c>
      <c r="S22" s="203" t="s">
        <v>0</v>
      </c>
      <c r="T22" s="253" t="s">
        <v>0</v>
      </c>
      <c r="U22" s="60" t="s">
        <v>0</v>
      </c>
      <c r="V22" s="1"/>
      <c r="W22" s="1"/>
      <c r="X22" s="1"/>
      <c r="Y22" s="1"/>
      <c r="Z22" s="1"/>
      <c r="AA22" s="1"/>
      <c r="AB22" s="1"/>
      <c r="AC22" s="1"/>
      <c r="AD22" s="1"/>
      <c r="AE22" s="1"/>
      <c r="AF22" s="1"/>
      <c r="AG22" s="1"/>
      <c r="AH22" s="1"/>
      <c r="AI22" s="1"/>
      <c r="AJ22" s="1"/>
      <c r="AK22" s="1"/>
      <c r="AL22" s="1"/>
      <c r="AM22" s="1"/>
      <c r="AN22" s="1"/>
      <c r="AO22" s="1"/>
      <c r="AP22" s="1"/>
      <c r="AQ22" s="1"/>
      <c r="AR22" s="1"/>
    </row>
    <row r="23" spans="1:44">
      <c r="A23" s="260" t="s">
        <v>363</v>
      </c>
      <c r="B23" s="92"/>
      <c r="C23" s="92"/>
      <c r="D23" s="92"/>
      <c r="E23" s="254" t="s">
        <v>0</v>
      </c>
      <c r="F23" s="93" t="s">
        <v>0</v>
      </c>
      <c r="G23" s="92"/>
      <c r="H23" s="93" t="s">
        <v>0</v>
      </c>
      <c r="I23" s="93" t="s">
        <v>0</v>
      </c>
      <c r="J23" s="93" t="s">
        <v>0</v>
      </c>
      <c r="K23" s="92"/>
      <c r="L23" s="92"/>
      <c r="M23" s="191"/>
      <c r="N23" s="94"/>
      <c r="O23" s="92"/>
      <c r="P23" s="197"/>
      <c r="Q23" s="92"/>
      <c r="R23" s="93" t="s">
        <v>0</v>
      </c>
      <c r="S23" s="197"/>
      <c r="T23" s="253"/>
      <c r="U23" s="60"/>
      <c r="V23" s="1"/>
      <c r="W23" s="1"/>
      <c r="X23" s="1"/>
      <c r="Y23" s="1"/>
      <c r="Z23" s="1"/>
      <c r="AA23" s="1"/>
      <c r="AB23" s="1"/>
      <c r="AC23" s="1"/>
      <c r="AD23" s="1"/>
      <c r="AE23" s="1"/>
      <c r="AF23" s="1"/>
      <c r="AG23" s="1"/>
      <c r="AH23" s="1"/>
      <c r="AI23" s="1"/>
      <c r="AJ23" s="1"/>
      <c r="AK23" s="1"/>
      <c r="AL23" s="1"/>
      <c r="AM23" s="1"/>
      <c r="AN23" s="1"/>
      <c r="AO23" s="1"/>
      <c r="AP23" s="1"/>
      <c r="AQ23" s="1"/>
      <c r="AR23" s="1"/>
    </row>
    <row r="24" spans="1:44">
      <c r="A24" s="252" t="s">
        <v>180</v>
      </c>
      <c r="B24" s="254">
        <f>(+B10-B17)/ABS(B17)</f>
        <v>0.12281467664159736</v>
      </c>
      <c r="C24" s="93">
        <v>0</v>
      </c>
      <c r="D24" s="93">
        <v>0</v>
      </c>
      <c r="E24" s="254">
        <f t="shared" ref="E24:M24" si="0">(+E10-E17)/ABS(E17)</f>
        <v>-4.8148290117405269E-2</v>
      </c>
      <c r="F24" s="254">
        <f t="shared" si="0"/>
        <v>-2.3558438161402642E-2</v>
      </c>
      <c r="G24" s="254">
        <f t="shared" si="0"/>
        <v>2.2352036478600866E-2</v>
      </c>
      <c r="H24" s="254">
        <f>(+H10-H17)/ABS(H17)</f>
        <v>8.076645599548686E-2</v>
      </c>
      <c r="I24" s="254">
        <f t="shared" si="0"/>
        <v>3.9222508983948856E-2</v>
      </c>
      <c r="J24" s="254">
        <f t="shared" si="0"/>
        <v>9.8739387830441505E-2</v>
      </c>
      <c r="K24" s="254">
        <f t="shared" si="0"/>
        <v>4.3239086794751719E-2</v>
      </c>
      <c r="L24" s="254">
        <f t="shared" si="0"/>
        <v>0.10033661228203009</v>
      </c>
      <c r="M24" s="193">
        <f t="shared" si="0"/>
        <v>4.7789889924248465E-2</v>
      </c>
      <c r="N24" s="93">
        <v>0</v>
      </c>
      <c r="O24" s="254">
        <f>(+O10-O17)/ABS(O17)</f>
        <v>5.0522558444889371E-2</v>
      </c>
      <c r="P24" s="1059">
        <f>+O24</f>
        <v>5.0522558444889371E-2</v>
      </c>
      <c r="Q24" s="254">
        <f>(+Q10-Q17)/ABS(Q17)</f>
        <v>0.10523513680086284</v>
      </c>
      <c r="R24" s="254">
        <f>(+R10-R17)/ABS(R17)</f>
        <v>4.057596174744621E-2</v>
      </c>
      <c r="S24" s="193">
        <f>(+S10-S17)/ABS(S17)</f>
        <v>8.0172132003814678E-2</v>
      </c>
      <c r="T24" s="255">
        <f>(+T10-T17)/ABS(T17)</f>
        <v>5.2834557661121648E-2</v>
      </c>
      <c r="U24" s="60"/>
      <c r="V24" s="1"/>
      <c r="W24" s="1"/>
      <c r="X24" s="1"/>
      <c r="Y24" s="1"/>
      <c r="Z24" s="1"/>
      <c r="AA24" s="1"/>
      <c r="AB24" s="1"/>
      <c r="AC24" s="1"/>
      <c r="AD24" s="1"/>
      <c r="AE24" s="1"/>
      <c r="AF24" s="1"/>
      <c r="AG24" s="1"/>
      <c r="AH24" s="1"/>
      <c r="AI24" s="1"/>
      <c r="AJ24" s="1"/>
      <c r="AK24" s="1"/>
      <c r="AL24" s="1"/>
      <c r="AM24" s="1"/>
      <c r="AN24" s="1"/>
      <c r="AO24" s="1"/>
      <c r="AP24" s="1"/>
      <c r="AQ24" s="1"/>
      <c r="AR24" s="1"/>
    </row>
    <row r="25" spans="1:44" s="43" customFormat="1">
      <c r="A25" s="291" t="s">
        <v>364</v>
      </c>
      <c r="B25" s="292">
        <v>0</v>
      </c>
      <c r="C25" s="93">
        <v>0</v>
      </c>
      <c r="D25" s="93">
        <v>0</v>
      </c>
      <c r="E25" s="254">
        <f t="shared" ref="E25:M28" si="1">(+E11-E18)/ABS(E18)</f>
        <v>-0.21727389980703488</v>
      </c>
      <c r="F25" s="254">
        <f t="shared" si="1"/>
        <v>-6.0606060606060608E-2</v>
      </c>
      <c r="G25" s="254">
        <f t="shared" si="1"/>
        <v>0.5625</v>
      </c>
      <c r="H25" s="254">
        <f>(+H11-H18)/ABS(H18)</f>
        <v>6.6666666666666666E-2</v>
      </c>
      <c r="I25" s="254">
        <f t="shared" si="1"/>
        <v>-0.18181818181818182</v>
      </c>
      <c r="J25" s="254">
        <f t="shared" si="1"/>
        <v>-0.89795918367346939</v>
      </c>
      <c r="K25" s="254">
        <f t="shared" si="1"/>
        <v>-8.3333333333333329E-2</v>
      </c>
      <c r="L25" s="254">
        <f t="shared" si="1"/>
        <v>-0.32500000000000001</v>
      </c>
      <c r="M25" s="193">
        <f t="shared" si="1"/>
        <v>-0.26189142613221589</v>
      </c>
      <c r="N25" s="93">
        <v>0</v>
      </c>
      <c r="O25" s="254">
        <f>(+O11-O18)/ABS(O18)</f>
        <v>0.31428571428571428</v>
      </c>
      <c r="P25" s="1059">
        <f>+O25</f>
        <v>0.31428571428571428</v>
      </c>
      <c r="Q25" s="292">
        <v>0</v>
      </c>
      <c r="R25" s="292">
        <v>0</v>
      </c>
      <c r="S25" s="293">
        <v>0</v>
      </c>
      <c r="T25" s="255">
        <f>(+T11-T18)/ABS(T18)</f>
        <v>-0.26378659983662428</v>
      </c>
      <c r="U25" s="294"/>
      <c r="V25" s="294"/>
      <c r="W25" s="294"/>
      <c r="X25" s="294"/>
      <c r="Y25" s="294"/>
      <c r="Z25" s="294"/>
      <c r="AA25" s="294"/>
      <c r="AB25" s="294"/>
      <c r="AC25" s="294"/>
      <c r="AD25" s="294"/>
      <c r="AE25" s="294"/>
      <c r="AF25" s="294"/>
      <c r="AG25" s="294"/>
      <c r="AH25" s="294"/>
      <c r="AI25" s="294"/>
      <c r="AJ25" s="294"/>
      <c r="AK25" s="294"/>
      <c r="AL25" s="294"/>
      <c r="AM25" s="294"/>
      <c r="AN25" s="294"/>
      <c r="AO25" s="294"/>
      <c r="AP25" s="294"/>
      <c r="AQ25" s="294"/>
      <c r="AR25" s="294"/>
    </row>
    <row r="26" spans="1:44">
      <c r="A26" s="252" t="s">
        <v>182</v>
      </c>
      <c r="B26" s="254">
        <f>(+B12-B19)/ABS(B19)</f>
        <v>-2.3393678390088864E-3</v>
      </c>
      <c r="C26" s="93">
        <v>0</v>
      </c>
      <c r="D26" s="93">
        <v>0</v>
      </c>
      <c r="E26" s="254">
        <f t="shared" si="1"/>
        <v>-3.5230102884618066E-2</v>
      </c>
      <c r="F26" s="254">
        <f t="shared" si="1"/>
        <v>5.290039343473641E-2</v>
      </c>
      <c r="G26" s="254">
        <f t="shared" si="1"/>
        <v>6.9467321712476909E-2</v>
      </c>
      <c r="H26" s="254">
        <f>(+H12-H19)/ABS(H19)</f>
        <v>-1.1700847479325089E-2</v>
      </c>
      <c r="I26" s="254">
        <f t="shared" si="1"/>
        <v>0.13698303673486201</v>
      </c>
      <c r="J26" s="254">
        <f t="shared" si="1"/>
        <v>0.20167712481230471</v>
      </c>
      <c r="K26" s="254">
        <f t="shared" si="1"/>
        <v>2.0977193701651266E-2</v>
      </c>
      <c r="L26" s="254">
        <f t="shared" si="1"/>
        <v>-1.2258438553172109E-2</v>
      </c>
      <c r="M26" s="193">
        <f t="shared" si="1"/>
        <v>5.7975533308436709E-2</v>
      </c>
      <c r="N26" s="93">
        <v>0</v>
      </c>
      <c r="O26" s="254">
        <f>(+O12-O19)/ABS(O19)</f>
        <v>2.5621111486044245E-2</v>
      </c>
      <c r="P26" s="1059">
        <f>+O26</f>
        <v>2.5621111486044245E-2</v>
      </c>
      <c r="Q26" s="254">
        <f t="shared" ref="Q26:S28" si="2">(+Q12-Q19)/ABS(Q19)</f>
        <v>-1.6557059543912084E-2</v>
      </c>
      <c r="R26" s="254">
        <f t="shared" si="2"/>
        <v>2.2242698709154917E-2</v>
      </c>
      <c r="S26" s="193">
        <f t="shared" si="2"/>
        <v>-1.2321903611704993E-3</v>
      </c>
      <c r="T26" s="255">
        <f>(+T12-T19)/ABS(T19)</f>
        <v>4.8864484300982433E-2</v>
      </c>
      <c r="U26" s="60"/>
      <c r="V26" s="1"/>
      <c r="W26" s="1"/>
      <c r="X26" s="1"/>
      <c r="Y26" s="1"/>
      <c r="Z26" s="1"/>
      <c r="AA26" s="1"/>
      <c r="AB26" s="1"/>
      <c r="AC26" s="1"/>
      <c r="AD26" s="1"/>
      <c r="AE26" s="1"/>
      <c r="AF26" s="1"/>
      <c r="AG26" s="1"/>
      <c r="AH26" s="1"/>
      <c r="AI26" s="1"/>
      <c r="AJ26" s="1"/>
      <c r="AK26" s="1"/>
      <c r="AL26" s="1"/>
      <c r="AM26" s="1"/>
      <c r="AN26" s="1"/>
      <c r="AO26" s="1"/>
      <c r="AP26" s="1"/>
      <c r="AQ26" s="1"/>
      <c r="AR26" s="1"/>
    </row>
    <row r="27" spans="1:44">
      <c r="A27" s="252" t="s">
        <v>183</v>
      </c>
      <c r="B27" s="254">
        <f>(+B13-B20)/ABS(B20)</f>
        <v>0.28563183840327044</v>
      </c>
      <c r="C27" s="93">
        <v>0</v>
      </c>
      <c r="D27" s="93">
        <v>0</v>
      </c>
      <c r="E27" s="254">
        <f t="shared" si="1"/>
        <v>2.2585579474118721E-2</v>
      </c>
      <c r="F27" s="254">
        <f t="shared" si="1"/>
        <v>-1.6312438275484301E-2</v>
      </c>
      <c r="G27" s="254">
        <f t="shared" si="1"/>
        <v>7.4773548336058218E-2</v>
      </c>
      <c r="H27" s="254">
        <f>(+H13-H20)/ABS(H20)</f>
        <v>9.0461519271547955E-2</v>
      </c>
      <c r="I27" s="254">
        <f t="shared" si="1"/>
        <v>6.7198491631199411E-2</v>
      </c>
      <c r="J27" s="254">
        <f t="shared" si="1"/>
        <v>0.13224603968774146</v>
      </c>
      <c r="K27" s="254">
        <f t="shared" si="1"/>
        <v>1.4240924608374573E-2</v>
      </c>
      <c r="L27" s="254">
        <f t="shared" si="1"/>
        <v>0.10205197705540933</v>
      </c>
      <c r="M27" s="193">
        <f t="shared" si="1"/>
        <v>6.1242920411931127E-2</v>
      </c>
      <c r="N27" s="93">
        <v>0</v>
      </c>
      <c r="O27" s="254">
        <f>(+O13-O20)/ABS(O20)</f>
        <v>9.1688366729973506E-2</v>
      </c>
      <c r="P27" s="1059">
        <f>+O27</f>
        <v>9.1688366729973506E-2</v>
      </c>
      <c r="Q27" s="254">
        <f t="shared" si="2"/>
        <v>0.12898696487786418</v>
      </c>
      <c r="R27" s="254">
        <f t="shared" si="2"/>
        <v>5.7655769594191645E-3</v>
      </c>
      <c r="S27" s="193">
        <f t="shared" si="2"/>
        <v>7.6855240826429264E-2</v>
      </c>
      <c r="T27" s="255">
        <f>(+T13-T20)/ABS(T20)</f>
        <v>6.3982202192374577E-2</v>
      </c>
      <c r="U27" s="60"/>
      <c r="V27" s="1"/>
      <c r="W27" s="1"/>
      <c r="X27" s="1"/>
      <c r="Y27" s="1"/>
      <c r="Z27" s="1"/>
      <c r="AA27" s="1"/>
      <c r="AB27" s="1"/>
      <c r="AC27" s="1"/>
      <c r="AD27" s="1"/>
      <c r="AE27" s="1"/>
      <c r="AF27" s="1"/>
      <c r="AG27" s="1"/>
      <c r="AH27" s="1"/>
      <c r="AI27" s="1"/>
      <c r="AJ27" s="1"/>
      <c r="AK27" s="1"/>
      <c r="AL27" s="1"/>
      <c r="AM27" s="1"/>
      <c r="AN27" s="1"/>
      <c r="AO27" s="1"/>
      <c r="AP27" s="1"/>
      <c r="AQ27" s="1"/>
      <c r="AR27" s="1"/>
    </row>
    <row r="28" spans="1:44" ht="16.5" thickBot="1">
      <c r="A28" s="256" t="s">
        <v>184</v>
      </c>
      <c r="B28" s="257">
        <f>(+B14-B21)/ABS(B21)</f>
        <v>5.5753365175858207E-3</v>
      </c>
      <c r="C28" s="1054">
        <v>0</v>
      </c>
      <c r="D28" s="1054">
        <v>0</v>
      </c>
      <c r="E28" s="257">
        <f t="shared" si="1"/>
        <v>-3.2473290823867233E-2</v>
      </c>
      <c r="F28" s="257">
        <f t="shared" si="1"/>
        <v>3.5326308911215565E-3</v>
      </c>
      <c r="G28" s="257">
        <f t="shared" si="1"/>
        <v>-0.93814162875449592</v>
      </c>
      <c r="H28" s="257">
        <f>(+H14-H21)/ABS(H21)</f>
        <v>2.7429796355841373E-2</v>
      </c>
      <c r="I28" s="257">
        <f t="shared" si="1"/>
        <v>0.10226182633519411</v>
      </c>
      <c r="J28" s="257">
        <f t="shared" si="1"/>
        <v>7.7446627286134537E-2</v>
      </c>
      <c r="K28" s="257">
        <f t="shared" si="1"/>
        <v>2.1316033364226137E-2</v>
      </c>
      <c r="L28" s="257">
        <f t="shared" si="1"/>
        <v>4.9241180844470121E-2</v>
      </c>
      <c r="M28" s="258">
        <f t="shared" si="1"/>
        <v>-4.1252592304739093E-2</v>
      </c>
      <c r="N28" s="1054">
        <v>0</v>
      </c>
      <c r="O28" s="257">
        <f>(+O14-O21)/ABS(O21)</f>
        <v>7.8840484606244696E-2</v>
      </c>
      <c r="P28" s="1060">
        <f>+O28</f>
        <v>7.8840484606244696E-2</v>
      </c>
      <c r="Q28" s="257">
        <f t="shared" si="2"/>
        <v>0.76551955557212636</v>
      </c>
      <c r="R28" s="257">
        <f t="shared" si="2"/>
        <v>8.1863854595336072</v>
      </c>
      <c r="S28" s="258">
        <f t="shared" si="2"/>
        <v>3.2528943732431275</v>
      </c>
      <c r="T28" s="259">
        <f>(+T14-T21)/ABS(T21)</f>
        <v>3.8116629005959315E-2</v>
      </c>
      <c r="U28" s="60"/>
      <c r="V28" s="1"/>
      <c r="W28" s="1"/>
      <c r="X28" s="1"/>
      <c r="Y28" s="1"/>
      <c r="Z28" s="1"/>
      <c r="AA28" s="1"/>
      <c r="AB28" s="1"/>
      <c r="AC28" s="1"/>
      <c r="AD28" s="1"/>
      <c r="AE28" s="1"/>
      <c r="AF28" s="1"/>
      <c r="AG28" s="1"/>
      <c r="AH28" s="1"/>
      <c r="AI28" s="1"/>
      <c r="AJ28" s="1"/>
      <c r="AK28" s="1"/>
      <c r="AL28" s="1"/>
      <c r="AM28" s="1"/>
      <c r="AN28" s="1"/>
      <c r="AO28" s="1"/>
      <c r="AP28" s="1"/>
      <c r="AQ28" s="1"/>
      <c r="AR28" s="1"/>
    </row>
    <row r="29" spans="1:44" ht="17.25" thickTop="1" thickBot="1">
      <c r="A29" s="72"/>
      <c r="B29" s="254"/>
      <c r="C29" s="254"/>
      <c r="D29" s="254"/>
      <c r="E29" s="254"/>
      <c r="F29" s="254"/>
      <c r="G29" s="254"/>
      <c r="H29" s="254"/>
      <c r="I29" s="254"/>
      <c r="J29" s="254"/>
      <c r="K29" s="254"/>
      <c r="L29" s="254"/>
      <c r="M29" s="261"/>
      <c r="N29" s="261"/>
      <c r="O29" s="254"/>
      <c r="P29" s="1061"/>
      <c r="Q29" s="254"/>
      <c r="R29" s="254"/>
      <c r="S29" s="261"/>
      <c r="T29" s="261"/>
      <c r="U29" s="60"/>
      <c r="V29" s="1"/>
      <c r="W29" s="1"/>
      <c r="X29" s="1"/>
      <c r="Y29" s="1"/>
      <c r="Z29" s="1"/>
      <c r="AA29" s="1"/>
      <c r="AB29" s="1"/>
      <c r="AC29" s="1"/>
      <c r="AD29" s="1"/>
      <c r="AE29" s="1"/>
      <c r="AF29" s="1"/>
      <c r="AG29" s="1"/>
      <c r="AH29" s="1"/>
      <c r="AI29" s="1"/>
      <c r="AJ29" s="1"/>
      <c r="AK29" s="1"/>
      <c r="AL29" s="1"/>
      <c r="AM29" s="1"/>
      <c r="AN29" s="1"/>
      <c r="AO29" s="1"/>
      <c r="AP29" s="1"/>
      <c r="AQ29" s="1"/>
      <c r="AR29" s="1"/>
    </row>
    <row r="30" spans="1:44" ht="19.5" thickTop="1">
      <c r="A30" s="290" t="s">
        <v>365</v>
      </c>
      <c r="B30" s="263" t="s">
        <v>0</v>
      </c>
      <c r="C30" s="263" t="s">
        <v>0</v>
      </c>
      <c r="D30" s="263"/>
      <c r="E30" s="263" t="s">
        <v>0</v>
      </c>
      <c r="F30" s="263" t="s">
        <v>0</v>
      </c>
      <c r="G30" s="263" t="s">
        <v>0</v>
      </c>
      <c r="H30" s="264" t="s">
        <v>0</v>
      </c>
      <c r="I30" s="263" t="s">
        <v>0</v>
      </c>
      <c r="J30" s="263" t="s">
        <v>0</v>
      </c>
      <c r="K30" s="263" t="s">
        <v>0</v>
      </c>
      <c r="L30" s="263" t="s">
        <v>0</v>
      </c>
      <c r="M30" s="273" t="s">
        <v>0</v>
      </c>
      <c r="N30" s="1119"/>
      <c r="O30" s="263" t="s">
        <v>0</v>
      </c>
      <c r="P30" s="281"/>
      <c r="Q30" s="263" t="s">
        <v>0</v>
      </c>
      <c r="R30" s="264" t="s">
        <v>0</v>
      </c>
      <c r="S30" s="281" t="s">
        <v>0</v>
      </c>
      <c r="T30" s="269" t="s">
        <v>0</v>
      </c>
      <c r="U30" s="60" t="s">
        <v>0</v>
      </c>
      <c r="V30" s="1" t="s">
        <v>0</v>
      </c>
      <c r="W30" s="1" t="s">
        <v>0</v>
      </c>
      <c r="X30" s="1" t="s">
        <v>0</v>
      </c>
      <c r="Y30" s="1"/>
      <c r="Z30" s="1"/>
      <c r="AA30" s="1"/>
      <c r="AB30" s="1"/>
      <c r="AC30" s="1"/>
      <c r="AD30" s="1"/>
      <c r="AE30" s="1"/>
      <c r="AF30" s="1"/>
      <c r="AG30" s="1"/>
      <c r="AH30" s="1"/>
      <c r="AI30" s="1"/>
      <c r="AJ30" s="1"/>
      <c r="AK30" s="1"/>
      <c r="AL30" s="1"/>
      <c r="AM30" s="1"/>
      <c r="AN30" s="1"/>
      <c r="AO30" s="1"/>
      <c r="AP30" s="1"/>
      <c r="AQ30" s="1"/>
      <c r="AR30" s="1"/>
    </row>
    <row r="31" spans="1:44">
      <c r="A31" s="260" t="s">
        <v>366</v>
      </c>
      <c r="B31" s="92"/>
      <c r="C31" s="92"/>
      <c r="D31" s="92"/>
      <c r="E31" s="254" t="s">
        <v>0</v>
      </c>
      <c r="F31" s="93" t="s">
        <v>0</v>
      </c>
      <c r="G31" s="92"/>
      <c r="H31" s="93" t="s">
        <v>0</v>
      </c>
      <c r="I31" s="93" t="s">
        <v>0</v>
      </c>
      <c r="J31" s="93" t="s">
        <v>0</v>
      </c>
      <c r="K31" s="92"/>
      <c r="L31" s="92"/>
      <c r="M31" s="191"/>
      <c r="N31" s="94"/>
      <c r="O31" s="92"/>
      <c r="P31" s="197"/>
      <c r="Q31" s="92"/>
      <c r="R31" s="93" t="s">
        <v>0</v>
      </c>
      <c r="S31" s="197"/>
      <c r="T31" s="270"/>
      <c r="U31" s="60"/>
      <c r="V31" s="1"/>
      <c r="W31" s="1"/>
      <c r="X31" s="1"/>
      <c r="Y31" s="1"/>
      <c r="Z31" s="1"/>
      <c r="AA31" s="1"/>
      <c r="AB31" s="1"/>
      <c r="AC31" s="1"/>
      <c r="AD31" s="1"/>
      <c r="AE31" s="1"/>
      <c r="AF31" s="1"/>
      <c r="AG31" s="1"/>
      <c r="AH31" s="1"/>
      <c r="AI31" s="1"/>
      <c r="AJ31" s="1"/>
      <c r="AK31" s="1"/>
      <c r="AL31" s="1"/>
      <c r="AM31" s="1"/>
      <c r="AN31" s="1"/>
      <c r="AO31" s="1"/>
      <c r="AP31" s="1"/>
      <c r="AQ31" s="1"/>
      <c r="AR31" s="1"/>
    </row>
    <row r="32" spans="1:44">
      <c r="A32" s="252" t="s">
        <v>201</v>
      </c>
      <c r="B32" s="92">
        <f>+'RÉSULTsyst  '!B16</f>
        <v>96.699999999999989</v>
      </c>
      <c r="C32" s="92">
        <v>0</v>
      </c>
      <c r="D32" s="92">
        <v>0</v>
      </c>
      <c r="E32" s="92">
        <f>+'RÉSULTsyst  '!C16</f>
        <v>20702</v>
      </c>
      <c r="F32" s="92">
        <f>+'RÉSULTsyst  '!D16</f>
        <v>9155.7999999999993</v>
      </c>
      <c r="G32" s="92">
        <f>+'RÉSULTsyst  '!E16</f>
        <v>27757</v>
      </c>
      <c r="H32" s="92">
        <f>+'RÉSULTsyst  '!F16</f>
        <v>18128</v>
      </c>
      <c r="I32" s="92">
        <f>+'RÉSULTsyst  '!G16</f>
        <v>29383.300000000003</v>
      </c>
      <c r="J32" s="92">
        <f>+'RÉSULTsyst  '!H16</f>
        <v>19733.099999999999</v>
      </c>
      <c r="K32" s="92">
        <f>+'RÉSULTsyst  '!I16</f>
        <v>82520.600000000006</v>
      </c>
      <c r="L32" s="92">
        <f>+'RÉSULTsyst  '!J16</f>
        <v>53749.7</v>
      </c>
      <c r="M32" s="191">
        <f>SUM(B32:L32)</f>
        <v>261226.2</v>
      </c>
      <c r="N32" s="92">
        <f>+'RÉSULTsyst  '!L16</f>
        <v>65.699999999999989</v>
      </c>
      <c r="O32" s="92">
        <f>+'RÉSULTsyst  '!M16</f>
        <v>11235.400000000001</v>
      </c>
      <c r="P32" s="197">
        <f>SUM(N32:O32)</f>
        <v>11301.100000000002</v>
      </c>
      <c r="Q32" s="92">
        <f>+'RÉSULTsyst  '!O16</f>
        <v>20032</v>
      </c>
      <c r="R32" s="92">
        <f>+'RÉSULTsyst  '!P16</f>
        <v>17785</v>
      </c>
      <c r="S32" s="197">
        <f>SUM(Q32:R32)</f>
        <v>37817</v>
      </c>
      <c r="T32" s="270">
        <f>+M32+P32+S32</f>
        <v>310344.3</v>
      </c>
      <c r="U32" s="60"/>
      <c r="V32" s="1"/>
      <c r="W32" s="1"/>
      <c r="X32" s="1"/>
      <c r="Y32" s="1"/>
      <c r="Z32" s="1"/>
      <c r="AA32" s="1"/>
      <c r="AB32" s="1"/>
      <c r="AC32" s="1"/>
      <c r="AD32" s="1"/>
      <c r="AE32" s="1"/>
      <c r="AF32" s="1"/>
      <c r="AG32" s="1"/>
      <c r="AH32" s="1"/>
      <c r="AI32" s="1"/>
      <c r="AJ32" s="1"/>
      <c r="AK32" s="1"/>
      <c r="AL32" s="1"/>
      <c r="AM32" s="1"/>
      <c r="AN32" s="1"/>
      <c r="AO32" s="1"/>
      <c r="AP32" s="1"/>
      <c r="AQ32" s="1"/>
      <c r="AR32" s="1"/>
    </row>
    <row r="33" spans="1:44">
      <c r="A33" s="252" t="s">
        <v>202</v>
      </c>
      <c r="B33" s="92">
        <f>+'RÉSULTsyst  '!B22</f>
        <v>199.1</v>
      </c>
      <c r="C33" s="92">
        <v>0</v>
      </c>
      <c r="D33" s="92">
        <v>0</v>
      </c>
      <c r="E33" s="92">
        <f>+'RÉSULTsyst  '!C22</f>
        <v>10336</v>
      </c>
      <c r="F33" s="92">
        <f>+'RÉSULTsyst  '!D22</f>
        <v>1856.9</v>
      </c>
      <c r="G33" s="92">
        <f>+'RÉSULTsyst  '!E22</f>
        <v>13880</v>
      </c>
      <c r="H33" s="92">
        <f>+'RÉSULTsyst  '!F22</f>
        <v>6266</v>
      </c>
      <c r="I33" s="92">
        <f>+'RÉSULTsyst  '!G22</f>
        <v>12785</v>
      </c>
      <c r="J33" s="92">
        <f>+'RÉSULTsyst  '!H22</f>
        <v>12178.900000000001</v>
      </c>
      <c r="K33" s="92">
        <f>+'RÉSULTsyst  '!I22</f>
        <v>34001.9</v>
      </c>
      <c r="L33" s="92">
        <f>+'RÉSULTsyst  '!J22</f>
        <v>27620.5</v>
      </c>
      <c r="M33" s="191">
        <f>SUM(B33:L33)</f>
        <v>119124.3</v>
      </c>
      <c r="N33" s="92">
        <f>+'RÉSULTsyst  '!L22</f>
        <v>0.2</v>
      </c>
      <c r="O33" s="92">
        <f>+'RÉSULTsyst  '!M22</f>
        <v>2496</v>
      </c>
      <c r="P33" s="197">
        <f>SUM(N33:O33)</f>
        <v>2496.1999999999998</v>
      </c>
      <c r="Q33" s="92">
        <f>+'RÉSULTsyst  '!O22</f>
        <v>12101</v>
      </c>
      <c r="R33" s="92">
        <f>+'RÉSULTsyst  '!P22</f>
        <v>3791</v>
      </c>
      <c r="S33" s="197">
        <f>SUM(Q33:R33)</f>
        <v>15892</v>
      </c>
      <c r="T33" s="270">
        <f>+M33+P33+S33</f>
        <v>137512.5</v>
      </c>
      <c r="U33" s="60"/>
      <c r="V33" s="1"/>
      <c r="W33" s="1"/>
      <c r="X33" s="1"/>
      <c r="Y33" s="1"/>
      <c r="Z33" s="1"/>
      <c r="AA33" s="1"/>
      <c r="AB33" s="1"/>
      <c r="AC33" s="1"/>
      <c r="AD33" s="1"/>
      <c r="AE33" s="1"/>
      <c r="AF33" s="1"/>
      <c r="AG33" s="1"/>
      <c r="AH33" s="1"/>
      <c r="AI33" s="1"/>
      <c r="AJ33" s="1"/>
      <c r="AK33" s="1"/>
      <c r="AL33" s="1"/>
      <c r="AM33" s="1"/>
      <c r="AN33" s="1"/>
      <c r="AO33" s="1"/>
      <c r="AP33" s="1"/>
      <c r="AQ33" s="1"/>
      <c r="AR33" s="1"/>
    </row>
    <row r="34" spans="1:44" ht="17.25">
      <c r="A34" s="252" t="s">
        <v>203</v>
      </c>
      <c r="B34" s="92">
        <f>+'RÉSULTsyst  '!B26</f>
        <v>0</v>
      </c>
      <c r="C34" s="92">
        <v>0</v>
      </c>
      <c r="D34" s="92">
        <v>0</v>
      </c>
      <c r="E34" s="92">
        <f>+'RÉSULTsyst  '!C26</f>
        <v>0</v>
      </c>
      <c r="F34" s="92">
        <f>+'RÉSULTsyst  '!D26</f>
        <v>1800</v>
      </c>
      <c r="G34" s="92">
        <f>+'RÉSULTsyst  '!E26</f>
        <v>2499</v>
      </c>
      <c r="H34" s="92">
        <f>+'RÉSULTsyst  '!F26</f>
        <v>750</v>
      </c>
      <c r="I34" s="92">
        <f>+'RÉSULTsyst  '!G26</f>
        <v>0</v>
      </c>
      <c r="J34" s="92">
        <f>+'RÉSULTsyst  '!H26</f>
        <v>2300</v>
      </c>
      <c r="K34" s="92">
        <f>+'RÉSULTsyst  '!I26</f>
        <v>3000</v>
      </c>
      <c r="L34" s="92">
        <f>+'RÉSULTsyst  '!J26</f>
        <v>4350</v>
      </c>
      <c r="M34" s="191">
        <f>SUM(B34:L34)</f>
        <v>14699</v>
      </c>
      <c r="N34" s="92">
        <f>+'RÉSULTsyst  '!L26</f>
        <v>143.80000000000001</v>
      </c>
      <c r="O34" s="92">
        <f>+'RÉSULTsyst  '!M26</f>
        <v>1278.4000000000001</v>
      </c>
      <c r="P34" s="197">
        <f>SUM(N34:O34)</f>
        <v>1422.2</v>
      </c>
      <c r="Q34" s="92">
        <f>+'RÉSULTsyst  '!O26</f>
        <v>0</v>
      </c>
      <c r="R34" s="92">
        <f>+'RÉSULTsyst  '!P26</f>
        <v>838</v>
      </c>
      <c r="S34" s="197">
        <f>SUM(Q34:R34)</f>
        <v>838</v>
      </c>
      <c r="T34" s="270">
        <f>+M34+P34+S34</f>
        <v>16959.2</v>
      </c>
      <c r="U34" s="64"/>
      <c r="V34" s="66"/>
      <c r="W34" s="66"/>
      <c r="X34" s="66"/>
      <c r="Y34" s="1"/>
      <c r="Z34" s="1"/>
      <c r="AA34" s="1"/>
      <c r="AB34" s="1"/>
      <c r="AC34" s="1"/>
      <c r="AD34" s="1"/>
      <c r="AE34" s="1"/>
      <c r="AF34" s="1"/>
      <c r="AG34" s="1"/>
      <c r="AH34" s="1"/>
      <c r="AI34" s="1"/>
      <c r="AJ34" s="1"/>
      <c r="AK34" s="1"/>
      <c r="AL34" s="1"/>
      <c r="AM34" s="1"/>
      <c r="AN34" s="1"/>
      <c r="AO34" s="1"/>
      <c r="AP34" s="1"/>
      <c r="AQ34" s="1"/>
      <c r="AR34" s="1"/>
    </row>
    <row r="35" spans="1:44" ht="16.149999999999999" customHeight="1">
      <c r="A35" s="252" t="s">
        <v>367</v>
      </c>
      <c r="B35" s="92">
        <f>+'RÉSULTsyst  '!B36</f>
        <v>240.10000000000002</v>
      </c>
      <c r="C35" s="92">
        <v>0</v>
      </c>
      <c r="D35" s="92">
        <v>0</v>
      </c>
      <c r="E35" s="92">
        <f>+'RÉSULTsyst  '!C36</f>
        <v>32292</v>
      </c>
      <c r="F35" s="92">
        <f>+'RÉSULTsyst  '!D36</f>
        <v>8920.2000000000007</v>
      </c>
      <c r="G35" s="92">
        <f>+'RÉSULTsyst  '!E36</f>
        <v>41165</v>
      </c>
      <c r="H35" s="92">
        <f>+'RÉSULTsyst  '!F36</f>
        <v>19332</v>
      </c>
      <c r="I35" s="92">
        <f>+'RÉSULTsyst  '!G36</f>
        <v>29734.600000000002</v>
      </c>
      <c r="J35" s="92">
        <f>+'RÉSULTsyst  '!H36</f>
        <v>23108</v>
      </c>
      <c r="K35" s="92">
        <f>+'RÉSULTsyst  '!I36</f>
        <v>93615.5</v>
      </c>
      <c r="L35" s="92">
        <f>+'RÉSULTsyst  '!J36</f>
        <v>60475.4</v>
      </c>
      <c r="M35" s="191">
        <f>SUM(B35:L35)</f>
        <v>308882.8</v>
      </c>
      <c r="N35" s="92">
        <f>+'RÉSULTsyst  '!L36</f>
        <v>1119</v>
      </c>
      <c r="O35" s="92">
        <f>+'RÉSULTsyst  '!M36</f>
        <v>6943.5</v>
      </c>
      <c r="P35" s="197">
        <f>SUM(N35:O35)</f>
        <v>8062.5</v>
      </c>
      <c r="Q35" s="92">
        <f>+'RÉSULTsyst  '!O36</f>
        <v>15043</v>
      </c>
      <c r="R35" s="92">
        <f>+'RÉSULTsyst  '!P36</f>
        <v>18546</v>
      </c>
      <c r="S35" s="197">
        <f>SUM(Q35:R35)</f>
        <v>33589</v>
      </c>
      <c r="T35" s="270">
        <f>+M35+P35+S35</f>
        <v>350534.3</v>
      </c>
      <c r="U35" s="60"/>
      <c r="V35" s="1"/>
      <c r="W35" s="1"/>
      <c r="X35" s="1"/>
      <c r="Y35" s="1"/>
      <c r="Z35" s="1"/>
      <c r="AA35" s="1"/>
      <c r="AB35" s="1"/>
      <c r="AC35" s="1"/>
      <c r="AD35" s="1"/>
      <c r="AE35" s="1"/>
      <c r="AF35" s="1"/>
      <c r="AG35" s="1"/>
      <c r="AH35" s="1"/>
      <c r="AI35" s="1"/>
      <c r="AJ35" s="1"/>
      <c r="AK35" s="1"/>
      <c r="AL35" s="1"/>
      <c r="AM35" s="1"/>
      <c r="AN35" s="1"/>
      <c r="AO35" s="1"/>
      <c r="AP35" s="1"/>
      <c r="AQ35" s="1"/>
      <c r="AR35" s="1"/>
    </row>
    <row r="36" spans="1:44" ht="16.149999999999999" customHeight="1">
      <c r="A36" s="252" t="s">
        <v>368</v>
      </c>
      <c r="B36" s="92">
        <f>+'RÉSULTsyst  '!B42</f>
        <v>37.09999999999993</v>
      </c>
      <c r="C36" s="92">
        <v>0</v>
      </c>
      <c r="D36" s="92">
        <v>0</v>
      </c>
      <c r="E36" s="92">
        <f>+'RÉSULTsyst  '!C42</f>
        <v>-1254</v>
      </c>
      <c r="F36" s="92">
        <f>+'RÉSULTsyst  '!D42</f>
        <v>292.49999999999818</v>
      </c>
      <c r="G36" s="92">
        <f>+'RÉSULTsyst  '!E42</f>
        <v>-1317</v>
      </c>
      <c r="H36" s="92">
        <f>+'RÉSULTsyst  '!F42</f>
        <v>4312</v>
      </c>
      <c r="I36" s="92">
        <f>+'RÉSULTsyst  '!G42</f>
        <v>8849.2000000000007</v>
      </c>
      <c r="J36" s="92">
        <f>+'RÉSULTsyst  '!H42</f>
        <v>5804</v>
      </c>
      <c r="K36" s="92">
        <f>+'RÉSULTsyst  '!I42</f>
        <v>16244.6</v>
      </c>
      <c r="L36" s="92">
        <f>+'RÉSULTsyst  '!J42</f>
        <v>11401.699999999995</v>
      </c>
      <c r="M36" s="191">
        <f>SUM(B36:L36)</f>
        <v>44370.1</v>
      </c>
      <c r="N36" s="92">
        <f>+'RÉSULTsyst  '!L42</f>
        <v>-1196.9000000000001</v>
      </c>
      <c r="O36" s="92">
        <f>+'RÉSULTsyst  '!M42</f>
        <v>3842.6000000000017</v>
      </c>
      <c r="P36" s="197">
        <f>SUM(N36:O36)</f>
        <v>2645.7000000000016</v>
      </c>
      <c r="Q36" s="92">
        <f>+'RÉSULTsyst  '!O42</f>
        <v>11317</v>
      </c>
      <c r="R36" s="92">
        <f>+'RÉSULTsyst  '!P42</f>
        <v>1241</v>
      </c>
      <c r="S36" s="197">
        <f>SUM(Q36:R36)</f>
        <v>12558</v>
      </c>
      <c r="T36" s="270">
        <f>+M36+P36+S36</f>
        <v>59573.8</v>
      </c>
      <c r="U36" s="60"/>
      <c r="V36" s="1"/>
      <c r="W36" s="1"/>
      <c r="X36" s="1"/>
      <c r="Y36" s="1"/>
      <c r="Z36" s="1"/>
      <c r="AA36" s="1"/>
      <c r="AB36" s="1"/>
      <c r="AC36" s="1"/>
      <c r="AD36" s="1"/>
      <c r="AE36" s="1"/>
      <c r="AF36" s="1"/>
      <c r="AG36" s="1"/>
      <c r="AH36" s="1"/>
      <c r="AI36" s="1"/>
      <c r="AJ36" s="1"/>
      <c r="AK36" s="1"/>
      <c r="AL36" s="1"/>
      <c r="AM36" s="1"/>
      <c r="AN36" s="1"/>
      <c r="AO36" s="1"/>
      <c r="AP36" s="1"/>
      <c r="AQ36" s="1"/>
      <c r="AR36" s="1"/>
    </row>
    <row r="37" spans="1:44" ht="16.149999999999999" customHeight="1">
      <c r="A37" s="252"/>
      <c r="B37" s="92"/>
      <c r="C37"/>
      <c r="D37" s="276" t="s">
        <v>0</v>
      </c>
      <c r="E37" s="254"/>
      <c r="F37" s="93"/>
      <c r="G37" s="92"/>
      <c r="H37" s="93"/>
      <c r="I37" s="93"/>
      <c r="J37" s="93"/>
      <c r="K37" s="92"/>
      <c r="L37" s="92"/>
      <c r="M37" s="191"/>
      <c r="N37" s="94"/>
      <c r="O37" s="92"/>
      <c r="P37" s="197"/>
      <c r="Q37" s="92"/>
      <c r="R37" s="93"/>
      <c r="S37" s="197"/>
      <c r="T37" s="270"/>
      <c r="U37" s="60"/>
      <c r="V37" s="1"/>
      <c r="W37" s="1"/>
      <c r="X37" s="1"/>
      <c r="Y37" s="1"/>
      <c r="Z37" s="1"/>
      <c r="AA37" s="1"/>
      <c r="AB37" s="1"/>
      <c r="AC37" s="1"/>
      <c r="AD37" s="1"/>
      <c r="AE37" s="1"/>
      <c r="AF37" s="1"/>
      <c r="AG37" s="1"/>
      <c r="AH37" s="1"/>
      <c r="AI37" s="1"/>
      <c r="AJ37" s="1"/>
      <c r="AK37" s="1"/>
      <c r="AL37" s="1"/>
      <c r="AM37" s="1"/>
      <c r="AN37" s="1"/>
      <c r="AO37" s="1"/>
      <c r="AP37" s="1"/>
      <c r="AQ37" s="1"/>
      <c r="AR37" s="1"/>
    </row>
    <row r="38" spans="1:44">
      <c r="A38" s="260" t="s">
        <v>369</v>
      </c>
      <c r="B38" s="92"/>
      <c r="C38" s="92"/>
      <c r="D38" s="92"/>
      <c r="E38" s="254" t="s">
        <v>0</v>
      </c>
      <c r="F38" s="93" t="s">
        <v>0</v>
      </c>
      <c r="G38" s="92"/>
      <c r="H38" s="93" t="s">
        <v>0</v>
      </c>
      <c r="I38" s="93" t="s">
        <v>0</v>
      </c>
      <c r="J38" s="93" t="s">
        <v>0</v>
      </c>
      <c r="K38" s="92"/>
      <c r="L38" s="92"/>
      <c r="M38" s="191"/>
      <c r="N38" s="94"/>
      <c r="O38" s="92"/>
      <c r="P38" s="197"/>
      <c r="Q38" s="92"/>
      <c r="R38" s="93" t="s">
        <v>0</v>
      </c>
      <c r="S38" s="197"/>
      <c r="T38" s="270"/>
      <c r="U38" s="60"/>
      <c r="V38" s="1"/>
      <c r="W38" s="1"/>
      <c r="X38" s="1"/>
      <c r="Y38" s="1"/>
      <c r="Z38" s="1"/>
      <c r="AA38" s="1"/>
      <c r="AB38" s="1"/>
      <c r="AC38" s="1"/>
      <c r="AD38" s="1"/>
      <c r="AE38" s="1"/>
      <c r="AF38" s="1"/>
      <c r="AG38" s="1"/>
      <c r="AH38" s="1"/>
      <c r="AI38" s="1"/>
      <c r="AJ38" s="1"/>
      <c r="AK38" s="1"/>
      <c r="AL38" s="1"/>
      <c r="AM38" s="1"/>
      <c r="AN38" s="1"/>
      <c r="AO38" s="1"/>
      <c r="AP38" s="1"/>
      <c r="AQ38" s="1"/>
      <c r="AR38" s="1"/>
    </row>
    <row r="39" spans="1:44">
      <c r="A39" s="252" t="s">
        <v>201</v>
      </c>
      <c r="B39" s="92">
        <f>+'RÉSULTsyst  '!B58</f>
        <v>100.4</v>
      </c>
      <c r="C39" s="92">
        <f>+'RÉSULTsyst  '!C58</f>
        <v>20175.599999999999</v>
      </c>
      <c r="D39" s="92">
        <f>+'RÉSULTsyst  '!D58</f>
        <v>910.59999999999991</v>
      </c>
      <c r="E39" s="92">
        <f>+'RÉSULTsyst  '!E58</f>
        <v>18995</v>
      </c>
      <c r="F39" s="92">
        <f>+'RÉSULTsyst  '!F58</f>
        <v>8080.4000000000015</v>
      </c>
      <c r="G39" s="92">
        <f>+'RÉSULTsyst  '!G58</f>
        <v>26335</v>
      </c>
      <c r="H39" s="92">
        <f>+'RÉSULTsyst  '!M58</f>
        <v>15525</v>
      </c>
      <c r="I39" s="92">
        <f>+'RÉSULTsyst  '!H58</f>
        <v>14799.400000000005</v>
      </c>
      <c r="J39" s="92">
        <f>+'RÉSULTsyst  '!I58</f>
        <v>12383</v>
      </c>
      <c r="K39" s="92">
        <f>+'RÉSULTsyst  '!J58</f>
        <v>53224.800000000003</v>
      </c>
      <c r="L39" s="92">
        <f>+'RÉSULTsyst  '!K58</f>
        <v>37268.900000000009</v>
      </c>
      <c r="M39" s="191">
        <f>SUM(B39:L39)</f>
        <v>207798.10000000003</v>
      </c>
      <c r="N39" s="1150">
        <v>0</v>
      </c>
      <c r="O39" s="92">
        <f>+'RÉSULTsyst  '!N58</f>
        <v>6385.2999999999993</v>
      </c>
      <c r="P39" s="197">
        <f>+O39</f>
        <v>6385.2999999999993</v>
      </c>
      <c r="Q39" s="92">
        <f>+'RÉSULTsyst  '!P58</f>
        <v>15902</v>
      </c>
      <c r="R39" s="92">
        <f>+'RÉSULTsyst  '!Q58</f>
        <v>15675</v>
      </c>
      <c r="S39" s="197">
        <f>SUM(Q39:R39)</f>
        <v>31577</v>
      </c>
      <c r="T39" s="270">
        <f>+M39+P39+S39</f>
        <v>245760.40000000002</v>
      </c>
      <c r="U39" s="60"/>
      <c r="V39" s="1"/>
      <c r="W39" s="1"/>
      <c r="X39" s="1"/>
      <c r="Y39" s="1"/>
      <c r="Z39" s="1"/>
      <c r="AA39" s="1"/>
      <c r="AB39" s="1"/>
      <c r="AC39" s="1"/>
      <c r="AD39" s="1"/>
      <c r="AE39" s="1"/>
      <c r="AF39" s="1"/>
      <c r="AG39" s="1"/>
      <c r="AH39" s="1"/>
      <c r="AI39" s="1"/>
      <c r="AJ39" s="1"/>
      <c r="AK39" s="1"/>
      <c r="AL39" s="1"/>
      <c r="AM39" s="1"/>
      <c r="AN39" s="1"/>
      <c r="AO39" s="1"/>
      <c r="AP39" s="1"/>
      <c r="AQ39" s="1"/>
      <c r="AR39" s="1"/>
    </row>
    <row r="40" spans="1:44">
      <c r="A40" s="252" t="s">
        <v>202</v>
      </c>
      <c r="B40" s="92">
        <f>+'RÉSULTsyst  '!B64</f>
        <v>153.5</v>
      </c>
      <c r="C40" s="92">
        <f>+'RÉSULTsyst  '!C64</f>
        <v>4152.5</v>
      </c>
      <c r="D40" s="92">
        <f>+'RÉSULTsyst  '!D64</f>
        <v>334</v>
      </c>
      <c r="E40" s="92">
        <f>+'RÉSULTsyst  '!E64</f>
        <v>7949</v>
      </c>
      <c r="F40" s="92">
        <f>+'RÉSULTsyst  '!F64</f>
        <v>5724.4000000000005</v>
      </c>
      <c r="G40" s="92">
        <f>+'RÉSULTsyst  '!G64</f>
        <v>12427</v>
      </c>
      <c r="H40" s="92">
        <f>+'RÉSULTsyst  '!M64</f>
        <v>2743</v>
      </c>
      <c r="I40" s="92">
        <f>+'RÉSULTsyst  '!H64</f>
        <v>11203.9</v>
      </c>
      <c r="J40" s="92">
        <f>+'RÉSULTsyst  '!I64</f>
        <v>11501.8</v>
      </c>
      <c r="K40" s="92">
        <f>+'RÉSULTsyst  '!J64</f>
        <v>23135.599999999999</v>
      </c>
      <c r="L40" s="92">
        <f>+'RÉSULTsyst  '!K64</f>
        <v>16811.8</v>
      </c>
      <c r="M40" s="191">
        <f>SUM(B40:L40)</f>
        <v>96136.500000000015</v>
      </c>
      <c r="N40" s="1150">
        <v>0</v>
      </c>
      <c r="O40" s="92">
        <f>+'RÉSULTsyst  '!N64</f>
        <v>1610.5</v>
      </c>
      <c r="P40" s="197">
        <f>+O40</f>
        <v>1610.5</v>
      </c>
      <c r="Q40" s="92">
        <f>+'RÉSULTsyst  '!P64</f>
        <v>7455</v>
      </c>
      <c r="R40" s="92">
        <f>+'RÉSULTsyst  '!Q64</f>
        <v>3377</v>
      </c>
      <c r="S40" s="197">
        <f>SUM(Q40:R40)</f>
        <v>10832</v>
      </c>
      <c r="T40" s="270">
        <f>+M40+O40+S40</f>
        <v>108579.00000000001</v>
      </c>
      <c r="U40" s="60"/>
      <c r="V40" s="1"/>
      <c r="W40" s="1"/>
      <c r="X40" s="1"/>
      <c r="Y40" s="1"/>
      <c r="Z40" s="1"/>
      <c r="AA40" s="1"/>
      <c r="AB40" s="1"/>
      <c r="AC40" s="1"/>
      <c r="AD40" s="1"/>
      <c r="AE40" s="1"/>
      <c r="AF40" s="1"/>
      <c r="AG40" s="1"/>
      <c r="AH40" s="1"/>
      <c r="AI40" s="1"/>
      <c r="AJ40" s="1"/>
      <c r="AK40" s="1"/>
      <c r="AL40" s="1"/>
      <c r="AM40" s="1"/>
      <c r="AN40" s="1"/>
      <c r="AO40" s="1"/>
      <c r="AP40" s="1"/>
      <c r="AQ40" s="1"/>
      <c r="AR40" s="1"/>
    </row>
    <row r="41" spans="1:44">
      <c r="A41" s="252" t="s">
        <v>203</v>
      </c>
      <c r="B41" s="92">
        <f>+'RÉSULTsyst  '!B68</f>
        <v>0</v>
      </c>
      <c r="C41" s="92">
        <f>+'RÉSULTsyst  '!C68</f>
        <v>2211.8000000000002</v>
      </c>
      <c r="D41" s="92">
        <f>+'RÉSULTsyst  '!D68</f>
        <v>0</v>
      </c>
      <c r="E41" s="92">
        <f>+'RÉSULTsyst  '!E68</f>
        <v>0</v>
      </c>
      <c r="F41" s="92">
        <f>+'RÉSULTsyst  '!F68</f>
        <v>1800</v>
      </c>
      <c r="G41" s="92">
        <f>+'RÉSULTsyst  '!G68</f>
        <v>1998</v>
      </c>
      <c r="H41" s="92">
        <f>+'RÉSULTsyst  '!M68</f>
        <v>300</v>
      </c>
      <c r="I41" s="92">
        <f>+'RÉSULTsyst  '!H68</f>
        <v>3000</v>
      </c>
      <c r="J41" s="92">
        <f>+'RÉSULTsyst  '!I68</f>
        <v>3200</v>
      </c>
      <c r="K41" s="92">
        <f>+'RÉSULTsyst  '!J68</f>
        <v>3000</v>
      </c>
      <c r="L41" s="92">
        <f>+'RÉSULTsyst  '!K68</f>
        <v>1150</v>
      </c>
      <c r="M41" s="191">
        <f>SUM(B41:L41)</f>
        <v>16659.8</v>
      </c>
      <c r="N41" s="1150">
        <v>0</v>
      </c>
      <c r="O41" s="92">
        <f>+'RÉSULTsyst  '!N68</f>
        <v>300</v>
      </c>
      <c r="P41" s="197">
        <f>+O41</f>
        <v>300</v>
      </c>
      <c r="Q41" s="92">
        <f>+'RÉSULTsyst  '!P68</f>
        <v>1743</v>
      </c>
      <c r="R41" s="92">
        <f>+'RÉSULTsyst  '!Q68</f>
        <v>500</v>
      </c>
      <c r="S41" s="197">
        <f>SUM(Q41:R41)</f>
        <v>2243</v>
      </c>
      <c r="T41" s="270">
        <f>+M41+O41+S41</f>
        <v>19202.8</v>
      </c>
      <c r="U41" s="60"/>
      <c r="V41" s="1"/>
      <c r="W41" s="1"/>
      <c r="X41" s="1"/>
      <c r="Y41" s="1"/>
      <c r="Z41" s="1"/>
      <c r="AA41" s="1"/>
      <c r="AB41" s="1"/>
      <c r="AC41" s="1"/>
      <c r="AD41" s="1"/>
      <c r="AE41" s="1"/>
      <c r="AF41" s="1"/>
      <c r="AG41" s="1"/>
      <c r="AH41" s="1"/>
      <c r="AI41" s="1"/>
      <c r="AJ41" s="1"/>
      <c r="AK41" s="1"/>
      <c r="AL41" s="1"/>
      <c r="AM41" s="1"/>
      <c r="AN41" s="1"/>
      <c r="AO41" s="1"/>
      <c r="AP41" s="1"/>
      <c r="AQ41" s="1"/>
      <c r="AR41" s="1"/>
    </row>
    <row r="42" spans="1:44">
      <c r="A42" s="252" t="s">
        <v>367</v>
      </c>
      <c r="B42" s="92">
        <f>+'RÉSULTsyst  '!B78</f>
        <v>163.9</v>
      </c>
      <c r="C42" s="92">
        <f>+'RÉSULTsyst  '!C78</f>
        <v>26547.7</v>
      </c>
      <c r="D42" s="92">
        <f>+'RÉSULTsyst  '!D78</f>
        <v>1114.5</v>
      </c>
      <c r="E42" s="92">
        <f>+'RÉSULTsyst  '!E78</f>
        <v>38924</v>
      </c>
      <c r="F42" s="92">
        <f>+'RÉSULTsyst  '!F78</f>
        <v>9363.2000000000007</v>
      </c>
      <c r="G42" s="92">
        <f>+'RÉSULTsyst  '!G78</f>
        <v>32466</v>
      </c>
      <c r="H42" s="92">
        <f>+'RÉSULTsyst  '!M78</f>
        <v>13896</v>
      </c>
      <c r="I42" s="92">
        <f>+'RÉSULTsyst  '!H78</f>
        <v>22682</v>
      </c>
      <c r="J42" s="92">
        <f>+'RÉSULTsyst  '!I78</f>
        <v>18055.5</v>
      </c>
      <c r="K42" s="92">
        <f>+'RÉSULTsyst  '!J78</f>
        <v>66829.899999999994</v>
      </c>
      <c r="L42" s="92">
        <f>+'RÉSULTsyst  '!K78</f>
        <v>41862.299999999996</v>
      </c>
      <c r="M42" s="191">
        <f>SUM(B42:L42)</f>
        <v>271905</v>
      </c>
      <c r="N42" s="1150">
        <v>0</v>
      </c>
      <c r="O42" s="92">
        <f>+'RÉSULTsyst  '!N78</f>
        <v>5945.9</v>
      </c>
      <c r="P42" s="197">
        <f>+O42</f>
        <v>5945.9</v>
      </c>
      <c r="Q42" s="92">
        <f>+'RÉSULTsyst  '!P78</f>
        <v>14333</v>
      </c>
      <c r="R42" s="92">
        <f>+'RÉSULTsyst  '!Q78</f>
        <v>16602</v>
      </c>
      <c r="S42" s="197">
        <f>SUM(Q42:R42)</f>
        <v>30935</v>
      </c>
      <c r="T42" s="270">
        <f>+M42+O42+S42</f>
        <v>308785.90000000002</v>
      </c>
      <c r="U42" s="60"/>
      <c r="V42" s="1"/>
      <c r="W42" s="1"/>
      <c r="X42" s="1"/>
      <c r="Y42" s="1"/>
      <c r="Z42" s="1"/>
      <c r="AA42" s="1"/>
      <c r="AB42" s="1"/>
      <c r="AC42" s="1"/>
      <c r="AD42" s="1"/>
      <c r="AE42" s="1"/>
      <c r="AF42" s="1"/>
      <c r="AG42" s="1"/>
      <c r="AH42" s="1"/>
      <c r="AI42" s="1"/>
      <c r="AJ42" s="1"/>
      <c r="AK42" s="1"/>
      <c r="AL42" s="1"/>
      <c r="AM42" s="1"/>
      <c r="AN42" s="1"/>
      <c r="AO42" s="1"/>
      <c r="AP42" s="1"/>
      <c r="AQ42" s="1"/>
      <c r="AR42" s="1"/>
    </row>
    <row r="43" spans="1:44" ht="16.149999999999999" customHeight="1">
      <c r="A43" s="252" t="s">
        <v>368</v>
      </c>
      <c r="B43" s="92">
        <f>+'RÉSULTsyst  '!B84</f>
        <v>76.7</v>
      </c>
      <c r="C43" s="92">
        <f>+'RÉSULTsyst  '!C84</f>
        <v>-3015.2000000000016</v>
      </c>
      <c r="D43" s="92">
        <f>+'RÉSULTsyst  '!D84</f>
        <v>84.699999999999903</v>
      </c>
      <c r="E43" s="92">
        <f>+'RÉSULTsyst  '!E84</f>
        <v>-11980</v>
      </c>
      <c r="F43" s="92">
        <f>+'RÉSULTsyst  '!F84</f>
        <v>2641.6000000000022</v>
      </c>
      <c r="G43" s="92">
        <f>+'RÉSULTsyst  '!G84</f>
        <v>2794</v>
      </c>
      <c r="H43" s="92">
        <f>+'RÉSULTsyst  '!M84</f>
        <v>3061</v>
      </c>
      <c r="I43" s="92">
        <f>+'RÉSULTsyst  '!H84</f>
        <v>551.00000000000296</v>
      </c>
      <c r="J43" s="92">
        <f>+'RÉSULTsyst  '!I84</f>
        <v>1879.2999999999993</v>
      </c>
      <c r="K43" s="92">
        <f>+'RÉSULTsyst  '!J84</f>
        <v>4244.8999999999996</v>
      </c>
      <c r="L43" s="92">
        <f>+'RÉSULTsyst  '!K84</f>
        <v>7650.400000000016</v>
      </c>
      <c r="M43" s="191">
        <f>SUM(B43:L43)</f>
        <v>7988.4000000000169</v>
      </c>
      <c r="N43" s="1150">
        <v>0</v>
      </c>
      <c r="O43" s="92">
        <f>+'RÉSULTsyst  '!N84</f>
        <v>1267.0999999999997</v>
      </c>
      <c r="P43" s="197">
        <f>+O43</f>
        <v>1267.0999999999997</v>
      </c>
      <c r="Q43" s="92">
        <f>+'RÉSULTsyst  '!P84</f>
        <v>4727</v>
      </c>
      <c r="R43" s="92">
        <f>+'RÉSULTsyst  '!Q84</f>
        <v>1247</v>
      </c>
      <c r="S43" s="197">
        <f>SUM(Q43:R43)</f>
        <v>5974</v>
      </c>
      <c r="T43" s="270">
        <f>+M43+O43+S43</f>
        <v>15229.500000000016</v>
      </c>
      <c r="U43" s="60"/>
      <c r="V43" s="1"/>
      <c r="W43" s="1"/>
      <c r="X43" s="1"/>
      <c r="Y43" s="1"/>
      <c r="Z43" s="1"/>
      <c r="AA43" s="1"/>
      <c r="AB43" s="1"/>
      <c r="AC43" s="1"/>
      <c r="AD43" s="1"/>
      <c r="AE43" s="1"/>
      <c r="AF43" s="1"/>
      <c r="AG43" s="1"/>
      <c r="AH43" s="1"/>
      <c r="AI43" s="1"/>
      <c r="AJ43" s="1"/>
      <c r="AK43" s="1"/>
      <c r="AL43" s="1"/>
      <c r="AM43" s="1"/>
      <c r="AN43" s="1"/>
      <c r="AO43" s="1"/>
      <c r="AP43" s="1"/>
      <c r="AQ43" s="1"/>
      <c r="AR43" s="1"/>
    </row>
    <row r="44" spans="1:44" ht="16.149999999999999" customHeight="1">
      <c r="A44" s="252"/>
      <c r="B44" s="92"/>
      <c r="C44" s="92"/>
      <c r="D44" s="92"/>
      <c r="E44" s="254"/>
      <c r="F44" s="93"/>
      <c r="G44" s="92"/>
      <c r="H44" s="93"/>
      <c r="I44" s="93"/>
      <c r="J44" s="93"/>
      <c r="K44" s="92"/>
      <c r="L44" s="92"/>
      <c r="M44" s="191"/>
      <c r="N44" s="303"/>
      <c r="O44" s="92"/>
      <c r="P44" s="197"/>
      <c r="Q44" s="92"/>
      <c r="R44" s="93"/>
      <c r="S44" s="197"/>
      <c r="T44" s="270"/>
      <c r="U44" s="60"/>
      <c r="V44" s="1"/>
      <c r="W44" s="1"/>
      <c r="X44" s="1"/>
      <c r="Y44" s="1"/>
      <c r="Z44" s="1"/>
      <c r="AA44" s="1"/>
      <c r="AB44" s="1"/>
      <c r="AC44" s="1"/>
      <c r="AD44" s="1"/>
      <c r="AE44" s="1"/>
      <c r="AF44" s="1"/>
      <c r="AG44" s="1"/>
      <c r="AH44" s="1"/>
      <c r="AI44" s="1"/>
      <c r="AJ44" s="1"/>
      <c r="AK44" s="1"/>
      <c r="AL44" s="1"/>
      <c r="AM44" s="1"/>
      <c r="AN44" s="1"/>
      <c r="AO44" s="1"/>
      <c r="AP44" s="1"/>
      <c r="AQ44" s="1"/>
      <c r="AR44" s="1"/>
    </row>
    <row r="45" spans="1:44" ht="17.25">
      <c r="A45" s="260" t="s">
        <v>370</v>
      </c>
      <c r="B45" s="92" t="s">
        <v>0</v>
      </c>
      <c r="C45" s="92" t="s">
        <v>0</v>
      </c>
      <c r="D45" s="92"/>
      <c r="E45" s="93" t="s">
        <v>0</v>
      </c>
      <c r="F45" s="92" t="s">
        <v>0</v>
      </c>
      <c r="G45" s="92" t="s">
        <v>0</v>
      </c>
      <c r="H45" s="93" t="s">
        <v>0</v>
      </c>
      <c r="I45" s="92" t="s">
        <v>0</v>
      </c>
      <c r="J45" s="92" t="s">
        <v>0</v>
      </c>
      <c r="K45" s="92" t="s">
        <v>0</v>
      </c>
      <c r="L45" s="92" t="s">
        <v>0</v>
      </c>
      <c r="M45" s="191" t="s">
        <v>0</v>
      </c>
      <c r="N45" s="303"/>
      <c r="O45" s="92" t="s">
        <v>0</v>
      </c>
      <c r="P45" s="197"/>
      <c r="Q45" s="92" t="s">
        <v>0</v>
      </c>
      <c r="R45" s="93" t="s">
        <v>0</v>
      </c>
      <c r="S45" s="197" t="s">
        <v>0</v>
      </c>
      <c r="T45" s="270" t="s">
        <v>0</v>
      </c>
      <c r="U45" s="64" t="s">
        <v>0</v>
      </c>
      <c r="V45" s="1"/>
      <c r="W45" s="1"/>
      <c r="X45" s="1"/>
      <c r="Y45" s="1"/>
      <c r="Z45" s="1"/>
      <c r="AA45" s="1"/>
      <c r="AB45" s="1"/>
      <c r="AC45" s="1"/>
      <c r="AD45" s="1"/>
      <c r="AE45" s="1"/>
      <c r="AF45" s="1"/>
      <c r="AG45" s="1"/>
      <c r="AH45" s="1"/>
      <c r="AI45" s="1"/>
      <c r="AJ45" s="1"/>
      <c r="AK45" s="1"/>
      <c r="AL45" s="1"/>
      <c r="AM45" s="1"/>
      <c r="AN45" s="1"/>
      <c r="AO45" s="1"/>
      <c r="AP45" s="1"/>
      <c r="AQ45" s="1"/>
      <c r="AR45" s="1"/>
    </row>
    <row r="46" spans="1:44">
      <c r="A46" s="252" t="s">
        <v>201</v>
      </c>
      <c r="B46" s="262">
        <f t="shared" ref="B46:L46" si="3">+(B32-B39)/ABS(B39)</f>
        <v>-3.6852589641434431E-2</v>
      </c>
      <c r="C46" s="93">
        <v>0</v>
      </c>
      <c r="D46" s="93">
        <v>0</v>
      </c>
      <c r="E46" s="262">
        <f t="shared" si="3"/>
        <v>8.9865754145827856E-2</v>
      </c>
      <c r="F46" s="262">
        <f t="shared" si="3"/>
        <v>0.13308747091728104</v>
      </c>
      <c r="G46" s="262">
        <f t="shared" si="3"/>
        <v>5.399658249477881E-2</v>
      </c>
      <c r="H46" s="262">
        <f>+(H32-H39)/ABS(H39)</f>
        <v>0.16766505636070853</v>
      </c>
      <c r="I46" s="262">
        <f t="shared" si="3"/>
        <v>0.9854385988621156</v>
      </c>
      <c r="J46" s="262">
        <f t="shared" si="3"/>
        <v>0.59356375676330442</v>
      </c>
      <c r="K46" s="262">
        <f t="shared" si="3"/>
        <v>0.55041634726668776</v>
      </c>
      <c r="L46" s="262">
        <f t="shared" si="3"/>
        <v>0.44221321262500329</v>
      </c>
      <c r="M46" s="194">
        <f>+(M32-M39)/ABS(M39)</f>
        <v>0.25711544042029244</v>
      </c>
      <c r="N46" s="93">
        <v>0</v>
      </c>
      <c r="O46" s="262">
        <f>+(O32-O39)/ABS(O39)</f>
        <v>0.75957276870311541</v>
      </c>
      <c r="P46" s="1062">
        <f>+O46</f>
        <v>0.75957276870311541</v>
      </c>
      <c r="Q46" s="262">
        <f t="shared" ref="Q46:T47" si="4">+(Q32-Q39)/ABS(Q39)</f>
        <v>0.25971575902402211</v>
      </c>
      <c r="R46" s="262">
        <f t="shared" si="4"/>
        <v>0.1346092503987241</v>
      </c>
      <c r="S46" s="194">
        <f t="shared" si="4"/>
        <v>0.19761218608480857</v>
      </c>
      <c r="T46" s="271">
        <f t="shared" si="4"/>
        <v>0.26279213412738567</v>
      </c>
      <c r="U46" s="60"/>
      <c r="V46" s="1"/>
      <c r="W46" s="1"/>
      <c r="X46" s="1"/>
      <c r="Y46" s="1"/>
      <c r="Z46" s="1"/>
      <c r="AA46" s="1"/>
      <c r="AB46" s="1"/>
      <c r="AC46" s="1"/>
      <c r="AD46" s="1"/>
      <c r="AE46" s="1"/>
      <c r="AF46" s="1"/>
      <c r="AG46" s="1"/>
      <c r="AH46" s="1"/>
      <c r="AI46" s="1"/>
      <c r="AJ46" s="1"/>
      <c r="AK46" s="1"/>
      <c r="AL46" s="1"/>
      <c r="AM46" s="1"/>
      <c r="AN46" s="1"/>
      <c r="AO46" s="1"/>
      <c r="AP46" s="1"/>
      <c r="AQ46" s="1"/>
      <c r="AR46" s="1"/>
    </row>
    <row r="47" spans="1:44">
      <c r="A47" s="252" t="s">
        <v>202</v>
      </c>
      <c r="B47" s="262">
        <f t="shared" ref="B47:L47" si="5">+(B33-B40)/ABS(B40)</f>
        <v>0.29706840390879474</v>
      </c>
      <c r="C47" s="93">
        <v>0</v>
      </c>
      <c r="D47" s="93">
        <v>0</v>
      </c>
      <c r="E47" s="262">
        <f t="shared" si="5"/>
        <v>0.30028934457164425</v>
      </c>
      <c r="F47" s="262">
        <f t="shared" si="5"/>
        <v>-0.67561665851442942</v>
      </c>
      <c r="G47" s="262">
        <f t="shared" si="5"/>
        <v>0.11692282932324777</v>
      </c>
      <c r="H47" s="262">
        <f>+(H33-H40)/ABS(H40)</f>
        <v>1.2843601895734598</v>
      </c>
      <c r="I47" s="262">
        <f t="shared" si="5"/>
        <v>0.1411205026821018</v>
      </c>
      <c r="J47" s="262">
        <f t="shared" si="5"/>
        <v>5.8869046584013131E-2</v>
      </c>
      <c r="K47" s="262">
        <f t="shared" si="5"/>
        <v>0.46967876346409876</v>
      </c>
      <c r="L47" s="262">
        <f t="shared" si="5"/>
        <v>0.64292342283396198</v>
      </c>
      <c r="M47" s="194">
        <f>+(M33-M40)/ABS(M40)</f>
        <v>0.23911625657268556</v>
      </c>
      <c r="N47" s="93">
        <v>0</v>
      </c>
      <c r="O47" s="262">
        <f>+(O33-O40)/ABS(O40)</f>
        <v>0.54982924557590807</v>
      </c>
      <c r="P47" s="1062">
        <f>+O47</f>
        <v>0.54982924557590807</v>
      </c>
      <c r="Q47" s="262">
        <f t="shared" si="4"/>
        <v>0.6232059020791415</v>
      </c>
      <c r="R47" s="262">
        <f t="shared" si="4"/>
        <v>0.12259401835949067</v>
      </c>
      <c r="S47" s="194">
        <f t="shared" si="4"/>
        <v>0.46713441654357457</v>
      </c>
      <c r="T47" s="271">
        <f t="shared" si="4"/>
        <v>0.26647418009007251</v>
      </c>
      <c r="U47" s="60"/>
      <c r="V47" s="1"/>
      <c r="W47" s="1"/>
      <c r="X47" s="1"/>
      <c r="Y47" s="1"/>
      <c r="Z47" s="1"/>
      <c r="AA47" s="1"/>
      <c r="AB47" s="1"/>
      <c r="AC47" s="1"/>
      <c r="AD47" s="1"/>
      <c r="AE47" s="1"/>
      <c r="AF47" s="1"/>
      <c r="AG47" s="1"/>
      <c r="AH47" s="1"/>
      <c r="AI47" s="1"/>
      <c r="AJ47" s="1"/>
      <c r="AK47" s="1"/>
      <c r="AL47" s="1"/>
      <c r="AM47" s="1"/>
      <c r="AN47" s="1"/>
      <c r="AO47" s="1"/>
      <c r="AP47" s="1"/>
      <c r="AQ47" s="1"/>
      <c r="AR47" s="1"/>
    </row>
    <row r="48" spans="1:44">
      <c r="A48" s="252" t="s">
        <v>203</v>
      </c>
      <c r="B48" s="93">
        <v>0</v>
      </c>
      <c r="C48" s="93">
        <v>0</v>
      </c>
      <c r="D48" s="93">
        <v>0</v>
      </c>
      <c r="E48" s="93">
        <v>0</v>
      </c>
      <c r="F48" s="262">
        <f t="shared" ref="F48:M50" si="6">+(F34-F41)/ABS(F41)</f>
        <v>0</v>
      </c>
      <c r="G48" s="262">
        <f t="shared" si="6"/>
        <v>0.25075075075075076</v>
      </c>
      <c r="H48" s="262">
        <f>+(H34-H41)/ABS(H41)</f>
        <v>1.5</v>
      </c>
      <c r="I48" s="262">
        <f t="shared" si="6"/>
        <v>-1</v>
      </c>
      <c r="J48" s="262">
        <f t="shared" si="6"/>
        <v>-0.28125</v>
      </c>
      <c r="K48" s="262">
        <f t="shared" si="6"/>
        <v>0</v>
      </c>
      <c r="L48" s="262">
        <f t="shared" si="6"/>
        <v>2.7826086956521738</v>
      </c>
      <c r="M48" s="194">
        <f t="shared" si="6"/>
        <v>-0.11769649095427312</v>
      </c>
      <c r="N48" s="93">
        <v>0</v>
      </c>
      <c r="O48" s="262">
        <f>+(O34-O41)/ABS(O41)</f>
        <v>3.2613333333333334</v>
      </c>
      <c r="P48" s="1062">
        <f>+O48</f>
        <v>3.2613333333333334</v>
      </c>
      <c r="Q48" s="262">
        <f>+(Q34-Q41)/ABS(Q41)</f>
        <v>-1</v>
      </c>
      <c r="R48" s="93">
        <v>0</v>
      </c>
      <c r="S48" s="194">
        <f t="shared" ref="S48:T50" si="7">+(S34-S41)/ABS(S41)</f>
        <v>-0.62639322336156933</v>
      </c>
      <c r="T48" s="271">
        <f t="shared" si="7"/>
        <v>-0.1168371279188451</v>
      </c>
      <c r="U48" s="60"/>
      <c r="V48" s="1"/>
      <c r="W48" s="1"/>
      <c r="X48" s="1"/>
      <c r="Y48" s="1"/>
      <c r="Z48" s="1"/>
      <c r="AA48" s="1"/>
      <c r="AB48" s="1"/>
      <c r="AC48" s="1"/>
      <c r="AD48" s="1"/>
      <c r="AE48" s="1"/>
      <c r="AF48" s="1"/>
      <c r="AG48" s="1"/>
      <c r="AH48" s="1"/>
      <c r="AI48" s="1"/>
      <c r="AJ48" s="1"/>
      <c r="AK48" s="1"/>
      <c r="AL48" s="1"/>
      <c r="AM48" s="1"/>
      <c r="AN48" s="1"/>
      <c r="AO48" s="1"/>
      <c r="AP48" s="1"/>
      <c r="AQ48" s="1"/>
      <c r="AR48" s="1"/>
    </row>
    <row r="49" spans="1:44">
      <c r="A49" s="252" t="s">
        <v>367</v>
      </c>
      <c r="B49" s="262">
        <f>+(B35-B42)/ABS(B42)</f>
        <v>0.46491763270286768</v>
      </c>
      <c r="C49" s="93">
        <v>0</v>
      </c>
      <c r="D49" s="93">
        <v>0</v>
      </c>
      <c r="E49" s="262">
        <f>+(E35-E42)/ABS(E42)</f>
        <v>-0.17038331106772173</v>
      </c>
      <c r="F49" s="262">
        <f t="shared" si="6"/>
        <v>-4.7312884483937112E-2</v>
      </c>
      <c r="G49" s="262">
        <f t="shared" si="6"/>
        <v>0.26794184685517158</v>
      </c>
      <c r="H49" s="262">
        <f>+(H35-H42)/ABS(H42)</f>
        <v>0.39119170984455959</v>
      </c>
      <c r="I49" s="262">
        <f t="shared" si="6"/>
        <v>0.31093378008993927</v>
      </c>
      <c r="J49" s="262">
        <f t="shared" si="6"/>
        <v>0.27983163025117003</v>
      </c>
      <c r="K49" s="262">
        <f t="shared" si="6"/>
        <v>0.40080263474881767</v>
      </c>
      <c r="L49" s="262">
        <f t="shared" si="6"/>
        <v>0.44462678830355734</v>
      </c>
      <c r="M49" s="194">
        <f t="shared" si="6"/>
        <v>0.13599529247347414</v>
      </c>
      <c r="N49" s="93">
        <v>0</v>
      </c>
      <c r="O49" s="262">
        <f>+(O35-O42)/ABS(O42)</f>
        <v>0.16777947829596873</v>
      </c>
      <c r="P49" s="1062">
        <f>+O49</f>
        <v>0.16777947829596873</v>
      </c>
      <c r="Q49" s="262">
        <f>+(Q35-Q42)/ABS(Q42)</f>
        <v>4.953603572176097E-2</v>
      </c>
      <c r="R49" s="262">
        <f>+(R35-R42)/ABS(R42)</f>
        <v>0.11709432598482111</v>
      </c>
      <c r="S49" s="194">
        <f t="shared" si="7"/>
        <v>8.5792791336673668E-2</v>
      </c>
      <c r="T49" s="271">
        <f t="shared" si="7"/>
        <v>0.13520176925176947</v>
      </c>
      <c r="U49" s="60"/>
      <c r="V49" s="1"/>
      <c r="W49" s="1"/>
      <c r="X49" s="1"/>
      <c r="Y49" s="1"/>
      <c r="Z49" s="1"/>
      <c r="AA49" s="1"/>
      <c r="AB49" s="1"/>
      <c r="AC49" s="1"/>
      <c r="AD49" s="1"/>
      <c r="AE49" s="1"/>
      <c r="AF49" s="1"/>
      <c r="AG49" s="1"/>
      <c r="AH49" s="1"/>
      <c r="AI49" s="1"/>
      <c r="AJ49" s="1"/>
      <c r="AK49" s="1"/>
      <c r="AL49" s="1"/>
      <c r="AM49" s="1"/>
      <c r="AN49" s="1"/>
      <c r="AO49" s="1"/>
      <c r="AP49" s="1"/>
      <c r="AQ49" s="1"/>
      <c r="AR49" s="1"/>
    </row>
    <row r="50" spans="1:44" ht="18" thickBot="1">
      <c r="A50" s="256" t="s">
        <v>368</v>
      </c>
      <c r="B50" s="267">
        <f>+(B36-B43)/ABS(B43)</f>
        <v>-0.51629726205997484</v>
      </c>
      <c r="C50" s="1054">
        <v>0</v>
      </c>
      <c r="D50" s="1054">
        <v>0</v>
      </c>
      <c r="E50" s="267">
        <f>+(E36-E43)/ABS(E43)</f>
        <v>0.89532554257095154</v>
      </c>
      <c r="F50" s="267">
        <f t="shared" si="6"/>
        <v>-0.88927165354330784</v>
      </c>
      <c r="G50" s="267">
        <f t="shared" si="6"/>
        <v>-1.4713672154617037</v>
      </c>
      <c r="H50" s="267">
        <f>+(H36-H43)/ABS(H43)</f>
        <v>0.40868997059784384</v>
      </c>
      <c r="I50" s="267">
        <f t="shared" si="6"/>
        <v>15.060254083484487</v>
      </c>
      <c r="J50" s="267">
        <f t="shared" si="6"/>
        <v>2.0883839727558144</v>
      </c>
      <c r="K50" s="267">
        <f t="shared" si="6"/>
        <v>2.8268510447831519</v>
      </c>
      <c r="L50" s="267">
        <f t="shared" si="6"/>
        <v>0.49034037435950689</v>
      </c>
      <c r="M50" s="274">
        <f t="shared" si="6"/>
        <v>4.5543162585749215</v>
      </c>
      <c r="N50" s="1054">
        <v>0</v>
      </c>
      <c r="O50" s="267">
        <f>+(O36-O43)/ABS(O43)</f>
        <v>2.0325941125404485</v>
      </c>
      <c r="P50" s="1063">
        <f>+O50</f>
        <v>2.0325941125404485</v>
      </c>
      <c r="Q50" s="267">
        <f>+(Q36-Q43)/ABS(Q43)</f>
        <v>1.3941188914745082</v>
      </c>
      <c r="R50" s="267">
        <f>+(R36-R43)/ABS(R43)</f>
        <v>-4.8115477145148355E-3</v>
      </c>
      <c r="S50" s="274">
        <f t="shared" si="7"/>
        <v>1.1021091396049547</v>
      </c>
      <c r="T50" s="272">
        <f t="shared" si="7"/>
        <v>2.9117370892018739</v>
      </c>
      <c r="U50" s="64"/>
      <c r="V50" s="66"/>
      <c r="W50" s="66"/>
      <c r="X50" s="66"/>
      <c r="Y50" s="1"/>
      <c r="Z50" s="1"/>
      <c r="AA50" s="1"/>
      <c r="AB50" s="1"/>
      <c r="AC50" s="1"/>
      <c r="AD50" s="1"/>
      <c r="AE50" s="1"/>
      <c r="AF50" s="1"/>
      <c r="AG50" s="1"/>
      <c r="AH50" s="1"/>
      <c r="AI50" s="1"/>
      <c r="AJ50" s="1"/>
      <c r="AK50" s="1"/>
      <c r="AL50" s="1"/>
      <c r="AM50" s="1"/>
      <c r="AN50" s="1"/>
      <c r="AO50" s="1"/>
      <c r="AP50" s="1"/>
      <c r="AQ50" s="1"/>
      <c r="AR50" s="1"/>
    </row>
    <row r="51" spans="1:44" ht="17.25" thickTop="1" thickBot="1">
      <c r="A51" s="1" t="s">
        <v>275</v>
      </c>
      <c r="B51" s="88" t="s">
        <v>0</v>
      </c>
      <c r="C51" s="88" t="s">
        <v>0</v>
      </c>
      <c r="D51" s="88"/>
      <c r="E51" s="88" t="s">
        <v>0</v>
      </c>
      <c r="F51" s="88" t="s">
        <v>0</v>
      </c>
      <c r="G51" s="92" t="s">
        <v>0</v>
      </c>
      <c r="H51" s="93" t="s">
        <v>0</v>
      </c>
      <c r="I51" s="88" t="s">
        <v>0</v>
      </c>
      <c r="J51" s="88" t="s">
        <v>0</v>
      </c>
      <c r="K51" s="88" t="s">
        <v>0</v>
      </c>
      <c r="L51" s="88" t="s">
        <v>0</v>
      </c>
      <c r="M51" s="94" t="s">
        <v>0</v>
      </c>
      <c r="N51" s="94"/>
      <c r="O51" s="92" t="s">
        <v>0</v>
      </c>
      <c r="P51" s="118"/>
      <c r="Q51" s="92" t="s">
        <v>0</v>
      </c>
      <c r="R51" s="93" t="s">
        <v>0</v>
      </c>
      <c r="S51" s="118" t="s">
        <v>0</v>
      </c>
      <c r="T51" s="95" t="s">
        <v>0</v>
      </c>
      <c r="U51" s="60" t="s">
        <v>0</v>
      </c>
      <c r="V51" s="1"/>
      <c r="W51" s="1"/>
      <c r="X51" s="1"/>
      <c r="Y51" s="1"/>
      <c r="Z51" s="1"/>
      <c r="AA51" s="1"/>
      <c r="AB51" s="1"/>
      <c r="AC51" s="1"/>
      <c r="AD51" s="1"/>
      <c r="AE51" s="1"/>
      <c r="AF51" s="1"/>
      <c r="AG51" s="1"/>
      <c r="AH51" s="1"/>
      <c r="AI51" s="1"/>
      <c r="AJ51" s="1"/>
      <c r="AK51" s="1"/>
      <c r="AL51" s="1"/>
      <c r="AM51" s="1"/>
      <c r="AN51" s="1"/>
      <c r="AO51" s="1"/>
      <c r="AP51" s="1"/>
      <c r="AQ51" s="1"/>
      <c r="AR51" s="1"/>
    </row>
    <row r="52" spans="1:44" ht="19.5" thickTop="1">
      <c r="A52" s="290" t="s">
        <v>365</v>
      </c>
      <c r="B52" s="263"/>
      <c r="C52" s="263"/>
      <c r="D52" s="263"/>
      <c r="E52" s="263"/>
      <c r="F52" s="263"/>
      <c r="G52" s="263"/>
      <c r="H52" s="264"/>
      <c r="I52" s="263"/>
      <c r="J52" s="263"/>
      <c r="K52" s="263"/>
      <c r="L52" s="263"/>
      <c r="M52" s="273"/>
      <c r="N52" s="1119"/>
      <c r="O52" s="263"/>
      <c r="P52" s="281"/>
      <c r="Q52" s="263"/>
      <c r="R52" s="264"/>
      <c r="S52" s="281"/>
      <c r="T52" s="265"/>
      <c r="U52" s="60"/>
      <c r="V52" s="1"/>
      <c r="W52" s="1"/>
      <c r="X52" s="1"/>
      <c r="Y52" s="1"/>
      <c r="Z52" s="1"/>
      <c r="AA52" s="1"/>
      <c r="AB52" s="1"/>
      <c r="AC52" s="1"/>
      <c r="AD52" s="1"/>
      <c r="AE52" s="1"/>
      <c r="AF52" s="1"/>
      <c r="AG52" s="1"/>
      <c r="AH52" s="1"/>
      <c r="AI52" s="1"/>
      <c r="AJ52" s="1"/>
      <c r="AK52" s="1"/>
      <c r="AL52" s="1"/>
      <c r="AM52" s="1"/>
      <c r="AN52" s="1"/>
      <c r="AO52" s="1"/>
      <c r="AP52" s="1"/>
      <c r="AQ52" s="1"/>
      <c r="AR52" s="1"/>
    </row>
    <row r="53" spans="1:44">
      <c r="A53" s="260" t="s">
        <v>371</v>
      </c>
      <c r="B53" s="92"/>
      <c r="C53" s="92"/>
      <c r="D53" s="92"/>
      <c r="E53" s="254" t="s">
        <v>0</v>
      </c>
      <c r="F53" s="93" t="s">
        <v>0</v>
      </c>
      <c r="G53" s="92"/>
      <c r="H53" s="93" t="s">
        <v>0</v>
      </c>
      <c r="I53" s="93" t="s">
        <v>0</v>
      </c>
      <c r="J53" s="93" t="s">
        <v>0</v>
      </c>
      <c r="K53" s="92"/>
      <c r="L53" s="92"/>
      <c r="M53" s="191"/>
      <c r="N53" s="94"/>
      <c r="O53" s="92"/>
      <c r="P53" s="197"/>
      <c r="Q53" s="92"/>
      <c r="R53" s="93" t="s">
        <v>0</v>
      </c>
      <c r="S53" s="197"/>
      <c r="T53" s="253"/>
      <c r="U53" s="60"/>
      <c r="V53" s="1"/>
      <c r="W53" s="1"/>
      <c r="X53" s="1"/>
      <c r="Y53" s="1"/>
      <c r="Z53" s="1"/>
      <c r="AA53" s="1"/>
      <c r="AB53" s="1"/>
      <c r="AC53" s="1"/>
      <c r="AD53" s="1"/>
      <c r="AE53" s="1"/>
      <c r="AF53" s="1"/>
      <c r="AG53" s="1"/>
      <c r="AH53" s="1"/>
      <c r="AI53" s="1"/>
      <c r="AJ53" s="1"/>
      <c r="AK53" s="1"/>
      <c r="AL53" s="1"/>
      <c r="AM53" s="1"/>
      <c r="AN53" s="1"/>
      <c r="AO53" s="1"/>
      <c r="AP53" s="1"/>
      <c r="AQ53" s="1"/>
      <c r="AR53" s="1"/>
    </row>
    <row r="54" spans="1:44">
      <c r="A54" s="252" t="s">
        <v>201</v>
      </c>
      <c r="B54" s="141">
        <f>+'résultsyscumul '!B16</f>
        <v>96.699999999999989</v>
      </c>
      <c r="C54" s="141">
        <v>0</v>
      </c>
      <c r="D54" s="141">
        <v>0</v>
      </c>
      <c r="E54" s="141">
        <f>+'résultsyscumul '!C16</f>
        <v>20702</v>
      </c>
      <c r="F54" s="141">
        <f>+'résultsyscumul '!D16</f>
        <v>9155.7999999999993</v>
      </c>
      <c r="G54" s="141">
        <f>+'résultsyscumul '!E16</f>
        <v>27757</v>
      </c>
      <c r="H54" s="141">
        <f>+'résultsyscumul '!F16</f>
        <v>18128</v>
      </c>
      <c r="I54" s="141">
        <f>+'résultsyscumul '!G16</f>
        <v>29383.300000000003</v>
      </c>
      <c r="J54" s="141">
        <f>+'résultsyscumul '!H16</f>
        <v>19733.099999999999</v>
      </c>
      <c r="K54" s="141">
        <f>+'résultsyscumul '!I16</f>
        <v>82520.600000000006</v>
      </c>
      <c r="L54" s="141">
        <f>+'résultsyscumul '!J16</f>
        <v>53749.7</v>
      </c>
      <c r="M54" s="191">
        <f>SUM(B54:L54)</f>
        <v>261226.2</v>
      </c>
      <c r="N54" s="141">
        <f>+'résultsyscumul '!L16</f>
        <v>65.699999999999989</v>
      </c>
      <c r="O54" s="141">
        <f>+'résultsyscumul '!M16</f>
        <v>11235.400000000001</v>
      </c>
      <c r="P54" s="197">
        <f>SUM(N54:O54)</f>
        <v>11301.100000000002</v>
      </c>
      <c r="Q54" s="141">
        <f>+'résultsyscumul '!O16</f>
        <v>20032</v>
      </c>
      <c r="R54" s="141">
        <f>+'résultsyscumul '!P16</f>
        <v>17785</v>
      </c>
      <c r="S54" s="197">
        <f>SUM(Q54:R54)</f>
        <v>37817</v>
      </c>
      <c r="T54" s="253">
        <f>+M54+P54+S54</f>
        <v>310344.3</v>
      </c>
      <c r="U54" s="60" t="s">
        <v>0</v>
      </c>
      <c r="V54" s="1" t="s">
        <v>0</v>
      </c>
      <c r="W54" s="1"/>
      <c r="X54" s="1"/>
      <c r="Y54" s="1"/>
      <c r="Z54" s="1"/>
      <c r="AA54" s="1"/>
      <c r="AB54" s="1"/>
      <c r="AC54" s="1"/>
      <c r="AD54" s="1"/>
      <c r="AE54" s="1"/>
      <c r="AF54" s="1"/>
      <c r="AG54" s="1"/>
      <c r="AH54" s="1"/>
      <c r="AI54" s="1"/>
      <c r="AJ54" s="1"/>
      <c r="AK54" s="1"/>
      <c r="AL54" s="1"/>
      <c r="AM54" s="1"/>
      <c r="AN54" s="1"/>
      <c r="AO54" s="1"/>
      <c r="AP54" s="1"/>
      <c r="AQ54" s="1"/>
      <c r="AR54" s="1"/>
    </row>
    <row r="55" spans="1:44">
      <c r="A55" s="252" t="s">
        <v>202</v>
      </c>
      <c r="B55" s="92">
        <f>+'résultsyscumul '!B22</f>
        <v>199.1</v>
      </c>
      <c r="C55" s="92">
        <v>0</v>
      </c>
      <c r="D55" s="92">
        <v>0</v>
      </c>
      <c r="E55" s="92">
        <f>+'résultsyscumul '!C22</f>
        <v>10336</v>
      </c>
      <c r="F55" s="92">
        <f>+'résultsyscumul '!D22</f>
        <v>1856.9</v>
      </c>
      <c r="G55" s="92">
        <f>+'résultsyscumul '!E22</f>
        <v>13880</v>
      </c>
      <c r="H55" s="92">
        <f>+'résultsyscumul '!F22</f>
        <v>6266</v>
      </c>
      <c r="I55" s="92">
        <f>+'résultsyscumul '!G22</f>
        <v>12785</v>
      </c>
      <c r="J55" s="92">
        <f>+'résultsyscumul '!H22</f>
        <v>12178.900000000001</v>
      </c>
      <c r="K55" s="92">
        <f>+'résultsyscumul '!I22</f>
        <v>34001.9</v>
      </c>
      <c r="L55" s="92">
        <f>+'résultsyscumul '!J22</f>
        <v>27620.5</v>
      </c>
      <c r="M55" s="191">
        <f>SUM(B55:L55)</f>
        <v>119124.3</v>
      </c>
      <c r="N55" s="92">
        <f>+'résultsyscumul '!L22</f>
        <v>0.2</v>
      </c>
      <c r="O55" s="92">
        <f>+'résultsyscumul '!M22</f>
        <v>2496</v>
      </c>
      <c r="P55" s="197">
        <f>SUM(N55:O55)</f>
        <v>2496.1999999999998</v>
      </c>
      <c r="Q55" s="92">
        <f>+'résultsyscumul '!O22</f>
        <v>12101</v>
      </c>
      <c r="R55" s="92">
        <f>+'résultsyscumul '!P22</f>
        <v>3791</v>
      </c>
      <c r="S55" s="197">
        <f>SUM(Q55:R55)</f>
        <v>15892</v>
      </c>
      <c r="T55" s="253">
        <f>+M55+P55+S55</f>
        <v>137512.5</v>
      </c>
      <c r="U55" s="60"/>
      <c r="V55" s="1"/>
      <c r="W55" s="1"/>
      <c r="X55" s="1"/>
      <c r="Y55" s="1"/>
      <c r="Z55" s="1"/>
      <c r="AA55" s="1"/>
      <c r="AB55" s="1"/>
      <c r="AC55" s="1"/>
      <c r="AD55" s="1"/>
      <c r="AE55" s="1"/>
      <c r="AF55" s="1"/>
      <c r="AG55" s="1"/>
      <c r="AH55" s="1"/>
      <c r="AI55" s="1"/>
      <c r="AJ55" s="1"/>
      <c r="AK55" s="1"/>
      <c r="AL55" s="1"/>
      <c r="AM55" s="1"/>
      <c r="AN55" s="1"/>
      <c r="AO55" s="1"/>
      <c r="AP55" s="1"/>
      <c r="AQ55" s="1"/>
      <c r="AR55" s="1"/>
    </row>
    <row r="56" spans="1:44">
      <c r="A56" s="252" t="s">
        <v>203</v>
      </c>
      <c r="B56" s="92">
        <f>+'résultsyscumul '!B26</f>
        <v>0</v>
      </c>
      <c r="C56" s="92">
        <v>0</v>
      </c>
      <c r="D56" s="92">
        <v>0</v>
      </c>
      <c r="E56" s="92">
        <f>+'résultsyscumul '!C26</f>
        <v>0</v>
      </c>
      <c r="F56" s="92">
        <f>+'résultsyscumul '!D26</f>
        <v>1800</v>
      </c>
      <c r="G56" s="92">
        <f>+'résultsyscumul '!E26</f>
        <v>2499</v>
      </c>
      <c r="H56" s="92">
        <f>+'résultsyscumul '!F26</f>
        <v>750</v>
      </c>
      <c r="I56" s="92">
        <f>+'résultsyscumul '!G26</f>
        <v>0</v>
      </c>
      <c r="J56" s="92">
        <f>+'résultsyscumul '!H26</f>
        <v>2300</v>
      </c>
      <c r="K56" s="92">
        <f>+'résultsyscumul '!I26</f>
        <v>3000</v>
      </c>
      <c r="L56" s="92">
        <f>+'résultsyscumul '!J26</f>
        <v>4350</v>
      </c>
      <c r="M56" s="191">
        <f>SUM(B56:L56)</f>
        <v>14699</v>
      </c>
      <c r="N56" s="92">
        <f>+'résultsyscumul '!L26</f>
        <v>143.80000000000001</v>
      </c>
      <c r="O56" s="92">
        <f>+'résultsyscumul '!M26</f>
        <v>1278.4000000000001</v>
      </c>
      <c r="P56" s="197">
        <f>SUM(N56:O56)</f>
        <v>1422.2</v>
      </c>
      <c r="Q56" s="92">
        <f>+'résultsyscumul '!O26</f>
        <v>0</v>
      </c>
      <c r="R56" s="92">
        <f>+'résultsyscumul '!P26</f>
        <v>838</v>
      </c>
      <c r="S56" s="197">
        <f>SUM(Q56:R56)</f>
        <v>838</v>
      </c>
      <c r="T56" s="253">
        <f>+M56+P56+S56</f>
        <v>16959.2</v>
      </c>
      <c r="U56" s="60"/>
      <c r="V56" s="1"/>
      <c r="W56" s="1"/>
      <c r="X56" s="1"/>
      <c r="Y56" s="1"/>
      <c r="Z56" s="1"/>
      <c r="AA56" s="1"/>
      <c r="AB56" s="1"/>
      <c r="AC56" s="1"/>
      <c r="AD56" s="1"/>
      <c r="AE56" s="1"/>
      <c r="AF56" s="1"/>
      <c r="AG56" s="1"/>
      <c r="AH56" s="1"/>
      <c r="AI56" s="1"/>
      <c r="AJ56" s="1"/>
      <c r="AK56" s="1"/>
      <c r="AL56" s="1"/>
      <c r="AM56" s="1"/>
      <c r="AN56" s="1"/>
      <c r="AO56" s="1"/>
      <c r="AP56" s="1"/>
      <c r="AQ56" s="1"/>
      <c r="AR56" s="1"/>
    </row>
    <row r="57" spans="1:44">
      <c r="A57" s="252" t="s">
        <v>367</v>
      </c>
      <c r="B57" s="92">
        <f>+'résultsyscumul '!B36</f>
        <v>240.10000000000002</v>
      </c>
      <c r="C57" s="92">
        <v>0</v>
      </c>
      <c r="D57" s="92">
        <v>0</v>
      </c>
      <c r="E57" s="92">
        <f>+'résultsyscumul '!C36</f>
        <v>32292</v>
      </c>
      <c r="F57" s="92">
        <f>+'résultsyscumul '!D36</f>
        <v>8920.2000000000007</v>
      </c>
      <c r="G57" s="92">
        <f>+'résultsyscumul '!E36</f>
        <v>41165</v>
      </c>
      <c r="H57" s="92">
        <f>+'résultsyscumul '!F36</f>
        <v>19332</v>
      </c>
      <c r="I57" s="92">
        <f>+'résultsyscumul '!G36</f>
        <v>29734.600000000002</v>
      </c>
      <c r="J57" s="92">
        <f>+'résultsyscumul '!H36</f>
        <v>23108</v>
      </c>
      <c r="K57" s="92">
        <f>+'résultsyscumul '!I36</f>
        <v>93615.5</v>
      </c>
      <c r="L57" s="92">
        <f>+'résultsyscumul '!J36</f>
        <v>60475.4</v>
      </c>
      <c r="M57" s="191">
        <f>SUM(B57:L57)</f>
        <v>308882.8</v>
      </c>
      <c r="N57" s="92">
        <f>+'résultsyscumul '!L36</f>
        <v>1119</v>
      </c>
      <c r="O57" s="92">
        <f>+'résultsyscumul '!M36</f>
        <v>6943.5</v>
      </c>
      <c r="P57" s="197">
        <f>SUM(N57:O57)</f>
        <v>8062.5</v>
      </c>
      <c r="Q57" s="92">
        <f>+'résultsyscumul '!O36</f>
        <v>15043</v>
      </c>
      <c r="R57" s="92">
        <f>+'résultsyscumul '!P36</f>
        <v>18546</v>
      </c>
      <c r="S57" s="197">
        <f>SUM(Q57:R57)</f>
        <v>33589</v>
      </c>
      <c r="T57" s="253">
        <f>+M57+P57+S57</f>
        <v>350534.3</v>
      </c>
      <c r="U57" s="60"/>
      <c r="V57" s="1"/>
      <c r="W57" s="1"/>
      <c r="X57" s="1"/>
      <c r="Y57" s="1"/>
      <c r="Z57" s="1"/>
      <c r="AA57" s="1"/>
      <c r="AB57" s="1"/>
      <c r="AC57" s="1"/>
      <c r="AD57" s="1"/>
      <c r="AE57" s="1"/>
      <c r="AF57" s="1"/>
      <c r="AG57" s="1"/>
      <c r="AH57" s="1"/>
      <c r="AI57" s="1"/>
      <c r="AJ57" s="1"/>
      <c r="AK57" s="1"/>
      <c r="AL57" s="1"/>
      <c r="AM57" s="1"/>
      <c r="AN57" s="1"/>
      <c r="AO57" s="1"/>
      <c r="AP57" s="1"/>
      <c r="AQ57" s="1"/>
      <c r="AR57" s="1"/>
    </row>
    <row r="58" spans="1:44">
      <c r="A58" s="252" t="s">
        <v>368</v>
      </c>
      <c r="B58" s="92">
        <f>+'résultsyscumul '!B42</f>
        <v>37.09999999999993</v>
      </c>
      <c r="C58" s="92">
        <v>0</v>
      </c>
      <c r="D58" s="92">
        <v>0</v>
      </c>
      <c r="E58" s="92">
        <f>+'résultsyscumul '!C42</f>
        <v>-1254</v>
      </c>
      <c r="F58" s="92">
        <f>+'résultsyscumul '!D42</f>
        <v>292.49999999999818</v>
      </c>
      <c r="G58" s="92">
        <f>+'résultsyscumul '!E42</f>
        <v>-1317</v>
      </c>
      <c r="H58" s="92">
        <f>+'résultsyscumul '!F42</f>
        <v>4312</v>
      </c>
      <c r="I58" s="92">
        <f>+'résultsyscumul '!G42</f>
        <v>8849.2000000000007</v>
      </c>
      <c r="J58" s="92">
        <f>+'résultsyscumul '!H42</f>
        <v>5804</v>
      </c>
      <c r="K58" s="92">
        <f>+'résultsyscumul '!I42</f>
        <v>16244.6</v>
      </c>
      <c r="L58" s="92">
        <f>+'résultsyscumul '!J42</f>
        <v>11401.699999999995</v>
      </c>
      <c r="M58" s="191">
        <f>SUM(B58:L58)</f>
        <v>44370.1</v>
      </c>
      <c r="N58" s="92">
        <f>+'résultsyscumul '!L42</f>
        <v>-1262.8</v>
      </c>
      <c r="O58" s="92">
        <f>+'résultsyscumul '!M42</f>
        <v>3842.6000000000017</v>
      </c>
      <c r="P58" s="197">
        <f>SUM(N58:O58)</f>
        <v>2579.800000000002</v>
      </c>
      <c r="Q58" s="92">
        <f>+'résultsyscumul '!O42</f>
        <v>11317</v>
      </c>
      <c r="R58" s="92">
        <f>+'résultsyscumul '!P42</f>
        <v>1241</v>
      </c>
      <c r="S58" s="197">
        <f>SUM(Q58:R58)</f>
        <v>12558</v>
      </c>
      <c r="T58" s="253">
        <f>+M58+P58+S58</f>
        <v>59507.9</v>
      </c>
      <c r="U58" s="60"/>
      <c r="V58" s="1"/>
      <c r="W58" s="1"/>
      <c r="X58" s="1"/>
      <c r="Y58" s="1"/>
      <c r="Z58" s="1"/>
      <c r="AA58" s="1"/>
      <c r="AB58" s="1"/>
      <c r="AC58" s="1"/>
      <c r="AD58" s="1"/>
      <c r="AE58" s="1"/>
      <c r="AF58" s="1"/>
      <c r="AG58" s="1"/>
      <c r="AH58" s="1"/>
      <c r="AI58" s="1"/>
      <c r="AJ58" s="1"/>
      <c r="AK58" s="1"/>
      <c r="AL58" s="1"/>
      <c r="AM58" s="1"/>
      <c r="AN58" s="1"/>
      <c r="AO58" s="1"/>
      <c r="AP58" s="1"/>
      <c r="AQ58" s="1"/>
      <c r="AR58" s="1"/>
    </row>
    <row r="59" spans="1:44">
      <c r="A59" s="282"/>
      <c r="B59" s="111"/>
      <c r="C59" s="111"/>
      <c r="D59" s="276" t="s">
        <v>0</v>
      </c>
      <c r="E59" s="111"/>
      <c r="F59" s="111"/>
      <c r="G59" s="111"/>
      <c r="H59" s="111"/>
      <c r="I59" s="111"/>
      <c r="J59" s="111"/>
      <c r="K59" s="111"/>
      <c r="L59" s="111"/>
      <c r="M59" s="195"/>
      <c r="N59" s="111"/>
      <c r="O59" s="111"/>
      <c r="P59" s="1064"/>
      <c r="Q59" s="111"/>
      <c r="R59" s="111"/>
      <c r="S59" s="199"/>
      <c r="T59" s="283"/>
      <c r="U59" s="60"/>
      <c r="V59" s="1"/>
      <c r="W59" s="1"/>
      <c r="X59" s="1"/>
      <c r="Y59" s="1"/>
      <c r="Z59" s="1"/>
      <c r="AA59" s="1"/>
      <c r="AB59" s="1"/>
      <c r="AC59" s="1"/>
      <c r="AD59" s="1"/>
      <c r="AE59" s="1"/>
      <c r="AF59" s="1"/>
      <c r="AG59" s="1"/>
      <c r="AH59" s="1"/>
      <c r="AI59" s="1"/>
      <c r="AJ59" s="1"/>
      <c r="AK59" s="1"/>
      <c r="AL59" s="1"/>
      <c r="AM59" s="1"/>
      <c r="AN59" s="1"/>
      <c r="AO59" s="1"/>
      <c r="AP59" s="1"/>
      <c r="AQ59" s="1"/>
      <c r="AR59" s="1"/>
    </row>
    <row r="60" spans="1:44">
      <c r="A60" s="260" t="s">
        <v>372</v>
      </c>
      <c r="B60" s="111"/>
      <c r="C60" s="111"/>
      <c r="D60" s="111"/>
      <c r="E60" s="111"/>
      <c r="F60" s="111"/>
      <c r="G60" s="111"/>
      <c r="H60" s="111"/>
      <c r="I60" s="111"/>
      <c r="J60" s="111"/>
      <c r="K60" s="111"/>
      <c r="L60" s="111"/>
      <c r="M60" s="195"/>
      <c r="N60" s="111"/>
      <c r="O60" s="111"/>
      <c r="P60" s="1064"/>
      <c r="Q60" s="111"/>
      <c r="R60" s="111"/>
      <c r="S60" s="199"/>
      <c r="T60" s="283"/>
      <c r="U60" s="60"/>
      <c r="V60" s="1"/>
      <c r="W60" s="1"/>
      <c r="X60" s="1"/>
      <c r="Y60" s="1"/>
      <c r="Z60" s="1"/>
      <c r="AA60" s="1"/>
      <c r="AB60" s="1"/>
      <c r="AC60" s="1"/>
      <c r="AD60" s="1"/>
      <c r="AE60" s="1"/>
      <c r="AF60" s="1"/>
      <c r="AG60" s="1"/>
      <c r="AH60" s="1"/>
      <c r="AI60" s="1"/>
      <c r="AJ60" s="1"/>
      <c r="AK60" s="1"/>
      <c r="AL60" s="1"/>
      <c r="AM60" s="1"/>
      <c r="AN60" s="1"/>
      <c r="AO60" s="1"/>
      <c r="AP60" s="1"/>
      <c r="AQ60" s="1"/>
      <c r="AR60" s="1"/>
    </row>
    <row r="61" spans="1:44">
      <c r="A61" s="252" t="s">
        <v>201</v>
      </c>
      <c r="B61" s="92">
        <f>+'résultsyscumul '!B57</f>
        <v>100.4</v>
      </c>
      <c r="C61" s="92">
        <f>+'résultsyscumul '!C57</f>
        <v>20175.599999999999</v>
      </c>
      <c r="D61" s="92">
        <f>+'résultsyscumul '!D57</f>
        <v>910.59999999999991</v>
      </c>
      <c r="E61" s="92">
        <f>+'résultsyscumul '!E57</f>
        <v>18995</v>
      </c>
      <c r="F61" s="92">
        <f>+'résultsyscumul '!F57</f>
        <v>8080.4000000000015</v>
      </c>
      <c r="G61" s="92">
        <f>+'résultsyscumul '!G57</f>
        <v>26335</v>
      </c>
      <c r="H61" s="92">
        <f>+'résultsyscumul '!M57</f>
        <v>15525</v>
      </c>
      <c r="I61" s="92">
        <f>+'résultsyscumul '!H57</f>
        <v>14799.400000000005</v>
      </c>
      <c r="J61" s="92">
        <f>+'résultsyscumul '!I57</f>
        <v>12383</v>
      </c>
      <c r="K61" s="92">
        <f>+'résultsyscumul '!J57</f>
        <v>53224.800000000003</v>
      </c>
      <c r="L61" s="92">
        <f>+'résultsyscumul '!K57</f>
        <v>37268.900000000009</v>
      </c>
      <c r="M61" s="191">
        <f>SUM(B61:L61)</f>
        <v>207798.10000000003</v>
      </c>
      <c r="N61" s="1150">
        <v>0</v>
      </c>
      <c r="O61" s="92">
        <f>+'résultsyscumul '!N57</f>
        <v>6385.2999999999993</v>
      </c>
      <c r="P61" s="197">
        <f>+O61</f>
        <v>6385.2999999999993</v>
      </c>
      <c r="Q61" s="92">
        <f>+'résultsyscumul '!P57</f>
        <v>15902</v>
      </c>
      <c r="R61" s="92">
        <f>+'résultsyscumul '!Q57</f>
        <v>15675</v>
      </c>
      <c r="S61" s="197">
        <f>SUM(Q61:R61)</f>
        <v>31577</v>
      </c>
      <c r="T61" s="253">
        <f>+M61+O61+S61</f>
        <v>245760.40000000002</v>
      </c>
      <c r="U61" s="60"/>
      <c r="V61" s="1"/>
      <c r="W61" s="1"/>
      <c r="X61" s="1"/>
      <c r="Y61" s="1"/>
      <c r="Z61" s="1"/>
      <c r="AA61" s="1"/>
      <c r="AB61" s="1"/>
      <c r="AC61" s="1"/>
      <c r="AD61" s="1"/>
      <c r="AE61" s="1"/>
      <c r="AF61" s="1"/>
      <c r="AG61" s="1"/>
      <c r="AH61" s="1"/>
      <c r="AI61" s="1"/>
      <c r="AJ61" s="1"/>
      <c r="AK61" s="1"/>
      <c r="AL61" s="1"/>
      <c r="AM61" s="1"/>
      <c r="AN61" s="1"/>
      <c r="AO61" s="1"/>
      <c r="AP61" s="1"/>
      <c r="AQ61" s="1"/>
      <c r="AR61" s="1"/>
    </row>
    <row r="62" spans="1:44">
      <c r="A62" s="252" t="s">
        <v>202</v>
      </c>
      <c r="B62" s="92">
        <f>+'résultsyscumul '!B63</f>
        <v>153.5</v>
      </c>
      <c r="C62" s="92">
        <f>+'résultsyscumul '!C63</f>
        <v>4152.5</v>
      </c>
      <c r="D62" s="92">
        <f>+'résultsyscumul '!D63</f>
        <v>334</v>
      </c>
      <c r="E62" s="92">
        <f>+'résultsyscumul '!E63</f>
        <v>7949</v>
      </c>
      <c r="F62" s="92">
        <f>+'résultsyscumul '!F63</f>
        <v>5724.4000000000005</v>
      </c>
      <c r="G62" s="92">
        <f>+'résultsyscumul '!G63</f>
        <v>12427</v>
      </c>
      <c r="H62" s="92">
        <f>+'résultsyscumul '!M63</f>
        <v>2743</v>
      </c>
      <c r="I62" s="92">
        <f>+'résultsyscumul '!H63</f>
        <v>11203.9</v>
      </c>
      <c r="J62" s="92">
        <f>+'résultsyscumul '!I63</f>
        <v>11501.8</v>
      </c>
      <c r="K62" s="92">
        <f>+'résultsyscumul '!J63</f>
        <v>23135.599999999999</v>
      </c>
      <c r="L62" s="92">
        <f>+'résultsyscumul '!K63</f>
        <v>16811.8</v>
      </c>
      <c r="M62" s="191">
        <f>SUM(B62:L62)</f>
        <v>96136.500000000015</v>
      </c>
      <c r="N62" s="1150">
        <v>0</v>
      </c>
      <c r="O62" s="92">
        <f>+'résultsyscumul '!N63</f>
        <v>1610.5</v>
      </c>
      <c r="P62" s="197">
        <f>+O62</f>
        <v>1610.5</v>
      </c>
      <c r="Q62" s="92">
        <f>+'résultsyscumul '!P63</f>
        <v>7455</v>
      </c>
      <c r="R62" s="92">
        <f>+'résultsyscumul '!Q63</f>
        <v>3377</v>
      </c>
      <c r="S62" s="197">
        <f>SUM(Q62:R62)</f>
        <v>10832</v>
      </c>
      <c r="T62" s="253">
        <f>+M62+O62+S62</f>
        <v>108579.00000000001</v>
      </c>
      <c r="U62" s="60"/>
      <c r="V62" s="1"/>
      <c r="W62" s="1"/>
      <c r="X62" s="1"/>
      <c r="Y62" s="1"/>
      <c r="Z62" s="1"/>
      <c r="AA62" s="1"/>
      <c r="AB62" s="1"/>
      <c r="AC62" s="1"/>
      <c r="AD62" s="1"/>
      <c r="AE62" s="1"/>
      <c r="AF62" s="1"/>
      <c r="AG62" s="1"/>
      <c r="AH62" s="1"/>
      <c r="AI62" s="1"/>
      <c r="AJ62" s="1"/>
      <c r="AK62" s="1"/>
      <c r="AL62" s="1"/>
      <c r="AM62" s="1"/>
      <c r="AN62" s="1"/>
      <c r="AO62" s="1"/>
      <c r="AP62" s="1"/>
      <c r="AQ62" s="1"/>
      <c r="AR62" s="1"/>
    </row>
    <row r="63" spans="1:44">
      <c r="A63" s="252" t="s">
        <v>203</v>
      </c>
      <c r="B63" s="92">
        <f>+'résultsyscumul '!B67</f>
        <v>0</v>
      </c>
      <c r="C63" s="92">
        <f>+'résultsyscumul '!C67</f>
        <v>2211.8000000000002</v>
      </c>
      <c r="D63" s="92">
        <f>+'résultsyscumul '!D67</f>
        <v>0</v>
      </c>
      <c r="E63" s="92">
        <f>+'résultsyscumul '!E67</f>
        <v>0</v>
      </c>
      <c r="F63" s="92">
        <f>+'résultsyscumul '!F67</f>
        <v>1800</v>
      </c>
      <c r="G63" s="92">
        <f>+'résultsyscumul '!G67</f>
        <v>1998</v>
      </c>
      <c r="H63" s="92">
        <f>+'résultsyscumul '!M67</f>
        <v>300</v>
      </c>
      <c r="I63" s="92">
        <f>+'résultsyscumul '!H67</f>
        <v>3000</v>
      </c>
      <c r="J63" s="92">
        <f>+'résultsyscumul '!I67</f>
        <v>3200</v>
      </c>
      <c r="K63" s="92">
        <f>+'résultsyscumul '!J67</f>
        <v>3000</v>
      </c>
      <c r="L63" s="92">
        <f>+'résultsyscumul '!K67</f>
        <v>1150</v>
      </c>
      <c r="M63" s="191">
        <f>SUM(B63:L63)</f>
        <v>16659.8</v>
      </c>
      <c r="N63" s="1150">
        <v>0</v>
      </c>
      <c r="O63" s="92">
        <f>+'résultsyscumul '!N67</f>
        <v>300</v>
      </c>
      <c r="P63" s="197">
        <f>+O63</f>
        <v>300</v>
      </c>
      <c r="Q63" s="92">
        <f>+'résultsyscumul '!P67</f>
        <v>1743</v>
      </c>
      <c r="R63" s="92">
        <f>+'résultsyscumul '!Q67</f>
        <v>500</v>
      </c>
      <c r="S63" s="197">
        <f>SUM(Q63:R63)</f>
        <v>2243</v>
      </c>
      <c r="T63" s="253">
        <f>+M63+O63+S63</f>
        <v>19202.8</v>
      </c>
      <c r="U63" s="60"/>
      <c r="V63" s="1"/>
      <c r="W63" s="1"/>
      <c r="X63" s="1"/>
      <c r="Y63" s="1"/>
      <c r="Z63" s="1"/>
      <c r="AA63" s="1"/>
      <c r="AB63" s="1"/>
      <c r="AC63" s="1"/>
      <c r="AD63" s="1"/>
      <c r="AE63" s="1"/>
      <c r="AF63" s="1"/>
      <c r="AG63" s="1"/>
      <c r="AH63" s="1"/>
      <c r="AI63" s="1"/>
      <c r="AJ63" s="1"/>
      <c r="AK63" s="1"/>
      <c r="AL63" s="1"/>
      <c r="AM63" s="1"/>
      <c r="AN63" s="1"/>
      <c r="AO63" s="1"/>
      <c r="AP63" s="1"/>
      <c r="AQ63" s="1"/>
      <c r="AR63" s="1"/>
    </row>
    <row r="64" spans="1:44">
      <c r="A64" s="252" t="s">
        <v>367</v>
      </c>
      <c r="B64" s="92">
        <f>+'résultsyscumul '!B77</f>
        <v>163.9</v>
      </c>
      <c r="C64" s="92">
        <f>+'résultsyscumul '!C77</f>
        <v>26547.7</v>
      </c>
      <c r="D64" s="92">
        <f>+'résultsyscumul '!D77</f>
        <v>1114.5</v>
      </c>
      <c r="E64" s="92">
        <f>+'résultsyscumul '!E77</f>
        <v>38924</v>
      </c>
      <c r="F64" s="92">
        <f>+'résultsyscumul '!F77</f>
        <v>9363.2000000000007</v>
      </c>
      <c r="G64" s="92">
        <f>+'résultsyscumul '!G77</f>
        <v>32466</v>
      </c>
      <c r="H64" s="92">
        <f>+'résultsyscumul '!M77</f>
        <v>13896</v>
      </c>
      <c r="I64" s="92">
        <f>+'résultsyscumul '!H77</f>
        <v>22682</v>
      </c>
      <c r="J64" s="92">
        <f>+'résultsyscumul '!I77</f>
        <v>18055.5</v>
      </c>
      <c r="K64" s="92">
        <f>+'résultsyscumul '!J77</f>
        <v>66829.899999999994</v>
      </c>
      <c r="L64" s="92">
        <f>+'résultsyscumul '!K77</f>
        <v>41862.299999999996</v>
      </c>
      <c r="M64" s="191">
        <f>SUM(B64:L64)</f>
        <v>271905</v>
      </c>
      <c r="N64" s="1150">
        <v>0</v>
      </c>
      <c r="O64" s="92">
        <f>+'résultsyscumul '!N77</f>
        <v>5945.9</v>
      </c>
      <c r="P64" s="197">
        <f>+O64</f>
        <v>5945.9</v>
      </c>
      <c r="Q64" s="92">
        <f>+'résultsyscumul '!P77</f>
        <v>14333</v>
      </c>
      <c r="R64" s="92">
        <f>+'résultsyscumul '!Q77</f>
        <v>16602</v>
      </c>
      <c r="S64" s="197">
        <f>SUM(Q64:R64)</f>
        <v>30935</v>
      </c>
      <c r="T64" s="253">
        <f>+M64+O64+S64</f>
        <v>308785.90000000002</v>
      </c>
      <c r="U64" s="60"/>
      <c r="V64" s="1"/>
      <c r="W64" s="1"/>
      <c r="X64" s="1"/>
      <c r="Y64" s="1"/>
      <c r="Z64" s="1"/>
      <c r="AA64" s="1"/>
      <c r="AB64" s="1"/>
      <c r="AC64" s="1"/>
      <c r="AD64" s="1"/>
      <c r="AE64" s="1"/>
      <c r="AF64" s="1"/>
      <c r="AG64" s="1"/>
      <c r="AH64" s="1"/>
      <c r="AI64" s="1"/>
      <c r="AJ64" s="1"/>
      <c r="AK64" s="1"/>
      <c r="AL64" s="1"/>
      <c r="AM64" s="1"/>
      <c r="AN64" s="1"/>
      <c r="AO64" s="1"/>
      <c r="AP64" s="1"/>
      <c r="AQ64" s="1"/>
      <c r="AR64" s="1"/>
    </row>
    <row r="65" spans="1:44">
      <c r="A65" s="252" t="s">
        <v>368</v>
      </c>
      <c r="B65" s="92">
        <f>+'résultsyscumul '!B83</f>
        <v>76.7</v>
      </c>
      <c r="C65" s="92">
        <f>+'résultsyscumul '!C83</f>
        <v>-3015.2000000000016</v>
      </c>
      <c r="D65" s="92">
        <f>+'résultsyscumul '!D83</f>
        <v>84.699999999999903</v>
      </c>
      <c r="E65" s="92">
        <f>+'résultsyscumul '!E83</f>
        <v>-11980</v>
      </c>
      <c r="F65" s="92">
        <f>+'résultsyscumul '!F83</f>
        <v>2641.6000000000022</v>
      </c>
      <c r="G65" s="92">
        <f>+'résultsyscumul '!G83</f>
        <v>2794</v>
      </c>
      <c r="H65" s="92">
        <f>+'résultsyscumul '!M83</f>
        <v>3061</v>
      </c>
      <c r="I65" s="92">
        <f>+'résultsyscumul '!H83</f>
        <v>551.00000000000296</v>
      </c>
      <c r="J65" s="92">
        <f>+'résultsyscumul '!I83</f>
        <v>1879.2999999999993</v>
      </c>
      <c r="K65" s="92">
        <f>+'résultsyscumul '!J83</f>
        <v>4244.8999999999996</v>
      </c>
      <c r="L65" s="92">
        <f>+'résultsyscumul '!K83</f>
        <v>7650.400000000016</v>
      </c>
      <c r="M65" s="191">
        <f>SUM(B65:L65)</f>
        <v>7988.4000000000169</v>
      </c>
      <c r="N65" s="1150">
        <v>0</v>
      </c>
      <c r="O65" s="92">
        <f>+'résultsyscumul '!N83</f>
        <v>1267.0999999999997</v>
      </c>
      <c r="P65" s="197">
        <f>+O65</f>
        <v>1267.0999999999997</v>
      </c>
      <c r="Q65" s="92">
        <f>+'résultsyscumul '!P83</f>
        <v>4727</v>
      </c>
      <c r="R65" s="92">
        <f>+'résultsyscumul '!Q83</f>
        <v>1247</v>
      </c>
      <c r="S65" s="197">
        <f>SUM(Q65:R65)</f>
        <v>5974</v>
      </c>
      <c r="T65" s="253">
        <f>+M65+O65+S65</f>
        <v>15229.500000000016</v>
      </c>
      <c r="U65" s="60"/>
      <c r="V65" s="1"/>
      <c r="W65" s="1"/>
      <c r="X65" s="1"/>
      <c r="Y65" s="1"/>
      <c r="Z65" s="1"/>
      <c r="AA65" s="1"/>
      <c r="AB65" s="1"/>
      <c r="AC65" s="1"/>
      <c r="AD65" s="1"/>
      <c r="AE65" s="1"/>
      <c r="AF65" s="1"/>
      <c r="AG65" s="1"/>
      <c r="AH65" s="1"/>
      <c r="AI65" s="1"/>
      <c r="AJ65" s="1"/>
      <c r="AK65" s="1"/>
      <c r="AL65" s="1"/>
      <c r="AM65" s="1"/>
      <c r="AN65" s="1"/>
      <c r="AO65" s="1"/>
      <c r="AP65" s="1"/>
      <c r="AQ65" s="1"/>
      <c r="AR65" s="1"/>
    </row>
    <row r="66" spans="1:44">
      <c r="A66" s="282"/>
      <c r="B66" s="111"/>
      <c r="C66" s="111"/>
      <c r="D66" s="111"/>
      <c r="E66" s="111"/>
      <c r="F66" s="111"/>
      <c r="G66" s="111"/>
      <c r="H66" s="111"/>
      <c r="I66" s="111"/>
      <c r="J66" s="111"/>
      <c r="K66" s="111"/>
      <c r="L66" s="111"/>
      <c r="M66" s="195"/>
      <c r="N66" s="93"/>
      <c r="O66" s="111"/>
      <c r="P66" s="1064"/>
      <c r="Q66" s="111"/>
      <c r="R66" s="111"/>
      <c r="S66" s="199"/>
      <c r="T66" s="283"/>
      <c r="U66" s="60"/>
      <c r="V66" s="1"/>
      <c r="W66" s="1"/>
      <c r="X66" s="1"/>
      <c r="Y66" s="1"/>
      <c r="Z66" s="1"/>
      <c r="AA66" s="1"/>
      <c r="AB66" s="1"/>
      <c r="AC66" s="1"/>
      <c r="AD66" s="1"/>
      <c r="AE66" s="1"/>
      <c r="AF66" s="1"/>
      <c r="AG66" s="1"/>
      <c r="AH66" s="1"/>
      <c r="AI66" s="1"/>
      <c r="AJ66" s="1"/>
      <c r="AK66" s="1"/>
      <c r="AL66" s="1"/>
      <c r="AM66" s="1"/>
      <c r="AN66" s="1"/>
      <c r="AO66" s="1"/>
      <c r="AP66" s="1"/>
      <c r="AQ66" s="1"/>
      <c r="AR66" s="1"/>
    </row>
    <row r="67" spans="1:44">
      <c r="A67" s="284" t="s">
        <v>373</v>
      </c>
      <c r="B67" s="111"/>
      <c r="C67" s="111"/>
      <c r="D67" s="111"/>
      <c r="E67" s="111"/>
      <c r="F67" s="111"/>
      <c r="G67" s="111"/>
      <c r="H67" s="111"/>
      <c r="I67" s="111"/>
      <c r="J67" s="111"/>
      <c r="K67" s="111"/>
      <c r="L67" s="111"/>
      <c r="M67" s="195"/>
      <c r="N67" s="93"/>
      <c r="O67" s="111"/>
      <c r="P67" s="1064"/>
      <c r="Q67" s="111"/>
      <c r="R67" s="111"/>
      <c r="S67" s="199"/>
      <c r="T67" s="283"/>
      <c r="U67" s="60"/>
      <c r="V67" s="1"/>
      <c r="W67" s="1"/>
      <c r="X67" s="1"/>
      <c r="Y67" s="1"/>
      <c r="Z67" s="1"/>
      <c r="AA67" s="1"/>
      <c r="AB67" s="1"/>
      <c r="AC67" s="1"/>
      <c r="AD67" s="1"/>
      <c r="AE67" s="1"/>
      <c r="AF67" s="1"/>
      <c r="AG67" s="1"/>
      <c r="AH67" s="1"/>
      <c r="AI67" s="1"/>
      <c r="AJ67" s="1"/>
      <c r="AK67" s="1"/>
      <c r="AL67" s="1"/>
      <c r="AM67" s="1"/>
      <c r="AN67" s="1"/>
      <c r="AO67" s="1"/>
      <c r="AP67" s="1"/>
      <c r="AQ67" s="1"/>
      <c r="AR67" s="1"/>
    </row>
    <row r="68" spans="1:44">
      <c r="A68" s="252" t="s">
        <v>201</v>
      </c>
      <c r="B68" s="262">
        <f t="shared" ref="B68:L68" si="8">+(B54-B61)/ABS(B61)</f>
        <v>-3.6852589641434431E-2</v>
      </c>
      <c r="C68" s="93">
        <v>0</v>
      </c>
      <c r="D68" s="93">
        <v>0</v>
      </c>
      <c r="E68" s="262">
        <f t="shared" si="8"/>
        <v>8.9865754145827856E-2</v>
      </c>
      <c r="F68" s="262">
        <f t="shared" si="8"/>
        <v>0.13308747091728104</v>
      </c>
      <c r="G68" s="262">
        <f t="shared" si="8"/>
        <v>5.399658249477881E-2</v>
      </c>
      <c r="H68" s="262">
        <f>+(H54-H61)/ABS(H61)</f>
        <v>0.16766505636070853</v>
      </c>
      <c r="I68" s="262">
        <f t="shared" si="8"/>
        <v>0.9854385988621156</v>
      </c>
      <c r="J68" s="262">
        <f t="shared" si="8"/>
        <v>0.59356375676330442</v>
      </c>
      <c r="K68" s="262">
        <f t="shared" si="8"/>
        <v>0.55041634726668776</v>
      </c>
      <c r="L68" s="262">
        <f t="shared" si="8"/>
        <v>0.44221321262500329</v>
      </c>
      <c r="M68" s="194">
        <f>+(M54-M61)/ABS(M61)</f>
        <v>0.25711544042029244</v>
      </c>
      <c r="N68" s="93">
        <v>0</v>
      </c>
      <c r="O68" s="262">
        <f>+(O54-O61)/ABS(O61)</f>
        <v>0.75957276870311541</v>
      </c>
      <c r="P68" s="1062">
        <f>+O68</f>
        <v>0.75957276870311541</v>
      </c>
      <c r="Q68" s="262">
        <f t="shared" ref="Q68:T69" si="9">+(Q54-Q61)/ABS(Q61)</f>
        <v>0.25971575902402211</v>
      </c>
      <c r="R68" s="262">
        <f t="shared" si="9"/>
        <v>0.1346092503987241</v>
      </c>
      <c r="S68" s="194">
        <f t="shared" si="9"/>
        <v>0.19761218608480857</v>
      </c>
      <c r="T68" s="266">
        <f t="shared" si="9"/>
        <v>0.26279213412738567</v>
      </c>
      <c r="U68" s="60"/>
      <c r="V68" s="1"/>
      <c r="W68" s="1"/>
      <c r="X68" s="1"/>
      <c r="Y68" s="1"/>
      <c r="Z68" s="1"/>
      <c r="AA68" s="1"/>
      <c r="AB68" s="1"/>
      <c r="AC68" s="1"/>
      <c r="AD68" s="1"/>
      <c r="AE68" s="1"/>
      <c r="AF68" s="1"/>
      <c r="AG68" s="1"/>
      <c r="AH68" s="1"/>
      <c r="AI68" s="1"/>
      <c r="AJ68" s="1"/>
      <c r="AK68" s="1"/>
      <c r="AL68" s="1"/>
      <c r="AM68" s="1"/>
      <c r="AN68" s="1"/>
      <c r="AO68" s="1"/>
      <c r="AP68" s="1"/>
      <c r="AQ68" s="1"/>
      <c r="AR68" s="1"/>
    </row>
    <row r="69" spans="1:44">
      <c r="A69" s="252" t="s">
        <v>202</v>
      </c>
      <c r="B69" s="262">
        <f t="shared" ref="B69:L69" si="10">+(B55-B62)/ABS(B62)</f>
        <v>0.29706840390879474</v>
      </c>
      <c r="C69" s="93">
        <v>0</v>
      </c>
      <c r="D69" s="93">
        <v>0</v>
      </c>
      <c r="E69" s="262">
        <f t="shared" si="10"/>
        <v>0.30028934457164425</v>
      </c>
      <c r="F69" s="262">
        <f t="shared" si="10"/>
        <v>-0.67561665851442942</v>
      </c>
      <c r="G69" s="262">
        <f t="shared" si="10"/>
        <v>0.11692282932324777</v>
      </c>
      <c r="H69" s="262">
        <f>+(H55-H62)/ABS(H62)</f>
        <v>1.2843601895734598</v>
      </c>
      <c r="I69" s="262">
        <f t="shared" si="10"/>
        <v>0.1411205026821018</v>
      </c>
      <c r="J69" s="262">
        <f t="shared" si="10"/>
        <v>5.8869046584013131E-2</v>
      </c>
      <c r="K69" s="262">
        <f t="shared" si="10"/>
        <v>0.46967876346409876</v>
      </c>
      <c r="L69" s="262">
        <f t="shared" si="10"/>
        <v>0.64292342283396198</v>
      </c>
      <c r="M69" s="194">
        <f>+(M55-M62)/ABS(M62)</f>
        <v>0.23911625657268556</v>
      </c>
      <c r="N69" s="93">
        <v>0</v>
      </c>
      <c r="O69" s="262">
        <f>+(O55-O62)/ABS(O62)</f>
        <v>0.54982924557590807</v>
      </c>
      <c r="P69" s="1062">
        <f>+O69</f>
        <v>0.54982924557590807</v>
      </c>
      <c r="Q69" s="262">
        <f t="shared" si="9"/>
        <v>0.6232059020791415</v>
      </c>
      <c r="R69" s="262">
        <f t="shared" si="9"/>
        <v>0.12259401835949067</v>
      </c>
      <c r="S69" s="194">
        <f t="shared" si="9"/>
        <v>0.46713441654357457</v>
      </c>
      <c r="T69" s="266">
        <f t="shared" si="9"/>
        <v>0.26647418009007251</v>
      </c>
      <c r="U69" s="60"/>
      <c r="V69" s="1"/>
      <c r="W69" s="1"/>
      <c r="X69" s="1"/>
      <c r="Y69" s="1"/>
      <c r="Z69" s="1"/>
      <c r="AA69" s="1"/>
      <c r="AB69" s="1"/>
      <c r="AC69" s="1"/>
      <c r="AD69" s="1"/>
      <c r="AE69" s="1"/>
      <c r="AF69" s="1"/>
      <c r="AG69" s="1"/>
      <c r="AH69" s="1"/>
      <c r="AI69" s="1"/>
      <c r="AJ69" s="1"/>
      <c r="AK69" s="1"/>
      <c r="AL69" s="1"/>
      <c r="AM69" s="1"/>
      <c r="AN69" s="1"/>
      <c r="AO69" s="1"/>
      <c r="AP69" s="1"/>
      <c r="AQ69" s="1"/>
      <c r="AR69" s="1"/>
    </row>
    <row r="70" spans="1:44">
      <c r="A70" s="252" t="s">
        <v>203</v>
      </c>
      <c r="B70" s="93">
        <v>0</v>
      </c>
      <c r="C70" s="93">
        <v>0</v>
      </c>
      <c r="D70" s="93">
        <v>0</v>
      </c>
      <c r="E70" s="93">
        <v>0</v>
      </c>
      <c r="F70" s="262">
        <f t="shared" ref="F70:M72" si="11">+(F56-F63)/ABS(F63)</f>
        <v>0</v>
      </c>
      <c r="G70" s="262">
        <f t="shared" si="11"/>
        <v>0.25075075075075076</v>
      </c>
      <c r="H70" s="262">
        <f>+(H56-H63)/ABS(H63)</f>
        <v>1.5</v>
      </c>
      <c r="I70" s="262">
        <f t="shared" si="11"/>
        <v>-1</v>
      </c>
      <c r="J70" s="262">
        <f t="shared" si="11"/>
        <v>-0.28125</v>
      </c>
      <c r="K70" s="262">
        <f t="shared" si="11"/>
        <v>0</v>
      </c>
      <c r="L70" s="262">
        <f t="shared" si="11"/>
        <v>2.7826086956521738</v>
      </c>
      <c r="M70" s="194">
        <f t="shared" si="11"/>
        <v>-0.11769649095427312</v>
      </c>
      <c r="N70" s="93">
        <v>0</v>
      </c>
      <c r="O70" s="262">
        <f>+(O56-O63)/ABS(O63)</f>
        <v>3.2613333333333334</v>
      </c>
      <c r="P70" s="1062">
        <f>+O70</f>
        <v>3.2613333333333334</v>
      </c>
      <c r="Q70" s="262">
        <f>+(Q56-Q63)/ABS(Q63)</f>
        <v>-1</v>
      </c>
      <c r="R70" s="93">
        <v>0</v>
      </c>
      <c r="S70" s="194">
        <f t="shared" ref="S70:T72" si="12">+(S56-S63)/ABS(S63)</f>
        <v>-0.62639322336156933</v>
      </c>
      <c r="T70" s="266">
        <f t="shared" si="12"/>
        <v>-0.1168371279188451</v>
      </c>
      <c r="U70" s="60"/>
      <c r="V70" s="1"/>
      <c r="W70" s="1"/>
      <c r="X70" s="1"/>
      <c r="Y70" s="1"/>
      <c r="Z70" s="1"/>
      <c r="AA70" s="1"/>
      <c r="AB70" s="1"/>
      <c r="AC70" s="1"/>
      <c r="AD70" s="1"/>
      <c r="AE70" s="1"/>
      <c r="AF70" s="1"/>
      <c r="AG70" s="1"/>
      <c r="AH70" s="1"/>
      <c r="AI70" s="1"/>
      <c r="AJ70" s="1"/>
      <c r="AK70" s="1"/>
      <c r="AL70" s="1"/>
      <c r="AM70" s="1"/>
      <c r="AN70" s="1"/>
      <c r="AO70" s="1"/>
      <c r="AP70" s="1"/>
      <c r="AQ70" s="1"/>
      <c r="AR70" s="1"/>
    </row>
    <row r="71" spans="1:44">
      <c r="A71" s="252" t="s">
        <v>367</v>
      </c>
      <c r="B71" s="262">
        <f>+(B57-B64)/ABS(B64)</f>
        <v>0.46491763270286768</v>
      </c>
      <c r="C71" s="93">
        <v>0</v>
      </c>
      <c r="D71" s="93">
        <v>0</v>
      </c>
      <c r="E71" s="262">
        <f>+(E57-E64)/ABS(E64)</f>
        <v>-0.17038331106772173</v>
      </c>
      <c r="F71" s="262">
        <f t="shared" si="11"/>
        <v>-4.7312884483937112E-2</v>
      </c>
      <c r="G71" s="262">
        <f t="shared" si="11"/>
        <v>0.26794184685517158</v>
      </c>
      <c r="H71" s="262">
        <f>+(H57-H64)/ABS(H64)</f>
        <v>0.39119170984455959</v>
      </c>
      <c r="I71" s="262">
        <f t="shared" si="11"/>
        <v>0.31093378008993927</v>
      </c>
      <c r="J71" s="262">
        <f t="shared" si="11"/>
        <v>0.27983163025117003</v>
      </c>
      <c r="K71" s="262">
        <f t="shared" si="11"/>
        <v>0.40080263474881767</v>
      </c>
      <c r="L71" s="262">
        <f t="shared" si="11"/>
        <v>0.44462678830355734</v>
      </c>
      <c r="M71" s="194">
        <f t="shared" si="11"/>
        <v>0.13599529247347414</v>
      </c>
      <c r="N71" s="93">
        <v>0</v>
      </c>
      <c r="O71" s="262">
        <f>+(O57-O64)/ABS(O64)</f>
        <v>0.16777947829596873</v>
      </c>
      <c r="P71" s="1062">
        <f>+O71</f>
        <v>0.16777947829596873</v>
      </c>
      <c r="Q71" s="262">
        <f>+(Q57-Q64)/ABS(Q64)</f>
        <v>4.953603572176097E-2</v>
      </c>
      <c r="R71" s="262">
        <f>+(R57-R64)/ABS(R64)</f>
        <v>0.11709432598482111</v>
      </c>
      <c r="S71" s="194">
        <f t="shared" si="12"/>
        <v>8.5792791336673668E-2</v>
      </c>
      <c r="T71" s="266">
        <f t="shared" si="12"/>
        <v>0.13520176925176947</v>
      </c>
      <c r="U71" s="60"/>
      <c r="V71" s="1"/>
      <c r="W71" s="1"/>
      <c r="X71" s="1"/>
      <c r="Y71" s="1"/>
      <c r="Z71" s="1"/>
      <c r="AA71" s="1"/>
      <c r="AB71" s="1"/>
      <c r="AC71" s="1"/>
      <c r="AD71" s="1"/>
      <c r="AE71" s="1"/>
      <c r="AF71" s="1"/>
      <c r="AG71" s="1"/>
      <c r="AH71" s="1"/>
      <c r="AI71" s="1"/>
      <c r="AJ71" s="1"/>
      <c r="AK71" s="1"/>
      <c r="AL71" s="1"/>
      <c r="AM71" s="1"/>
      <c r="AN71" s="1"/>
      <c r="AO71" s="1"/>
      <c r="AP71" s="1"/>
      <c r="AQ71" s="1"/>
      <c r="AR71" s="1"/>
    </row>
    <row r="72" spans="1:44" ht="16.5" thickBot="1">
      <c r="A72" s="256" t="s">
        <v>368</v>
      </c>
      <c r="B72" s="267">
        <f>+(B58-B65)/ABS(B65)</f>
        <v>-0.51629726205997484</v>
      </c>
      <c r="C72" s="1054">
        <v>0</v>
      </c>
      <c r="D72" s="1054">
        <v>0</v>
      </c>
      <c r="E72" s="267">
        <f>+(E58-E65)/ABS(E65)</f>
        <v>0.89532554257095154</v>
      </c>
      <c r="F72" s="267">
        <f t="shared" si="11"/>
        <v>-0.88927165354330784</v>
      </c>
      <c r="G72" s="267">
        <f t="shared" si="11"/>
        <v>-1.4713672154617037</v>
      </c>
      <c r="H72" s="267">
        <f>+(H58-H65)/ABS(H65)</f>
        <v>0.40868997059784384</v>
      </c>
      <c r="I72" s="267">
        <f t="shared" si="11"/>
        <v>15.060254083484487</v>
      </c>
      <c r="J72" s="267">
        <f t="shared" si="11"/>
        <v>2.0883839727558144</v>
      </c>
      <c r="K72" s="267">
        <f t="shared" si="11"/>
        <v>2.8268510447831519</v>
      </c>
      <c r="L72" s="267">
        <f t="shared" si="11"/>
        <v>0.49034037435950689</v>
      </c>
      <c r="M72" s="274">
        <f t="shared" si="11"/>
        <v>4.5543162585749215</v>
      </c>
      <c r="N72" s="1054">
        <v>0</v>
      </c>
      <c r="O72" s="267">
        <f>+(O58-O65)/ABS(O65)</f>
        <v>2.0325941125404485</v>
      </c>
      <c r="P72" s="1063">
        <f>+O72</f>
        <v>2.0325941125404485</v>
      </c>
      <c r="Q72" s="267">
        <f>+(Q58-Q65)/ABS(Q65)</f>
        <v>1.3941188914745082</v>
      </c>
      <c r="R72" s="267">
        <f>+(R58-R65)/ABS(R65)</f>
        <v>-4.8115477145148355E-3</v>
      </c>
      <c r="S72" s="274">
        <f t="shared" si="12"/>
        <v>1.1021091396049547</v>
      </c>
      <c r="T72" s="268">
        <f t="shared" si="12"/>
        <v>2.9074099609310835</v>
      </c>
      <c r="U72" s="60"/>
      <c r="V72" s="1"/>
      <c r="W72" s="1"/>
      <c r="X72" s="1"/>
      <c r="Y72" s="1"/>
      <c r="Z72" s="1"/>
      <c r="AA72" s="1"/>
      <c r="AB72" s="1"/>
      <c r="AC72" s="1"/>
      <c r="AD72" s="1"/>
      <c r="AE72" s="1"/>
      <c r="AF72" s="1"/>
      <c r="AG72" s="1"/>
      <c r="AH72" s="1"/>
      <c r="AI72" s="1"/>
      <c r="AJ72" s="1"/>
      <c r="AK72" s="1"/>
      <c r="AL72" s="1"/>
      <c r="AM72" s="1"/>
      <c r="AN72" s="1"/>
      <c r="AO72" s="1"/>
      <c r="AP72" s="1"/>
      <c r="AQ72" s="1"/>
      <c r="AR72" s="1"/>
    </row>
    <row r="73" spans="1:44" ht="16.5" thickTop="1">
      <c r="B73" s="102"/>
      <c r="C73" s="102"/>
      <c r="D73" s="102"/>
      <c r="E73" s="102"/>
      <c r="F73" s="102"/>
      <c r="G73" s="102"/>
      <c r="H73" s="102"/>
      <c r="I73" s="102"/>
      <c r="J73" s="102"/>
      <c r="K73" s="102"/>
      <c r="L73" s="102"/>
      <c r="M73" s="102"/>
      <c r="N73" s="102"/>
      <c r="O73" s="102"/>
      <c r="P73" s="102"/>
      <c r="Q73" s="102"/>
      <c r="R73" s="102"/>
      <c r="S73" s="88"/>
      <c r="T73" s="88"/>
      <c r="U73" s="60"/>
      <c r="V73" s="1"/>
      <c r="W73" s="1"/>
      <c r="X73" s="1"/>
      <c r="Y73" s="1"/>
      <c r="Z73" s="1"/>
      <c r="AA73" s="1"/>
      <c r="AB73" s="1"/>
      <c r="AC73" s="1"/>
      <c r="AD73" s="1"/>
      <c r="AE73" s="1"/>
      <c r="AF73" s="1"/>
      <c r="AG73" s="1"/>
      <c r="AH73" s="1"/>
      <c r="AI73" s="1"/>
      <c r="AJ73" s="1"/>
      <c r="AK73" s="1"/>
      <c r="AL73" s="1"/>
      <c r="AM73" s="1"/>
      <c r="AN73" s="1"/>
      <c r="AO73" s="1"/>
      <c r="AP73" s="1"/>
      <c r="AQ73" s="1"/>
      <c r="AR73" s="1"/>
    </row>
    <row r="74" spans="1:44">
      <c r="A74" t="s">
        <v>0</v>
      </c>
      <c r="B74" s="102"/>
      <c r="C74" s="102"/>
      <c r="D74" s="102"/>
      <c r="E74" s="102"/>
      <c r="F74" s="102"/>
      <c r="G74" s="102"/>
      <c r="H74" s="102"/>
      <c r="I74" s="102"/>
      <c r="J74" s="102"/>
      <c r="K74" s="102"/>
      <c r="L74" s="102"/>
      <c r="M74" s="102"/>
      <c r="N74" s="102"/>
      <c r="O74" s="102"/>
      <c r="P74" s="102"/>
      <c r="Q74" s="102"/>
      <c r="R74" s="102"/>
      <c r="S74" s="88"/>
      <c r="T74" s="88"/>
      <c r="U74" s="60"/>
      <c r="V74" s="1"/>
      <c r="W74" s="1"/>
      <c r="X74" s="1"/>
      <c r="Y74" s="1"/>
      <c r="Z74" s="1"/>
      <c r="AA74" s="1"/>
      <c r="AB74" s="1"/>
      <c r="AC74" s="1"/>
      <c r="AD74" s="1"/>
      <c r="AE74" s="1"/>
      <c r="AF74" s="1"/>
      <c r="AG74" s="1"/>
      <c r="AH74" s="1"/>
      <c r="AI74" s="1"/>
      <c r="AJ74" s="1"/>
      <c r="AK74" s="1"/>
      <c r="AL74" s="1"/>
      <c r="AM74" s="1"/>
      <c r="AN74" s="1"/>
      <c r="AO74" s="1"/>
      <c r="AP74" s="1"/>
      <c r="AQ74" s="1"/>
      <c r="AR74" s="1"/>
    </row>
    <row r="75" spans="1:44">
      <c r="B75" s="102"/>
      <c r="C75" s="102"/>
      <c r="D75" s="102"/>
      <c r="E75" s="102"/>
      <c r="F75" s="102"/>
      <c r="G75" s="102"/>
      <c r="H75" s="102"/>
      <c r="I75" s="102"/>
      <c r="J75" s="102"/>
      <c r="K75" s="102"/>
      <c r="L75" s="102"/>
      <c r="M75" s="102"/>
      <c r="N75" s="102"/>
      <c r="O75" s="102"/>
      <c r="P75" s="102"/>
      <c r="Q75" s="102"/>
      <c r="R75" s="102"/>
      <c r="S75" s="88"/>
      <c r="T75" s="88"/>
      <c r="U75" s="60"/>
      <c r="V75" s="1"/>
      <c r="W75" s="1"/>
      <c r="X75" s="1"/>
      <c r="Y75" s="1"/>
      <c r="Z75" s="1"/>
      <c r="AA75" s="1"/>
      <c r="AB75" s="1"/>
      <c r="AC75" s="1"/>
      <c r="AD75" s="1"/>
      <c r="AE75" s="1"/>
      <c r="AF75" s="1"/>
      <c r="AG75" s="1"/>
      <c r="AH75" s="1"/>
      <c r="AI75" s="1"/>
      <c r="AJ75" s="1"/>
      <c r="AK75" s="1"/>
      <c r="AL75" s="1"/>
      <c r="AM75" s="1"/>
      <c r="AN75" s="1"/>
      <c r="AO75" s="1"/>
      <c r="AP75" s="1"/>
      <c r="AQ75" s="1"/>
      <c r="AR75" s="1"/>
    </row>
    <row r="76" spans="1:44">
      <c r="B76" s="102"/>
      <c r="C76" s="102"/>
      <c r="D76" s="102"/>
      <c r="E76" s="102"/>
      <c r="F76" s="102"/>
      <c r="G76" s="102"/>
      <c r="H76" s="102"/>
      <c r="I76" s="102"/>
      <c r="J76" s="102"/>
      <c r="K76" s="102"/>
      <c r="L76" s="102"/>
      <c r="M76" s="102"/>
      <c r="N76" s="102"/>
      <c r="O76" s="102"/>
      <c r="P76" s="102"/>
      <c r="Q76" s="102"/>
      <c r="R76" s="102"/>
      <c r="S76" s="88"/>
      <c r="T76" s="88"/>
      <c r="U76" s="60"/>
      <c r="V76" s="1"/>
      <c r="W76" s="1"/>
      <c r="X76" s="1"/>
      <c r="Y76" s="1"/>
      <c r="Z76" s="1"/>
      <c r="AA76" s="1"/>
      <c r="AB76" s="1"/>
      <c r="AC76" s="1"/>
      <c r="AD76" s="1"/>
      <c r="AE76" s="1"/>
      <c r="AF76" s="1"/>
      <c r="AG76" s="1"/>
      <c r="AH76" s="1"/>
      <c r="AI76" s="1"/>
      <c r="AJ76" s="1"/>
      <c r="AK76" s="1"/>
      <c r="AL76" s="1"/>
      <c r="AM76" s="1"/>
      <c r="AN76" s="1"/>
      <c r="AO76" s="1"/>
      <c r="AP76" s="1"/>
      <c r="AQ76" s="1"/>
      <c r="AR76" s="1"/>
    </row>
    <row r="77" spans="1:44">
      <c r="B77" s="102"/>
      <c r="C77" s="102"/>
      <c r="D77" s="102"/>
      <c r="E77" s="102"/>
      <c r="F77" s="102"/>
      <c r="G77" s="102"/>
      <c r="H77" s="102"/>
      <c r="I77" s="102"/>
      <c r="J77" s="102"/>
      <c r="K77" s="102"/>
      <c r="L77" s="102"/>
      <c r="M77" s="102"/>
      <c r="N77" s="102"/>
      <c r="O77" s="102"/>
      <c r="P77" s="102"/>
      <c r="Q77" s="102"/>
      <c r="R77" s="102"/>
      <c r="S77" s="88"/>
      <c r="T77" s="88"/>
      <c r="U77" s="60"/>
      <c r="V77" s="1"/>
      <c r="W77" s="1"/>
      <c r="X77" s="1"/>
      <c r="Y77" s="1"/>
      <c r="Z77" s="1"/>
      <c r="AA77" s="1"/>
      <c r="AB77" s="1"/>
      <c r="AC77" s="1"/>
      <c r="AD77" s="1"/>
      <c r="AE77" s="1"/>
      <c r="AF77" s="1"/>
      <c r="AG77" s="1"/>
      <c r="AH77" s="1"/>
      <c r="AI77" s="1"/>
      <c r="AJ77" s="1"/>
      <c r="AK77" s="1"/>
      <c r="AL77" s="1"/>
      <c r="AM77" s="1"/>
      <c r="AN77" s="1"/>
      <c r="AO77" s="1"/>
      <c r="AP77" s="1"/>
      <c r="AQ77" s="1"/>
      <c r="AR77" s="1"/>
    </row>
    <row r="78" spans="1:44">
      <c r="B78" s="102"/>
      <c r="C78" s="102"/>
      <c r="D78" s="102"/>
      <c r="E78" s="102"/>
      <c r="F78" s="102"/>
      <c r="G78" s="102"/>
      <c r="H78" s="102"/>
      <c r="I78" s="102"/>
      <c r="J78" s="102"/>
      <c r="K78" s="102"/>
      <c r="L78" s="102"/>
      <c r="M78" s="102"/>
      <c r="N78" s="102"/>
      <c r="O78" s="102"/>
      <c r="P78" s="102"/>
      <c r="Q78" s="102"/>
      <c r="R78" s="102"/>
      <c r="S78" s="88"/>
      <c r="T78" s="88"/>
      <c r="U78" s="60"/>
      <c r="V78" s="1"/>
      <c r="W78" s="1"/>
      <c r="X78" s="1"/>
      <c r="Y78" s="1"/>
      <c r="Z78" s="1"/>
      <c r="AA78" s="1"/>
      <c r="AB78" s="1"/>
      <c r="AC78" s="1"/>
      <c r="AD78" s="1"/>
      <c r="AE78" s="1"/>
      <c r="AF78" s="1"/>
      <c r="AG78" s="1"/>
      <c r="AH78" s="1"/>
      <c r="AI78" s="1"/>
      <c r="AJ78" s="1"/>
      <c r="AK78" s="1"/>
      <c r="AL78" s="1"/>
      <c r="AM78" s="1"/>
      <c r="AN78" s="1"/>
      <c r="AO78" s="1"/>
      <c r="AP78" s="1"/>
      <c r="AQ78" s="1"/>
      <c r="AR78" s="1"/>
    </row>
    <row r="79" spans="1:44">
      <c r="B79" s="102"/>
      <c r="C79" s="102"/>
      <c r="D79" s="102"/>
      <c r="E79" s="102"/>
      <c r="F79" s="102"/>
      <c r="G79" s="102"/>
      <c r="H79" s="102"/>
      <c r="I79" s="102"/>
      <c r="J79" s="102"/>
      <c r="K79" s="102"/>
      <c r="L79" s="102"/>
      <c r="M79" s="102"/>
      <c r="N79" s="102"/>
      <c r="O79" s="102"/>
      <c r="P79" s="102"/>
      <c r="Q79" s="102"/>
      <c r="R79" s="102"/>
      <c r="S79" s="88"/>
      <c r="T79" s="88"/>
      <c r="U79" s="60"/>
      <c r="V79" s="1"/>
      <c r="W79" s="1"/>
      <c r="X79" s="1"/>
      <c r="Y79" s="1"/>
      <c r="Z79" s="1"/>
      <c r="AA79" s="1"/>
      <c r="AB79" s="1"/>
      <c r="AC79" s="1"/>
      <c r="AD79" s="1"/>
      <c r="AE79" s="1"/>
      <c r="AF79" s="1"/>
      <c r="AG79" s="1"/>
      <c r="AH79" s="1"/>
      <c r="AI79" s="1"/>
      <c r="AJ79" s="1"/>
      <c r="AK79" s="1"/>
      <c r="AL79" s="1"/>
      <c r="AM79" s="1"/>
      <c r="AN79" s="1"/>
      <c r="AO79" s="1"/>
      <c r="AP79" s="1"/>
      <c r="AQ79" s="1"/>
      <c r="AR79" s="1"/>
    </row>
    <row r="80" spans="1:44">
      <c r="B80" s="102"/>
      <c r="C80" s="102"/>
      <c r="D80" s="102"/>
      <c r="E80" s="102"/>
      <c r="F80" s="102"/>
      <c r="G80" s="102"/>
      <c r="H80" s="102"/>
      <c r="I80" s="102"/>
      <c r="J80" s="102"/>
      <c r="K80" s="102"/>
      <c r="L80" s="102"/>
      <c r="M80" s="102"/>
      <c r="N80" s="102"/>
      <c r="O80" s="102"/>
      <c r="P80" s="102"/>
      <c r="Q80" s="102"/>
      <c r="R80" s="102"/>
      <c r="S80" s="88"/>
      <c r="T80" s="88"/>
      <c r="U80" s="60"/>
      <c r="V80" s="1"/>
      <c r="W80" s="1"/>
      <c r="X80" s="1"/>
      <c r="Y80" s="1"/>
      <c r="Z80" s="1"/>
      <c r="AA80" s="1"/>
      <c r="AB80" s="1"/>
      <c r="AC80" s="1"/>
      <c r="AD80" s="1"/>
      <c r="AE80" s="1"/>
      <c r="AF80" s="1"/>
      <c r="AG80" s="1"/>
      <c r="AH80" s="1"/>
      <c r="AI80" s="1"/>
      <c r="AJ80" s="1"/>
      <c r="AK80" s="1"/>
      <c r="AL80" s="1"/>
      <c r="AM80" s="1"/>
      <c r="AN80" s="1"/>
      <c r="AO80" s="1"/>
      <c r="AP80" s="1"/>
      <c r="AQ80" s="1"/>
      <c r="AR80" s="1"/>
    </row>
    <row r="81" spans="2:44">
      <c r="B81" s="102"/>
      <c r="C81" s="102"/>
      <c r="D81" s="102"/>
      <c r="E81" s="102"/>
      <c r="F81" s="102"/>
      <c r="G81" s="102"/>
      <c r="H81" s="102"/>
      <c r="I81" s="102"/>
      <c r="J81" s="102"/>
      <c r="K81" s="102"/>
      <c r="L81" s="102"/>
      <c r="M81" s="102"/>
      <c r="N81" s="102"/>
      <c r="O81" s="102"/>
      <c r="P81" s="102"/>
      <c r="Q81" s="102"/>
      <c r="R81" s="102"/>
      <c r="S81" s="88"/>
      <c r="T81" s="88"/>
      <c r="U81" s="60"/>
      <c r="V81" s="1"/>
      <c r="W81" s="1"/>
      <c r="X81" s="1"/>
      <c r="Y81" s="1"/>
      <c r="Z81" s="1"/>
      <c r="AA81" s="1"/>
      <c r="AB81" s="1"/>
      <c r="AC81" s="1"/>
      <c r="AD81" s="1"/>
      <c r="AE81" s="1"/>
      <c r="AF81" s="1"/>
      <c r="AG81" s="1"/>
      <c r="AH81" s="1"/>
      <c r="AI81" s="1"/>
      <c r="AJ81" s="1"/>
      <c r="AK81" s="1"/>
      <c r="AL81" s="1"/>
      <c r="AM81" s="1"/>
      <c r="AN81" s="1"/>
      <c r="AO81" s="1"/>
      <c r="AP81" s="1"/>
      <c r="AQ81" s="1"/>
      <c r="AR81" s="1"/>
    </row>
    <row r="82" spans="2:44">
      <c r="B82" s="102"/>
      <c r="C82" s="102"/>
      <c r="D82" s="102"/>
      <c r="E82" s="102"/>
      <c r="F82" s="102"/>
      <c r="G82" s="102"/>
      <c r="H82" s="102"/>
      <c r="I82" s="102"/>
      <c r="J82" s="102"/>
      <c r="K82" s="102"/>
      <c r="L82" s="102"/>
      <c r="M82" s="102"/>
      <c r="N82" s="102"/>
      <c r="O82" s="102"/>
      <c r="P82" s="102"/>
      <c r="Q82" s="102"/>
      <c r="R82" s="102"/>
      <c r="S82" s="88"/>
      <c r="T82" s="88"/>
      <c r="U82" s="60"/>
      <c r="V82" s="1"/>
      <c r="W82" s="1"/>
      <c r="X82" s="1"/>
      <c r="Y82" s="1"/>
      <c r="Z82" s="1"/>
      <c r="AA82" s="1"/>
      <c r="AB82" s="1"/>
      <c r="AC82" s="1"/>
      <c r="AD82" s="1"/>
      <c r="AE82" s="1"/>
      <c r="AF82" s="1"/>
      <c r="AG82" s="1"/>
      <c r="AH82" s="1"/>
      <c r="AI82" s="1"/>
      <c r="AJ82" s="1"/>
      <c r="AK82" s="1"/>
      <c r="AL82" s="1"/>
      <c r="AM82" s="1"/>
      <c r="AN82" s="1"/>
      <c r="AO82" s="1"/>
      <c r="AP82" s="1"/>
      <c r="AQ82" s="1"/>
      <c r="AR82" s="1"/>
    </row>
    <row r="83" spans="2:44">
      <c r="B83" s="102"/>
      <c r="C83" s="102"/>
      <c r="D83" s="102"/>
      <c r="E83" s="102"/>
      <c r="F83" s="102"/>
      <c r="G83" s="102"/>
      <c r="H83" s="102"/>
      <c r="I83" s="102"/>
      <c r="J83" s="102"/>
      <c r="K83" s="102"/>
      <c r="L83" s="102"/>
      <c r="M83" s="102"/>
      <c r="N83" s="102"/>
      <c r="O83" s="102"/>
      <c r="P83" s="102"/>
      <c r="Q83" s="102"/>
      <c r="R83" s="102"/>
      <c r="S83" s="88"/>
      <c r="T83" s="88"/>
      <c r="U83" s="60"/>
      <c r="V83" s="1"/>
      <c r="W83" s="1"/>
      <c r="X83" s="1"/>
      <c r="Y83" s="1"/>
      <c r="Z83" s="1"/>
      <c r="AA83" s="1"/>
      <c r="AB83" s="1"/>
      <c r="AC83" s="1"/>
      <c r="AD83" s="1"/>
      <c r="AE83" s="1"/>
      <c r="AF83" s="1"/>
      <c r="AG83" s="1"/>
      <c r="AH83" s="1"/>
      <c r="AI83" s="1"/>
      <c r="AJ83" s="1"/>
      <c r="AK83" s="1"/>
      <c r="AL83" s="1"/>
      <c r="AM83" s="1"/>
      <c r="AN83" s="1"/>
      <c r="AO83" s="1"/>
      <c r="AP83" s="1"/>
      <c r="AQ83" s="1"/>
      <c r="AR83" s="1"/>
    </row>
    <row r="84" spans="2:44">
      <c r="B84" s="102"/>
      <c r="C84" s="102"/>
      <c r="D84" s="102"/>
      <c r="E84" s="102"/>
      <c r="F84" s="102"/>
      <c r="G84" s="102"/>
      <c r="H84" s="102"/>
      <c r="I84" s="102"/>
      <c r="J84" s="102"/>
      <c r="K84" s="102"/>
      <c r="L84" s="102"/>
      <c r="M84" s="102"/>
      <c r="N84" s="102"/>
      <c r="O84" s="102"/>
      <c r="P84" s="102"/>
      <c r="Q84" s="102"/>
      <c r="R84" s="102"/>
      <c r="S84" s="88"/>
      <c r="T84" s="88"/>
      <c r="U84" s="60"/>
      <c r="V84" s="1"/>
      <c r="W84" s="1"/>
      <c r="X84" s="1"/>
      <c r="Y84" s="1"/>
      <c r="Z84" s="1"/>
      <c r="AA84" s="1"/>
      <c r="AB84" s="1"/>
      <c r="AC84" s="1"/>
      <c r="AD84" s="1"/>
      <c r="AE84" s="1"/>
      <c r="AF84" s="1"/>
      <c r="AG84" s="1"/>
      <c r="AH84" s="1"/>
      <c r="AI84" s="1"/>
      <c r="AJ84" s="1"/>
      <c r="AK84" s="1"/>
      <c r="AL84" s="1"/>
      <c r="AM84" s="1"/>
      <c r="AN84" s="1"/>
      <c r="AO84" s="1"/>
      <c r="AP84" s="1"/>
      <c r="AQ84" s="1"/>
      <c r="AR84" s="1"/>
    </row>
    <row r="85" spans="2:44">
      <c r="B85" s="102"/>
      <c r="C85" s="102"/>
      <c r="D85" s="102"/>
      <c r="E85" s="102"/>
      <c r="F85" s="102"/>
      <c r="G85" s="102"/>
      <c r="H85" s="102"/>
      <c r="I85" s="102"/>
      <c r="J85" s="102"/>
      <c r="K85" s="102"/>
      <c r="L85" s="102"/>
      <c r="M85" s="102"/>
      <c r="N85" s="102"/>
      <c r="O85" s="102"/>
      <c r="P85" s="102"/>
      <c r="Q85" s="102"/>
      <c r="R85" s="102"/>
      <c r="S85" s="88"/>
      <c r="T85" s="88"/>
      <c r="U85" s="60"/>
      <c r="V85" s="1"/>
      <c r="W85" s="1"/>
      <c r="X85" s="1"/>
      <c r="Y85" s="1"/>
      <c r="Z85" s="1"/>
      <c r="AA85" s="1"/>
      <c r="AB85" s="1"/>
      <c r="AC85" s="1"/>
      <c r="AD85" s="1"/>
      <c r="AE85" s="1"/>
      <c r="AF85" s="1"/>
      <c r="AG85" s="1"/>
      <c r="AH85" s="1"/>
      <c r="AI85" s="1"/>
      <c r="AJ85" s="1"/>
      <c r="AK85" s="1"/>
      <c r="AL85" s="1"/>
      <c r="AM85" s="1"/>
      <c r="AN85" s="1"/>
      <c r="AO85" s="1"/>
      <c r="AP85" s="1"/>
      <c r="AQ85" s="1"/>
      <c r="AR85" s="1"/>
    </row>
    <row r="86" spans="2:44">
      <c r="B86" s="102"/>
      <c r="C86" s="102"/>
      <c r="D86" s="102"/>
      <c r="E86" s="102"/>
      <c r="F86" s="102"/>
      <c r="G86" s="102"/>
      <c r="H86" s="102"/>
      <c r="I86" s="102"/>
      <c r="J86" s="102"/>
      <c r="K86" s="102"/>
      <c r="L86" s="102"/>
      <c r="M86" s="102"/>
      <c r="N86" s="102"/>
      <c r="O86" s="102"/>
      <c r="P86" s="102"/>
      <c r="Q86" s="102"/>
      <c r="R86" s="102"/>
      <c r="S86" s="88"/>
      <c r="T86" s="88"/>
      <c r="U86" s="60"/>
      <c r="V86" s="1"/>
      <c r="W86" s="1"/>
      <c r="X86" s="1"/>
      <c r="Y86" s="1"/>
      <c r="Z86" s="1"/>
      <c r="AA86" s="1"/>
      <c r="AB86" s="1"/>
      <c r="AC86" s="1"/>
      <c r="AD86" s="1"/>
      <c r="AE86" s="1"/>
      <c r="AF86" s="1"/>
      <c r="AG86" s="1"/>
      <c r="AH86" s="1"/>
      <c r="AI86" s="1"/>
      <c r="AJ86" s="1"/>
      <c r="AK86" s="1"/>
      <c r="AL86" s="1"/>
      <c r="AM86" s="1"/>
      <c r="AN86" s="1"/>
      <c r="AO86" s="1"/>
      <c r="AP86" s="1"/>
      <c r="AQ86" s="1"/>
      <c r="AR86" s="1"/>
    </row>
    <row r="87" spans="2:44">
      <c r="B87" s="102"/>
      <c r="C87" s="102"/>
      <c r="D87" s="102"/>
      <c r="E87" s="102"/>
      <c r="F87" s="102"/>
      <c r="G87" s="102"/>
      <c r="H87" s="102"/>
      <c r="I87" s="102"/>
      <c r="J87" s="102"/>
      <c r="K87" s="102"/>
      <c r="L87" s="102"/>
      <c r="M87" s="102"/>
      <c r="N87" s="102"/>
      <c r="O87" s="102"/>
      <c r="P87" s="102"/>
      <c r="Q87" s="102"/>
      <c r="R87" s="102"/>
      <c r="S87" s="88"/>
      <c r="T87" s="88"/>
      <c r="U87" s="60"/>
      <c r="V87" s="1"/>
      <c r="W87" s="1"/>
      <c r="X87" s="1"/>
      <c r="Y87" s="1"/>
      <c r="Z87" s="1"/>
      <c r="AA87" s="1"/>
      <c r="AB87" s="1"/>
      <c r="AC87" s="1"/>
      <c r="AD87" s="1"/>
      <c r="AE87" s="1"/>
      <c r="AF87" s="1"/>
      <c r="AG87" s="1"/>
      <c r="AH87" s="1"/>
      <c r="AI87" s="1"/>
      <c r="AJ87" s="1"/>
      <c r="AK87" s="1"/>
      <c r="AL87" s="1"/>
      <c r="AM87" s="1"/>
      <c r="AN87" s="1"/>
      <c r="AO87" s="1"/>
      <c r="AP87" s="1"/>
      <c r="AQ87" s="1"/>
      <c r="AR87" s="1"/>
    </row>
    <row r="88" spans="2:44">
      <c r="B88" s="102"/>
      <c r="C88" s="102"/>
      <c r="D88" s="102"/>
      <c r="E88" s="102"/>
      <c r="F88" s="102"/>
      <c r="G88" s="102"/>
      <c r="H88" s="102"/>
      <c r="I88" s="102"/>
      <c r="J88" s="102"/>
      <c r="K88" s="102"/>
      <c r="L88" s="102"/>
      <c r="M88" s="102"/>
      <c r="N88" s="102"/>
      <c r="O88" s="102"/>
      <c r="P88" s="102"/>
      <c r="Q88" s="102"/>
      <c r="R88" s="102"/>
      <c r="S88" s="88"/>
      <c r="T88" s="88"/>
      <c r="U88" s="60"/>
      <c r="V88" s="1"/>
      <c r="W88" s="1"/>
      <c r="X88" s="1"/>
      <c r="Y88" s="1"/>
      <c r="Z88" s="1"/>
      <c r="AA88" s="1"/>
      <c r="AB88" s="1"/>
      <c r="AC88" s="1"/>
      <c r="AD88" s="1"/>
      <c r="AE88" s="1"/>
      <c r="AF88" s="1"/>
      <c r="AG88" s="1"/>
      <c r="AH88" s="1"/>
      <c r="AI88" s="1"/>
      <c r="AJ88" s="1"/>
      <c r="AK88" s="1"/>
      <c r="AL88" s="1"/>
      <c r="AM88" s="1"/>
      <c r="AN88" s="1"/>
      <c r="AO88" s="1"/>
      <c r="AP88" s="1"/>
      <c r="AQ88" s="1"/>
      <c r="AR88" s="1"/>
    </row>
    <row r="89" spans="2:44">
      <c r="B89" s="102"/>
      <c r="C89" s="102"/>
      <c r="D89" s="102"/>
      <c r="E89" s="102"/>
      <c r="F89" s="102"/>
      <c r="G89" s="102"/>
      <c r="H89" s="102"/>
      <c r="I89" s="102"/>
      <c r="J89" s="102"/>
      <c r="K89" s="102"/>
      <c r="L89" s="102"/>
      <c r="M89" s="102"/>
      <c r="N89" s="102"/>
      <c r="O89" s="102"/>
      <c r="P89" s="102"/>
      <c r="Q89" s="102"/>
      <c r="R89" s="102"/>
      <c r="S89" s="88"/>
      <c r="T89" s="88"/>
      <c r="U89" s="60"/>
      <c r="V89" s="1"/>
      <c r="W89" s="1"/>
      <c r="X89" s="1"/>
      <c r="Y89" s="1"/>
      <c r="Z89" s="1"/>
      <c r="AA89" s="1"/>
      <c r="AB89" s="1"/>
      <c r="AC89" s="1"/>
      <c r="AD89" s="1"/>
      <c r="AE89" s="1"/>
      <c r="AF89" s="1"/>
      <c r="AG89" s="1"/>
      <c r="AH89" s="1"/>
      <c r="AI89" s="1"/>
      <c r="AJ89" s="1"/>
      <c r="AK89" s="1"/>
      <c r="AL89" s="1"/>
      <c r="AM89" s="1"/>
      <c r="AN89" s="1"/>
      <c r="AO89" s="1"/>
      <c r="AP89" s="1"/>
      <c r="AQ89" s="1"/>
      <c r="AR89" s="1"/>
    </row>
    <row r="90" spans="2:44">
      <c r="B90" s="102"/>
      <c r="C90" s="102"/>
      <c r="D90" s="102"/>
      <c r="E90" s="102"/>
      <c r="F90" s="102"/>
      <c r="G90" s="102"/>
      <c r="H90" s="102"/>
      <c r="I90" s="102"/>
      <c r="J90" s="102"/>
      <c r="K90" s="102"/>
      <c r="L90" s="102"/>
      <c r="M90" s="102"/>
      <c r="N90" s="102"/>
      <c r="O90" s="102"/>
      <c r="P90" s="102"/>
      <c r="Q90" s="102"/>
      <c r="R90" s="102"/>
      <c r="S90" s="88"/>
      <c r="T90" s="88"/>
      <c r="U90" s="60"/>
      <c r="V90" s="1"/>
      <c r="W90" s="1"/>
      <c r="X90" s="1"/>
      <c r="Y90" s="1"/>
      <c r="Z90" s="1"/>
      <c r="AA90" s="1"/>
      <c r="AB90" s="1"/>
      <c r="AC90" s="1"/>
      <c r="AD90" s="1"/>
      <c r="AE90" s="1"/>
      <c r="AF90" s="1"/>
      <c r="AG90" s="1"/>
      <c r="AH90" s="1"/>
      <c r="AI90" s="1"/>
      <c r="AJ90" s="1"/>
      <c r="AK90" s="1"/>
      <c r="AL90" s="1"/>
      <c r="AM90" s="1"/>
      <c r="AN90" s="1"/>
      <c r="AO90" s="1"/>
      <c r="AP90" s="1"/>
      <c r="AQ90" s="1"/>
      <c r="AR90" s="1"/>
    </row>
    <row r="91" spans="2:44">
      <c r="B91" s="102"/>
      <c r="C91" s="102"/>
      <c r="D91" s="102"/>
      <c r="E91" s="102"/>
      <c r="F91" s="102"/>
      <c r="G91" s="102"/>
      <c r="H91" s="102"/>
      <c r="I91" s="102"/>
      <c r="J91" s="102"/>
      <c r="K91" s="102"/>
      <c r="L91" s="102"/>
      <c r="M91" s="102"/>
      <c r="N91" s="102"/>
      <c r="O91" s="102"/>
      <c r="P91" s="102"/>
      <c r="Q91" s="102"/>
      <c r="R91" s="102"/>
      <c r="S91" s="88"/>
      <c r="T91" s="88"/>
      <c r="U91" s="60"/>
      <c r="V91" s="1"/>
      <c r="W91" s="1"/>
      <c r="X91" s="1"/>
      <c r="Y91" s="1"/>
      <c r="Z91" s="1"/>
      <c r="AA91" s="1"/>
      <c r="AB91" s="1"/>
      <c r="AC91" s="1"/>
      <c r="AD91" s="1"/>
      <c r="AE91" s="1"/>
      <c r="AF91" s="1"/>
      <c r="AG91" s="1"/>
      <c r="AH91" s="1"/>
      <c r="AI91" s="1"/>
      <c r="AJ91" s="1"/>
      <c r="AK91" s="1"/>
      <c r="AL91" s="1"/>
      <c r="AM91" s="1"/>
      <c r="AN91" s="1"/>
      <c r="AO91" s="1"/>
      <c r="AP91" s="1"/>
      <c r="AQ91" s="1"/>
      <c r="AR91" s="1"/>
    </row>
    <row r="92" spans="2:44">
      <c r="B92" s="102"/>
      <c r="C92" s="102"/>
      <c r="D92" s="102"/>
      <c r="E92" s="102"/>
      <c r="F92" s="102"/>
      <c r="G92" s="102"/>
      <c r="H92" s="102"/>
      <c r="I92" s="102"/>
      <c r="J92" s="102"/>
      <c r="K92" s="102"/>
      <c r="L92" s="102"/>
      <c r="M92" s="102"/>
      <c r="N92" s="102"/>
      <c r="O92" s="102"/>
      <c r="P92" s="102"/>
      <c r="Q92" s="102"/>
      <c r="R92" s="102"/>
      <c r="S92" s="88"/>
      <c r="T92" s="88"/>
      <c r="U92" s="60"/>
      <c r="V92" s="1"/>
      <c r="W92" s="1"/>
      <c r="X92" s="1"/>
      <c r="Y92" s="1"/>
      <c r="Z92" s="1"/>
      <c r="AA92" s="1"/>
      <c r="AB92" s="1"/>
      <c r="AC92" s="1"/>
      <c r="AD92" s="1"/>
      <c r="AE92" s="1"/>
      <c r="AF92" s="1"/>
      <c r="AG92" s="1"/>
      <c r="AH92" s="1"/>
      <c r="AI92" s="1"/>
      <c r="AJ92" s="1"/>
      <c r="AK92" s="1"/>
      <c r="AL92" s="1"/>
      <c r="AM92" s="1"/>
      <c r="AN92" s="1"/>
      <c r="AO92" s="1"/>
      <c r="AP92" s="1"/>
      <c r="AQ92" s="1"/>
      <c r="AR92" s="1"/>
    </row>
    <row r="93" spans="2:44">
      <c r="B93" s="102"/>
      <c r="C93" s="102"/>
      <c r="D93" s="102"/>
      <c r="E93" s="102"/>
      <c r="F93" s="102"/>
      <c r="G93" s="102"/>
      <c r="H93" s="102"/>
      <c r="I93" s="102"/>
      <c r="J93" s="102"/>
      <c r="K93" s="102"/>
      <c r="L93" s="102"/>
      <c r="M93" s="102"/>
      <c r="N93" s="102"/>
      <c r="O93" s="102"/>
      <c r="P93" s="102"/>
      <c r="Q93" s="102"/>
      <c r="R93" s="102"/>
      <c r="S93" s="88"/>
      <c r="T93" s="88"/>
      <c r="U93" s="60"/>
      <c r="V93" s="1"/>
      <c r="W93" s="1"/>
      <c r="X93" s="1"/>
      <c r="Y93" s="1"/>
      <c r="Z93" s="1"/>
      <c r="AA93" s="1"/>
      <c r="AB93" s="1"/>
      <c r="AC93" s="1"/>
      <c r="AD93" s="1"/>
      <c r="AE93" s="1"/>
      <c r="AF93" s="1"/>
      <c r="AG93" s="1"/>
      <c r="AH93" s="1"/>
      <c r="AI93" s="1"/>
      <c r="AJ93" s="1"/>
      <c r="AK93" s="1"/>
      <c r="AL93" s="1"/>
      <c r="AM93" s="1"/>
      <c r="AN93" s="1"/>
      <c r="AO93" s="1"/>
      <c r="AP93" s="1"/>
      <c r="AQ93" s="1"/>
      <c r="AR93" s="1"/>
    </row>
    <row r="94" spans="2:44">
      <c r="B94" s="102"/>
      <c r="C94" s="102"/>
      <c r="D94" s="102"/>
      <c r="E94" s="102"/>
      <c r="F94" s="102"/>
      <c r="G94" s="102"/>
      <c r="H94" s="102"/>
      <c r="I94" s="102"/>
      <c r="J94" s="102"/>
      <c r="K94" s="102"/>
      <c r="L94" s="102"/>
      <c r="M94" s="102"/>
      <c r="N94" s="102"/>
      <c r="O94" s="102"/>
      <c r="P94" s="102"/>
      <c r="Q94" s="102"/>
      <c r="R94" s="102"/>
      <c r="S94" s="88"/>
      <c r="T94" s="88"/>
      <c r="U94" s="60"/>
      <c r="V94" s="1"/>
      <c r="W94" s="1"/>
      <c r="X94" s="1"/>
      <c r="Y94" s="1"/>
      <c r="Z94" s="1"/>
      <c r="AA94" s="1"/>
      <c r="AB94" s="1"/>
      <c r="AC94" s="1"/>
      <c r="AD94" s="1"/>
      <c r="AE94" s="1"/>
      <c r="AF94" s="1"/>
      <c r="AG94" s="1"/>
      <c r="AH94" s="1"/>
      <c r="AI94" s="1"/>
      <c r="AJ94" s="1"/>
      <c r="AK94" s="1"/>
      <c r="AL94" s="1"/>
      <c r="AM94" s="1"/>
      <c r="AN94" s="1"/>
      <c r="AO94" s="1"/>
      <c r="AP94" s="1"/>
      <c r="AQ94" s="1"/>
      <c r="AR94" s="1"/>
    </row>
    <row r="95" spans="2:44">
      <c r="B95" s="102"/>
      <c r="C95" s="102"/>
      <c r="D95" s="102"/>
      <c r="E95" s="102"/>
      <c r="F95" s="102"/>
      <c r="G95" s="102"/>
      <c r="H95" s="102"/>
      <c r="I95" s="102"/>
      <c r="J95" s="102"/>
      <c r="K95" s="102"/>
      <c r="L95" s="102"/>
      <c r="M95" s="102"/>
      <c r="N95" s="102"/>
      <c r="O95" s="102"/>
      <c r="P95" s="102"/>
      <c r="Q95" s="102"/>
      <c r="R95" s="102"/>
      <c r="S95" s="88"/>
      <c r="T95" s="88"/>
      <c r="U95" s="60"/>
      <c r="V95" s="1"/>
      <c r="W95" s="1"/>
      <c r="X95" s="1"/>
      <c r="Y95" s="1"/>
      <c r="Z95" s="1"/>
      <c r="AA95" s="1"/>
      <c r="AB95" s="1"/>
      <c r="AC95" s="1"/>
      <c r="AD95" s="1"/>
      <c r="AE95" s="1"/>
      <c r="AF95" s="1"/>
      <c r="AG95" s="1"/>
      <c r="AH95" s="1"/>
      <c r="AI95" s="1"/>
      <c r="AJ95" s="1"/>
      <c r="AK95" s="1"/>
      <c r="AL95" s="1"/>
      <c r="AM95" s="1"/>
      <c r="AN95" s="1"/>
      <c r="AO95" s="1"/>
      <c r="AP95" s="1"/>
      <c r="AQ95" s="1"/>
      <c r="AR95" s="1"/>
    </row>
    <row r="96" spans="2:44">
      <c r="B96" s="102"/>
      <c r="C96" s="102"/>
      <c r="D96" s="102"/>
      <c r="E96" s="102"/>
      <c r="F96" s="102"/>
      <c r="G96" s="102"/>
      <c r="H96" s="102"/>
      <c r="I96" s="102"/>
      <c r="J96" s="102"/>
      <c r="K96" s="102"/>
      <c r="L96" s="102"/>
      <c r="M96" s="102"/>
      <c r="N96" s="102"/>
      <c r="O96" s="102"/>
      <c r="P96" s="102"/>
      <c r="Q96" s="102"/>
      <c r="R96" s="102"/>
      <c r="S96" s="88"/>
      <c r="T96" s="88"/>
      <c r="U96" s="60"/>
      <c r="V96" s="1"/>
      <c r="W96" s="1"/>
      <c r="X96" s="1"/>
      <c r="Y96" s="1"/>
      <c r="Z96" s="1"/>
      <c r="AA96" s="1"/>
      <c r="AB96" s="1"/>
      <c r="AC96" s="1"/>
      <c r="AD96" s="1"/>
      <c r="AE96" s="1"/>
      <c r="AF96" s="1"/>
      <c r="AG96" s="1"/>
      <c r="AH96" s="1"/>
      <c r="AI96" s="1"/>
      <c r="AJ96" s="1"/>
      <c r="AK96" s="1"/>
      <c r="AL96" s="1"/>
      <c r="AM96" s="1"/>
      <c r="AN96" s="1"/>
      <c r="AO96" s="1"/>
      <c r="AP96" s="1"/>
      <c r="AQ96" s="1"/>
      <c r="AR96" s="1"/>
    </row>
    <row r="97" spans="2:44">
      <c r="B97" s="102"/>
      <c r="C97" s="102"/>
      <c r="D97" s="102"/>
      <c r="E97" s="102"/>
      <c r="F97" s="102"/>
      <c r="G97" s="102"/>
      <c r="H97" s="102"/>
      <c r="I97" s="102"/>
      <c r="J97" s="102"/>
      <c r="K97" s="102"/>
      <c r="L97" s="102"/>
      <c r="M97" s="102"/>
      <c r="N97" s="102"/>
      <c r="O97" s="102"/>
      <c r="P97" s="102"/>
      <c r="Q97" s="102"/>
      <c r="R97" s="102"/>
      <c r="S97" s="88"/>
      <c r="T97" s="88"/>
      <c r="U97" s="60"/>
      <c r="V97" s="1"/>
      <c r="W97" s="1"/>
      <c r="X97" s="1"/>
      <c r="Y97" s="1"/>
      <c r="Z97" s="1"/>
      <c r="AA97" s="1"/>
      <c r="AB97" s="1"/>
      <c r="AC97" s="1"/>
      <c r="AD97" s="1"/>
      <c r="AE97" s="1"/>
      <c r="AF97" s="1"/>
      <c r="AG97" s="1"/>
      <c r="AH97" s="1"/>
      <c r="AI97" s="1"/>
      <c r="AJ97" s="1"/>
      <c r="AK97" s="1"/>
      <c r="AL97" s="1"/>
      <c r="AM97" s="1"/>
      <c r="AN97" s="1"/>
      <c r="AO97" s="1"/>
      <c r="AP97" s="1"/>
      <c r="AQ97" s="1"/>
      <c r="AR97" s="1"/>
    </row>
    <row r="98" spans="2:44">
      <c r="B98" s="102"/>
      <c r="C98" s="102"/>
      <c r="D98" s="102"/>
      <c r="E98" s="102"/>
      <c r="F98" s="102"/>
      <c r="G98" s="102"/>
      <c r="H98" s="102"/>
      <c r="I98" s="102"/>
      <c r="J98" s="102"/>
      <c r="K98" s="102"/>
      <c r="L98" s="102"/>
      <c r="M98" s="102"/>
      <c r="N98" s="102"/>
      <c r="O98" s="102"/>
      <c r="P98" s="102"/>
      <c r="Q98" s="102"/>
      <c r="R98" s="102"/>
      <c r="S98" s="88"/>
      <c r="T98" s="88"/>
      <c r="U98" s="60"/>
      <c r="V98" s="1"/>
      <c r="W98" s="1"/>
      <c r="X98" s="1"/>
      <c r="Y98" s="1"/>
      <c r="Z98" s="1"/>
      <c r="AA98" s="1"/>
      <c r="AB98" s="1"/>
      <c r="AC98" s="1"/>
      <c r="AD98" s="1"/>
      <c r="AE98" s="1"/>
      <c r="AF98" s="1"/>
      <c r="AG98" s="1"/>
      <c r="AH98" s="1"/>
      <c r="AI98" s="1"/>
      <c r="AJ98" s="1"/>
      <c r="AK98" s="1"/>
      <c r="AL98" s="1"/>
      <c r="AM98" s="1"/>
      <c r="AN98" s="1"/>
      <c r="AO98" s="1"/>
      <c r="AP98" s="1"/>
      <c r="AQ98" s="1"/>
      <c r="AR98" s="1"/>
    </row>
    <row r="99" spans="2:44">
      <c r="B99" s="102"/>
      <c r="C99" s="102"/>
      <c r="D99" s="102"/>
      <c r="E99" s="102"/>
      <c r="F99" s="102"/>
      <c r="G99" s="102"/>
      <c r="H99" s="102"/>
      <c r="I99" s="102"/>
      <c r="J99" s="102"/>
      <c r="K99" s="102"/>
      <c r="L99" s="102"/>
      <c r="M99" s="102"/>
      <c r="N99" s="102"/>
      <c r="O99" s="102"/>
      <c r="P99" s="102"/>
      <c r="Q99" s="102"/>
      <c r="R99" s="102"/>
      <c r="S99" s="88"/>
      <c r="T99" s="88"/>
      <c r="U99" s="60"/>
      <c r="V99" s="1"/>
      <c r="W99" s="1"/>
      <c r="X99" s="1"/>
      <c r="Y99" s="1"/>
      <c r="Z99" s="1"/>
      <c r="AA99" s="1"/>
      <c r="AB99" s="1"/>
      <c r="AC99" s="1"/>
      <c r="AD99" s="1"/>
      <c r="AE99" s="1"/>
      <c r="AF99" s="1"/>
      <c r="AG99" s="1"/>
      <c r="AH99" s="1"/>
      <c r="AI99" s="1"/>
      <c r="AJ99" s="1"/>
      <c r="AK99" s="1"/>
      <c r="AL99" s="1"/>
      <c r="AM99" s="1"/>
      <c r="AN99" s="1"/>
      <c r="AO99" s="1"/>
      <c r="AP99" s="1"/>
      <c r="AQ99" s="1"/>
      <c r="AR99" s="1"/>
    </row>
    <row r="100" spans="2:44">
      <c r="B100" s="102"/>
      <c r="C100" s="102"/>
      <c r="D100" s="102"/>
      <c r="E100" s="102"/>
      <c r="F100" s="102"/>
      <c r="G100" s="102"/>
      <c r="H100" s="102"/>
      <c r="I100" s="102"/>
      <c r="J100" s="102"/>
      <c r="K100" s="102"/>
      <c r="L100" s="102"/>
      <c r="M100" s="102"/>
      <c r="N100" s="102"/>
      <c r="O100" s="102"/>
      <c r="P100" s="102"/>
      <c r="Q100" s="102"/>
      <c r="R100" s="102"/>
      <c r="S100" s="88"/>
      <c r="T100" s="88"/>
      <c r="U100" s="60"/>
      <c r="V100" s="1"/>
      <c r="W100" s="1"/>
      <c r="X100" s="1"/>
      <c r="Y100" s="1"/>
      <c r="Z100" s="1"/>
      <c r="AA100" s="1"/>
      <c r="AB100" s="1"/>
      <c r="AC100" s="1"/>
      <c r="AD100" s="1"/>
      <c r="AE100" s="1"/>
      <c r="AF100" s="1"/>
      <c r="AG100" s="1"/>
      <c r="AH100" s="1"/>
      <c r="AI100" s="1"/>
      <c r="AJ100" s="1"/>
      <c r="AK100" s="1"/>
      <c r="AL100" s="1"/>
      <c r="AM100" s="1"/>
      <c r="AN100" s="1"/>
      <c r="AO100" s="1"/>
      <c r="AP100" s="1"/>
      <c r="AQ100" s="1"/>
      <c r="AR100" s="1"/>
    </row>
    <row r="101" spans="2:44">
      <c r="B101" s="102"/>
      <c r="C101" s="102"/>
      <c r="D101" s="102"/>
      <c r="E101" s="102"/>
      <c r="F101" s="102"/>
      <c r="G101" s="102"/>
      <c r="H101" s="102"/>
      <c r="I101" s="102"/>
      <c r="J101" s="102"/>
      <c r="K101" s="102"/>
      <c r="L101" s="102"/>
      <c r="M101" s="102"/>
      <c r="N101" s="102"/>
      <c r="O101" s="102"/>
      <c r="P101" s="102"/>
      <c r="Q101" s="102"/>
      <c r="R101" s="102"/>
      <c r="S101" s="88"/>
      <c r="T101" s="88"/>
      <c r="U101" s="60"/>
      <c r="V101" s="1"/>
      <c r="W101" s="1"/>
      <c r="X101" s="1"/>
      <c r="Y101" s="1"/>
      <c r="Z101" s="1"/>
      <c r="AA101" s="1"/>
      <c r="AB101" s="1"/>
      <c r="AC101" s="1"/>
      <c r="AD101" s="1"/>
      <c r="AE101" s="1"/>
      <c r="AF101" s="1"/>
      <c r="AG101" s="1"/>
      <c r="AH101" s="1"/>
      <c r="AI101" s="1"/>
      <c r="AJ101" s="1"/>
      <c r="AK101" s="1"/>
      <c r="AL101" s="1"/>
      <c r="AM101" s="1"/>
      <c r="AN101" s="1"/>
      <c r="AO101" s="1"/>
      <c r="AP101" s="1"/>
      <c r="AQ101" s="1"/>
      <c r="AR101" s="1"/>
    </row>
    <row r="102" spans="2:44">
      <c r="B102" s="102"/>
      <c r="C102" s="102"/>
      <c r="D102" s="102"/>
      <c r="E102" s="102"/>
      <c r="F102" s="102"/>
      <c r="G102" s="102"/>
      <c r="H102" s="102"/>
      <c r="I102" s="102"/>
      <c r="J102" s="102"/>
      <c r="K102" s="102"/>
      <c r="L102" s="102"/>
      <c r="M102" s="102"/>
      <c r="N102" s="102"/>
      <c r="O102" s="102"/>
      <c r="P102" s="102"/>
      <c r="Q102" s="102"/>
      <c r="R102" s="102"/>
      <c r="S102" s="88"/>
      <c r="T102" s="88"/>
      <c r="U102" s="60"/>
      <c r="V102" s="1"/>
      <c r="W102" s="1"/>
      <c r="X102" s="1"/>
      <c r="Y102" s="1"/>
      <c r="Z102" s="1"/>
      <c r="AA102" s="1"/>
      <c r="AB102" s="1"/>
      <c r="AC102" s="1"/>
      <c r="AD102" s="1"/>
      <c r="AE102" s="1"/>
      <c r="AF102" s="1"/>
      <c r="AG102" s="1"/>
      <c r="AH102" s="1"/>
      <c r="AI102" s="1"/>
      <c r="AJ102" s="1"/>
      <c r="AK102" s="1"/>
      <c r="AL102" s="1"/>
      <c r="AM102" s="1"/>
      <c r="AN102" s="1"/>
      <c r="AO102" s="1"/>
      <c r="AP102" s="1"/>
      <c r="AQ102" s="1"/>
      <c r="AR102" s="1"/>
    </row>
    <row r="103" spans="2:44">
      <c r="B103" s="102"/>
      <c r="C103" s="102"/>
      <c r="D103" s="102"/>
      <c r="E103" s="102"/>
      <c r="F103" s="102"/>
      <c r="G103" s="102"/>
      <c r="H103" s="102"/>
      <c r="I103" s="102"/>
      <c r="J103" s="102"/>
      <c r="K103" s="102"/>
      <c r="L103" s="102"/>
      <c r="M103" s="102"/>
      <c r="N103" s="102"/>
      <c r="O103" s="102"/>
      <c r="P103" s="102"/>
      <c r="Q103" s="102"/>
      <c r="R103" s="102"/>
      <c r="S103" s="88"/>
      <c r="T103" s="88"/>
      <c r="U103" s="60"/>
      <c r="V103" s="1"/>
      <c r="W103" s="1"/>
      <c r="X103" s="1"/>
      <c r="Y103" s="1"/>
      <c r="Z103" s="1"/>
      <c r="AA103" s="1"/>
      <c r="AB103" s="1"/>
      <c r="AC103" s="1"/>
      <c r="AD103" s="1"/>
      <c r="AE103" s="1"/>
      <c r="AF103" s="1"/>
      <c r="AG103" s="1"/>
      <c r="AH103" s="1"/>
      <c r="AI103" s="1"/>
      <c r="AJ103" s="1"/>
      <c r="AK103" s="1"/>
      <c r="AL103" s="1"/>
      <c r="AM103" s="1"/>
      <c r="AN103" s="1"/>
      <c r="AO103" s="1"/>
      <c r="AP103" s="1"/>
      <c r="AQ103" s="1"/>
      <c r="AR103" s="1"/>
    </row>
    <row r="104" spans="2:44">
      <c r="B104" s="102"/>
      <c r="C104" s="102"/>
      <c r="D104" s="102"/>
      <c r="E104" s="102"/>
      <c r="F104" s="102"/>
      <c r="G104" s="102"/>
      <c r="H104" s="102"/>
      <c r="I104" s="102"/>
      <c r="J104" s="102"/>
      <c r="K104" s="102"/>
      <c r="L104" s="102"/>
      <c r="M104" s="102"/>
      <c r="N104" s="102"/>
      <c r="O104" s="102"/>
      <c r="P104" s="102"/>
      <c r="Q104" s="102"/>
      <c r="R104" s="102"/>
      <c r="S104" s="88"/>
      <c r="T104" s="88"/>
      <c r="U104" s="60"/>
      <c r="V104" s="1"/>
      <c r="W104" s="1"/>
      <c r="X104" s="1"/>
      <c r="Y104" s="1"/>
      <c r="Z104" s="1"/>
      <c r="AA104" s="1"/>
      <c r="AB104" s="1"/>
      <c r="AC104" s="1"/>
      <c r="AD104" s="1"/>
      <c r="AE104" s="1"/>
      <c r="AF104" s="1"/>
      <c r="AG104" s="1"/>
      <c r="AH104" s="1"/>
      <c r="AI104" s="1"/>
      <c r="AJ104" s="1"/>
      <c r="AK104" s="1"/>
      <c r="AL104" s="1"/>
      <c r="AM104" s="1"/>
      <c r="AN104" s="1"/>
      <c r="AO104" s="1"/>
      <c r="AP104" s="1"/>
      <c r="AQ104" s="1"/>
      <c r="AR104" s="1"/>
    </row>
    <row r="105" spans="2:44">
      <c r="B105" s="102"/>
      <c r="C105" s="102"/>
      <c r="D105" s="102"/>
      <c r="E105" s="102"/>
      <c r="F105" s="102"/>
      <c r="G105" s="102"/>
      <c r="H105" s="102"/>
      <c r="I105" s="102"/>
      <c r="J105" s="102"/>
      <c r="K105" s="102"/>
      <c r="L105" s="102"/>
      <c r="M105" s="102"/>
      <c r="N105" s="102"/>
      <c r="O105" s="102"/>
      <c r="P105" s="102"/>
      <c r="Q105" s="102"/>
      <c r="R105" s="102"/>
      <c r="S105" s="88"/>
      <c r="T105" s="88"/>
      <c r="U105" s="60"/>
      <c r="V105" s="1"/>
      <c r="W105" s="1"/>
      <c r="X105" s="1"/>
      <c r="Y105" s="1"/>
      <c r="Z105" s="1"/>
      <c r="AA105" s="1"/>
      <c r="AB105" s="1"/>
      <c r="AC105" s="1"/>
      <c r="AD105" s="1"/>
      <c r="AE105" s="1"/>
      <c r="AF105" s="1"/>
      <c r="AG105" s="1"/>
      <c r="AH105" s="1"/>
      <c r="AI105" s="1"/>
      <c r="AJ105" s="1"/>
      <c r="AK105" s="1"/>
      <c r="AL105" s="1"/>
      <c r="AM105" s="1"/>
      <c r="AN105" s="1"/>
      <c r="AO105" s="1"/>
      <c r="AP105" s="1"/>
      <c r="AQ105" s="1"/>
      <c r="AR105" s="1"/>
    </row>
    <row r="106" spans="2:44">
      <c r="B106" s="102"/>
      <c r="C106" s="102"/>
      <c r="D106" s="102"/>
      <c r="E106" s="102"/>
      <c r="F106" s="102"/>
      <c r="G106" s="102"/>
      <c r="H106" s="102"/>
      <c r="I106" s="102"/>
      <c r="J106" s="102"/>
      <c r="K106" s="102"/>
      <c r="L106" s="102"/>
      <c r="M106" s="102"/>
      <c r="N106" s="102"/>
      <c r="O106" s="102"/>
      <c r="P106" s="102"/>
      <c r="Q106" s="102"/>
      <c r="R106" s="102"/>
      <c r="S106" s="88"/>
      <c r="T106" s="88"/>
      <c r="U106" s="60"/>
      <c r="V106" s="1"/>
      <c r="W106" s="1"/>
      <c r="X106" s="1"/>
      <c r="Y106" s="1"/>
      <c r="Z106" s="1"/>
      <c r="AA106" s="1"/>
      <c r="AB106" s="1"/>
      <c r="AC106" s="1"/>
      <c r="AD106" s="1"/>
      <c r="AE106" s="1"/>
      <c r="AF106" s="1"/>
      <c r="AG106" s="1"/>
      <c r="AH106" s="1"/>
      <c r="AI106" s="1"/>
      <c r="AJ106" s="1"/>
      <c r="AK106" s="1"/>
      <c r="AL106" s="1"/>
      <c r="AM106" s="1"/>
      <c r="AN106" s="1"/>
      <c r="AO106" s="1"/>
      <c r="AP106" s="1"/>
      <c r="AQ106" s="1"/>
      <c r="AR106" s="1"/>
    </row>
    <row r="107" spans="2:44">
      <c r="B107" s="102"/>
      <c r="C107" s="102"/>
      <c r="D107" s="102"/>
      <c r="E107" s="102"/>
      <c r="F107" s="102"/>
      <c r="G107" s="102"/>
      <c r="H107" s="102"/>
      <c r="I107" s="102"/>
      <c r="J107" s="102"/>
      <c r="K107" s="102"/>
      <c r="L107" s="102"/>
      <c r="M107" s="102"/>
      <c r="N107" s="102"/>
      <c r="O107" s="102"/>
      <c r="P107" s="102"/>
      <c r="Q107" s="102"/>
      <c r="R107" s="102"/>
      <c r="S107" s="88"/>
      <c r="T107" s="88"/>
      <c r="U107" s="60"/>
      <c r="V107" s="1"/>
      <c r="W107" s="1"/>
      <c r="X107" s="1"/>
      <c r="Y107" s="1"/>
      <c r="Z107" s="1"/>
      <c r="AA107" s="1"/>
      <c r="AB107" s="1"/>
      <c r="AC107" s="1"/>
      <c r="AD107" s="1"/>
      <c r="AE107" s="1"/>
      <c r="AF107" s="1"/>
      <c r="AG107" s="1"/>
      <c r="AH107" s="1"/>
      <c r="AI107" s="1"/>
      <c r="AJ107" s="1"/>
      <c r="AK107" s="1"/>
      <c r="AL107" s="1"/>
      <c r="AM107" s="1"/>
      <c r="AN107" s="1"/>
      <c r="AO107" s="1"/>
      <c r="AP107" s="1"/>
      <c r="AQ107" s="1"/>
      <c r="AR107" s="1"/>
    </row>
    <row r="108" spans="2:44">
      <c r="B108" s="102"/>
      <c r="C108" s="102"/>
      <c r="D108" s="102"/>
      <c r="E108" s="102"/>
      <c r="F108" s="102"/>
      <c r="G108" s="102"/>
      <c r="H108" s="102"/>
      <c r="I108" s="102"/>
      <c r="J108" s="102"/>
      <c r="K108" s="102"/>
      <c r="L108" s="102"/>
      <c r="M108" s="102"/>
      <c r="N108" s="102"/>
      <c r="O108" s="102"/>
      <c r="P108" s="102"/>
      <c r="Q108" s="102"/>
      <c r="R108" s="102"/>
      <c r="S108" s="88"/>
      <c r="T108" s="88"/>
      <c r="U108" s="60"/>
      <c r="V108" s="1"/>
      <c r="W108" s="1"/>
      <c r="X108" s="1"/>
      <c r="Y108" s="1"/>
      <c r="Z108" s="1"/>
      <c r="AA108" s="1"/>
      <c r="AB108" s="1"/>
      <c r="AC108" s="1"/>
      <c r="AD108" s="1"/>
      <c r="AE108" s="1"/>
      <c r="AF108" s="1"/>
      <c r="AG108" s="1"/>
      <c r="AH108" s="1"/>
      <c r="AI108" s="1"/>
      <c r="AJ108" s="1"/>
      <c r="AK108" s="1"/>
      <c r="AL108" s="1"/>
      <c r="AM108" s="1"/>
      <c r="AN108" s="1"/>
      <c r="AO108" s="1"/>
      <c r="AP108" s="1"/>
      <c r="AQ108" s="1"/>
      <c r="AR108" s="1"/>
    </row>
    <row r="109" spans="2:44">
      <c r="B109" s="102"/>
      <c r="C109" s="102"/>
      <c r="D109" s="102"/>
      <c r="E109" s="102"/>
      <c r="F109" s="102"/>
      <c r="G109" s="102"/>
      <c r="H109" s="102"/>
      <c r="I109" s="102"/>
      <c r="J109" s="102"/>
      <c r="K109" s="102"/>
      <c r="L109" s="102"/>
      <c r="M109" s="102"/>
      <c r="N109" s="102"/>
      <c r="O109" s="102"/>
      <c r="P109" s="102"/>
      <c r="Q109" s="102"/>
      <c r="R109" s="102"/>
      <c r="S109" s="88"/>
      <c r="T109" s="88"/>
      <c r="U109" s="60"/>
      <c r="V109" s="1"/>
      <c r="W109" s="1"/>
      <c r="X109" s="1"/>
      <c r="Y109" s="1"/>
      <c r="Z109" s="1"/>
      <c r="AA109" s="1"/>
      <c r="AB109" s="1"/>
      <c r="AC109" s="1"/>
      <c r="AD109" s="1"/>
      <c r="AE109" s="1"/>
      <c r="AF109" s="1"/>
      <c r="AG109" s="1"/>
      <c r="AH109" s="1"/>
      <c r="AI109" s="1"/>
      <c r="AJ109" s="1"/>
      <c r="AK109" s="1"/>
      <c r="AL109" s="1"/>
      <c r="AM109" s="1"/>
      <c r="AN109" s="1"/>
      <c r="AO109" s="1"/>
      <c r="AP109" s="1"/>
      <c r="AQ109" s="1"/>
      <c r="AR109" s="1"/>
    </row>
    <row r="110" spans="2:44">
      <c r="B110" s="102"/>
      <c r="C110" s="102"/>
      <c r="D110" s="102"/>
      <c r="E110" s="102"/>
      <c r="F110" s="102"/>
      <c r="G110" s="102"/>
      <c r="H110" s="102"/>
      <c r="I110" s="102"/>
      <c r="J110" s="102"/>
      <c r="K110" s="102"/>
      <c r="L110" s="102"/>
      <c r="M110" s="102"/>
      <c r="N110" s="102"/>
      <c r="O110" s="102"/>
      <c r="P110" s="102"/>
      <c r="Q110" s="102"/>
      <c r="R110" s="102"/>
      <c r="S110" s="88"/>
      <c r="T110" s="88"/>
      <c r="U110" s="60"/>
      <c r="V110" s="1"/>
      <c r="W110" s="1"/>
      <c r="X110" s="1"/>
      <c r="Y110" s="1"/>
      <c r="Z110" s="1"/>
      <c r="AA110" s="1"/>
      <c r="AB110" s="1"/>
      <c r="AC110" s="1"/>
      <c r="AD110" s="1"/>
      <c r="AE110" s="1"/>
      <c r="AF110" s="1"/>
      <c r="AG110" s="1"/>
      <c r="AH110" s="1"/>
      <c r="AI110" s="1"/>
      <c r="AJ110" s="1"/>
      <c r="AK110" s="1"/>
      <c r="AL110" s="1"/>
      <c r="AM110" s="1"/>
      <c r="AN110" s="1"/>
      <c r="AO110" s="1"/>
      <c r="AP110" s="1"/>
      <c r="AQ110" s="1"/>
      <c r="AR110" s="1"/>
    </row>
    <row r="111" spans="2:44">
      <c r="B111" s="102"/>
      <c r="C111" s="102"/>
      <c r="D111" s="102"/>
      <c r="E111" s="102"/>
      <c r="F111" s="102"/>
      <c r="G111" s="102"/>
      <c r="H111" s="102"/>
      <c r="I111" s="102"/>
      <c r="J111" s="102"/>
      <c r="K111" s="102"/>
      <c r="L111" s="102"/>
      <c r="M111" s="102"/>
      <c r="N111" s="102"/>
      <c r="O111" s="102"/>
      <c r="P111" s="102"/>
      <c r="Q111" s="102"/>
      <c r="R111" s="102"/>
      <c r="S111" s="88"/>
      <c r="T111" s="88"/>
      <c r="U111" s="60"/>
      <c r="V111" s="1"/>
      <c r="W111" s="1"/>
      <c r="X111" s="1"/>
      <c r="Y111" s="1"/>
      <c r="Z111" s="1"/>
      <c r="AA111" s="1"/>
      <c r="AB111" s="1"/>
      <c r="AC111" s="1"/>
      <c r="AD111" s="1"/>
      <c r="AE111" s="1"/>
      <c r="AF111" s="1"/>
      <c r="AG111" s="1"/>
      <c r="AH111" s="1"/>
      <c r="AI111" s="1"/>
      <c r="AJ111" s="1"/>
      <c r="AK111" s="1"/>
      <c r="AL111" s="1"/>
      <c r="AM111" s="1"/>
      <c r="AN111" s="1"/>
      <c r="AO111" s="1"/>
      <c r="AP111" s="1"/>
      <c r="AQ111" s="1"/>
      <c r="AR111" s="1"/>
    </row>
    <row r="112" spans="2:44">
      <c r="B112" s="102"/>
      <c r="C112" s="102"/>
      <c r="D112" s="102"/>
      <c r="E112" s="102"/>
      <c r="F112" s="102"/>
      <c r="G112" s="102"/>
      <c r="H112" s="102"/>
      <c r="I112" s="102"/>
      <c r="J112" s="102"/>
      <c r="K112" s="102"/>
      <c r="L112" s="102"/>
      <c r="M112" s="102"/>
      <c r="N112" s="102"/>
      <c r="O112" s="102"/>
      <c r="P112" s="102"/>
      <c r="Q112" s="102"/>
      <c r="R112" s="102"/>
      <c r="S112" s="88"/>
      <c r="T112" s="88"/>
      <c r="U112" s="60"/>
      <c r="V112" s="1"/>
      <c r="W112" s="1"/>
      <c r="X112" s="1"/>
      <c r="Y112" s="1"/>
      <c r="Z112" s="1"/>
      <c r="AA112" s="1"/>
      <c r="AB112" s="1"/>
      <c r="AC112" s="1"/>
      <c r="AD112" s="1"/>
      <c r="AE112" s="1"/>
      <c r="AF112" s="1"/>
      <c r="AG112" s="1"/>
      <c r="AH112" s="1"/>
      <c r="AI112" s="1"/>
      <c r="AJ112" s="1"/>
      <c r="AK112" s="1"/>
      <c r="AL112" s="1"/>
      <c r="AM112" s="1"/>
      <c r="AN112" s="1"/>
      <c r="AO112" s="1"/>
      <c r="AP112" s="1"/>
      <c r="AQ112" s="1"/>
      <c r="AR112" s="1"/>
    </row>
    <row r="113" spans="2:44">
      <c r="B113" s="102"/>
      <c r="C113" s="102"/>
      <c r="D113" s="102"/>
      <c r="E113" s="102"/>
      <c r="F113" s="102"/>
      <c r="G113" s="102"/>
      <c r="H113" s="102"/>
      <c r="I113" s="102"/>
      <c r="J113" s="102"/>
      <c r="K113" s="102"/>
      <c r="L113" s="102"/>
      <c r="M113" s="102"/>
      <c r="N113" s="102"/>
      <c r="O113" s="102"/>
      <c r="P113" s="102"/>
      <c r="Q113" s="102"/>
      <c r="R113" s="102"/>
      <c r="S113" s="88"/>
      <c r="T113" s="88"/>
      <c r="U113" s="60"/>
      <c r="V113" s="1"/>
      <c r="W113" s="1"/>
      <c r="X113" s="1"/>
      <c r="Y113" s="1"/>
      <c r="Z113" s="1"/>
      <c r="AA113" s="1"/>
      <c r="AB113" s="1"/>
      <c r="AC113" s="1"/>
      <c r="AD113" s="1"/>
      <c r="AE113" s="1"/>
      <c r="AF113" s="1"/>
      <c r="AG113" s="1"/>
      <c r="AH113" s="1"/>
      <c r="AI113" s="1"/>
      <c r="AJ113" s="1"/>
      <c r="AK113" s="1"/>
      <c r="AL113" s="1"/>
      <c r="AM113" s="1"/>
      <c r="AN113" s="1"/>
      <c r="AO113" s="1"/>
      <c r="AP113" s="1"/>
      <c r="AQ113" s="1"/>
      <c r="AR113" s="1"/>
    </row>
    <row r="114" spans="2:44">
      <c r="B114" s="102"/>
      <c r="C114" s="102"/>
      <c r="D114" s="102"/>
      <c r="E114" s="102"/>
      <c r="F114" s="102"/>
      <c r="G114" s="102"/>
      <c r="H114" s="102"/>
      <c r="I114" s="102"/>
      <c r="J114" s="102"/>
      <c r="K114" s="102"/>
      <c r="L114" s="102"/>
      <c r="M114" s="102"/>
      <c r="N114" s="102"/>
      <c r="O114" s="102"/>
      <c r="P114" s="102"/>
      <c r="Q114" s="102"/>
      <c r="R114" s="102"/>
      <c r="S114" s="88"/>
      <c r="T114" s="88"/>
      <c r="U114" s="60"/>
      <c r="V114" s="1"/>
      <c r="W114" s="1"/>
      <c r="X114" s="1"/>
      <c r="Y114" s="1"/>
      <c r="Z114" s="1"/>
      <c r="AA114" s="1"/>
      <c r="AB114" s="1"/>
      <c r="AC114" s="1"/>
      <c r="AD114" s="1"/>
      <c r="AE114" s="1"/>
      <c r="AF114" s="1"/>
      <c r="AG114" s="1"/>
      <c r="AH114" s="1"/>
      <c r="AI114" s="1"/>
      <c r="AJ114" s="1"/>
      <c r="AK114" s="1"/>
      <c r="AL114" s="1"/>
      <c r="AM114" s="1"/>
      <c r="AN114" s="1"/>
      <c r="AO114" s="1"/>
      <c r="AP114" s="1"/>
      <c r="AQ114" s="1"/>
      <c r="AR114" s="1"/>
    </row>
    <row r="115" spans="2:44">
      <c r="B115" s="102"/>
      <c r="C115" s="102"/>
      <c r="D115" s="102"/>
      <c r="E115" s="102"/>
      <c r="F115" s="102"/>
      <c r="G115" s="102"/>
      <c r="H115" s="102"/>
      <c r="I115" s="102"/>
      <c r="J115" s="102"/>
      <c r="K115" s="102"/>
      <c r="L115" s="102"/>
      <c r="M115" s="102"/>
      <c r="N115" s="102"/>
      <c r="O115" s="102"/>
      <c r="P115" s="102"/>
      <c r="Q115" s="102"/>
      <c r="R115" s="102"/>
      <c r="S115" s="88"/>
      <c r="T115" s="88"/>
      <c r="U115" s="60"/>
      <c r="V115" s="1"/>
      <c r="W115" s="1"/>
      <c r="X115" s="1"/>
      <c r="Y115" s="1"/>
      <c r="Z115" s="1"/>
      <c r="AA115" s="1"/>
      <c r="AB115" s="1"/>
      <c r="AC115" s="1"/>
      <c r="AD115" s="1"/>
      <c r="AE115" s="1"/>
      <c r="AF115" s="1"/>
      <c r="AG115" s="1"/>
      <c r="AH115" s="1"/>
      <c r="AI115" s="1"/>
      <c r="AJ115" s="1"/>
      <c r="AK115" s="1"/>
      <c r="AL115" s="1"/>
      <c r="AM115" s="1"/>
      <c r="AN115" s="1"/>
      <c r="AO115" s="1"/>
      <c r="AP115" s="1"/>
      <c r="AQ115" s="1"/>
      <c r="AR115" s="1"/>
    </row>
    <row r="116" spans="2:44">
      <c r="B116" s="102"/>
      <c r="C116" s="102"/>
      <c r="D116" s="102"/>
      <c r="E116" s="102"/>
      <c r="F116" s="102"/>
      <c r="G116" s="102"/>
      <c r="H116" s="102"/>
      <c r="I116" s="102"/>
      <c r="J116" s="102"/>
      <c r="K116" s="102"/>
      <c r="L116" s="102"/>
      <c r="M116" s="102"/>
      <c r="N116" s="102"/>
      <c r="O116" s="102"/>
      <c r="P116" s="102"/>
      <c r="Q116" s="102"/>
      <c r="R116" s="102"/>
      <c r="S116" s="88"/>
      <c r="T116" s="88"/>
      <c r="U116" s="60"/>
      <c r="V116" s="1"/>
      <c r="W116" s="1"/>
      <c r="X116" s="1"/>
      <c r="Y116" s="1"/>
      <c r="Z116" s="1"/>
      <c r="AA116" s="1"/>
      <c r="AB116" s="1"/>
      <c r="AC116" s="1"/>
      <c r="AD116" s="1"/>
      <c r="AE116" s="1"/>
      <c r="AF116" s="1"/>
      <c r="AG116" s="1"/>
      <c r="AH116" s="1"/>
      <c r="AI116" s="1"/>
      <c r="AJ116" s="1"/>
      <c r="AK116" s="1"/>
      <c r="AL116" s="1"/>
      <c r="AM116" s="1"/>
      <c r="AN116" s="1"/>
      <c r="AO116" s="1"/>
      <c r="AP116" s="1"/>
      <c r="AQ116" s="1"/>
      <c r="AR116" s="1"/>
    </row>
    <row r="117" spans="2:44">
      <c r="B117" s="102"/>
      <c r="C117" s="102"/>
      <c r="D117" s="102"/>
      <c r="E117" s="102"/>
      <c r="F117" s="102"/>
      <c r="G117" s="102"/>
      <c r="H117" s="102"/>
      <c r="I117" s="102"/>
      <c r="J117" s="102"/>
      <c r="K117" s="102"/>
      <c r="L117" s="102"/>
      <c r="M117" s="102"/>
      <c r="N117" s="102"/>
      <c r="O117" s="102"/>
      <c r="P117" s="102"/>
      <c r="Q117" s="102"/>
      <c r="R117" s="102"/>
      <c r="S117" s="88"/>
      <c r="T117" s="88"/>
      <c r="U117" s="60"/>
      <c r="V117" s="1"/>
      <c r="W117" s="1"/>
      <c r="X117" s="1"/>
      <c r="Y117" s="1"/>
      <c r="Z117" s="1"/>
      <c r="AA117" s="1"/>
      <c r="AB117" s="1"/>
      <c r="AC117" s="1"/>
      <c r="AD117" s="1"/>
      <c r="AE117" s="1"/>
      <c r="AF117" s="1"/>
      <c r="AG117" s="1"/>
      <c r="AH117" s="1"/>
      <c r="AI117" s="1"/>
      <c r="AJ117" s="1"/>
      <c r="AK117" s="1"/>
      <c r="AL117" s="1"/>
      <c r="AM117" s="1"/>
      <c r="AN117" s="1"/>
      <c r="AO117" s="1"/>
      <c r="AP117" s="1"/>
      <c r="AQ117" s="1"/>
      <c r="AR117" s="1"/>
    </row>
    <row r="118" spans="2:44">
      <c r="B118" s="102"/>
      <c r="C118" s="102"/>
      <c r="D118" s="102"/>
      <c r="E118" s="102"/>
      <c r="F118" s="102"/>
      <c r="G118" s="102"/>
      <c r="H118" s="102"/>
      <c r="I118" s="102"/>
      <c r="J118" s="102"/>
      <c r="K118" s="102"/>
      <c r="L118" s="102"/>
      <c r="M118" s="102"/>
      <c r="N118" s="102"/>
      <c r="O118" s="102"/>
      <c r="P118" s="102"/>
      <c r="Q118" s="102"/>
      <c r="R118" s="102"/>
      <c r="S118" s="88"/>
      <c r="T118" s="88"/>
      <c r="U118" s="60"/>
      <c r="V118" s="1"/>
      <c r="W118" s="1"/>
      <c r="X118" s="1"/>
      <c r="Y118" s="1"/>
      <c r="Z118" s="1"/>
      <c r="AA118" s="1"/>
      <c r="AB118" s="1"/>
      <c r="AC118" s="1"/>
      <c r="AD118" s="1"/>
      <c r="AE118" s="1"/>
      <c r="AF118" s="1"/>
      <c r="AG118" s="1"/>
      <c r="AH118" s="1"/>
      <c r="AI118" s="1"/>
      <c r="AJ118" s="1"/>
      <c r="AK118" s="1"/>
      <c r="AL118" s="1"/>
      <c r="AM118" s="1"/>
      <c r="AN118" s="1"/>
      <c r="AO118" s="1"/>
      <c r="AP118" s="1"/>
      <c r="AQ118" s="1"/>
      <c r="AR118" s="1"/>
    </row>
    <row r="119" spans="2:44">
      <c r="B119" s="102"/>
      <c r="C119" s="102"/>
      <c r="D119" s="102"/>
      <c r="E119" s="102"/>
      <c r="F119" s="102"/>
      <c r="G119" s="102"/>
      <c r="H119" s="102"/>
      <c r="I119" s="102"/>
      <c r="J119" s="102"/>
      <c r="K119" s="102"/>
      <c r="L119" s="102"/>
      <c r="M119" s="102"/>
      <c r="N119" s="102"/>
      <c r="O119" s="102"/>
      <c r="P119" s="102"/>
      <c r="Q119" s="102"/>
      <c r="R119" s="102"/>
      <c r="S119" s="88"/>
      <c r="T119" s="88"/>
      <c r="U119" s="60"/>
      <c r="V119" s="1"/>
      <c r="W119" s="1"/>
      <c r="X119" s="1"/>
      <c r="Y119" s="1"/>
      <c r="Z119" s="1"/>
      <c r="AA119" s="1"/>
      <c r="AB119" s="1"/>
      <c r="AC119" s="1"/>
      <c r="AD119" s="1"/>
      <c r="AE119" s="1"/>
      <c r="AF119" s="1"/>
      <c r="AG119" s="1"/>
      <c r="AH119" s="1"/>
      <c r="AI119" s="1"/>
      <c r="AJ119" s="1"/>
      <c r="AK119" s="1"/>
      <c r="AL119" s="1"/>
      <c r="AM119" s="1"/>
      <c r="AN119" s="1"/>
      <c r="AO119" s="1"/>
      <c r="AP119" s="1"/>
      <c r="AQ119" s="1"/>
      <c r="AR119" s="1"/>
    </row>
    <row r="120" spans="2:44">
      <c r="B120" s="102"/>
      <c r="C120" s="102"/>
      <c r="D120" s="102"/>
      <c r="E120" s="102"/>
      <c r="F120" s="102"/>
      <c r="G120" s="102"/>
      <c r="H120" s="102"/>
      <c r="I120" s="102"/>
      <c r="J120" s="102"/>
      <c r="K120" s="102"/>
      <c r="L120" s="102"/>
      <c r="M120" s="102"/>
      <c r="N120" s="102"/>
      <c r="O120" s="102"/>
      <c r="P120" s="102"/>
      <c r="Q120" s="102"/>
      <c r="R120" s="102"/>
      <c r="S120" s="88"/>
      <c r="T120" s="88"/>
      <c r="U120" s="60"/>
      <c r="V120" s="1"/>
      <c r="W120" s="1"/>
      <c r="X120" s="1"/>
      <c r="Y120" s="1"/>
      <c r="Z120" s="1"/>
      <c r="AA120" s="1"/>
      <c r="AB120" s="1"/>
      <c r="AC120" s="1"/>
      <c r="AD120" s="1"/>
      <c r="AE120" s="1"/>
      <c r="AF120" s="1"/>
      <c r="AG120" s="1"/>
      <c r="AH120" s="1"/>
      <c r="AI120" s="1"/>
      <c r="AJ120" s="1"/>
      <c r="AK120" s="1"/>
      <c r="AL120" s="1"/>
      <c r="AM120" s="1"/>
      <c r="AN120" s="1"/>
      <c r="AO120" s="1"/>
      <c r="AP120" s="1"/>
      <c r="AQ120" s="1"/>
      <c r="AR120" s="1"/>
    </row>
    <row r="121" spans="2:44">
      <c r="B121" s="102"/>
      <c r="C121" s="102"/>
      <c r="D121" s="102"/>
      <c r="E121" s="102"/>
      <c r="F121" s="102"/>
      <c r="G121" s="102"/>
      <c r="H121" s="102"/>
      <c r="I121" s="102"/>
      <c r="J121" s="102"/>
      <c r="K121" s="102"/>
      <c r="L121" s="102"/>
      <c r="M121" s="102"/>
      <c r="N121" s="102"/>
      <c r="O121" s="102"/>
      <c r="P121" s="102"/>
      <c r="Q121" s="102"/>
      <c r="R121" s="102"/>
      <c r="S121" s="88"/>
      <c r="T121" s="88"/>
      <c r="U121" s="60"/>
      <c r="V121" s="1"/>
      <c r="W121" s="1"/>
      <c r="X121" s="1"/>
      <c r="Y121" s="1"/>
      <c r="Z121" s="1"/>
      <c r="AA121" s="1"/>
      <c r="AB121" s="1"/>
      <c r="AC121" s="1"/>
      <c r="AD121" s="1"/>
      <c r="AE121" s="1"/>
      <c r="AF121" s="1"/>
      <c r="AG121" s="1"/>
      <c r="AH121" s="1"/>
      <c r="AI121" s="1"/>
      <c r="AJ121" s="1"/>
      <c r="AK121" s="1"/>
      <c r="AL121" s="1"/>
      <c r="AM121" s="1"/>
      <c r="AN121" s="1"/>
      <c r="AO121" s="1"/>
      <c r="AP121" s="1"/>
      <c r="AQ121" s="1"/>
      <c r="AR121" s="1"/>
    </row>
    <row r="122" spans="2:44">
      <c r="B122" s="102"/>
      <c r="C122" s="102"/>
      <c r="D122" s="102"/>
      <c r="E122" s="102"/>
      <c r="F122" s="102"/>
      <c r="G122" s="102"/>
      <c r="H122" s="102"/>
      <c r="I122" s="102"/>
      <c r="J122" s="102"/>
      <c r="K122" s="102"/>
      <c r="L122" s="102"/>
      <c r="M122" s="102"/>
      <c r="N122" s="102"/>
      <c r="O122" s="102"/>
      <c r="P122" s="102"/>
      <c r="Q122" s="102"/>
      <c r="R122" s="102"/>
      <c r="S122" s="88"/>
      <c r="T122" s="88"/>
      <c r="U122" s="60"/>
      <c r="V122" s="1"/>
      <c r="W122" s="1"/>
      <c r="X122" s="1"/>
      <c r="Y122" s="1"/>
      <c r="Z122" s="1"/>
      <c r="AA122" s="1"/>
      <c r="AB122" s="1"/>
      <c r="AC122" s="1"/>
      <c r="AD122" s="1"/>
      <c r="AE122" s="1"/>
      <c r="AF122" s="1"/>
      <c r="AG122" s="1"/>
      <c r="AH122" s="1"/>
      <c r="AI122" s="1"/>
      <c r="AJ122" s="1"/>
      <c r="AK122" s="1"/>
      <c r="AL122" s="1"/>
      <c r="AM122" s="1"/>
      <c r="AN122" s="1"/>
      <c r="AO122" s="1"/>
      <c r="AP122" s="1"/>
      <c r="AQ122" s="1"/>
      <c r="AR122" s="1"/>
    </row>
    <row r="123" spans="2:44">
      <c r="B123" s="102"/>
      <c r="C123" s="102"/>
      <c r="D123" s="102"/>
      <c r="E123" s="102"/>
      <c r="F123" s="102"/>
      <c r="G123" s="102"/>
      <c r="H123" s="102"/>
      <c r="I123" s="102"/>
      <c r="J123" s="102"/>
      <c r="K123" s="102"/>
      <c r="L123" s="102"/>
      <c r="M123" s="102"/>
      <c r="N123" s="102"/>
      <c r="O123" s="102"/>
      <c r="P123" s="102"/>
      <c r="Q123" s="102"/>
      <c r="R123" s="102"/>
      <c r="S123" s="88"/>
      <c r="T123" s="88"/>
      <c r="U123" s="60"/>
      <c r="V123" s="1"/>
      <c r="W123" s="1"/>
      <c r="X123" s="1"/>
      <c r="Y123" s="1"/>
      <c r="Z123" s="1"/>
      <c r="AA123" s="1"/>
      <c r="AB123" s="1"/>
      <c r="AC123" s="1"/>
      <c r="AD123" s="1"/>
      <c r="AE123" s="1"/>
      <c r="AF123" s="1"/>
      <c r="AG123" s="1"/>
      <c r="AH123" s="1"/>
      <c r="AI123" s="1"/>
      <c r="AJ123" s="1"/>
      <c r="AK123" s="1"/>
      <c r="AL123" s="1"/>
      <c r="AM123" s="1"/>
      <c r="AN123" s="1"/>
      <c r="AO123" s="1"/>
      <c r="AP123" s="1"/>
      <c r="AQ123" s="1"/>
      <c r="AR123" s="1"/>
    </row>
    <row r="124" spans="2:44">
      <c r="B124" s="102"/>
      <c r="C124" s="102"/>
      <c r="D124" s="102"/>
      <c r="E124" s="102"/>
      <c r="F124" s="102"/>
      <c r="G124" s="102"/>
      <c r="H124" s="102"/>
      <c r="I124" s="102"/>
      <c r="J124" s="102"/>
      <c r="K124" s="102"/>
      <c r="L124" s="102"/>
      <c r="M124" s="102"/>
      <c r="N124" s="102"/>
      <c r="O124" s="102"/>
      <c r="P124" s="102"/>
      <c r="Q124" s="102"/>
      <c r="R124" s="102"/>
      <c r="S124" s="88"/>
      <c r="T124" s="88"/>
      <c r="U124" s="60"/>
      <c r="V124" s="1"/>
      <c r="W124" s="1"/>
      <c r="X124" s="1"/>
      <c r="Y124" s="1"/>
      <c r="Z124" s="1"/>
      <c r="AA124" s="1"/>
      <c r="AB124" s="1"/>
      <c r="AC124" s="1"/>
      <c r="AD124" s="1"/>
      <c r="AE124" s="1"/>
      <c r="AF124" s="1"/>
      <c r="AG124" s="1"/>
      <c r="AH124" s="1"/>
      <c r="AI124" s="1"/>
      <c r="AJ124" s="1"/>
      <c r="AK124" s="1"/>
      <c r="AL124" s="1"/>
      <c r="AM124" s="1"/>
      <c r="AN124" s="1"/>
      <c r="AO124" s="1"/>
      <c r="AP124" s="1"/>
      <c r="AQ124" s="1"/>
      <c r="AR124" s="1"/>
    </row>
    <row r="125" spans="2:44">
      <c r="B125" s="102"/>
      <c r="C125" s="102"/>
      <c r="D125" s="102"/>
      <c r="E125" s="102"/>
      <c r="F125" s="102"/>
      <c r="G125" s="102"/>
      <c r="H125" s="102"/>
      <c r="I125" s="102"/>
      <c r="J125" s="102"/>
      <c r="K125" s="102"/>
      <c r="L125" s="102"/>
      <c r="M125" s="102"/>
      <c r="N125" s="102"/>
      <c r="O125" s="102"/>
      <c r="P125" s="102"/>
      <c r="Q125" s="102"/>
      <c r="R125" s="102"/>
      <c r="S125" s="88"/>
      <c r="T125" s="88"/>
      <c r="U125" s="60"/>
      <c r="V125" s="1"/>
      <c r="W125" s="1"/>
      <c r="X125" s="1"/>
      <c r="Y125" s="1"/>
      <c r="Z125" s="1"/>
      <c r="AA125" s="1"/>
      <c r="AB125" s="1"/>
      <c r="AC125" s="1"/>
      <c r="AD125" s="1"/>
      <c r="AE125" s="1"/>
      <c r="AF125" s="1"/>
      <c r="AG125" s="1"/>
      <c r="AH125" s="1"/>
      <c r="AI125" s="1"/>
      <c r="AJ125" s="1"/>
      <c r="AK125" s="1"/>
      <c r="AL125" s="1"/>
      <c r="AM125" s="1"/>
      <c r="AN125" s="1"/>
      <c r="AO125" s="1"/>
      <c r="AP125" s="1"/>
      <c r="AQ125" s="1"/>
      <c r="AR125" s="1"/>
    </row>
    <row r="126" spans="2:44">
      <c r="B126" s="102"/>
      <c r="C126" s="102"/>
      <c r="D126" s="102"/>
      <c r="E126" s="102"/>
      <c r="F126" s="102"/>
      <c r="G126" s="102"/>
      <c r="H126" s="102"/>
      <c r="I126" s="102"/>
      <c r="J126" s="102"/>
      <c r="K126" s="102"/>
      <c r="L126" s="102"/>
      <c r="M126" s="102"/>
      <c r="N126" s="102"/>
      <c r="O126" s="102"/>
      <c r="P126" s="102"/>
      <c r="Q126" s="102"/>
      <c r="R126" s="102"/>
      <c r="S126" s="88"/>
      <c r="T126" s="88"/>
      <c r="U126" s="60"/>
      <c r="V126" s="1"/>
      <c r="W126" s="1"/>
      <c r="X126" s="1"/>
      <c r="Y126" s="1"/>
      <c r="Z126" s="1"/>
      <c r="AA126" s="1"/>
      <c r="AB126" s="1"/>
      <c r="AC126" s="1"/>
      <c r="AD126" s="1"/>
      <c r="AE126" s="1"/>
      <c r="AF126" s="1"/>
      <c r="AG126" s="1"/>
      <c r="AH126" s="1"/>
      <c r="AI126" s="1"/>
      <c r="AJ126" s="1"/>
      <c r="AK126" s="1"/>
      <c r="AL126" s="1"/>
      <c r="AM126" s="1"/>
      <c r="AN126" s="1"/>
      <c r="AO126" s="1"/>
      <c r="AP126" s="1"/>
      <c r="AQ126" s="1"/>
      <c r="AR126" s="1"/>
    </row>
    <row r="127" spans="2:44">
      <c r="B127" s="102"/>
      <c r="C127" s="102"/>
      <c r="D127" s="102"/>
      <c r="E127" s="102"/>
      <c r="F127" s="102"/>
      <c r="G127" s="102"/>
      <c r="H127" s="102"/>
      <c r="I127" s="102"/>
      <c r="J127" s="102"/>
      <c r="K127" s="102"/>
      <c r="L127" s="102"/>
      <c r="M127" s="102"/>
      <c r="N127" s="102"/>
      <c r="O127" s="102"/>
      <c r="P127" s="102"/>
      <c r="Q127" s="102"/>
      <c r="R127" s="102"/>
      <c r="S127" s="88"/>
      <c r="T127" s="88"/>
      <c r="U127" s="60"/>
      <c r="V127" s="1"/>
      <c r="W127" s="1"/>
      <c r="X127" s="1"/>
      <c r="Y127" s="1"/>
      <c r="Z127" s="1"/>
      <c r="AA127" s="1"/>
      <c r="AB127" s="1"/>
      <c r="AC127" s="1"/>
      <c r="AD127" s="1"/>
      <c r="AE127" s="1"/>
      <c r="AF127" s="1"/>
      <c r="AG127" s="1"/>
      <c r="AH127" s="1"/>
      <c r="AI127" s="1"/>
      <c r="AJ127" s="1"/>
      <c r="AK127" s="1"/>
      <c r="AL127" s="1"/>
      <c r="AM127" s="1"/>
      <c r="AN127" s="1"/>
      <c r="AO127" s="1"/>
      <c r="AP127" s="1"/>
      <c r="AQ127" s="1"/>
      <c r="AR127" s="1"/>
    </row>
    <row r="128" spans="2:44">
      <c r="B128" s="102"/>
      <c r="C128" s="102"/>
      <c r="D128" s="102"/>
      <c r="E128" s="102"/>
      <c r="F128" s="102"/>
      <c r="G128" s="102"/>
      <c r="H128" s="102"/>
      <c r="I128" s="102"/>
      <c r="J128" s="102"/>
      <c r="K128" s="102"/>
      <c r="L128" s="102"/>
      <c r="M128" s="102"/>
      <c r="N128" s="102"/>
      <c r="O128" s="102"/>
      <c r="P128" s="102"/>
      <c r="Q128" s="102"/>
      <c r="R128" s="102"/>
      <c r="S128" s="88"/>
      <c r="T128" s="88"/>
      <c r="U128" s="60"/>
      <c r="V128" s="1"/>
      <c r="W128" s="1"/>
      <c r="X128" s="1"/>
      <c r="Y128" s="1"/>
      <c r="Z128" s="1"/>
      <c r="AA128" s="1"/>
      <c r="AB128" s="1"/>
      <c r="AC128" s="1"/>
      <c r="AD128" s="1"/>
      <c r="AE128" s="1"/>
      <c r="AF128" s="1"/>
      <c r="AG128" s="1"/>
      <c r="AH128" s="1"/>
      <c r="AI128" s="1"/>
      <c r="AJ128" s="1"/>
      <c r="AK128" s="1"/>
      <c r="AL128" s="1"/>
      <c r="AM128" s="1"/>
      <c r="AN128" s="1"/>
      <c r="AO128" s="1"/>
      <c r="AP128" s="1"/>
      <c r="AQ128" s="1"/>
      <c r="AR128" s="1"/>
    </row>
    <row r="129" spans="1:44">
      <c r="B129" s="102"/>
      <c r="C129" s="102"/>
      <c r="D129" s="102"/>
      <c r="E129" s="102"/>
      <c r="F129" s="102"/>
      <c r="G129" s="102"/>
      <c r="H129" s="102"/>
      <c r="I129" s="102"/>
      <c r="J129" s="102"/>
      <c r="K129" s="102"/>
      <c r="L129" s="102"/>
      <c r="M129" s="102"/>
      <c r="N129" s="102"/>
      <c r="O129" s="102"/>
      <c r="P129" s="102"/>
      <c r="Q129" s="102"/>
      <c r="R129" s="102"/>
      <c r="S129" s="88"/>
      <c r="T129" s="88"/>
      <c r="U129" s="60"/>
      <c r="V129" s="1"/>
      <c r="W129" s="1"/>
      <c r="X129" s="1"/>
      <c r="Y129" s="1"/>
      <c r="Z129" s="1"/>
      <c r="AA129" s="1"/>
      <c r="AB129" s="1"/>
      <c r="AC129" s="1"/>
      <c r="AD129" s="1"/>
      <c r="AE129" s="1"/>
      <c r="AF129" s="1"/>
      <c r="AG129" s="1"/>
      <c r="AH129" s="1"/>
      <c r="AI129" s="1"/>
      <c r="AJ129" s="1"/>
      <c r="AK129" s="1"/>
      <c r="AL129" s="1"/>
      <c r="AM129" s="1"/>
      <c r="AN129" s="1"/>
      <c r="AO129" s="1"/>
      <c r="AP129" s="1"/>
      <c r="AQ129" s="1"/>
      <c r="AR129" s="1"/>
    </row>
    <row r="130" spans="1:44">
      <c r="B130" s="102"/>
      <c r="C130" s="102"/>
      <c r="D130" s="102"/>
      <c r="E130" s="102"/>
      <c r="F130" s="102"/>
      <c r="G130" s="102"/>
      <c r="H130" s="102"/>
      <c r="I130" s="102"/>
      <c r="J130" s="102"/>
      <c r="K130" s="102"/>
      <c r="L130" s="102"/>
      <c r="M130" s="102"/>
      <c r="N130" s="102"/>
      <c r="O130" s="102"/>
      <c r="P130" s="102"/>
      <c r="Q130" s="102"/>
      <c r="R130" s="102"/>
      <c r="S130" s="88"/>
      <c r="T130" s="88"/>
      <c r="U130" s="60"/>
      <c r="V130" s="1"/>
      <c r="W130" s="1"/>
      <c r="X130" s="1"/>
      <c r="Y130" s="1"/>
      <c r="Z130" s="1"/>
      <c r="AA130" s="1"/>
      <c r="AB130" s="1"/>
      <c r="AC130" s="1"/>
      <c r="AD130" s="1"/>
      <c r="AE130" s="1"/>
      <c r="AF130" s="1"/>
      <c r="AG130" s="1"/>
      <c r="AH130" s="1"/>
      <c r="AI130" s="1"/>
      <c r="AJ130" s="1"/>
      <c r="AK130" s="1"/>
      <c r="AL130" s="1"/>
      <c r="AM130" s="1"/>
      <c r="AN130" s="1"/>
      <c r="AO130" s="1"/>
      <c r="AP130" s="1"/>
      <c r="AQ130" s="1"/>
      <c r="AR130" s="1"/>
    </row>
    <row r="131" spans="1:44">
      <c r="B131" s="102"/>
      <c r="C131" s="102"/>
      <c r="D131" s="102"/>
      <c r="E131" s="102"/>
      <c r="F131" s="102"/>
      <c r="G131" s="102"/>
      <c r="H131" s="102"/>
      <c r="I131" s="102"/>
      <c r="J131" s="102"/>
      <c r="K131" s="102"/>
      <c r="L131" s="102"/>
      <c r="M131" s="102"/>
      <c r="N131" s="102"/>
      <c r="O131" s="102"/>
      <c r="P131" s="102"/>
      <c r="Q131" s="102"/>
      <c r="R131" s="102"/>
      <c r="S131" s="88"/>
      <c r="T131" s="88"/>
      <c r="U131" s="60"/>
      <c r="V131" s="1"/>
      <c r="W131" s="1"/>
      <c r="X131" s="1"/>
      <c r="Y131" s="1"/>
      <c r="Z131" s="1"/>
      <c r="AA131" s="1"/>
      <c r="AB131" s="1"/>
      <c r="AC131" s="1"/>
      <c r="AD131" s="1"/>
      <c r="AE131" s="1"/>
      <c r="AF131" s="1"/>
      <c r="AG131" s="1"/>
      <c r="AH131" s="1"/>
      <c r="AI131" s="1"/>
      <c r="AJ131" s="1"/>
      <c r="AK131" s="1"/>
      <c r="AL131" s="1"/>
      <c r="AM131" s="1"/>
      <c r="AN131" s="1"/>
      <c r="AO131" s="1"/>
      <c r="AP131" s="1"/>
      <c r="AQ131" s="1"/>
      <c r="AR131" s="1"/>
    </row>
    <row r="132" spans="1:44">
      <c r="B132" s="102"/>
      <c r="C132" s="102"/>
      <c r="D132" s="102"/>
      <c r="E132" s="102"/>
      <c r="F132" s="102"/>
      <c r="G132" s="102"/>
      <c r="H132" s="102"/>
      <c r="I132" s="102"/>
      <c r="J132" s="102"/>
      <c r="K132" s="102"/>
      <c r="L132" s="102"/>
      <c r="M132" s="102"/>
      <c r="N132" s="102"/>
      <c r="O132" s="102"/>
      <c r="P132" s="102"/>
      <c r="Q132" s="102"/>
      <c r="R132" s="102"/>
      <c r="S132" s="88"/>
      <c r="T132" s="88"/>
      <c r="U132" s="60"/>
      <c r="V132" s="1"/>
      <c r="W132" s="1"/>
      <c r="X132" s="1"/>
      <c r="Y132" s="1"/>
      <c r="Z132" s="1"/>
      <c r="AA132" s="1"/>
      <c r="AB132" s="1"/>
      <c r="AC132" s="1"/>
      <c r="AD132" s="1"/>
      <c r="AE132" s="1"/>
      <c r="AF132" s="1"/>
      <c r="AG132" s="1"/>
      <c r="AH132" s="1"/>
      <c r="AI132" s="1"/>
      <c r="AJ132" s="1"/>
      <c r="AK132" s="1"/>
      <c r="AL132" s="1"/>
      <c r="AM132" s="1"/>
      <c r="AN132" s="1"/>
      <c r="AO132" s="1"/>
      <c r="AP132" s="1"/>
      <c r="AQ132" s="1"/>
      <c r="AR132" s="1"/>
    </row>
    <row r="133" spans="1:44">
      <c r="B133" s="102"/>
      <c r="C133" s="102"/>
      <c r="D133" s="102"/>
      <c r="E133" s="102"/>
      <c r="F133" s="102"/>
      <c r="G133" s="102"/>
      <c r="H133" s="102"/>
      <c r="I133" s="102"/>
      <c r="J133" s="102"/>
      <c r="K133" s="102"/>
      <c r="L133" s="102"/>
      <c r="M133" s="102"/>
      <c r="N133" s="102"/>
      <c r="O133" s="102"/>
      <c r="P133" s="102"/>
      <c r="Q133" s="102"/>
      <c r="R133" s="102"/>
      <c r="S133" s="88"/>
      <c r="T133" s="88"/>
      <c r="U133" s="60"/>
      <c r="V133" s="1"/>
      <c r="W133" s="1"/>
      <c r="X133" s="1"/>
      <c r="Y133" s="1"/>
      <c r="Z133" s="1"/>
      <c r="AA133" s="1"/>
      <c r="AB133" s="1"/>
      <c r="AC133" s="1"/>
      <c r="AD133" s="1"/>
      <c r="AE133" s="1"/>
      <c r="AF133" s="1"/>
      <c r="AG133" s="1"/>
      <c r="AH133" s="1"/>
      <c r="AI133" s="1"/>
      <c r="AJ133" s="1"/>
      <c r="AK133" s="1"/>
      <c r="AL133" s="1"/>
      <c r="AM133" s="1"/>
      <c r="AN133" s="1"/>
      <c r="AO133" s="1"/>
      <c r="AP133" s="1"/>
      <c r="AQ133" s="1"/>
      <c r="AR133" s="1"/>
    </row>
    <row r="134" spans="1:44">
      <c r="B134" s="102"/>
      <c r="C134" s="102"/>
      <c r="D134" s="102"/>
      <c r="E134" s="102"/>
      <c r="F134" s="102"/>
      <c r="G134" s="102"/>
      <c r="H134" s="102"/>
      <c r="I134" s="102"/>
      <c r="J134" s="102"/>
      <c r="K134" s="102"/>
      <c r="L134" s="102"/>
      <c r="M134" s="102"/>
      <c r="N134" s="102"/>
      <c r="O134" s="102"/>
      <c r="P134" s="102"/>
      <c r="Q134" s="102"/>
      <c r="R134" s="102"/>
      <c r="S134" s="88"/>
      <c r="T134" s="88"/>
      <c r="U134" s="60"/>
      <c r="V134" s="1"/>
      <c r="W134" s="1"/>
      <c r="X134" s="1"/>
      <c r="Y134" s="1"/>
      <c r="Z134" s="1"/>
      <c r="AA134" s="1"/>
      <c r="AB134" s="1"/>
      <c r="AC134" s="1"/>
      <c r="AD134" s="1"/>
      <c r="AE134" s="1"/>
      <c r="AF134" s="1"/>
      <c r="AG134" s="1"/>
      <c r="AH134" s="1"/>
      <c r="AI134" s="1"/>
      <c r="AJ134" s="1"/>
      <c r="AK134" s="1"/>
      <c r="AL134" s="1"/>
      <c r="AM134" s="1"/>
      <c r="AN134" s="1"/>
      <c r="AO134" s="1"/>
      <c r="AP134" s="1"/>
      <c r="AQ134" s="1"/>
      <c r="AR134" s="1"/>
    </row>
    <row r="135" spans="1:44">
      <c r="B135" s="102"/>
      <c r="C135" s="102"/>
      <c r="D135" s="102"/>
      <c r="E135" s="102"/>
      <c r="F135" s="102"/>
      <c r="G135" s="102"/>
      <c r="H135" s="102"/>
      <c r="I135" s="102"/>
      <c r="J135" s="102"/>
      <c r="K135" s="102"/>
      <c r="L135" s="102"/>
      <c r="M135" s="102"/>
      <c r="N135" s="102"/>
      <c r="O135" s="102"/>
      <c r="P135" s="102"/>
      <c r="Q135" s="102"/>
      <c r="R135" s="102"/>
      <c r="S135" s="88"/>
      <c r="T135" s="88"/>
      <c r="U135" s="60"/>
      <c r="V135" s="1"/>
      <c r="W135" s="1"/>
      <c r="X135" s="1"/>
      <c r="Y135" s="1"/>
      <c r="Z135" s="1"/>
      <c r="AA135" s="1"/>
      <c r="AB135" s="1"/>
      <c r="AC135" s="1"/>
      <c r="AD135" s="1"/>
      <c r="AE135" s="1"/>
      <c r="AF135" s="1"/>
      <c r="AG135" s="1"/>
      <c r="AH135" s="1"/>
      <c r="AI135" s="1"/>
      <c r="AJ135" s="1"/>
      <c r="AK135" s="1"/>
      <c r="AL135" s="1"/>
      <c r="AM135" s="1"/>
      <c r="AN135" s="1"/>
      <c r="AO135" s="1"/>
      <c r="AP135" s="1"/>
      <c r="AQ135" s="1"/>
      <c r="AR135" s="1"/>
    </row>
    <row r="136" spans="1:44">
      <c r="B136" s="102"/>
      <c r="C136" s="102"/>
      <c r="D136" s="102"/>
      <c r="E136" s="102"/>
      <c r="F136" s="102"/>
      <c r="G136" s="102"/>
      <c r="H136" s="102"/>
      <c r="I136" s="102"/>
      <c r="J136" s="102"/>
      <c r="K136" s="102"/>
      <c r="L136" s="102"/>
      <c r="M136" s="102"/>
      <c r="N136" s="102"/>
      <c r="O136" s="102"/>
      <c r="P136" s="102"/>
      <c r="Q136" s="102"/>
      <c r="R136" s="102"/>
      <c r="S136" s="88"/>
      <c r="T136" s="88"/>
      <c r="U136" s="60"/>
      <c r="V136" s="1"/>
      <c r="W136" s="1"/>
      <c r="X136" s="1"/>
      <c r="Y136" s="1"/>
      <c r="Z136" s="1"/>
      <c r="AA136" s="1"/>
      <c r="AB136" s="1"/>
      <c r="AC136" s="1"/>
      <c r="AD136" s="1"/>
      <c r="AE136" s="1"/>
      <c r="AF136" s="1"/>
      <c r="AG136" s="1"/>
      <c r="AH136" s="1"/>
      <c r="AI136" s="1"/>
      <c r="AJ136" s="1"/>
      <c r="AK136" s="1"/>
      <c r="AL136" s="1"/>
      <c r="AM136" s="1"/>
      <c r="AN136" s="1"/>
      <c r="AO136" s="1"/>
      <c r="AP136" s="1"/>
      <c r="AQ136" s="1"/>
      <c r="AR136" s="1"/>
    </row>
    <row r="137" spans="1:44">
      <c r="B137" s="102"/>
      <c r="C137" s="102"/>
      <c r="D137" s="102"/>
      <c r="E137" s="102"/>
      <c r="F137" s="102"/>
      <c r="G137" s="102"/>
      <c r="H137" s="102"/>
      <c r="I137" s="102"/>
      <c r="J137" s="102"/>
      <c r="K137" s="102"/>
      <c r="L137" s="102"/>
      <c r="M137" s="102"/>
      <c r="N137" s="102"/>
      <c r="O137" s="102"/>
      <c r="P137" s="102"/>
      <c r="Q137" s="102"/>
      <c r="R137" s="102"/>
      <c r="S137" s="88"/>
      <c r="T137" s="88"/>
      <c r="U137" s="60"/>
      <c r="V137" s="1"/>
      <c r="W137" s="1"/>
      <c r="X137" s="1"/>
      <c r="Y137" s="1"/>
      <c r="Z137" s="1"/>
      <c r="AA137" s="1"/>
      <c r="AB137" s="1"/>
      <c r="AC137" s="1"/>
      <c r="AD137" s="1"/>
      <c r="AE137" s="1"/>
      <c r="AF137" s="1"/>
      <c r="AG137" s="1"/>
      <c r="AH137" s="1"/>
      <c r="AI137" s="1"/>
      <c r="AJ137" s="1"/>
      <c r="AK137" s="1"/>
      <c r="AL137" s="1"/>
      <c r="AM137" s="1"/>
      <c r="AN137" s="1"/>
      <c r="AO137" s="1"/>
      <c r="AP137" s="1"/>
      <c r="AQ137" s="1"/>
      <c r="AR137" s="1"/>
    </row>
    <row r="138" spans="1:44">
      <c r="B138" s="102"/>
      <c r="C138" s="102"/>
      <c r="D138" s="102"/>
      <c r="E138" s="102"/>
      <c r="F138" s="102"/>
      <c r="G138" s="102"/>
      <c r="H138" s="102"/>
      <c r="I138" s="102"/>
      <c r="J138" s="102"/>
      <c r="K138" s="102"/>
      <c r="L138" s="102"/>
      <c r="M138" s="102"/>
      <c r="N138" s="102"/>
      <c r="O138" s="102"/>
      <c r="P138" s="102"/>
      <c r="Q138" s="102"/>
      <c r="R138" s="102"/>
      <c r="S138" s="88"/>
      <c r="T138" s="88"/>
      <c r="U138" s="60"/>
      <c r="V138" s="1"/>
      <c r="W138" s="1"/>
      <c r="X138" s="1"/>
      <c r="Y138" s="1"/>
      <c r="Z138" s="1"/>
      <c r="AA138" s="1"/>
      <c r="AB138" s="1"/>
      <c r="AC138" s="1"/>
      <c r="AD138" s="1"/>
      <c r="AE138" s="1"/>
      <c r="AF138" s="1"/>
      <c r="AG138" s="1"/>
      <c r="AH138" s="1"/>
      <c r="AI138" s="1"/>
      <c r="AJ138" s="1"/>
      <c r="AK138" s="1"/>
      <c r="AL138" s="1"/>
      <c r="AM138" s="1"/>
      <c r="AN138" s="1"/>
      <c r="AO138" s="1"/>
      <c r="AP138" s="1"/>
      <c r="AQ138" s="1"/>
      <c r="AR138" s="1"/>
    </row>
    <row r="139" spans="1:44">
      <c r="B139" s="102"/>
      <c r="C139" s="102"/>
      <c r="D139" s="102"/>
      <c r="E139" s="102"/>
      <c r="F139" s="102"/>
      <c r="G139" s="102"/>
      <c r="H139" s="102"/>
      <c r="I139" s="102"/>
      <c r="J139" s="102"/>
      <c r="K139" s="102"/>
      <c r="L139" s="102"/>
      <c r="M139" s="102"/>
      <c r="N139" s="102"/>
      <c r="O139" s="102"/>
      <c r="P139" s="102"/>
      <c r="Q139" s="102"/>
      <c r="R139" s="102"/>
      <c r="S139" s="88"/>
      <c r="T139" s="88"/>
      <c r="U139" s="60"/>
      <c r="V139" s="1"/>
      <c r="W139" s="1"/>
      <c r="X139" s="1"/>
      <c r="Y139" s="1"/>
      <c r="Z139" s="1"/>
      <c r="AA139" s="1"/>
      <c r="AB139" s="1"/>
      <c r="AC139" s="1"/>
      <c r="AD139" s="1"/>
      <c r="AE139" s="1"/>
      <c r="AF139" s="1"/>
      <c r="AG139" s="1"/>
      <c r="AH139" s="1"/>
      <c r="AI139" s="1"/>
      <c r="AJ139" s="1"/>
      <c r="AK139" s="1"/>
      <c r="AL139" s="1"/>
      <c r="AM139" s="1"/>
      <c r="AN139" s="1"/>
      <c r="AO139" s="1"/>
      <c r="AP139" s="1"/>
      <c r="AQ139" s="1"/>
      <c r="AR139" s="1"/>
    </row>
    <row r="140" spans="1:44">
      <c r="B140" s="102"/>
      <c r="C140" s="102"/>
      <c r="D140" s="102"/>
      <c r="E140" s="102"/>
      <c r="F140" s="102"/>
      <c r="G140" s="102"/>
      <c r="H140" s="102"/>
      <c r="I140" s="102"/>
      <c r="J140" s="102"/>
      <c r="K140" s="102"/>
      <c r="L140" s="102"/>
      <c r="M140" s="102"/>
      <c r="N140" s="102"/>
      <c r="O140" s="102"/>
      <c r="P140" s="102"/>
      <c r="Q140" s="102"/>
      <c r="R140" s="102"/>
      <c r="S140" s="88"/>
      <c r="T140" s="88"/>
      <c r="U140" s="60"/>
      <c r="V140" s="1"/>
      <c r="W140" s="1"/>
      <c r="X140" s="1"/>
      <c r="Y140" s="1"/>
      <c r="Z140" s="1"/>
      <c r="AA140" s="1"/>
      <c r="AB140" s="1"/>
      <c r="AC140" s="1"/>
      <c r="AD140" s="1"/>
      <c r="AE140" s="1"/>
      <c r="AF140" s="1"/>
      <c r="AG140" s="1"/>
      <c r="AH140" s="1"/>
      <c r="AI140" s="1"/>
      <c r="AJ140" s="1"/>
      <c r="AK140" s="1"/>
      <c r="AL140" s="1"/>
      <c r="AM140" s="1"/>
      <c r="AN140" s="1"/>
      <c r="AO140" s="1"/>
      <c r="AP140" s="1"/>
      <c r="AQ140" s="1"/>
      <c r="AR140" s="1"/>
    </row>
    <row r="141" spans="1:44">
      <c r="A141" s="1"/>
      <c r="B141" s="88"/>
      <c r="C141" s="101"/>
      <c r="D141" s="101"/>
      <c r="E141" s="88"/>
      <c r="F141" s="101"/>
      <c r="G141" s="88"/>
      <c r="H141" s="88"/>
      <c r="I141" s="88"/>
      <c r="J141" s="101"/>
      <c r="K141" s="88"/>
      <c r="L141" s="88"/>
      <c r="M141" s="88"/>
      <c r="N141" s="88"/>
      <c r="O141" s="88"/>
      <c r="P141" s="88"/>
      <c r="Q141" s="88"/>
      <c r="R141" s="101"/>
      <c r="S141" s="88"/>
      <c r="T141" s="88"/>
      <c r="U141" s="60"/>
      <c r="V141" s="1"/>
      <c r="W141" s="1"/>
      <c r="X141" s="1"/>
      <c r="Y141" s="1"/>
      <c r="Z141" s="1"/>
      <c r="AA141" s="1"/>
      <c r="AB141" s="1"/>
      <c r="AC141" s="1"/>
      <c r="AD141" s="1"/>
      <c r="AE141" s="1"/>
      <c r="AF141" s="1"/>
      <c r="AG141" s="1"/>
      <c r="AH141" s="1"/>
      <c r="AI141" s="1"/>
      <c r="AJ141" s="1"/>
      <c r="AK141" s="1"/>
      <c r="AL141" s="1"/>
      <c r="AM141" s="1"/>
      <c r="AN141" s="1"/>
      <c r="AO141" s="1"/>
      <c r="AP141" s="1"/>
      <c r="AQ141" s="1"/>
      <c r="AR141" s="1"/>
    </row>
    <row r="142" spans="1:44">
      <c r="A142" s="1" t="s">
        <v>374</v>
      </c>
      <c r="B142" s="91">
        <v>0</v>
      </c>
      <c r="C142" s="103"/>
      <c r="D142" s="103"/>
      <c r="E142" s="91"/>
      <c r="F142" s="103"/>
      <c r="G142" s="91"/>
      <c r="H142" s="91"/>
      <c r="I142" s="91"/>
      <c r="J142" s="103"/>
      <c r="K142" s="91"/>
      <c r="L142" s="91"/>
      <c r="M142" s="91"/>
      <c r="N142" s="91"/>
      <c r="O142" s="91"/>
      <c r="P142" s="91"/>
      <c r="Q142" s="88"/>
      <c r="R142" s="103"/>
      <c r="S142" s="88"/>
      <c r="T142" s="88"/>
      <c r="U142" s="60"/>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c r="A143" s="1"/>
      <c r="B143" s="88"/>
      <c r="C143" s="101"/>
      <c r="D143" s="101"/>
      <c r="E143" s="88"/>
      <c r="F143" s="101"/>
      <c r="G143" s="88"/>
      <c r="H143" s="88"/>
      <c r="I143" s="88"/>
      <c r="J143" s="101"/>
      <c r="K143" s="88"/>
      <c r="L143" s="88"/>
      <c r="M143" s="88"/>
      <c r="N143" s="88"/>
      <c r="O143" s="88"/>
      <c r="P143" s="88"/>
      <c r="Q143" s="88"/>
      <c r="R143" s="101"/>
      <c r="S143" s="88"/>
      <c r="T143" s="88"/>
      <c r="U143" s="60"/>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c r="A144" s="1" t="s">
        <v>375</v>
      </c>
      <c r="B144" s="91">
        <v>0</v>
      </c>
      <c r="C144" s="103"/>
      <c r="D144" s="103"/>
      <c r="E144" s="91"/>
      <c r="F144" s="103"/>
      <c r="G144" s="91"/>
      <c r="H144" s="91"/>
      <c r="I144" s="91"/>
      <c r="J144" s="103"/>
      <c r="K144" s="91"/>
      <c r="L144" s="91"/>
      <c r="M144" s="91"/>
      <c r="N144" s="91"/>
      <c r="O144" s="91"/>
      <c r="P144" s="91"/>
      <c r="Q144" s="88"/>
      <c r="R144" s="103"/>
      <c r="S144" s="88"/>
      <c r="T144" s="88"/>
      <c r="U144" s="60"/>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c r="A145" s="1"/>
      <c r="B145" s="88"/>
      <c r="C145" s="101"/>
      <c r="D145" s="101"/>
      <c r="E145" s="88"/>
      <c r="F145" s="101"/>
      <c r="G145" s="88"/>
      <c r="H145" s="88"/>
      <c r="I145" s="88"/>
      <c r="J145" s="101"/>
      <c r="K145" s="88"/>
      <c r="L145" s="88"/>
      <c r="M145" s="88"/>
      <c r="N145" s="88"/>
      <c r="O145" s="88"/>
      <c r="P145" s="88"/>
      <c r="Q145" s="88"/>
      <c r="R145" s="101"/>
      <c r="S145" s="88"/>
      <c r="T145" s="88"/>
      <c r="U145" s="60"/>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c r="A146" s="1" t="s">
        <v>376</v>
      </c>
      <c r="B146" s="91">
        <f>+B149+B150+B151</f>
        <v>0</v>
      </c>
      <c r="C146" s="103"/>
      <c r="D146" s="103"/>
      <c r="E146" s="91"/>
      <c r="F146" s="103"/>
      <c r="G146" s="91"/>
      <c r="H146" s="91"/>
      <c r="I146" s="91"/>
      <c r="J146" s="103"/>
      <c r="K146" s="91"/>
      <c r="L146" s="91"/>
      <c r="M146" s="91"/>
      <c r="N146" s="91"/>
      <c r="O146" s="91"/>
      <c r="P146" s="91"/>
      <c r="Q146" s="88"/>
      <c r="R146" s="103"/>
      <c r="S146" s="88"/>
      <c r="T146" s="88"/>
      <c r="U146" s="60"/>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c r="A147" s="1" t="s">
        <v>377</v>
      </c>
      <c r="B147" s="88">
        <v>0</v>
      </c>
      <c r="C147" s="101"/>
      <c r="D147" s="101"/>
      <c r="E147" s="88"/>
      <c r="F147" s="101"/>
      <c r="G147" s="88"/>
      <c r="H147" s="88"/>
      <c r="I147" s="88"/>
      <c r="J147" s="101"/>
      <c r="K147" s="88"/>
      <c r="L147" s="88"/>
      <c r="M147" s="88"/>
      <c r="N147" s="88"/>
      <c r="O147" s="88"/>
      <c r="P147" s="88"/>
      <c r="Q147" s="88"/>
      <c r="R147" s="101"/>
      <c r="S147" s="88"/>
      <c r="T147" s="88"/>
      <c r="U147" s="60"/>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c r="A148" s="1" t="s">
        <v>378</v>
      </c>
      <c r="B148" s="88">
        <v>0</v>
      </c>
      <c r="C148" s="101"/>
      <c r="D148" s="101"/>
      <c r="E148" s="88"/>
      <c r="F148" s="101"/>
      <c r="G148" s="88"/>
      <c r="H148" s="88"/>
      <c r="I148" s="88"/>
      <c r="J148" s="101"/>
      <c r="K148" s="88"/>
      <c r="L148" s="88"/>
      <c r="M148" s="88"/>
      <c r="N148" s="88"/>
      <c r="O148" s="88"/>
      <c r="P148" s="88"/>
      <c r="Q148" s="88"/>
      <c r="R148" s="101"/>
      <c r="S148" s="88"/>
      <c r="T148" s="88"/>
      <c r="U148" s="60"/>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c r="A149" s="1" t="s">
        <v>289</v>
      </c>
      <c r="B149" s="91">
        <f>+B147+B148</f>
        <v>0</v>
      </c>
      <c r="C149" s="101"/>
      <c r="D149" s="101"/>
      <c r="E149" s="88"/>
      <c r="F149" s="101"/>
      <c r="G149" s="88"/>
      <c r="H149" s="88"/>
      <c r="I149" s="88"/>
      <c r="J149" s="101"/>
      <c r="K149" s="88"/>
      <c r="L149" s="88"/>
      <c r="M149" s="88"/>
      <c r="N149" s="88"/>
      <c r="O149" s="88"/>
      <c r="P149" s="88"/>
      <c r="Q149" s="88"/>
      <c r="R149" s="101"/>
      <c r="S149" s="88"/>
      <c r="T149" s="88"/>
      <c r="U149" s="60"/>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c r="A150" s="1" t="s">
        <v>379</v>
      </c>
      <c r="B150" s="88">
        <v>0</v>
      </c>
      <c r="C150" s="101"/>
      <c r="D150" s="101"/>
      <c r="E150" s="88"/>
      <c r="F150" s="101"/>
      <c r="G150" s="88"/>
      <c r="H150" s="88"/>
      <c r="I150" s="88"/>
      <c r="J150" s="101"/>
      <c r="K150" s="88"/>
      <c r="L150" s="88"/>
      <c r="M150" s="88"/>
      <c r="N150" s="88"/>
      <c r="O150" s="88"/>
      <c r="P150" s="88"/>
      <c r="Q150" s="88"/>
      <c r="R150" s="101"/>
      <c r="S150" s="88"/>
      <c r="T150" s="88"/>
      <c r="U150" s="60"/>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c r="A151" s="1" t="s">
        <v>380</v>
      </c>
      <c r="B151" s="88">
        <v>0</v>
      </c>
      <c r="C151" s="101"/>
      <c r="D151" s="101"/>
      <c r="E151" s="88"/>
      <c r="F151" s="101"/>
      <c r="G151" s="88"/>
      <c r="H151" s="88"/>
      <c r="I151" s="88"/>
      <c r="J151" s="101"/>
      <c r="K151" s="88"/>
      <c r="L151" s="88"/>
      <c r="M151" s="88"/>
      <c r="N151" s="88"/>
      <c r="O151" s="88"/>
      <c r="P151" s="88"/>
      <c r="Q151" s="88"/>
      <c r="R151" s="101"/>
      <c r="S151" s="88"/>
      <c r="T151" s="88"/>
      <c r="U151" s="60"/>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c r="A152" s="1"/>
      <c r="B152" s="88"/>
      <c r="C152" s="101"/>
      <c r="D152" s="101"/>
      <c r="E152" s="88"/>
      <c r="F152" s="101"/>
      <c r="G152" s="88"/>
      <c r="H152" s="88"/>
      <c r="I152" s="88"/>
      <c r="J152" s="101"/>
      <c r="K152" s="88"/>
      <c r="L152" s="88"/>
      <c r="M152" s="88"/>
      <c r="N152" s="88"/>
      <c r="O152" s="88"/>
      <c r="P152" s="88"/>
      <c r="Q152" s="88"/>
      <c r="R152" s="101"/>
      <c r="S152" s="88"/>
      <c r="T152" s="88"/>
      <c r="U152" s="60"/>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c r="A153" s="1" t="s">
        <v>381</v>
      </c>
      <c r="B153" s="91">
        <f>SUM(B154:B155)</f>
        <v>0</v>
      </c>
      <c r="C153" s="103"/>
      <c r="D153" s="103"/>
      <c r="E153" s="91"/>
      <c r="F153" s="103"/>
      <c r="G153" s="91"/>
      <c r="H153" s="91"/>
      <c r="I153" s="91"/>
      <c r="J153" s="103"/>
      <c r="K153" s="91"/>
      <c r="L153" s="91"/>
      <c r="M153" s="91"/>
      <c r="N153" s="91"/>
      <c r="O153" s="91"/>
      <c r="P153" s="91"/>
      <c r="Q153" s="88"/>
      <c r="R153" s="103"/>
      <c r="S153" s="88"/>
      <c r="T153" s="88"/>
      <c r="U153" s="60"/>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c r="A154" s="1" t="s">
        <v>382</v>
      </c>
      <c r="B154" s="88">
        <v>0</v>
      </c>
      <c r="C154" s="101"/>
      <c r="D154" s="101"/>
      <c r="E154" s="88"/>
      <c r="F154" s="101"/>
      <c r="G154" s="88"/>
      <c r="H154" s="88"/>
      <c r="I154" s="88"/>
      <c r="J154" s="101"/>
      <c r="K154" s="88"/>
      <c r="L154" s="88"/>
      <c r="M154" s="88"/>
      <c r="N154" s="88"/>
      <c r="O154" s="88"/>
      <c r="P154" s="88"/>
      <c r="Q154" s="88"/>
      <c r="R154" s="101"/>
      <c r="S154" s="88"/>
      <c r="T154" s="88"/>
      <c r="U154" s="60"/>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c r="A155" s="1" t="s">
        <v>383</v>
      </c>
      <c r="B155" s="88">
        <v>0</v>
      </c>
      <c r="C155" s="101"/>
      <c r="D155" s="101"/>
      <c r="E155" s="88"/>
      <c r="F155" s="101"/>
      <c r="G155" s="88"/>
      <c r="H155" s="88"/>
      <c r="I155" s="88"/>
      <c r="J155" s="101"/>
      <c r="K155" s="88"/>
      <c r="L155" s="88"/>
      <c r="M155" s="88"/>
      <c r="N155" s="88"/>
      <c r="O155" s="88"/>
      <c r="P155" s="88"/>
      <c r="Q155" s="88"/>
      <c r="R155" s="101"/>
      <c r="S155" s="88"/>
      <c r="T155" s="88"/>
      <c r="U155" s="60"/>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c r="A156" s="1"/>
      <c r="B156" s="88"/>
      <c r="C156" s="101"/>
      <c r="D156" s="101"/>
      <c r="E156" s="88"/>
      <c r="F156" s="101"/>
      <c r="G156" s="88"/>
      <c r="H156" s="88"/>
      <c r="I156" s="88"/>
      <c r="J156" s="101"/>
      <c r="K156" s="88"/>
      <c r="L156" s="88"/>
      <c r="M156" s="88"/>
      <c r="N156" s="88"/>
      <c r="O156" s="88"/>
      <c r="P156" s="88"/>
      <c r="Q156" s="88"/>
      <c r="R156" s="101"/>
      <c r="S156" s="88"/>
      <c r="T156" s="88"/>
      <c r="U156" s="60"/>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c r="A157" s="1" t="s">
        <v>384</v>
      </c>
      <c r="B157" s="91">
        <f t="shared" ref="B157:G157" si="13">+B108+B112+B114+B116+B131+B140+B142+B144+B146+B153</f>
        <v>0</v>
      </c>
      <c r="C157" s="103">
        <f t="shared" si="13"/>
        <v>0</v>
      </c>
      <c r="D157" s="103"/>
      <c r="E157" s="91">
        <f t="shared" si="13"/>
        <v>0</v>
      </c>
      <c r="F157" s="103">
        <f t="shared" si="13"/>
        <v>0</v>
      </c>
      <c r="G157" s="91">
        <f t="shared" si="13"/>
        <v>0</v>
      </c>
      <c r="H157" s="91"/>
      <c r="I157" s="91">
        <f>+I108+I112+I114+I116+I131+I140+I142+I144+I146+I153</f>
        <v>0</v>
      </c>
      <c r="J157" s="103">
        <f>+J108+J112+J114+J116+J131+J140+J142+J144+J146+J153</f>
        <v>0</v>
      </c>
      <c r="K157" s="91"/>
      <c r="L157" s="91"/>
      <c r="M157" s="91"/>
      <c r="N157" s="91"/>
      <c r="O157" s="91">
        <f>+O108+O112+O114+O116+O131+O140+O142+O144+O146+O153</f>
        <v>0</v>
      </c>
      <c r="P157" s="91"/>
      <c r="Q157" s="88"/>
      <c r="R157" s="103">
        <f>+R108+R112+R114+R116+R131+R140+R142+R144+R146+R153</f>
        <v>0</v>
      </c>
      <c r="S157" s="88"/>
      <c r="T157" s="88"/>
      <c r="U157" s="60"/>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c r="A158" s="1"/>
      <c r="B158" s="88"/>
      <c r="C158" s="101"/>
      <c r="D158" s="101"/>
      <c r="E158" s="88"/>
      <c r="F158" s="101"/>
      <c r="G158" s="88"/>
      <c r="H158" s="88"/>
      <c r="I158" s="88"/>
      <c r="J158" s="101"/>
      <c r="K158" s="88"/>
      <c r="L158" s="88"/>
      <c r="M158" s="88"/>
      <c r="N158" s="88"/>
      <c r="O158" s="88"/>
      <c r="P158" s="88"/>
      <c r="Q158" s="88"/>
      <c r="R158" s="101"/>
      <c r="S158" s="88"/>
      <c r="T158" s="88"/>
      <c r="U158" s="60"/>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c r="A159" s="1"/>
      <c r="B159" s="88"/>
      <c r="C159" s="101"/>
      <c r="D159" s="101"/>
      <c r="E159" s="88"/>
      <c r="F159" s="101"/>
      <c r="G159" s="88"/>
      <c r="H159" s="88"/>
      <c r="I159" s="88"/>
      <c r="J159" s="101"/>
      <c r="K159" s="88"/>
      <c r="L159" s="88"/>
      <c r="M159" s="88"/>
      <c r="N159" s="88"/>
      <c r="O159" s="88"/>
      <c r="P159" s="88"/>
      <c r="Q159" s="88"/>
      <c r="R159" s="101"/>
      <c r="S159" s="88"/>
      <c r="T159" s="88"/>
      <c r="U159" s="60"/>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c r="A160" s="1"/>
      <c r="B160" s="88"/>
      <c r="C160" s="101"/>
      <c r="D160" s="101"/>
      <c r="E160" s="88"/>
      <c r="F160" s="101"/>
      <c r="G160" s="88"/>
      <c r="H160" s="88"/>
      <c r="I160" s="88"/>
      <c r="J160" s="101"/>
      <c r="K160" s="88"/>
      <c r="L160" s="88"/>
      <c r="M160" s="88"/>
      <c r="N160" s="88"/>
      <c r="O160" s="88"/>
      <c r="P160" s="88"/>
      <c r="Q160" s="88"/>
      <c r="R160" s="101"/>
      <c r="S160" s="88"/>
      <c r="T160" s="88"/>
      <c r="U160" s="60"/>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c r="A161" s="1"/>
      <c r="B161" s="88"/>
      <c r="C161" s="101"/>
      <c r="D161" s="101"/>
      <c r="E161" s="88"/>
      <c r="F161" s="101"/>
      <c r="G161" s="88"/>
      <c r="H161" s="88"/>
      <c r="I161" s="88"/>
      <c r="J161" s="101"/>
      <c r="K161" s="88"/>
      <c r="L161" s="88"/>
      <c r="M161" s="88"/>
      <c r="N161" s="88"/>
      <c r="O161" s="88"/>
      <c r="P161" s="88"/>
      <c r="Q161" s="88"/>
      <c r="R161" s="101"/>
      <c r="S161" s="88"/>
      <c r="T161" s="88"/>
      <c r="U161" s="60"/>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c r="A162" s="1"/>
      <c r="B162" s="88"/>
      <c r="C162" s="101"/>
      <c r="D162" s="101"/>
      <c r="E162" s="88"/>
      <c r="F162" s="101"/>
      <c r="G162" s="88"/>
      <c r="H162" s="88"/>
      <c r="I162" s="88"/>
      <c r="J162" s="101"/>
      <c r="K162" s="88"/>
      <c r="L162" s="88"/>
      <c r="M162" s="88"/>
      <c r="N162" s="88"/>
      <c r="O162" s="88"/>
      <c r="P162" s="88"/>
      <c r="Q162" s="88"/>
      <c r="R162" s="101"/>
      <c r="S162" s="88"/>
      <c r="T162" s="88"/>
      <c r="U162" s="60"/>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c r="A163" s="1"/>
      <c r="B163" s="88"/>
      <c r="C163" s="101"/>
      <c r="D163" s="101"/>
      <c r="E163" s="88"/>
      <c r="F163" s="101"/>
      <c r="G163" s="88"/>
      <c r="H163" s="88"/>
      <c r="I163" s="88"/>
      <c r="J163" s="101"/>
      <c r="K163" s="88"/>
      <c r="L163" s="88"/>
      <c r="M163" s="88"/>
      <c r="N163" s="88"/>
      <c r="O163" s="88"/>
      <c r="P163" s="88"/>
      <c r="Q163" s="88"/>
      <c r="R163" s="101"/>
      <c r="S163" s="88"/>
      <c r="T163" s="88"/>
      <c r="U163" s="60"/>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c r="A164" s="1"/>
      <c r="B164" s="88"/>
      <c r="C164" s="101"/>
      <c r="D164" s="101"/>
      <c r="E164" s="88"/>
      <c r="F164" s="101"/>
      <c r="G164" s="88"/>
      <c r="H164" s="88"/>
      <c r="I164" s="88"/>
      <c r="J164" s="101"/>
      <c r="K164" s="88"/>
      <c r="L164" s="88"/>
      <c r="M164" s="88"/>
      <c r="N164" s="88"/>
      <c r="O164" s="88"/>
      <c r="P164" s="88"/>
      <c r="Q164" s="88"/>
      <c r="R164" s="101"/>
      <c r="S164" s="88"/>
      <c r="T164" s="88"/>
      <c r="U164" s="60"/>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c r="A165" s="1"/>
      <c r="B165" s="88"/>
      <c r="C165" s="101"/>
      <c r="D165" s="101"/>
      <c r="E165" s="88"/>
      <c r="F165" s="101"/>
      <c r="G165" s="88"/>
      <c r="H165" s="88"/>
      <c r="I165" s="88"/>
      <c r="J165" s="101"/>
      <c r="K165" s="88"/>
      <c r="L165" s="88"/>
      <c r="M165" s="88"/>
      <c r="N165" s="88"/>
      <c r="O165" s="88"/>
      <c r="P165" s="88"/>
      <c r="Q165" s="88"/>
      <c r="R165" s="101"/>
      <c r="S165" s="88"/>
      <c r="T165" s="88"/>
      <c r="U165" s="60"/>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c r="A166" s="1"/>
      <c r="B166" s="88"/>
      <c r="C166" s="101"/>
      <c r="D166" s="101"/>
      <c r="E166" s="88"/>
      <c r="F166" s="101"/>
      <c r="G166" s="88"/>
      <c r="H166" s="88"/>
      <c r="I166" s="88"/>
      <c r="J166" s="101"/>
      <c r="K166" s="88"/>
      <c r="L166" s="88"/>
      <c r="M166" s="88"/>
      <c r="N166" s="88"/>
      <c r="O166" s="88"/>
      <c r="P166" s="88"/>
      <c r="Q166" s="88"/>
      <c r="R166" s="101"/>
      <c r="S166" s="88"/>
      <c r="T166" s="88"/>
      <c r="U166" s="60"/>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c r="A167" s="1"/>
      <c r="B167" s="88"/>
      <c r="C167" s="101"/>
      <c r="D167" s="101"/>
      <c r="E167" s="88"/>
      <c r="F167" s="101"/>
      <c r="G167" s="88"/>
      <c r="H167" s="88"/>
      <c r="I167" s="88"/>
      <c r="J167" s="101"/>
      <c r="K167" s="88"/>
      <c r="L167" s="88"/>
      <c r="M167" s="88"/>
      <c r="N167" s="88"/>
      <c r="O167" s="88"/>
      <c r="P167" s="88"/>
      <c r="Q167" s="88"/>
      <c r="R167" s="101"/>
      <c r="S167" s="88"/>
      <c r="T167" s="88"/>
      <c r="U167" s="60"/>
      <c r="V167" s="1"/>
      <c r="W167" s="1"/>
      <c r="X167" s="1"/>
      <c r="Y167" s="1"/>
      <c r="Z167" s="1"/>
      <c r="AA167" s="1"/>
      <c r="AB167" s="1"/>
      <c r="AC167" s="1"/>
      <c r="AD167" s="1"/>
      <c r="AE167" s="1"/>
      <c r="AF167" s="1"/>
      <c r="AG167" s="1"/>
      <c r="AH167" s="1"/>
      <c r="AI167" s="1"/>
      <c r="AJ167" s="1"/>
      <c r="AK167" s="1"/>
      <c r="AL167" s="1"/>
      <c r="AM167" s="1"/>
      <c r="AN167" s="1"/>
      <c r="AO167" s="1"/>
      <c r="AP167" s="1"/>
      <c r="AQ167" s="1"/>
      <c r="AR167" s="1"/>
    </row>
    <row r="168" spans="1:44">
      <c r="A168" s="1"/>
      <c r="B168" s="88"/>
      <c r="C168" s="101"/>
      <c r="D168" s="101"/>
      <c r="E168" s="88"/>
      <c r="F168" s="101"/>
      <c r="G168" s="88"/>
      <c r="H168" s="88"/>
      <c r="I168" s="88"/>
      <c r="J168" s="101"/>
      <c r="K168" s="88"/>
      <c r="L168" s="88"/>
      <c r="M168" s="88"/>
      <c r="N168" s="88"/>
      <c r="O168" s="88"/>
      <c r="P168" s="88"/>
      <c r="Q168" s="88"/>
      <c r="R168" s="101"/>
      <c r="S168" s="88"/>
      <c r="T168" s="88"/>
      <c r="U168" s="60"/>
      <c r="V168" s="1"/>
      <c r="W168" s="1"/>
      <c r="X168" s="1"/>
      <c r="Y168" s="1"/>
      <c r="Z168" s="1"/>
      <c r="AA168" s="1"/>
      <c r="AB168" s="1"/>
      <c r="AC168" s="1"/>
      <c r="AD168" s="1"/>
      <c r="AE168" s="1"/>
      <c r="AF168" s="1"/>
      <c r="AG168" s="1"/>
      <c r="AH168" s="1"/>
      <c r="AI168" s="1"/>
      <c r="AJ168" s="1"/>
      <c r="AK168" s="1"/>
      <c r="AL168" s="1"/>
      <c r="AM168" s="1"/>
      <c r="AN168" s="1"/>
      <c r="AO168" s="1"/>
      <c r="AP168" s="1"/>
      <c r="AQ168" s="1"/>
      <c r="AR168" s="1"/>
    </row>
    <row r="169" spans="1:44">
      <c r="A169" s="1"/>
      <c r="B169" s="88"/>
      <c r="C169" s="101"/>
      <c r="D169" s="101"/>
      <c r="E169" s="88"/>
      <c r="F169" s="101"/>
      <c r="G169" s="88"/>
      <c r="H169" s="88"/>
      <c r="I169" s="88"/>
      <c r="J169" s="101"/>
      <c r="K169" s="88"/>
      <c r="L169" s="88"/>
      <c r="M169" s="88"/>
      <c r="N169" s="88"/>
      <c r="O169" s="88"/>
      <c r="P169" s="88"/>
      <c r="Q169" s="88"/>
      <c r="R169" s="101"/>
      <c r="S169" s="88"/>
      <c r="T169" s="88"/>
      <c r="U169" s="60"/>
      <c r="V169" s="1"/>
      <c r="W169" s="1"/>
      <c r="X169" s="1"/>
      <c r="Y169" s="1"/>
      <c r="Z169" s="1"/>
      <c r="AA169" s="1"/>
      <c r="AB169" s="1"/>
      <c r="AC169" s="1"/>
      <c r="AD169" s="1"/>
      <c r="AE169" s="1"/>
      <c r="AF169" s="1"/>
      <c r="AG169" s="1"/>
      <c r="AH169" s="1"/>
      <c r="AI169" s="1"/>
      <c r="AJ169" s="1"/>
      <c r="AK169" s="1"/>
      <c r="AL169" s="1"/>
      <c r="AM169" s="1"/>
      <c r="AN169" s="1"/>
      <c r="AO169" s="1"/>
      <c r="AP169" s="1"/>
      <c r="AQ169" s="1"/>
      <c r="AR169" s="1"/>
    </row>
    <row r="170" spans="1:44">
      <c r="A170" s="1"/>
      <c r="B170" s="88"/>
      <c r="C170" s="101"/>
      <c r="D170" s="101"/>
      <c r="E170" s="88"/>
      <c r="F170" s="101"/>
      <c r="G170" s="88"/>
      <c r="H170" s="88"/>
      <c r="I170" s="88"/>
      <c r="J170" s="101"/>
      <c r="K170" s="88"/>
      <c r="L170" s="88"/>
      <c r="M170" s="88"/>
      <c r="N170" s="88"/>
      <c r="O170" s="88"/>
      <c r="P170" s="88"/>
      <c r="Q170" s="88"/>
      <c r="R170" s="101"/>
      <c r="S170" s="88"/>
      <c r="T170" s="88"/>
      <c r="U170" s="60"/>
      <c r="V170" s="1"/>
      <c r="W170" s="1"/>
      <c r="X170" s="1"/>
      <c r="Y170" s="1"/>
      <c r="Z170" s="1"/>
      <c r="AA170" s="1"/>
      <c r="AB170" s="1"/>
      <c r="AC170" s="1"/>
      <c r="AD170" s="1"/>
      <c r="AE170" s="1"/>
      <c r="AF170" s="1"/>
      <c r="AG170" s="1"/>
      <c r="AH170" s="1"/>
      <c r="AI170" s="1"/>
      <c r="AJ170" s="1"/>
      <c r="AK170" s="1"/>
      <c r="AL170" s="1"/>
      <c r="AM170" s="1"/>
      <c r="AN170" s="1"/>
      <c r="AO170" s="1"/>
      <c r="AP170" s="1"/>
      <c r="AQ170" s="1"/>
      <c r="AR170" s="1"/>
    </row>
    <row r="171" spans="1:44">
      <c r="A171" s="1"/>
      <c r="B171" s="88"/>
      <c r="C171" s="101"/>
      <c r="D171" s="101"/>
      <c r="E171" s="88"/>
      <c r="F171" s="101"/>
      <c r="G171" s="88"/>
      <c r="H171" s="88"/>
      <c r="I171" s="88"/>
      <c r="J171" s="101"/>
      <c r="K171" s="88"/>
      <c r="L171" s="88"/>
      <c r="M171" s="88"/>
      <c r="N171" s="88"/>
      <c r="O171" s="88"/>
      <c r="P171" s="88"/>
      <c r="Q171" s="88"/>
      <c r="R171" s="101"/>
      <c r="S171" s="88"/>
      <c r="T171" s="88"/>
      <c r="U171" s="60"/>
      <c r="V171" s="1"/>
      <c r="W171" s="1"/>
      <c r="X171" s="1"/>
      <c r="Y171" s="1"/>
      <c r="Z171" s="1"/>
      <c r="AA171" s="1"/>
      <c r="AB171" s="1"/>
      <c r="AC171" s="1"/>
      <c r="AD171" s="1"/>
      <c r="AE171" s="1"/>
      <c r="AF171" s="1"/>
      <c r="AG171" s="1"/>
      <c r="AH171" s="1"/>
      <c r="AI171" s="1"/>
      <c r="AJ171" s="1"/>
      <c r="AK171" s="1"/>
      <c r="AL171" s="1"/>
      <c r="AM171" s="1"/>
      <c r="AN171" s="1"/>
      <c r="AO171" s="1"/>
      <c r="AP171" s="1"/>
      <c r="AQ171" s="1"/>
      <c r="AR171" s="1"/>
    </row>
    <row r="172" spans="1:44">
      <c r="A172" s="1"/>
      <c r="B172" s="88"/>
      <c r="C172" s="101"/>
      <c r="D172" s="101"/>
      <c r="E172" s="88"/>
      <c r="F172" s="101"/>
      <c r="G172" s="88"/>
      <c r="H172" s="88"/>
      <c r="I172" s="88"/>
      <c r="J172" s="101"/>
      <c r="K172" s="88"/>
      <c r="L172" s="88"/>
      <c r="M172" s="88"/>
      <c r="N172" s="88"/>
      <c r="O172" s="88"/>
      <c r="P172" s="88"/>
      <c r="Q172" s="88"/>
      <c r="R172" s="101"/>
      <c r="S172" s="88"/>
      <c r="T172" s="88"/>
      <c r="U172" s="60"/>
      <c r="V172" s="1"/>
      <c r="W172" s="1"/>
      <c r="X172" s="1"/>
      <c r="Y172" s="1"/>
      <c r="Z172" s="1"/>
      <c r="AA172" s="1"/>
      <c r="AB172" s="1"/>
      <c r="AC172" s="1"/>
      <c r="AD172" s="1"/>
      <c r="AE172" s="1"/>
      <c r="AF172" s="1"/>
      <c r="AG172" s="1"/>
      <c r="AH172" s="1"/>
      <c r="AI172" s="1"/>
      <c r="AJ172" s="1"/>
      <c r="AK172" s="1"/>
      <c r="AL172" s="1"/>
      <c r="AM172" s="1"/>
      <c r="AN172" s="1"/>
      <c r="AO172" s="1"/>
      <c r="AP172" s="1"/>
      <c r="AQ172" s="1"/>
      <c r="AR172" s="1"/>
    </row>
    <row r="173" spans="1:44">
      <c r="A173" s="1"/>
      <c r="B173" s="88"/>
      <c r="C173" s="101"/>
      <c r="D173" s="101"/>
      <c r="E173" s="88"/>
      <c r="F173" s="101"/>
      <c r="G173" s="88"/>
      <c r="H173" s="88"/>
      <c r="I173" s="88"/>
      <c r="J173" s="101"/>
      <c r="K173" s="88"/>
      <c r="L173" s="88"/>
      <c r="M173" s="88"/>
      <c r="N173" s="88"/>
      <c r="O173" s="88"/>
      <c r="P173" s="88"/>
      <c r="Q173" s="88"/>
      <c r="R173" s="101"/>
      <c r="S173" s="88"/>
      <c r="T173" s="88"/>
      <c r="U173" s="60"/>
      <c r="V173" s="1"/>
      <c r="W173" s="1"/>
      <c r="X173" s="1"/>
      <c r="Y173" s="1"/>
      <c r="Z173" s="1"/>
      <c r="AA173" s="1"/>
      <c r="AB173" s="1"/>
      <c r="AC173" s="1"/>
      <c r="AD173" s="1"/>
      <c r="AE173" s="1"/>
      <c r="AF173" s="1"/>
      <c r="AG173" s="1"/>
      <c r="AH173" s="1"/>
      <c r="AI173" s="1"/>
      <c r="AJ173" s="1"/>
      <c r="AK173" s="1"/>
      <c r="AL173" s="1"/>
      <c r="AM173" s="1"/>
      <c r="AN173" s="1"/>
      <c r="AO173" s="1"/>
      <c r="AP173" s="1"/>
      <c r="AQ173" s="1"/>
      <c r="AR173" s="1"/>
    </row>
    <row r="174" spans="1:44">
      <c r="A174" s="1"/>
      <c r="B174" s="88"/>
      <c r="C174" s="101"/>
      <c r="D174" s="101"/>
      <c r="E174" s="88"/>
      <c r="F174" s="101"/>
      <c r="G174" s="88"/>
      <c r="H174" s="88"/>
      <c r="I174" s="88"/>
      <c r="J174" s="101"/>
      <c r="K174" s="88"/>
      <c r="L174" s="88"/>
      <c r="M174" s="88"/>
      <c r="N174" s="88"/>
      <c r="O174" s="88"/>
      <c r="P174" s="88"/>
      <c r="Q174" s="88"/>
      <c r="R174" s="101"/>
      <c r="S174" s="88"/>
      <c r="T174" s="88"/>
      <c r="U174" s="60"/>
      <c r="V174" s="1"/>
      <c r="W174" s="1"/>
      <c r="X174" s="1"/>
      <c r="Y174" s="1"/>
      <c r="Z174" s="1"/>
      <c r="AA174" s="1"/>
      <c r="AB174" s="1"/>
      <c r="AC174" s="1"/>
      <c r="AD174" s="1"/>
      <c r="AE174" s="1"/>
      <c r="AF174" s="1"/>
      <c r="AG174" s="1"/>
      <c r="AH174" s="1"/>
      <c r="AI174" s="1"/>
      <c r="AJ174" s="1"/>
      <c r="AK174" s="1"/>
      <c r="AL174" s="1"/>
      <c r="AM174" s="1"/>
      <c r="AN174" s="1"/>
      <c r="AO174" s="1"/>
      <c r="AP174" s="1"/>
      <c r="AQ174" s="1"/>
      <c r="AR174" s="1"/>
    </row>
    <row r="175" spans="1:44">
      <c r="A175" s="1"/>
      <c r="B175" s="88"/>
      <c r="C175" s="101"/>
      <c r="D175" s="101"/>
      <c r="E175" s="88"/>
      <c r="F175" s="101"/>
      <c r="G175" s="88"/>
      <c r="H175" s="88"/>
      <c r="I175" s="88"/>
      <c r="J175" s="101"/>
      <c r="K175" s="88"/>
      <c r="L175" s="88"/>
      <c r="M175" s="88"/>
      <c r="N175" s="88"/>
      <c r="O175" s="88"/>
      <c r="P175" s="88"/>
      <c r="Q175" s="88"/>
      <c r="R175" s="101"/>
      <c r="S175" s="88"/>
      <c r="T175" s="88"/>
      <c r="U175" s="60"/>
      <c r="V175" s="1"/>
      <c r="W175" s="1"/>
      <c r="X175" s="1"/>
      <c r="Y175" s="1"/>
      <c r="Z175" s="1"/>
      <c r="AA175" s="1"/>
      <c r="AB175" s="1"/>
      <c r="AC175" s="1"/>
      <c r="AD175" s="1"/>
      <c r="AE175" s="1"/>
      <c r="AF175" s="1"/>
      <c r="AG175" s="1"/>
      <c r="AH175" s="1"/>
      <c r="AI175" s="1"/>
      <c r="AJ175" s="1"/>
      <c r="AK175" s="1"/>
      <c r="AL175" s="1"/>
      <c r="AM175" s="1"/>
      <c r="AN175" s="1"/>
      <c r="AO175" s="1"/>
      <c r="AP175" s="1"/>
      <c r="AQ175" s="1"/>
      <c r="AR175" s="1"/>
    </row>
    <row r="176" spans="1:44">
      <c r="A176" s="1"/>
      <c r="B176" s="88"/>
      <c r="C176" s="101"/>
      <c r="D176" s="101"/>
      <c r="E176" s="88"/>
      <c r="F176" s="101"/>
      <c r="G176" s="88"/>
      <c r="H176" s="88"/>
      <c r="I176" s="88"/>
      <c r="J176" s="101"/>
      <c r="K176" s="88"/>
      <c r="L176" s="88"/>
      <c r="M176" s="88"/>
      <c r="N176" s="88"/>
      <c r="O176" s="88"/>
      <c r="P176" s="88"/>
      <c r="Q176" s="88"/>
      <c r="R176" s="101"/>
      <c r="S176" s="88"/>
      <c r="T176" s="88"/>
      <c r="U176" s="60"/>
      <c r="V176" s="1"/>
      <c r="W176" s="1"/>
      <c r="X176" s="1"/>
      <c r="Y176" s="1"/>
      <c r="Z176" s="1"/>
      <c r="AA176" s="1"/>
      <c r="AB176" s="1"/>
      <c r="AC176" s="1"/>
      <c r="AD176" s="1"/>
      <c r="AE176" s="1"/>
      <c r="AF176" s="1"/>
      <c r="AG176" s="1"/>
      <c r="AH176" s="1"/>
      <c r="AI176" s="1"/>
      <c r="AJ176" s="1"/>
      <c r="AK176" s="1"/>
      <c r="AL176" s="1"/>
      <c r="AM176" s="1"/>
      <c r="AN176" s="1"/>
      <c r="AO176" s="1"/>
      <c r="AP176" s="1"/>
      <c r="AQ176" s="1"/>
      <c r="AR176" s="1"/>
    </row>
    <row r="177" spans="1:44">
      <c r="A177" s="1"/>
      <c r="B177" s="88"/>
      <c r="C177" s="101"/>
      <c r="D177" s="101"/>
      <c r="E177" s="88"/>
      <c r="F177" s="101"/>
      <c r="G177" s="88"/>
      <c r="H177" s="88"/>
      <c r="I177" s="88"/>
      <c r="J177" s="101"/>
      <c r="K177" s="88"/>
      <c r="L177" s="88"/>
      <c r="M177" s="88"/>
      <c r="N177" s="88"/>
      <c r="O177" s="88"/>
      <c r="P177" s="88"/>
      <c r="Q177" s="88"/>
      <c r="R177" s="101"/>
      <c r="S177" s="88"/>
      <c r="T177" s="88"/>
      <c r="U177" s="60"/>
      <c r="V177" s="1"/>
      <c r="W177" s="1"/>
      <c r="X177" s="1"/>
      <c r="Y177" s="1"/>
      <c r="Z177" s="1"/>
      <c r="AA177" s="1"/>
      <c r="AB177" s="1"/>
      <c r="AC177" s="1"/>
      <c r="AD177" s="1"/>
      <c r="AE177" s="1"/>
      <c r="AF177" s="1"/>
      <c r="AG177" s="1"/>
      <c r="AH177" s="1"/>
      <c r="AI177" s="1"/>
      <c r="AJ177" s="1"/>
      <c r="AK177" s="1"/>
      <c r="AL177" s="1"/>
      <c r="AM177" s="1"/>
      <c r="AN177" s="1"/>
      <c r="AO177" s="1"/>
      <c r="AP177" s="1"/>
      <c r="AQ177" s="1"/>
      <c r="AR177" s="1"/>
    </row>
    <row r="178" spans="1:44">
      <c r="A178" s="1"/>
      <c r="B178" s="88"/>
      <c r="C178" s="101"/>
      <c r="D178" s="101"/>
      <c r="E178" s="88"/>
      <c r="F178" s="101"/>
      <c r="G178" s="88"/>
      <c r="H178" s="88"/>
      <c r="I178" s="88"/>
      <c r="J178" s="101"/>
      <c r="K178" s="88"/>
      <c r="L178" s="88"/>
      <c r="M178" s="88"/>
      <c r="N178" s="88"/>
      <c r="O178" s="88"/>
      <c r="P178" s="88"/>
      <c r="Q178" s="88"/>
      <c r="R178" s="101"/>
      <c r="S178" s="88"/>
      <c r="T178" s="88"/>
      <c r="U178" s="60"/>
      <c r="V178" s="1"/>
      <c r="W178" s="1"/>
      <c r="X178" s="1"/>
      <c r="Y178" s="1"/>
      <c r="Z178" s="1"/>
      <c r="AA178" s="1"/>
      <c r="AB178" s="1"/>
      <c r="AC178" s="1"/>
      <c r="AD178" s="1"/>
      <c r="AE178" s="1"/>
      <c r="AF178" s="1"/>
      <c r="AG178" s="1"/>
      <c r="AH178" s="1"/>
      <c r="AI178" s="1"/>
      <c r="AJ178" s="1"/>
      <c r="AK178" s="1"/>
      <c r="AL178" s="1"/>
      <c r="AM178" s="1"/>
      <c r="AN178" s="1"/>
      <c r="AO178" s="1"/>
      <c r="AP178" s="1"/>
      <c r="AQ178" s="1"/>
      <c r="AR178" s="1"/>
    </row>
    <row r="179" spans="1:44">
      <c r="A179" s="1"/>
      <c r="B179" s="88"/>
      <c r="C179" s="101"/>
      <c r="D179" s="101"/>
      <c r="E179" s="88"/>
      <c r="F179" s="101"/>
      <c r="G179" s="88"/>
      <c r="H179" s="88"/>
      <c r="I179" s="88"/>
      <c r="J179" s="101"/>
      <c r="K179" s="88"/>
      <c r="L179" s="88"/>
      <c r="M179" s="88"/>
      <c r="N179" s="88"/>
      <c r="O179" s="88"/>
      <c r="P179" s="88"/>
      <c r="Q179" s="88"/>
      <c r="R179" s="101"/>
      <c r="S179" s="88"/>
      <c r="T179" s="88"/>
      <c r="U179" s="60"/>
      <c r="V179" s="1"/>
      <c r="W179" s="1"/>
      <c r="X179" s="1"/>
      <c r="Y179" s="1"/>
      <c r="Z179" s="1"/>
      <c r="AA179" s="1"/>
      <c r="AB179" s="1"/>
      <c r="AC179" s="1"/>
      <c r="AD179" s="1"/>
      <c r="AE179" s="1"/>
      <c r="AF179" s="1"/>
      <c r="AG179" s="1"/>
      <c r="AH179" s="1"/>
      <c r="AI179" s="1"/>
      <c r="AJ179" s="1"/>
      <c r="AK179" s="1"/>
      <c r="AL179" s="1"/>
      <c r="AM179" s="1"/>
      <c r="AN179" s="1"/>
      <c r="AO179" s="1"/>
      <c r="AP179" s="1"/>
      <c r="AQ179" s="1"/>
      <c r="AR179" s="1"/>
    </row>
    <row r="180" spans="1:44">
      <c r="A180" s="1"/>
      <c r="B180" s="88"/>
      <c r="C180" s="101"/>
      <c r="D180" s="101"/>
      <c r="E180" s="88"/>
      <c r="F180" s="101"/>
      <c r="G180" s="88"/>
      <c r="H180" s="88"/>
      <c r="I180" s="88"/>
      <c r="J180" s="101"/>
      <c r="K180" s="88"/>
      <c r="L180" s="88"/>
      <c r="M180" s="88"/>
      <c r="N180" s="88"/>
      <c r="O180" s="88"/>
      <c r="P180" s="88"/>
      <c r="Q180" s="88"/>
      <c r="R180" s="101"/>
      <c r="S180" s="88"/>
      <c r="T180" s="88"/>
      <c r="U180" s="60"/>
      <c r="V180" s="1"/>
      <c r="W180" s="1"/>
      <c r="X180" s="1"/>
      <c r="Y180" s="1"/>
      <c r="Z180" s="1"/>
      <c r="AA180" s="1"/>
      <c r="AB180" s="1"/>
      <c r="AC180" s="1"/>
      <c r="AD180" s="1"/>
      <c r="AE180" s="1"/>
      <c r="AF180" s="1"/>
      <c r="AG180" s="1"/>
      <c r="AH180" s="1"/>
      <c r="AI180" s="1"/>
      <c r="AJ180" s="1"/>
      <c r="AK180" s="1"/>
      <c r="AL180" s="1"/>
      <c r="AM180" s="1"/>
      <c r="AN180" s="1"/>
      <c r="AO180" s="1"/>
      <c r="AP180" s="1"/>
      <c r="AQ180" s="1"/>
      <c r="AR180" s="1"/>
    </row>
    <row r="181" spans="1:44">
      <c r="A181" s="1"/>
      <c r="B181" s="88"/>
      <c r="C181" s="101"/>
      <c r="D181" s="101"/>
      <c r="E181" s="88"/>
      <c r="F181" s="101"/>
      <c r="G181" s="88"/>
      <c r="H181" s="88"/>
      <c r="I181" s="88"/>
      <c r="J181" s="101"/>
      <c r="K181" s="88"/>
      <c r="L181" s="88"/>
      <c r="M181" s="88"/>
      <c r="N181" s="88"/>
      <c r="O181" s="88"/>
      <c r="P181" s="88"/>
      <c r="Q181" s="88"/>
      <c r="R181" s="101"/>
      <c r="S181" s="88"/>
      <c r="T181" s="88"/>
      <c r="U181" s="60"/>
      <c r="V181" s="1"/>
      <c r="W181" s="1"/>
      <c r="X181" s="1"/>
      <c r="Y181" s="1"/>
      <c r="Z181" s="1"/>
      <c r="AA181" s="1"/>
      <c r="AB181" s="1"/>
      <c r="AC181" s="1"/>
      <c r="AD181" s="1"/>
      <c r="AE181" s="1"/>
      <c r="AF181" s="1"/>
      <c r="AG181" s="1"/>
      <c r="AH181" s="1"/>
      <c r="AI181" s="1"/>
      <c r="AJ181" s="1"/>
      <c r="AK181" s="1"/>
      <c r="AL181" s="1"/>
      <c r="AM181" s="1"/>
      <c r="AN181" s="1"/>
      <c r="AO181" s="1"/>
      <c r="AP181" s="1"/>
      <c r="AQ181" s="1"/>
      <c r="AR181" s="1"/>
    </row>
    <row r="182" spans="1:44">
      <c r="A182" s="1"/>
      <c r="B182" s="88"/>
      <c r="C182" s="101"/>
      <c r="D182" s="101"/>
      <c r="E182" s="88"/>
      <c r="F182" s="101"/>
      <c r="G182" s="88"/>
      <c r="H182" s="88"/>
      <c r="I182" s="88"/>
      <c r="J182" s="101"/>
      <c r="K182" s="88"/>
      <c r="L182" s="88"/>
      <c r="M182" s="88"/>
      <c r="N182" s="88"/>
      <c r="O182" s="88"/>
      <c r="P182" s="88"/>
      <c r="Q182" s="88"/>
      <c r="R182" s="101"/>
      <c r="S182" s="88"/>
      <c r="T182" s="88"/>
      <c r="U182" s="60"/>
      <c r="V182" s="1"/>
      <c r="W182" s="1"/>
      <c r="X182" s="1"/>
      <c r="Y182" s="1"/>
      <c r="Z182" s="1"/>
      <c r="AA182" s="1"/>
      <c r="AB182" s="1"/>
      <c r="AC182" s="1"/>
      <c r="AD182" s="1"/>
      <c r="AE182" s="1"/>
      <c r="AF182" s="1"/>
      <c r="AG182" s="1"/>
      <c r="AH182" s="1"/>
      <c r="AI182" s="1"/>
      <c r="AJ182" s="1"/>
      <c r="AK182" s="1"/>
      <c r="AL182" s="1"/>
      <c r="AM182" s="1"/>
      <c r="AN182" s="1"/>
      <c r="AO182" s="1"/>
      <c r="AP182" s="1"/>
      <c r="AQ182" s="1"/>
      <c r="AR182" s="1"/>
    </row>
    <row r="183" spans="1:44">
      <c r="A183" s="1"/>
      <c r="B183" s="88"/>
      <c r="C183" s="101"/>
      <c r="D183" s="101"/>
      <c r="E183" s="88"/>
      <c r="F183" s="101"/>
      <c r="G183" s="88"/>
      <c r="H183" s="88"/>
      <c r="I183" s="88"/>
      <c r="J183" s="101"/>
      <c r="K183" s="88"/>
      <c r="L183" s="88"/>
      <c r="M183" s="88"/>
      <c r="N183" s="88"/>
      <c r="O183" s="88"/>
      <c r="P183" s="88"/>
      <c r="Q183" s="88"/>
      <c r="R183" s="101"/>
      <c r="S183" s="88"/>
      <c r="T183" s="88"/>
      <c r="U183" s="60"/>
      <c r="V183" s="1"/>
      <c r="W183" s="1"/>
      <c r="X183" s="1"/>
      <c r="Y183" s="1"/>
      <c r="Z183" s="1"/>
      <c r="AA183" s="1"/>
      <c r="AB183" s="1"/>
      <c r="AC183" s="1"/>
      <c r="AD183" s="1"/>
      <c r="AE183" s="1"/>
      <c r="AF183" s="1"/>
      <c r="AG183" s="1"/>
      <c r="AH183" s="1"/>
      <c r="AI183" s="1"/>
      <c r="AJ183" s="1"/>
      <c r="AK183" s="1"/>
      <c r="AL183" s="1"/>
      <c r="AM183" s="1"/>
      <c r="AN183" s="1"/>
      <c r="AO183" s="1"/>
      <c r="AP183" s="1"/>
      <c r="AQ183" s="1"/>
      <c r="AR183" s="1"/>
    </row>
    <row r="184" spans="1:44">
      <c r="A184" s="1"/>
      <c r="B184" s="88"/>
      <c r="C184" s="101"/>
      <c r="D184" s="101"/>
      <c r="E184" s="88"/>
      <c r="F184" s="101"/>
      <c r="G184" s="88"/>
      <c r="H184" s="88"/>
      <c r="I184" s="88"/>
      <c r="J184" s="101"/>
      <c r="K184" s="88"/>
      <c r="L184" s="88"/>
      <c r="M184" s="88"/>
      <c r="N184" s="88"/>
      <c r="O184" s="88"/>
      <c r="P184" s="88"/>
      <c r="Q184" s="88"/>
      <c r="R184" s="101"/>
      <c r="S184" s="88"/>
      <c r="T184" s="88"/>
      <c r="U184" s="60"/>
      <c r="V184" s="1"/>
      <c r="W184" s="1"/>
      <c r="X184" s="1"/>
      <c r="Y184" s="1"/>
      <c r="Z184" s="1"/>
      <c r="AA184" s="1"/>
      <c r="AB184" s="1"/>
      <c r="AC184" s="1"/>
      <c r="AD184" s="1"/>
      <c r="AE184" s="1"/>
      <c r="AF184" s="1"/>
      <c r="AG184" s="1"/>
      <c r="AH184" s="1"/>
      <c r="AI184" s="1"/>
      <c r="AJ184" s="1"/>
      <c r="AK184" s="1"/>
      <c r="AL184" s="1"/>
      <c r="AM184" s="1"/>
      <c r="AN184" s="1"/>
      <c r="AO184" s="1"/>
      <c r="AP184" s="1"/>
      <c r="AQ184" s="1"/>
      <c r="AR184" s="1"/>
    </row>
    <row r="185" spans="1:44">
      <c r="A185" s="1"/>
      <c r="B185" s="88"/>
      <c r="C185" s="101"/>
      <c r="D185" s="101"/>
      <c r="E185" s="88"/>
      <c r="F185" s="101"/>
      <c r="G185" s="88"/>
      <c r="H185" s="88"/>
      <c r="I185" s="88"/>
      <c r="J185" s="101"/>
      <c r="K185" s="88"/>
      <c r="L185" s="88"/>
      <c r="M185" s="88"/>
      <c r="N185" s="88"/>
      <c r="O185" s="88"/>
      <c r="P185" s="88"/>
      <c r="Q185" s="88"/>
      <c r="R185" s="101"/>
      <c r="S185" s="88"/>
      <c r="T185" s="88"/>
      <c r="U185" s="60"/>
      <c r="V185" s="1"/>
      <c r="W185" s="1"/>
      <c r="X185" s="1"/>
      <c r="Y185" s="1"/>
      <c r="Z185" s="1"/>
      <c r="AA185" s="1"/>
      <c r="AB185" s="1"/>
      <c r="AC185" s="1"/>
      <c r="AD185" s="1"/>
      <c r="AE185" s="1"/>
      <c r="AF185" s="1"/>
      <c r="AG185" s="1"/>
      <c r="AH185" s="1"/>
      <c r="AI185" s="1"/>
      <c r="AJ185" s="1"/>
      <c r="AK185" s="1"/>
      <c r="AL185" s="1"/>
      <c r="AM185" s="1"/>
      <c r="AN185" s="1"/>
      <c r="AO185" s="1"/>
      <c r="AP185" s="1"/>
      <c r="AQ185" s="1"/>
      <c r="AR185" s="1"/>
    </row>
    <row r="186" spans="1:44">
      <c r="A186" s="1"/>
      <c r="B186" s="88"/>
      <c r="C186" s="101"/>
      <c r="D186" s="101"/>
      <c r="E186" s="88"/>
      <c r="F186" s="101"/>
      <c r="G186" s="88"/>
      <c r="H186" s="88"/>
      <c r="I186" s="88"/>
      <c r="J186" s="101"/>
      <c r="K186" s="88"/>
      <c r="L186" s="88"/>
      <c r="M186" s="88"/>
      <c r="N186" s="88"/>
      <c r="O186" s="88"/>
      <c r="P186" s="88"/>
      <c r="Q186" s="88"/>
      <c r="R186" s="101"/>
      <c r="S186" s="88"/>
      <c r="T186" s="88"/>
      <c r="U186" s="60"/>
      <c r="V186" s="1"/>
      <c r="W186" s="1"/>
      <c r="X186" s="1"/>
      <c r="Y186" s="1"/>
      <c r="Z186" s="1"/>
      <c r="AA186" s="1"/>
      <c r="AB186" s="1"/>
      <c r="AC186" s="1"/>
      <c r="AD186" s="1"/>
      <c r="AE186" s="1"/>
      <c r="AF186" s="1"/>
      <c r="AG186" s="1"/>
      <c r="AH186" s="1"/>
      <c r="AI186" s="1"/>
      <c r="AJ186" s="1"/>
      <c r="AK186" s="1"/>
      <c r="AL186" s="1"/>
      <c r="AM186" s="1"/>
      <c r="AN186" s="1"/>
      <c r="AO186" s="1"/>
      <c r="AP186" s="1"/>
      <c r="AQ186" s="1"/>
      <c r="AR186" s="1"/>
    </row>
    <row r="187" spans="1:44">
      <c r="A187" s="1"/>
      <c r="B187" s="88"/>
      <c r="C187" s="101"/>
      <c r="D187" s="101"/>
      <c r="E187" s="88"/>
      <c r="F187" s="101"/>
      <c r="G187" s="88"/>
      <c r="H187" s="88"/>
      <c r="I187" s="88"/>
      <c r="J187" s="101"/>
      <c r="K187" s="88"/>
      <c r="L187" s="88"/>
      <c r="M187" s="88"/>
      <c r="N187" s="88"/>
      <c r="O187" s="88"/>
      <c r="P187" s="88"/>
      <c r="Q187" s="88"/>
      <c r="R187" s="101"/>
      <c r="S187" s="88"/>
      <c r="T187" s="88"/>
      <c r="U187" s="60"/>
      <c r="V187" s="1"/>
      <c r="W187" s="1"/>
      <c r="X187" s="1"/>
      <c r="Y187" s="1"/>
      <c r="Z187" s="1"/>
      <c r="AA187" s="1"/>
      <c r="AB187" s="1"/>
      <c r="AC187" s="1"/>
      <c r="AD187" s="1"/>
      <c r="AE187" s="1"/>
      <c r="AF187" s="1"/>
      <c r="AG187" s="1"/>
      <c r="AH187" s="1"/>
      <c r="AI187" s="1"/>
      <c r="AJ187" s="1"/>
      <c r="AK187" s="1"/>
      <c r="AL187" s="1"/>
      <c r="AM187" s="1"/>
      <c r="AN187" s="1"/>
      <c r="AO187" s="1"/>
      <c r="AP187" s="1"/>
      <c r="AQ187" s="1"/>
      <c r="AR187" s="1"/>
    </row>
    <row r="188" spans="1:44">
      <c r="A188" s="1"/>
      <c r="B188" s="88"/>
      <c r="C188" s="101"/>
      <c r="D188" s="101"/>
      <c r="E188" s="88"/>
      <c r="F188" s="101"/>
      <c r="G188" s="88"/>
      <c r="H188" s="88"/>
      <c r="I188" s="88"/>
      <c r="J188" s="101"/>
      <c r="K188" s="88"/>
      <c r="L188" s="88"/>
      <c r="M188" s="88"/>
      <c r="N188" s="88"/>
      <c r="O188" s="88"/>
      <c r="P188" s="88"/>
      <c r="Q188" s="88"/>
      <c r="R188" s="101"/>
      <c r="S188" s="88"/>
      <c r="T188" s="88"/>
      <c r="U188" s="60"/>
      <c r="V188" s="1"/>
      <c r="W188" s="1"/>
      <c r="X188" s="1"/>
      <c r="Y188" s="1"/>
      <c r="Z188" s="1"/>
      <c r="AA188" s="1"/>
      <c r="AB188" s="1"/>
      <c r="AC188" s="1"/>
      <c r="AD188" s="1"/>
      <c r="AE188" s="1"/>
      <c r="AF188" s="1"/>
      <c r="AG188" s="1"/>
      <c r="AH188" s="1"/>
      <c r="AI188" s="1"/>
      <c r="AJ188" s="1"/>
      <c r="AK188" s="1"/>
      <c r="AL188" s="1"/>
      <c r="AM188" s="1"/>
      <c r="AN188" s="1"/>
      <c r="AO188" s="1"/>
      <c r="AP188" s="1"/>
      <c r="AQ188" s="1"/>
      <c r="AR188" s="1"/>
    </row>
    <row r="189" spans="1:44">
      <c r="A189" s="1"/>
      <c r="B189" s="88"/>
      <c r="C189" s="101"/>
      <c r="D189" s="101"/>
      <c r="E189" s="88"/>
      <c r="F189" s="101"/>
      <c r="G189" s="88"/>
      <c r="H189" s="88"/>
      <c r="I189" s="88"/>
      <c r="J189" s="101"/>
      <c r="K189" s="88"/>
      <c r="L189" s="88"/>
      <c r="M189" s="88"/>
      <c r="N189" s="88"/>
      <c r="O189" s="88"/>
      <c r="P189" s="88"/>
      <c r="Q189" s="88"/>
      <c r="R189" s="101"/>
      <c r="S189" s="88"/>
      <c r="T189" s="88"/>
      <c r="U189" s="60"/>
      <c r="V189" s="1"/>
      <c r="W189" s="1"/>
      <c r="X189" s="1"/>
      <c r="Y189" s="1"/>
      <c r="Z189" s="1"/>
      <c r="AA189" s="1"/>
      <c r="AB189" s="1"/>
      <c r="AC189" s="1"/>
      <c r="AD189" s="1"/>
      <c r="AE189" s="1"/>
      <c r="AF189" s="1"/>
      <c r="AG189" s="1"/>
      <c r="AH189" s="1"/>
      <c r="AI189" s="1"/>
      <c r="AJ189" s="1"/>
      <c r="AK189" s="1"/>
      <c r="AL189" s="1"/>
      <c r="AM189" s="1"/>
      <c r="AN189" s="1"/>
      <c r="AO189" s="1"/>
      <c r="AP189" s="1"/>
      <c r="AQ189" s="1"/>
      <c r="AR189" s="1"/>
    </row>
    <row r="190" spans="1:44">
      <c r="B190" s="88"/>
      <c r="C190" s="101"/>
      <c r="D190" s="101"/>
      <c r="E190" s="88"/>
      <c r="F190" s="101"/>
      <c r="G190" s="88"/>
      <c r="H190" s="88"/>
      <c r="I190" s="88"/>
      <c r="J190" s="101"/>
      <c r="K190" s="88"/>
      <c r="L190" s="88"/>
      <c r="M190" s="88"/>
      <c r="N190" s="88"/>
      <c r="O190" s="88"/>
      <c r="P190" s="88"/>
      <c r="Q190" s="88"/>
      <c r="R190" s="101"/>
      <c r="S190" s="88"/>
      <c r="T190" s="88"/>
    </row>
    <row r="191" spans="1:44">
      <c r="B191" s="88"/>
      <c r="C191" s="101"/>
      <c r="D191" s="101"/>
      <c r="E191" s="88"/>
      <c r="F191" s="101"/>
      <c r="G191" s="88"/>
      <c r="H191" s="88"/>
      <c r="I191" s="88"/>
      <c r="J191" s="101"/>
      <c r="K191" s="88"/>
      <c r="L191" s="88"/>
      <c r="M191" s="88"/>
      <c r="N191" s="88"/>
      <c r="O191" s="88"/>
      <c r="P191" s="88"/>
      <c r="Q191" s="88"/>
      <c r="R191" s="101"/>
      <c r="S191" s="88"/>
      <c r="T191" s="88"/>
    </row>
    <row r="192" spans="1:44">
      <c r="B192" s="88"/>
      <c r="C192" s="101"/>
      <c r="D192" s="101"/>
      <c r="E192" s="88"/>
      <c r="F192" s="101"/>
      <c r="G192" s="88"/>
      <c r="H192" s="88"/>
      <c r="I192" s="88"/>
      <c r="J192" s="101"/>
      <c r="K192" s="88"/>
      <c r="L192" s="88"/>
      <c r="M192" s="88"/>
      <c r="N192" s="88"/>
      <c r="O192" s="88"/>
      <c r="P192" s="88"/>
      <c r="Q192" s="88"/>
      <c r="R192" s="101"/>
      <c r="S192" s="88"/>
      <c r="T192" s="88"/>
    </row>
    <row r="193" spans="2:20">
      <c r="B193" s="88"/>
      <c r="C193" s="101"/>
      <c r="D193" s="101"/>
      <c r="E193" s="88"/>
      <c r="F193" s="101"/>
      <c r="G193" s="88"/>
      <c r="H193" s="88"/>
      <c r="I193" s="88"/>
      <c r="J193" s="101"/>
      <c r="K193" s="88"/>
      <c r="L193" s="88"/>
      <c r="M193" s="88"/>
      <c r="N193" s="88"/>
      <c r="O193" s="88"/>
      <c r="P193" s="88"/>
      <c r="Q193" s="88"/>
      <c r="R193" s="101"/>
      <c r="S193" s="88"/>
      <c r="T193" s="88"/>
    </row>
    <row r="194" spans="2:20">
      <c r="B194" s="88"/>
      <c r="C194" s="101"/>
      <c r="D194" s="101"/>
      <c r="E194" s="88"/>
      <c r="F194" s="101"/>
      <c r="G194" s="88"/>
      <c r="H194" s="88"/>
      <c r="I194" s="88"/>
      <c r="J194" s="101"/>
      <c r="K194" s="88"/>
      <c r="L194" s="88"/>
      <c r="M194" s="88"/>
      <c r="N194" s="88"/>
      <c r="O194" s="88"/>
      <c r="P194" s="88"/>
      <c r="Q194" s="88"/>
      <c r="R194" s="101"/>
      <c r="S194" s="88"/>
      <c r="T194" s="88"/>
    </row>
    <row r="195" spans="2:20">
      <c r="B195" s="88"/>
      <c r="C195" s="101"/>
      <c r="D195" s="101"/>
      <c r="E195" s="88"/>
      <c r="F195" s="101"/>
      <c r="G195" s="88"/>
      <c r="H195" s="88"/>
      <c r="I195" s="88"/>
      <c r="J195" s="101"/>
      <c r="K195" s="88"/>
      <c r="L195" s="88"/>
      <c r="M195" s="88"/>
      <c r="N195" s="88"/>
      <c r="O195" s="88"/>
      <c r="P195" s="88"/>
      <c r="Q195" s="88"/>
      <c r="R195" s="101"/>
      <c r="S195" s="88"/>
      <c r="T195" s="88"/>
    </row>
    <row r="196" spans="2:20">
      <c r="B196" s="88"/>
      <c r="C196" s="101"/>
      <c r="D196" s="101"/>
      <c r="E196" s="88"/>
      <c r="F196" s="101"/>
      <c r="G196" s="88"/>
      <c r="H196" s="88"/>
      <c r="I196" s="88"/>
      <c r="J196" s="101"/>
      <c r="K196" s="88"/>
      <c r="L196" s="88"/>
      <c r="M196" s="88"/>
      <c r="N196" s="88"/>
      <c r="O196" s="88"/>
      <c r="P196" s="88"/>
      <c r="Q196" s="88"/>
      <c r="R196" s="101"/>
      <c r="S196" s="88"/>
      <c r="T196" s="88"/>
    </row>
    <row r="197" spans="2:20">
      <c r="B197" s="88"/>
      <c r="C197" s="101"/>
      <c r="D197" s="101"/>
      <c r="E197" s="88"/>
      <c r="F197" s="101"/>
      <c r="G197" s="88"/>
      <c r="H197" s="88"/>
      <c r="I197" s="88"/>
      <c r="J197" s="101"/>
      <c r="K197" s="88"/>
      <c r="L197" s="88"/>
      <c r="M197" s="88"/>
      <c r="N197" s="88"/>
      <c r="O197" s="88"/>
      <c r="P197" s="88"/>
      <c r="Q197" s="88"/>
      <c r="R197" s="101"/>
      <c r="S197" s="88"/>
      <c r="T197" s="88"/>
    </row>
    <row r="198" spans="2:20">
      <c r="B198" s="88"/>
      <c r="C198" s="101"/>
      <c r="D198" s="101"/>
      <c r="E198" s="88"/>
      <c r="F198" s="101"/>
      <c r="G198" s="88"/>
      <c r="H198" s="88"/>
      <c r="I198" s="88"/>
      <c r="J198" s="101"/>
      <c r="K198" s="88"/>
      <c r="L198" s="88"/>
      <c r="M198" s="88"/>
      <c r="N198" s="88"/>
      <c r="O198" s="88"/>
      <c r="P198" s="88"/>
      <c r="Q198" s="88"/>
      <c r="R198" s="101"/>
      <c r="S198" s="88"/>
      <c r="T198" s="88"/>
    </row>
    <row r="199" spans="2:20">
      <c r="B199" s="88"/>
      <c r="C199" s="101"/>
      <c r="D199" s="101"/>
      <c r="E199" s="88"/>
      <c r="F199" s="101"/>
      <c r="G199" s="88"/>
      <c r="H199" s="88"/>
      <c r="I199" s="88"/>
      <c r="J199" s="101"/>
      <c r="K199" s="88"/>
      <c r="L199" s="88"/>
      <c r="M199" s="88"/>
      <c r="N199" s="88"/>
      <c r="O199" s="88"/>
      <c r="P199" s="88"/>
      <c r="Q199" s="88"/>
      <c r="R199" s="101"/>
      <c r="S199" s="88"/>
      <c r="T199" s="88"/>
    </row>
    <row r="200" spans="2:20">
      <c r="B200" s="88"/>
      <c r="C200" s="101"/>
      <c r="D200" s="101"/>
      <c r="E200" s="88"/>
      <c r="F200" s="101"/>
      <c r="G200" s="88"/>
      <c r="H200" s="88"/>
      <c r="I200" s="88"/>
      <c r="J200" s="101"/>
      <c r="K200" s="88"/>
      <c r="L200" s="88"/>
      <c r="M200" s="88"/>
      <c r="N200" s="88"/>
      <c r="O200" s="88"/>
      <c r="P200" s="88"/>
      <c r="Q200" s="88"/>
      <c r="R200" s="101"/>
      <c r="S200" s="88"/>
      <c r="T200" s="88"/>
    </row>
    <row r="201" spans="2:20">
      <c r="B201" s="88"/>
      <c r="C201" s="101"/>
      <c r="D201" s="101"/>
      <c r="E201" s="88"/>
      <c r="F201" s="101"/>
      <c r="G201" s="88"/>
      <c r="H201" s="88"/>
      <c r="I201" s="88"/>
      <c r="J201" s="101"/>
      <c r="K201" s="88"/>
      <c r="L201" s="88"/>
      <c r="M201" s="88"/>
      <c r="N201" s="88"/>
      <c r="O201" s="88"/>
      <c r="P201" s="88"/>
      <c r="Q201" s="88"/>
      <c r="R201" s="101"/>
      <c r="S201" s="88"/>
      <c r="T201" s="88"/>
    </row>
    <row r="202" spans="2:20">
      <c r="B202" s="88"/>
      <c r="C202" s="101"/>
      <c r="D202" s="101"/>
      <c r="E202" s="88"/>
      <c r="F202" s="101"/>
      <c r="G202" s="88"/>
      <c r="H202" s="88"/>
      <c r="I202" s="88"/>
      <c r="J202" s="101"/>
      <c r="K202" s="88"/>
      <c r="L202" s="88"/>
      <c r="M202" s="88"/>
      <c r="N202" s="88"/>
      <c r="O202" s="88"/>
      <c r="P202" s="88"/>
      <c r="Q202" s="88"/>
      <c r="R202" s="101"/>
      <c r="S202" s="88"/>
      <c r="T202" s="88"/>
    </row>
    <row r="203" spans="2:20">
      <c r="B203" s="88"/>
      <c r="C203" s="101"/>
      <c r="D203" s="101"/>
      <c r="E203" s="88"/>
      <c r="F203" s="101"/>
      <c r="G203" s="88"/>
      <c r="H203" s="88"/>
      <c r="I203" s="88"/>
      <c r="J203" s="101"/>
      <c r="K203" s="88"/>
      <c r="L203" s="88"/>
      <c r="M203" s="88"/>
      <c r="N203" s="88"/>
      <c r="O203" s="88"/>
      <c r="P203" s="88"/>
      <c r="Q203" s="88"/>
      <c r="R203" s="101"/>
      <c r="S203" s="88"/>
      <c r="T203" s="88"/>
    </row>
    <row r="204" spans="2:20">
      <c r="B204" s="88"/>
      <c r="C204" s="101"/>
      <c r="D204" s="101"/>
      <c r="E204" s="88"/>
      <c r="F204" s="101"/>
      <c r="G204" s="88"/>
      <c r="H204" s="88"/>
      <c r="I204" s="88"/>
      <c r="J204" s="101"/>
      <c r="K204" s="88"/>
      <c r="L204" s="88"/>
      <c r="M204" s="88"/>
      <c r="N204" s="88"/>
      <c r="O204" s="88"/>
      <c r="P204" s="88"/>
      <c r="Q204" s="88"/>
      <c r="R204" s="101"/>
      <c r="S204" s="88"/>
      <c r="T204" s="88"/>
    </row>
    <row r="205" spans="2:20">
      <c r="B205" s="88"/>
      <c r="C205" s="101"/>
      <c r="D205" s="101"/>
      <c r="E205" s="88"/>
      <c r="F205" s="101"/>
      <c r="G205" s="88"/>
      <c r="H205" s="88"/>
      <c r="I205" s="88"/>
      <c r="J205" s="101"/>
      <c r="K205" s="88"/>
      <c r="L205" s="88"/>
      <c r="M205" s="88"/>
      <c r="N205" s="88"/>
      <c r="O205" s="88"/>
      <c r="P205" s="88"/>
      <c r="Q205" s="88"/>
      <c r="R205" s="101"/>
      <c r="S205" s="88"/>
      <c r="T205" s="88"/>
    </row>
    <row r="206" spans="2:20">
      <c r="B206" s="88"/>
      <c r="C206" s="101"/>
      <c r="D206" s="101"/>
      <c r="E206" s="88"/>
      <c r="F206" s="101"/>
      <c r="G206" s="88"/>
      <c r="H206" s="88"/>
      <c r="I206" s="88"/>
      <c r="J206" s="101"/>
      <c r="K206" s="88"/>
      <c r="L206" s="88"/>
      <c r="M206" s="88"/>
      <c r="N206" s="88"/>
      <c r="O206" s="88"/>
      <c r="P206" s="88"/>
      <c r="Q206" s="88"/>
      <c r="R206" s="101"/>
      <c r="S206" s="88"/>
      <c r="T206" s="88"/>
    </row>
    <row r="207" spans="2:20">
      <c r="B207" s="88"/>
      <c r="C207" s="101"/>
      <c r="D207" s="101"/>
      <c r="E207" s="88"/>
      <c r="F207" s="101"/>
      <c r="G207" s="88"/>
      <c r="H207" s="88"/>
      <c r="I207" s="88"/>
      <c r="J207" s="101"/>
      <c r="K207" s="88"/>
      <c r="L207" s="88"/>
      <c r="M207" s="88"/>
      <c r="N207" s="88"/>
      <c r="O207" s="88"/>
      <c r="P207" s="88"/>
      <c r="Q207" s="88"/>
      <c r="R207" s="101"/>
      <c r="S207" s="88"/>
      <c r="T207" s="88"/>
    </row>
    <row r="208" spans="2:20">
      <c r="B208" s="88"/>
      <c r="C208" s="101"/>
      <c r="D208" s="101"/>
      <c r="E208" s="88"/>
      <c r="F208" s="101"/>
      <c r="G208" s="88"/>
      <c r="H208" s="88"/>
      <c r="I208" s="88"/>
      <c r="J208" s="101"/>
      <c r="K208" s="88"/>
      <c r="L208" s="88"/>
      <c r="M208" s="88"/>
      <c r="N208" s="88"/>
      <c r="O208" s="88"/>
      <c r="P208" s="88"/>
      <c r="Q208" s="88"/>
      <c r="R208" s="101"/>
      <c r="S208" s="88"/>
      <c r="T208" s="88"/>
    </row>
    <row r="209" spans="2:20">
      <c r="B209" s="88"/>
      <c r="C209" s="101"/>
      <c r="D209" s="101"/>
      <c r="E209" s="88"/>
      <c r="F209" s="101"/>
      <c r="G209" s="88"/>
      <c r="H209" s="88"/>
      <c r="I209" s="88"/>
      <c r="J209" s="101"/>
      <c r="K209" s="88"/>
      <c r="L209" s="88"/>
      <c r="M209" s="88"/>
      <c r="N209" s="88"/>
      <c r="O209" s="88"/>
      <c r="P209" s="88"/>
      <c r="Q209" s="88"/>
      <c r="R209" s="101"/>
      <c r="S209" s="88"/>
      <c r="T209" s="88"/>
    </row>
    <row r="210" spans="2:20">
      <c r="B210" s="88"/>
      <c r="C210" s="101"/>
      <c r="D210" s="101"/>
      <c r="E210" s="88"/>
      <c r="F210" s="101"/>
      <c r="G210" s="88"/>
      <c r="H210" s="88"/>
      <c r="I210" s="88"/>
      <c r="J210" s="101"/>
      <c r="K210" s="88"/>
      <c r="L210" s="88"/>
      <c r="M210" s="88"/>
      <c r="N210" s="88"/>
      <c r="O210" s="88"/>
      <c r="P210" s="88"/>
      <c r="Q210" s="88"/>
      <c r="R210" s="101"/>
      <c r="S210" s="88"/>
      <c r="T210" s="88"/>
    </row>
    <row r="211" spans="2:20">
      <c r="B211" s="88"/>
      <c r="C211" s="101"/>
      <c r="D211" s="101"/>
      <c r="E211" s="88"/>
      <c r="F211" s="101"/>
      <c r="G211" s="88"/>
      <c r="H211" s="88"/>
      <c r="I211" s="88"/>
      <c r="J211" s="101"/>
      <c r="K211" s="88"/>
      <c r="L211" s="88"/>
      <c r="M211" s="88"/>
      <c r="N211" s="88"/>
      <c r="O211" s="88"/>
      <c r="P211" s="88"/>
      <c r="Q211" s="88"/>
      <c r="R211" s="101"/>
      <c r="S211" s="88"/>
      <c r="T211" s="88"/>
    </row>
    <row r="212" spans="2:20">
      <c r="B212" s="88"/>
      <c r="C212" s="101"/>
      <c r="D212" s="101"/>
      <c r="E212" s="88"/>
      <c r="F212" s="101"/>
      <c r="G212" s="88"/>
      <c r="H212" s="88"/>
      <c r="I212" s="88"/>
      <c r="J212" s="101"/>
      <c r="K212" s="88"/>
      <c r="L212" s="88"/>
      <c r="M212" s="88"/>
      <c r="N212" s="88"/>
      <c r="O212" s="88"/>
      <c r="P212" s="88"/>
      <c r="Q212" s="88"/>
      <c r="R212" s="101"/>
      <c r="S212" s="88"/>
      <c r="T212" s="88"/>
    </row>
    <row r="213" spans="2:20">
      <c r="B213" s="88"/>
      <c r="C213" s="101"/>
      <c r="D213" s="101"/>
      <c r="E213" s="88"/>
      <c r="F213" s="101"/>
      <c r="G213" s="88"/>
      <c r="H213" s="88"/>
      <c r="I213" s="88"/>
      <c r="J213" s="101"/>
      <c r="K213" s="88"/>
      <c r="L213" s="88"/>
      <c r="M213" s="88"/>
      <c r="N213" s="88"/>
      <c r="O213" s="88"/>
      <c r="P213" s="88"/>
      <c r="Q213" s="88"/>
      <c r="R213" s="101"/>
      <c r="S213" s="88"/>
      <c r="T213" s="88"/>
    </row>
    <row r="214" spans="2:20">
      <c r="B214" s="88"/>
      <c r="C214" s="101"/>
      <c r="D214" s="101"/>
      <c r="E214" s="88"/>
      <c r="F214" s="101"/>
      <c r="G214" s="88"/>
      <c r="H214" s="88"/>
      <c r="I214" s="88"/>
      <c r="J214" s="101"/>
      <c r="K214" s="88"/>
      <c r="L214" s="88"/>
      <c r="M214" s="88"/>
      <c r="N214" s="88"/>
      <c r="O214" s="88"/>
      <c r="P214" s="88"/>
      <c r="Q214" s="88"/>
      <c r="R214" s="101"/>
      <c r="S214" s="88"/>
      <c r="T214" s="88"/>
    </row>
    <row r="215" spans="2:20">
      <c r="B215" s="88"/>
      <c r="C215" s="101"/>
      <c r="D215" s="101"/>
      <c r="E215" s="88"/>
      <c r="F215" s="101"/>
      <c r="G215" s="88"/>
      <c r="H215" s="88"/>
      <c r="I215" s="88"/>
      <c r="J215" s="101"/>
      <c r="K215" s="88"/>
      <c r="L215" s="88"/>
      <c r="M215" s="88"/>
      <c r="N215" s="88"/>
      <c r="O215" s="88"/>
      <c r="P215" s="88"/>
      <c r="Q215" s="88"/>
      <c r="R215" s="101"/>
      <c r="S215" s="88"/>
      <c r="T215" s="88"/>
    </row>
    <row r="216" spans="2:20">
      <c r="B216" s="88"/>
      <c r="C216" s="101"/>
      <c r="D216" s="101"/>
      <c r="E216" s="88"/>
      <c r="F216" s="101"/>
      <c r="G216" s="88"/>
      <c r="H216" s="88"/>
      <c r="I216" s="88"/>
      <c r="J216" s="101"/>
      <c r="K216" s="88"/>
      <c r="L216" s="88"/>
      <c r="M216" s="88"/>
      <c r="N216" s="88"/>
      <c r="O216" s="88"/>
      <c r="P216" s="88"/>
      <c r="Q216" s="88"/>
      <c r="R216" s="101"/>
      <c r="S216" s="88"/>
      <c r="T216" s="88"/>
    </row>
    <row r="217" spans="2:20">
      <c r="B217" s="88"/>
      <c r="C217" s="101"/>
      <c r="D217" s="101"/>
      <c r="E217" s="88"/>
      <c r="F217" s="101"/>
      <c r="G217" s="88"/>
      <c r="H217" s="88"/>
      <c r="I217" s="88"/>
      <c r="J217" s="101"/>
      <c r="K217" s="88"/>
      <c r="L217" s="88"/>
      <c r="M217" s="88"/>
      <c r="N217" s="88"/>
      <c r="O217" s="88"/>
      <c r="P217" s="88"/>
      <c r="Q217" s="88"/>
      <c r="R217" s="101"/>
      <c r="S217" s="88"/>
      <c r="T217" s="88"/>
    </row>
    <row r="218" spans="2:20">
      <c r="B218" s="88"/>
      <c r="C218" s="101"/>
      <c r="D218" s="101"/>
      <c r="E218" s="88"/>
      <c r="F218" s="101"/>
      <c r="G218" s="88"/>
      <c r="H218" s="88"/>
      <c r="I218" s="88"/>
      <c r="J218" s="101"/>
      <c r="K218" s="88"/>
      <c r="L218" s="88"/>
      <c r="M218" s="88"/>
      <c r="N218" s="88"/>
      <c r="O218" s="88"/>
      <c r="P218" s="88"/>
      <c r="Q218" s="88"/>
      <c r="R218" s="101"/>
      <c r="S218" s="88"/>
      <c r="T218" s="88"/>
    </row>
    <row r="219" spans="2:20">
      <c r="B219" s="88"/>
      <c r="C219" s="101"/>
      <c r="D219" s="101"/>
      <c r="E219" s="88"/>
      <c r="F219" s="101"/>
      <c r="G219" s="88"/>
      <c r="H219" s="88"/>
      <c r="I219" s="88"/>
      <c r="J219" s="101"/>
      <c r="K219" s="88"/>
      <c r="L219" s="88"/>
      <c r="M219" s="88"/>
      <c r="N219" s="88"/>
      <c r="O219" s="88"/>
      <c r="P219" s="88"/>
      <c r="Q219" s="88"/>
      <c r="R219" s="101"/>
      <c r="S219" s="88"/>
      <c r="T219" s="88"/>
    </row>
    <row r="220" spans="2:20">
      <c r="B220" s="88"/>
      <c r="C220" s="101"/>
      <c r="D220" s="101"/>
      <c r="E220" s="88"/>
      <c r="F220" s="101"/>
      <c r="G220" s="88"/>
      <c r="H220" s="88"/>
      <c r="I220" s="88"/>
      <c r="J220" s="101"/>
      <c r="K220" s="88"/>
      <c r="L220" s="88"/>
      <c r="M220" s="88"/>
      <c r="N220" s="88"/>
      <c r="O220" s="88"/>
      <c r="P220" s="88"/>
      <c r="Q220" s="88"/>
      <c r="R220" s="101"/>
      <c r="S220" s="88"/>
      <c r="T220" s="88"/>
    </row>
    <row r="221" spans="2:20">
      <c r="B221" s="88"/>
      <c r="C221" s="101"/>
      <c r="D221" s="101"/>
      <c r="E221" s="88"/>
      <c r="F221" s="101"/>
      <c r="G221" s="88"/>
      <c r="H221" s="88"/>
      <c r="I221" s="88"/>
      <c r="J221" s="101"/>
      <c r="K221" s="88"/>
      <c r="L221" s="88"/>
      <c r="M221" s="88"/>
      <c r="N221" s="88"/>
      <c r="O221" s="88"/>
      <c r="P221" s="88"/>
      <c r="Q221" s="88"/>
      <c r="R221" s="101"/>
      <c r="S221" s="88"/>
      <c r="T221" s="88"/>
    </row>
    <row r="222" spans="2:20">
      <c r="B222" s="88"/>
      <c r="C222" s="101"/>
      <c r="D222" s="101"/>
      <c r="E222" s="88"/>
      <c r="F222" s="101"/>
      <c r="G222" s="88"/>
      <c r="H222" s="88"/>
      <c r="I222" s="88"/>
      <c r="J222" s="101"/>
      <c r="K222" s="88"/>
      <c r="L222" s="88"/>
      <c r="M222" s="88"/>
      <c r="N222" s="88"/>
      <c r="O222" s="88"/>
      <c r="P222" s="88"/>
      <c r="Q222" s="88"/>
      <c r="R222" s="101"/>
      <c r="S222" s="88"/>
      <c r="T222" s="88"/>
    </row>
    <row r="223" spans="2:20">
      <c r="B223" s="88"/>
      <c r="C223" s="101"/>
      <c r="D223" s="101"/>
      <c r="E223" s="88"/>
      <c r="F223" s="101"/>
      <c r="G223" s="88"/>
      <c r="H223" s="88"/>
      <c r="I223" s="88"/>
      <c r="J223" s="101"/>
      <c r="K223" s="88"/>
      <c r="L223" s="88"/>
      <c r="M223" s="88"/>
      <c r="N223" s="88"/>
      <c r="O223" s="88"/>
      <c r="P223" s="88"/>
      <c r="Q223" s="88"/>
      <c r="R223" s="101"/>
      <c r="S223" s="88"/>
      <c r="T223" s="88"/>
    </row>
    <row r="224" spans="2:20">
      <c r="B224" s="88"/>
      <c r="C224" s="101"/>
      <c r="D224" s="101"/>
      <c r="E224" s="88"/>
      <c r="F224" s="101"/>
      <c r="G224" s="88"/>
      <c r="H224" s="88"/>
      <c r="I224" s="88"/>
      <c r="J224" s="101"/>
      <c r="K224" s="88"/>
      <c r="L224" s="88"/>
      <c r="M224" s="88"/>
      <c r="N224" s="88"/>
      <c r="O224" s="88"/>
      <c r="P224" s="88"/>
      <c r="Q224" s="88"/>
      <c r="R224" s="101"/>
      <c r="S224" s="88"/>
      <c r="T224" s="88"/>
    </row>
    <row r="225" spans="2:20">
      <c r="B225" s="88"/>
      <c r="C225" s="101"/>
      <c r="D225" s="101"/>
      <c r="E225" s="88"/>
      <c r="F225" s="101"/>
      <c r="G225" s="88"/>
      <c r="H225" s="88"/>
      <c r="I225" s="88"/>
      <c r="J225" s="101"/>
      <c r="K225" s="88"/>
      <c r="L225" s="88"/>
      <c r="M225" s="88"/>
      <c r="N225" s="88"/>
      <c r="O225" s="88"/>
      <c r="P225" s="88"/>
      <c r="Q225" s="88"/>
      <c r="R225" s="101"/>
      <c r="S225" s="88"/>
      <c r="T225" s="88"/>
    </row>
    <row r="226" spans="2:20">
      <c r="B226" s="88"/>
      <c r="C226" s="101"/>
      <c r="D226" s="101"/>
      <c r="E226" s="88"/>
      <c r="F226" s="101"/>
      <c r="G226" s="88"/>
      <c r="H226" s="88"/>
      <c r="I226" s="88"/>
      <c r="J226" s="101"/>
      <c r="K226" s="88"/>
      <c r="L226" s="88"/>
      <c r="M226" s="88"/>
      <c r="N226" s="88"/>
      <c r="O226" s="88"/>
      <c r="P226" s="88"/>
      <c r="Q226" s="88"/>
      <c r="R226" s="101"/>
      <c r="S226" s="88"/>
      <c r="T226" s="88"/>
    </row>
    <row r="227" spans="2:20">
      <c r="B227" s="88"/>
      <c r="C227" s="101"/>
      <c r="D227" s="101"/>
      <c r="E227" s="88"/>
      <c r="F227" s="101"/>
      <c r="G227" s="88"/>
      <c r="H227" s="88"/>
      <c r="I227" s="88"/>
      <c r="J227" s="101"/>
      <c r="K227" s="88"/>
      <c r="L227" s="88"/>
      <c r="M227" s="88"/>
      <c r="N227" s="88"/>
      <c r="O227" s="88"/>
      <c r="P227" s="88"/>
      <c r="Q227" s="88"/>
      <c r="R227" s="101"/>
      <c r="S227" s="88"/>
      <c r="T227" s="88"/>
    </row>
    <row r="228" spans="2:20">
      <c r="B228" s="88"/>
      <c r="C228" s="101"/>
      <c r="D228" s="101"/>
      <c r="E228" s="88"/>
      <c r="F228" s="101"/>
      <c r="G228" s="88"/>
      <c r="H228" s="88"/>
      <c r="I228" s="88"/>
      <c r="J228" s="101"/>
      <c r="K228" s="88"/>
      <c r="L228" s="88"/>
      <c r="M228" s="88"/>
      <c r="N228" s="88"/>
      <c r="O228" s="88"/>
      <c r="P228" s="88"/>
      <c r="Q228" s="88"/>
      <c r="R228" s="101"/>
      <c r="S228" s="88"/>
      <c r="T228" s="88"/>
    </row>
    <row r="229" spans="2:20">
      <c r="B229" s="88"/>
      <c r="C229" s="101"/>
      <c r="D229" s="101"/>
      <c r="E229" s="88"/>
      <c r="F229" s="101"/>
      <c r="G229" s="88"/>
      <c r="H229" s="88"/>
      <c r="I229" s="88"/>
      <c r="J229" s="101"/>
      <c r="K229" s="88"/>
      <c r="L229" s="88"/>
      <c r="M229" s="88"/>
      <c r="N229" s="88"/>
      <c r="O229" s="88"/>
      <c r="P229" s="88"/>
      <c r="Q229" s="88"/>
      <c r="R229" s="101"/>
      <c r="S229" s="88"/>
      <c r="T229" s="88"/>
    </row>
    <row r="230" spans="2:20">
      <c r="B230" s="88"/>
      <c r="C230" s="101"/>
      <c r="D230" s="101"/>
      <c r="E230" s="88"/>
      <c r="F230" s="101"/>
      <c r="G230" s="88"/>
      <c r="H230" s="88"/>
      <c r="I230" s="88"/>
      <c r="J230" s="101"/>
      <c r="K230" s="88"/>
      <c r="L230" s="88"/>
      <c r="M230" s="88"/>
      <c r="N230" s="88"/>
      <c r="O230" s="88"/>
      <c r="P230" s="88"/>
      <c r="Q230" s="88"/>
      <c r="R230" s="101"/>
      <c r="S230" s="88"/>
      <c r="T230" s="88"/>
    </row>
    <row r="231" spans="2:20">
      <c r="B231" s="88"/>
      <c r="C231" s="101"/>
      <c r="D231" s="101"/>
      <c r="E231" s="88"/>
      <c r="F231" s="101"/>
      <c r="G231" s="88"/>
      <c r="H231" s="88"/>
      <c r="I231" s="88"/>
      <c r="J231" s="101"/>
      <c r="K231" s="88"/>
      <c r="L231" s="88"/>
      <c r="M231" s="88"/>
      <c r="N231" s="88"/>
      <c r="O231" s="88"/>
      <c r="P231" s="88"/>
      <c r="Q231" s="88"/>
      <c r="R231" s="101"/>
      <c r="S231" s="88"/>
      <c r="T231" s="88"/>
    </row>
    <row r="232" spans="2:20">
      <c r="B232" s="88"/>
      <c r="C232" s="101"/>
      <c r="D232" s="101"/>
      <c r="E232" s="88"/>
      <c r="F232" s="101"/>
      <c r="G232" s="88"/>
      <c r="H232" s="88"/>
      <c r="I232" s="88"/>
      <c r="J232" s="101"/>
      <c r="K232" s="88"/>
      <c r="L232" s="88"/>
      <c r="M232" s="88"/>
      <c r="N232" s="88"/>
      <c r="O232" s="88"/>
      <c r="P232" s="88"/>
      <c r="Q232" s="88"/>
      <c r="R232" s="101"/>
      <c r="S232" s="88"/>
      <c r="T232" s="88"/>
    </row>
    <row r="233" spans="2:20">
      <c r="B233" s="88"/>
      <c r="C233" s="101"/>
      <c r="D233" s="101"/>
      <c r="E233" s="88"/>
      <c r="F233" s="101"/>
      <c r="G233" s="88"/>
      <c r="H233" s="88"/>
      <c r="I233" s="88"/>
      <c r="J233" s="101"/>
      <c r="K233" s="88"/>
      <c r="L233" s="88"/>
      <c r="M233" s="88"/>
      <c r="N233" s="88"/>
      <c r="O233" s="88"/>
      <c r="P233" s="88"/>
      <c r="Q233" s="88"/>
      <c r="R233" s="101"/>
      <c r="S233" s="88"/>
      <c r="T233" s="88"/>
    </row>
    <row r="234" spans="2:20">
      <c r="B234" s="88"/>
      <c r="C234" s="101"/>
      <c r="D234" s="101"/>
      <c r="E234" s="88"/>
      <c r="F234" s="101"/>
      <c r="G234" s="88"/>
      <c r="H234" s="88"/>
      <c r="I234" s="88"/>
      <c r="J234" s="101"/>
      <c r="K234" s="88"/>
      <c r="L234" s="88"/>
      <c r="M234" s="88"/>
      <c r="N234" s="88"/>
      <c r="O234" s="88"/>
      <c r="P234" s="88"/>
      <c r="Q234" s="88"/>
      <c r="R234" s="101"/>
      <c r="S234" s="88"/>
      <c r="T234" s="88"/>
    </row>
    <row r="235" spans="2:20">
      <c r="B235" s="88"/>
      <c r="C235" s="101"/>
      <c r="D235" s="101"/>
      <c r="E235" s="88"/>
      <c r="F235" s="101"/>
      <c r="G235" s="88"/>
      <c r="H235" s="88"/>
      <c r="I235" s="88"/>
      <c r="J235" s="101"/>
      <c r="K235" s="88"/>
      <c r="L235" s="88"/>
      <c r="M235" s="88"/>
      <c r="N235" s="88"/>
      <c r="O235" s="88"/>
      <c r="P235" s="88"/>
      <c r="Q235" s="88"/>
      <c r="R235" s="101"/>
      <c r="S235" s="88"/>
      <c r="T235" s="88"/>
    </row>
    <row r="236" spans="2:20">
      <c r="B236" s="88"/>
      <c r="C236" s="101"/>
      <c r="D236" s="101"/>
      <c r="E236" s="88"/>
      <c r="F236" s="101"/>
      <c r="G236" s="88"/>
      <c r="H236" s="88"/>
      <c r="I236" s="88"/>
      <c r="J236" s="101"/>
      <c r="K236" s="88"/>
      <c r="L236" s="88"/>
      <c r="M236" s="88"/>
      <c r="N236" s="88"/>
      <c r="O236" s="88"/>
      <c r="P236" s="88"/>
      <c r="Q236" s="88"/>
      <c r="R236" s="101"/>
      <c r="S236" s="88"/>
      <c r="T236" s="88"/>
    </row>
    <row r="237" spans="2:20">
      <c r="B237" s="88"/>
      <c r="C237" s="101"/>
      <c r="D237" s="101"/>
      <c r="E237" s="88"/>
      <c r="F237" s="101"/>
      <c r="G237" s="88"/>
      <c r="H237" s="88"/>
      <c r="I237" s="88"/>
      <c r="J237" s="101"/>
      <c r="K237" s="88"/>
      <c r="L237" s="88"/>
      <c r="M237" s="88"/>
      <c r="N237" s="88"/>
      <c r="O237" s="88"/>
      <c r="P237" s="88"/>
      <c r="Q237" s="88"/>
      <c r="R237" s="101"/>
      <c r="S237" s="88"/>
      <c r="T237" s="88"/>
    </row>
    <row r="238" spans="2:20">
      <c r="B238" s="88"/>
      <c r="C238" s="101"/>
      <c r="D238" s="101"/>
      <c r="E238" s="88"/>
      <c r="F238" s="101"/>
      <c r="G238" s="88"/>
      <c r="H238" s="88"/>
      <c r="I238" s="88"/>
      <c r="J238" s="101"/>
      <c r="K238" s="88"/>
      <c r="L238" s="88"/>
      <c r="M238" s="88"/>
      <c r="N238" s="88"/>
      <c r="O238" s="88"/>
      <c r="P238" s="88"/>
      <c r="Q238" s="88"/>
      <c r="R238" s="101"/>
      <c r="S238" s="88"/>
      <c r="T238" s="88"/>
    </row>
    <row r="239" spans="2:20">
      <c r="B239" s="88"/>
      <c r="C239" s="101"/>
      <c r="D239" s="101"/>
      <c r="E239" s="88"/>
      <c r="F239" s="101"/>
      <c r="G239" s="88"/>
      <c r="H239" s="88"/>
      <c r="I239" s="88"/>
      <c r="J239" s="101"/>
      <c r="K239" s="88"/>
      <c r="L239" s="88"/>
      <c r="M239" s="88"/>
      <c r="N239" s="88"/>
      <c r="O239" s="88"/>
      <c r="P239" s="88"/>
      <c r="Q239" s="88"/>
      <c r="R239" s="101"/>
      <c r="S239" s="88"/>
      <c r="T239" s="88"/>
    </row>
    <row r="240" spans="2:20">
      <c r="B240" s="88"/>
      <c r="C240" s="101"/>
      <c r="D240" s="101"/>
      <c r="E240" s="88"/>
      <c r="F240" s="101"/>
      <c r="G240" s="88"/>
      <c r="H240" s="88"/>
      <c r="I240" s="88"/>
      <c r="J240" s="101"/>
      <c r="K240" s="88"/>
      <c r="L240" s="88"/>
      <c r="M240" s="88"/>
      <c r="N240" s="88"/>
      <c r="O240" s="88"/>
      <c r="P240" s="88"/>
      <c r="Q240" s="88"/>
      <c r="R240" s="101"/>
      <c r="S240" s="88"/>
      <c r="T240" s="88"/>
    </row>
    <row r="241" spans="2:20">
      <c r="B241" s="88"/>
      <c r="C241" s="101"/>
      <c r="D241" s="101"/>
      <c r="E241" s="88"/>
      <c r="F241" s="101"/>
      <c r="G241" s="88"/>
      <c r="H241" s="88"/>
      <c r="I241" s="88"/>
      <c r="J241" s="101"/>
      <c r="K241" s="88"/>
      <c r="L241" s="88"/>
      <c r="M241" s="88"/>
      <c r="N241" s="88"/>
      <c r="O241" s="88"/>
      <c r="P241" s="88"/>
      <c r="Q241" s="88"/>
      <c r="R241" s="101"/>
      <c r="S241" s="88"/>
      <c r="T241" s="88"/>
    </row>
    <row r="242" spans="2:20">
      <c r="B242" s="88"/>
      <c r="C242" s="101"/>
      <c r="D242" s="101"/>
      <c r="E242" s="88"/>
      <c r="F242" s="101"/>
      <c r="G242" s="88"/>
      <c r="H242" s="88"/>
      <c r="I242" s="88"/>
      <c r="J242" s="101"/>
      <c r="K242" s="88"/>
      <c r="L242" s="88"/>
      <c r="M242" s="88"/>
      <c r="N242" s="88"/>
      <c r="O242" s="88"/>
      <c r="P242" s="88"/>
      <c r="Q242" s="88"/>
      <c r="R242" s="101"/>
      <c r="S242" s="88"/>
      <c r="T242" s="88"/>
    </row>
    <row r="243" spans="2:20">
      <c r="B243" s="88"/>
      <c r="C243" s="101"/>
      <c r="D243" s="101"/>
      <c r="E243" s="88"/>
      <c r="F243" s="101"/>
      <c r="G243" s="88"/>
      <c r="H243" s="88"/>
      <c r="I243" s="88"/>
      <c r="J243" s="101"/>
      <c r="K243" s="88"/>
      <c r="L243" s="88"/>
      <c r="M243" s="88"/>
      <c r="N243" s="88"/>
      <c r="O243" s="88"/>
      <c r="P243" s="88"/>
      <c r="Q243" s="88"/>
      <c r="R243" s="101"/>
      <c r="S243" s="88"/>
      <c r="T243" s="88"/>
    </row>
    <row r="244" spans="2:20">
      <c r="B244" s="88"/>
      <c r="C244" s="101"/>
      <c r="D244" s="101"/>
      <c r="E244" s="88"/>
      <c r="F244" s="101"/>
      <c r="G244" s="88"/>
      <c r="H244" s="88"/>
      <c r="I244" s="88"/>
      <c r="J244" s="101"/>
      <c r="K244" s="88"/>
      <c r="L244" s="88"/>
      <c r="M244" s="88"/>
      <c r="N244" s="88"/>
      <c r="O244" s="88"/>
      <c r="P244" s="88"/>
      <c r="Q244" s="88"/>
      <c r="R244" s="101"/>
      <c r="S244" s="88"/>
      <c r="T244" s="88"/>
    </row>
    <row r="245" spans="2:20">
      <c r="B245" s="88"/>
      <c r="C245" s="101"/>
      <c r="D245" s="101"/>
      <c r="E245" s="88"/>
      <c r="F245" s="101"/>
      <c r="G245" s="88"/>
      <c r="H245" s="88"/>
      <c r="I245" s="88"/>
      <c r="J245" s="101"/>
      <c r="K245" s="88"/>
      <c r="L245" s="88"/>
      <c r="M245" s="88"/>
      <c r="N245" s="88"/>
      <c r="O245" s="88"/>
      <c r="P245" s="88"/>
      <c r="Q245" s="88"/>
      <c r="R245" s="101"/>
      <c r="S245" s="88"/>
      <c r="T245" s="88"/>
    </row>
    <row r="246" spans="2:20">
      <c r="B246" s="88"/>
      <c r="C246" s="101"/>
      <c r="D246" s="101"/>
      <c r="E246" s="88"/>
      <c r="F246" s="101"/>
      <c r="G246" s="88"/>
      <c r="H246" s="88"/>
      <c r="I246" s="88"/>
      <c r="J246" s="101"/>
      <c r="K246" s="88"/>
      <c r="L246" s="88"/>
      <c r="M246" s="88"/>
      <c r="N246" s="88"/>
      <c r="O246" s="88"/>
      <c r="P246" s="88"/>
      <c r="Q246" s="88"/>
      <c r="R246" s="101"/>
      <c r="S246" s="88"/>
      <c r="T246" s="88"/>
    </row>
    <row r="247" spans="2:20">
      <c r="B247" s="88"/>
      <c r="C247" s="101"/>
      <c r="D247" s="101"/>
      <c r="E247" s="88"/>
      <c r="F247" s="101"/>
      <c r="G247" s="88"/>
      <c r="H247" s="88"/>
      <c r="I247" s="88"/>
      <c r="J247" s="101"/>
      <c r="K247" s="88"/>
      <c r="L247" s="88"/>
      <c r="M247" s="88"/>
      <c r="N247" s="88"/>
      <c r="O247" s="88"/>
      <c r="P247" s="88"/>
      <c r="Q247" s="88"/>
      <c r="R247" s="101"/>
      <c r="S247" s="88"/>
      <c r="T247" s="88"/>
    </row>
    <row r="248" spans="2:20">
      <c r="B248" s="88"/>
      <c r="C248" s="101"/>
      <c r="D248" s="101"/>
      <c r="E248" s="88"/>
      <c r="F248" s="101"/>
      <c r="G248" s="88"/>
      <c r="H248" s="88"/>
      <c r="I248" s="88"/>
      <c r="J248" s="101"/>
      <c r="K248" s="88"/>
      <c r="L248" s="88"/>
      <c r="M248" s="88"/>
      <c r="N248" s="88"/>
      <c r="O248" s="88"/>
      <c r="P248" s="88"/>
      <c r="Q248" s="88"/>
      <c r="R248" s="101"/>
      <c r="S248" s="88"/>
      <c r="T248" s="88"/>
    </row>
    <row r="249" spans="2:20">
      <c r="B249" s="88"/>
      <c r="C249" s="101"/>
      <c r="D249" s="101"/>
      <c r="E249" s="88"/>
      <c r="F249" s="101"/>
      <c r="G249" s="88"/>
      <c r="H249" s="88"/>
      <c r="I249" s="88"/>
      <c r="J249" s="101"/>
      <c r="K249" s="88"/>
      <c r="L249" s="88"/>
      <c r="M249" s="88"/>
      <c r="N249" s="88"/>
      <c r="O249" s="88"/>
      <c r="P249" s="88"/>
      <c r="Q249" s="88"/>
      <c r="R249" s="101"/>
      <c r="S249" s="88"/>
      <c r="T249" s="88"/>
    </row>
    <row r="250" spans="2:20">
      <c r="B250" s="88"/>
      <c r="C250" s="101"/>
      <c r="D250" s="101"/>
      <c r="E250" s="88"/>
      <c r="F250" s="101"/>
      <c r="G250" s="88"/>
      <c r="H250" s="88"/>
      <c r="I250" s="88"/>
      <c r="J250" s="101"/>
      <c r="K250" s="88"/>
      <c r="L250" s="88"/>
      <c r="M250" s="88"/>
      <c r="N250" s="88"/>
      <c r="O250" s="88"/>
      <c r="P250" s="88"/>
      <c r="Q250" s="88"/>
      <c r="R250" s="101"/>
      <c r="S250" s="88"/>
      <c r="T250" s="88"/>
    </row>
    <row r="251" spans="2:20">
      <c r="B251" s="88"/>
      <c r="C251" s="101"/>
      <c r="D251" s="101"/>
      <c r="E251" s="88"/>
      <c r="F251" s="101"/>
      <c r="G251" s="88"/>
      <c r="H251" s="88"/>
      <c r="I251" s="88"/>
      <c r="J251" s="101"/>
      <c r="K251" s="88"/>
      <c r="L251" s="88"/>
      <c r="M251" s="88"/>
      <c r="N251" s="88"/>
      <c r="O251" s="88"/>
      <c r="P251" s="88"/>
      <c r="Q251" s="88"/>
      <c r="R251" s="101"/>
      <c r="S251" s="88"/>
      <c r="T251" s="88"/>
    </row>
    <row r="252" spans="2:20">
      <c r="B252" s="88"/>
      <c r="C252" s="101"/>
      <c r="D252" s="101"/>
      <c r="E252" s="88"/>
      <c r="F252" s="101"/>
      <c r="G252" s="88"/>
      <c r="H252" s="88"/>
      <c r="I252" s="88"/>
      <c r="J252" s="101"/>
      <c r="K252" s="88"/>
      <c r="L252" s="88"/>
      <c r="M252" s="88"/>
      <c r="N252" s="88"/>
      <c r="O252" s="88"/>
      <c r="P252" s="88"/>
      <c r="Q252" s="88"/>
      <c r="R252" s="101"/>
      <c r="S252" s="88"/>
      <c r="T252" s="88"/>
    </row>
    <row r="253" spans="2:20">
      <c r="B253" s="88"/>
      <c r="C253" s="101"/>
      <c r="D253" s="101"/>
      <c r="E253" s="88"/>
      <c r="F253" s="101"/>
      <c r="G253" s="88"/>
      <c r="H253" s="88"/>
      <c r="I253" s="88"/>
      <c r="J253" s="101"/>
      <c r="K253" s="88"/>
      <c r="L253" s="88"/>
      <c r="M253" s="88"/>
      <c r="N253" s="88"/>
      <c r="O253" s="88"/>
      <c r="P253" s="88"/>
      <c r="Q253" s="88"/>
      <c r="R253" s="101"/>
      <c r="S253" s="88"/>
      <c r="T253" s="88"/>
    </row>
    <row r="254" spans="2:20">
      <c r="B254" s="88"/>
      <c r="C254" s="101"/>
      <c r="D254" s="101"/>
      <c r="E254" s="88"/>
      <c r="F254" s="101"/>
      <c r="G254" s="88"/>
      <c r="H254" s="88"/>
      <c r="I254" s="88"/>
      <c r="J254" s="101"/>
      <c r="K254" s="88"/>
      <c r="L254" s="88"/>
      <c r="M254" s="88"/>
      <c r="N254" s="88"/>
      <c r="O254" s="88"/>
      <c r="P254" s="88"/>
      <c r="Q254" s="88"/>
      <c r="R254" s="101"/>
      <c r="S254" s="88"/>
      <c r="T254" s="88"/>
    </row>
    <row r="255" spans="2:20">
      <c r="B255" s="88"/>
      <c r="C255" s="101"/>
      <c r="D255" s="101"/>
      <c r="E255" s="88"/>
      <c r="F255" s="101"/>
      <c r="G255" s="88"/>
      <c r="H255" s="88"/>
      <c r="I255" s="88"/>
      <c r="J255" s="101"/>
      <c r="K255" s="88"/>
      <c r="L255" s="88"/>
      <c r="M255" s="88"/>
      <c r="N255" s="88"/>
      <c r="O255" s="88"/>
      <c r="P255" s="88"/>
      <c r="Q255" s="88"/>
      <c r="R255" s="101"/>
      <c r="S255" s="88"/>
      <c r="T255" s="88"/>
    </row>
    <row r="256" spans="2:20">
      <c r="B256" s="88"/>
      <c r="C256" s="101"/>
      <c r="D256" s="101"/>
      <c r="E256" s="88"/>
      <c r="F256" s="101"/>
      <c r="G256" s="88"/>
      <c r="H256" s="88"/>
      <c r="I256" s="88"/>
      <c r="J256" s="101"/>
      <c r="K256" s="88"/>
      <c r="L256" s="88"/>
      <c r="M256" s="88"/>
      <c r="N256" s="88"/>
      <c r="O256" s="88"/>
      <c r="P256" s="88"/>
      <c r="Q256" s="88"/>
      <c r="R256" s="101"/>
      <c r="S256" s="88"/>
      <c r="T256" s="88"/>
    </row>
    <row r="257" spans="2:20">
      <c r="B257" s="88"/>
      <c r="C257" s="101"/>
      <c r="D257" s="101"/>
      <c r="E257" s="88"/>
      <c r="F257" s="101"/>
      <c r="G257" s="88"/>
      <c r="H257" s="88"/>
      <c r="I257" s="88"/>
      <c r="J257" s="101"/>
      <c r="K257" s="88"/>
      <c r="L257" s="88"/>
      <c r="M257" s="88"/>
      <c r="N257" s="88"/>
      <c r="O257" s="88"/>
      <c r="P257" s="88"/>
      <c r="Q257" s="88"/>
      <c r="R257" s="101"/>
      <c r="S257" s="88"/>
      <c r="T257" s="88"/>
    </row>
    <row r="258" spans="2:20">
      <c r="B258" s="88"/>
      <c r="C258" s="101"/>
      <c r="D258" s="101"/>
      <c r="E258" s="88"/>
      <c r="F258" s="101"/>
      <c r="G258" s="88"/>
      <c r="H258" s="88"/>
      <c r="I258" s="88"/>
      <c r="J258" s="101"/>
      <c r="K258" s="88"/>
      <c r="L258" s="88"/>
      <c r="M258" s="88"/>
      <c r="N258" s="88"/>
      <c r="O258" s="88"/>
      <c r="P258" s="88"/>
      <c r="Q258" s="88"/>
      <c r="R258" s="101"/>
      <c r="S258" s="88"/>
      <c r="T258" s="88"/>
    </row>
    <row r="259" spans="2:20">
      <c r="B259" s="88"/>
      <c r="C259" s="101"/>
      <c r="D259" s="101"/>
      <c r="E259" s="88"/>
      <c r="F259" s="101"/>
      <c r="G259" s="88"/>
      <c r="H259" s="88"/>
      <c r="I259" s="88"/>
      <c r="J259" s="101"/>
      <c r="K259" s="88"/>
      <c r="L259" s="88"/>
      <c r="M259" s="88"/>
      <c r="N259" s="88"/>
      <c r="O259" s="88"/>
      <c r="P259" s="88"/>
      <c r="Q259" s="88"/>
      <c r="R259" s="101"/>
      <c r="S259" s="88"/>
      <c r="T259" s="88"/>
    </row>
    <row r="260" spans="2:20">
      <c r="B260" s="88"/>
      <c r="C260" s="101"/>
      <c r="D260" s="101"/>
      <c r="E260" s="88"/>
      <c r="F260" s="101"/>
      <c r="G260" s="88"/>
      <c r="H260" s="88"/>
      <c r="I260" s="88"/>
      <c r="J260" s="101"/>
      <c r="K260" s="88"/>
      <c r="L260" s="88"/>
      <c r="M260" s="88"/>
      <c r="N260" s="88"/>
      <c r="O260" s="88"/>
      <c r="P260" s="88"/>
      <c r="Q260" s="88"/>
      <c r="R260" s="101"/>
      <c r="S260" s="88"/>
      <c r="T260" s="88"/>
    </row>
    <row r="261" spans="2:20">
      <c r="B261" s="88"/>
      <c r="C261" s="101"/>
      <c r="D261" s="101"/>
      <c r="E261" s="88"/>
      <c r="F261" s="101"/>
      <c r="G261" s="88"/>
      <c r="H261" s="88"/>
      <c r="I261" s="88"/>
      <c r="J261" s="101"/>
      <c r="K261" s="88"/>
      <c r="L261" s="88"/>
      <c r="M261" s="88"/>
      <c r="N261" s="88"/>
      <c r="O261" s="88"/>
      <c r="P261" s="88"/>
      <c r="Q261" s="88"/>
      <c r="R261" s="101"/>
      <c r="S261" s="88"/>
      <c r="T261" s="88"/>
    </row>
    <row r="262" spans="2:20">
      <c r="B262" s="88"/>
      <c r="C262" s="101"/>
      <c r="D262" s="101"/>
      <c r="E262" s="88"/>
      <c r="F262" s="101"/>
      <c r="G262" s="88"/>
      <c r="H262" s="88"/>
      <c r="I262" s="88"/>
      <c r="J262" s="101"/>
      <c r="K262" s="88"/>
      <c r="L262" s="88"/>
      <c r="M262" s="88"/>
      <c r="N262" s="88"/>
      <c r="O262" s="88"/>
      <c r="P262" s="88"/>
      <c r="Q262" s="88"/>
      <c r="R262" s="101"/>
      <c r="S262" s="88"/>
      <c r="T262" s="88"/>
    </row>
    <row r="263" spans="2:20">
      <c r="B263" s="88"/>
      <c r="C263" s="101"/>
      <c r="D263" s="101"/>
      <c r="E263" s="88"/>
      <c r="F263" s="101"/>
      <c r="G263" s="88"/>
      <c r="H263" s="88"/>
      <c r="I263" s="88"/>
      <c r="J263" s="101"/>
      <c r="K263" s="88"/>
      <c r="L263" s="88"/>
      <c r="M263" s="88"/>
      <c r="N263" s="88"/>
      <c r="O263" s="88"/>
      <c r="P263" s="88"/>
      <c r="Q263" s="88"/>
      <c r="R263" s="101"/>
      <c r="S263" s="88"/>
      <c r="T263" s="88"/>
    </row>
    <row r="264" spans="2:20">
      <c r="B264" s="88"/>
      <c r="C264" s="101"/>
      <c r="D264" s="101"/>
      <c r="E264" s="88"/>
      <c r="F264" s="101"/>
      <c r="G264" s="88"/>
      <c r="H264" s="88"/>
      <c r="I264" s="88"/>
      <c r="J264" s="101"/>
      <c r="K264" s="88"/>
      <c r="L264" s="88"/>
      <c r="M264" s="88"/>
      <c r="N264" s="88"/>
      <c r="O264" s="88"/>
      <c r="P264" s="88"/>
      <c r="Q264" s="88"/>
      <c r="R264" s="101"/>
      <c r="S264" s="88"/>
      <c r="T264" s="88"/>
    </row>
    <row r="265" spans="2:20">
      <c r="B265" s="88"/>
      <c r="C265" s="101"/>
      <c r="D265" s="101"/>
      <c r="E265" s="88"/>
      <c r="F265" s="101"/>
      <c r="G265" s="88"/>
      <c r="H265" s="88"/>
      <c r="I265" s="88"/>
      <c r="J265" s="101"/>
      <c r="K265" s="88"/>
      <c r="L265" s="88"/>
      <c r="M265" s="88"/>
      <c r="N265" s="88"/>
      <c r="O265" s="88"/>
      <c r="P265" s="88"/>
      <c r="Q265" s="88"/>
      <c r="R265" s="101"/>
      <c r="S265" s="88"/>
      <c r="T265" s="88"/>
    </row>
    <row r="266" spans="2:20">
      <c r="B266" s="88"/>
      <c r="C266" s="101"/>
      <c r="D266" s="101"/>
      <c r="E266" s="88"/>
      <c r="F266" s="101"/>
      <c r="G266" s="88"/>
      <c r="H266" s="88"/>
      <c r="I266" s="88"/>
      <c r="J266" s="101"/>
      <c r="K266" s="88"/>
      <c r="L266" s="88"/>
      <c r="M266" s="88"/>
      <c r="N266" s="88"/>
      <c r="O266" s="88"/>
      <c r="P266" s="88"/>
      <c r="Q266" s="88"/>
      <c r="R266" s="101"/>
      <c r="S266" s="88"/>
      <c r="T266" s="88"/>
    </row>
    <row r="267" spans="2:20">
      <c r="B267" s="88"/>
      <c r="C267" s="101"/>
      <c r="D267" s="101"/>
      <c r="E267" s="88"/>
      <c r="F267" s="101"/>
      <c r="G267" s="88"/>
      <c r="H267" s="88"/>
      <c r="I267" s="88"/>
      <c r="J267" s="101"/>
      <c r="K267" s="88"/>
      <c r="L267" s="88"/>
      <c r="M267" s="88"/>
      <c r="N267" s="88"/>
      <c r="O267" s="88"/>
      <c r="P267" s="88"/>
      <c r="Q267" s="88"/>
      <c r="R267" s="101"/>
      <c r="S267" s="88"/>
      <c r="T267" s="88"/>
    </row>
    <row r="268" spans="2:20">
      <c r="B268" s="88"/>
      <c r="C268" s="101"/>
      <c r="D268" s="101"/>
      <c r="E268" s="88"/>
      <c r="F268" s="101"/>
      <c r="G268" s="88"/>
      <c r="H268" s="88"/>
      <c r="I268" s="88"/>
      <c r="J268" s="101"/>
      <c r="K268" s="88"/>
      <c r="L268" s="88"/>
      <c r="M268" s="88"/>
      <c r="N268" s="88"/>
      <c r="O268" s="88"/>
      <c r="P268" s="88"/>
      <c r="Q268" s="88"/>
      <c r="R268" s="101"/>
      <c r="S268" s="88"/>
      <c r="T268" s="88"/>
    </row>
    <row r="269" spans="2:20">
      <c r="B269" s="88"/>
      <c r="C269" s="101"/>
      <c r="D269" s="101"/>
      <c r="E269" s="88"/>
      <c r="F269" s="101"/>
      <c r="G269" s="88"/>
      <c r="H269" s="88"/>
      <c r="I269" s="88"/>
      <c r="J269" s="101"/>
      <c r="K269" s="88"/>
      <c r="L269" s="88"/>
      <c r="M269" s="88"/>
      <c r="N269" s="88"/>
      <c r="O269" s="88"/>
      <c r="P269" s="88"/>
      <c r="Q269" s="88"/>
      <c r="R269" s="101"/>
      <c r="S269" s="88"/>
      <c r="T269" s="88"/>
    </row>
    <row r="270" spans="2:20">
      <c r="B270" s="88"/>
      <c r="C270" s="101"/>
      <c r="D270" s="101"/>
      <c r="E270" s="88"/>
      <c r="F270" s="101"/>
      <c r="G270" s="88"/>
      <c r="H270" s="88"/>
      <c r="I270" s="88"/>
      <c r="J270" s="101"/>
      <c r="K270" s="88"/>
      <c r="L270" s="88"/>
      <c r="M270" s="88"/>
      <c r="N270" s="88"/>
      <c r="O270" s="88"/>
      <c r="P270" s="88"/>
      <c r="Q270" s="88"/>
      <c r="R270" s="101"/>
      <c r="S270" s="88"/>
      <c r="T270" s="88"/>
    </row>
    <row r="271" spans="2:20">
      <c r="B271" s="88"/>
      <c r="C271" s="101"/>
      <c r="D271" s="101"/>
      <c r="E271" s="88"/>
      <c r="F271" s="101"/>
      <c r="G271" s="88"/>
      <c r="H271" s="88"/>
      <c r="I271" s="88"/>
      <c r="J271" s="101"/>
      <c r="K271" s="88"/>
      <c r="L271" s="88"/>
      <c r="M271" s="88"/>
      <c r="N271" s="88"/>
      <c r="O271" s="88"/>
      <c r="P271" s="88"/>
      <c r="Q271" s="88"/>
      <c r="R271" s="101"/>
      <c r="S271" s="88"/>
      <c r="T271" s="88"/>
    </row>
    <row r="272" spans="2:20">
      <c r="B272" s="88"/>
      <c r="C272" s="101"/>
      <c r="D272" s="101"/>
      <c r="E272" s="88"/>
      <c r="F272" s="101"/>
      <c r="G272" s="88"/>
      <c r="H272" s="88"/>
      <c r="I272" s="88"/>
      <c r="J272" s="101"/>
      <c r="K272" s="88"/>
      <c r="L272" s="88"/>
      <c r="M272" s="88"/>
      <c r="N272" s="88"/>
      <c r="O272" s="88"/>
      <c r="P272" s="88"/>
      <c r="Q272" s="88"/>
      <c r="R272" s="101"/>
      <c r="S272" s="88"/>
      <c r="T272" s="88"/>
    </row>
    <row r="273" spans="2:20">
      <c r="B273" s="88"/>
      <c r="C273" s="101"/>
      <c r="D273" s="101"/>
      <c r="E273" s="88"/>
      <c r="F273" s="101"/>
      <c r="G273" s="88"/>
      <c r="H273" s="88"/>
      <c r="I273" s="88"/>
      <c r="J273" s="101"/>
      <c r="K273" s="88"/>
      <c r="L273" s="88"/>
      <c r="M273" s="88"/>
      <c r="N273" s="88"/>
      <c r="O273" s="88"/>
      <c r="P273" s="88"/>
      <c r="Q273" s="88"/>
      <c r="R273" s="101"/>
      <c r="S273" s="88"/>
      <c r="T273" s="88"/>
    </row>
    <row r="274" spans="2:20">
      <c r="B274" s="88"/>
      <c r="C274" s="101"/>
      <c r="D274" s="101"/>
      <c r="E274" s="88"/>
      <c r="F274" s="101"/>
      <c r="G274" s="88"/>
      <c r="H274" s="88"/>
      <c r="I274" s="88"/>
      <c r="J274" s="101"/>
      <c r="K274" s="88"/>
      <c r="L274" s="88"/>
      <c r="M274" s="88"/>
      <c r="N274" s="88"/>
      <c r="O274" s="88"/>
      <c r="P274" s="88"/>
      <c r="Q274" s="88"/>
      <c r="R274" s="101"/>
      <c r="S274" s="88"/>
      <c r="T274" s="88"/>
    </row>
    <row r="275" spans="2:20">
      <c r="B275" s="88"/>
      <c r="C275" s="101"/>
      <c r="D275" s="101"/>
      <c r="E275" s="88"/>
      <c r="F275" s="101"/>
      <c r="G275" s="88"/>
      <c r="H275" s="88"/>
      <c r="I275" s="88"/>
      <c r="J275" s="101"/>
      <c r="K275" s="88"/>
      <c r="L275" s="88"/>
      <c r="M275" s="88"/>
      <c r="N275" s="88"/>
      <c r="O275" s="88"/>
      <c r="P275" s="88"/>
      <c r="Q275" s="88"/>
      <c r="R275" s="101"/>
      <c r="S275" s="88"/>
      <c r="T275" s="88"/>
    </row>
    <row r="276" spans="2:20">
      <c r="B276" s="88"/>
      <c r="C276" s="101"/>
      <c r="D276" s="101"/>
      <c r="E276" s="88"/>
      <c r="F276" s="101"/>
      <c r="G276" s="88"/>
      <c r="H276" s="88"/>
      <c r="I276" s="88"/>
      <c r="J276" s="101"/>
      <c r="K276" s="88"/>
      <c r="L276" s="88"/>
      <c r="M276" s="88"/>
      <c r="N276" s="88"/>
      <c r="O276" s="88"/>
      <c r="P276" s="88"/>
      <c r="Q276" s="88"/>
      <c r="R276" s="101"/>
      <c r="S276" s="88"/>
      <c r="T276" s="88"/>
    </row>
    <row r="277" spans="2:20">
      <c r="B277" s="88"/>
      <c r="C277" s="101"/>
      <c r="D277" s="101"/>
      <c r="E277" s="88"/>
      <c r="F277" s="101"/>
      <c r="G277" s="88"/>
      <c r="H277" s="88"/>
      <c r="I277" s="88"/>
      <c r="J277" s="101"/>
      <c r="K277" s="88"/>
      <c r="L277" s="88"/>
      <c r="M277" s="88"/>
      <c r="N277" s="88"/>
      <c r="O277" s="88"/>
      <c r="P277" s="88"/>
      <c r="Q277" s="88"/>
      <c r="R277" s="101"/>
      <c r="S277" s="88"/>
      <c r="T277" s="88"/>
    </row>
    <row r="278" spans="2:20">
      <c r="B278" s="88"/>
      <c r="C278" s="101"/>
      <c r="D278" s="101"/>
      <c r="E278" s="88"/>
      <c r="F278" s="101"/>
      <c r="G278" s="88"/>
      <c r="H278" s="88"/>
      <c r="I278" s="88"/>
      <c r="J278" s="101"/>
      <c r="K278" s="88"/>
      <c r="L278" s="88"/>
      <c r="M278" s="88"/>
      <c r="N278" s="88"/>
      <c r="O278" s="88"/>
      <c r="P278" s="88"/>
      <c r="Q278" s="88"/>
      <c r="R278" s="101"/>
      <c r="S278" s="88"/>
      <c r="T278" s="88"/>
    </row>
  </sheetData>
  <pageMargins left="0.2" right="0.21" top="0.46" bottom="0.44" header="0.36" footer="0.25"/>
  <pageSetup scale="45" orientation="landscape" r:id="rId1"/>
  <headerFooter alignWithMargins="0">
    <oddFooter>&amp;L&amp;"CG Times,Bold"&amp;14
&amp;R&amp;16&amp;P</oddFooter>
  </headerFooter>
  <rowBreaks count="1" manualBreakCount="1">
    <brk id="72" max="65535"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281"/>
  <sheetViews>
    <sheetView topLeftCell="A6" workbookViewId="0">
      <pane xSplit="1" ySplit="1" topLeftCell="B7" activePane="bottomRight" state="frozen"/>
      <selection activeCell="A6" sqref="A6"/>
      <selection pane="topRight" activeCell="B6" sqref="B6"/>
      <selection pane="bottomLeft" activeCell="A7" sqref="A7"/>
      <selection pane="bottomRight" activeCell="B7" sqref="B7"/>
    </sheetView>
  </sheetViews>
  <sheetFormatPr defaultRowHeight="15.75"/>
  <cols>
    <col min="1" max="1" width="39.125" customWidth="1"/>
    <col min="2" max="2" width="11.625" style="12" customWidth="1"/>
    <col min="3" max="3" width="10.75" style="12" customWidth="1"/>
    <col min="4" max="4" width="10.75" style="13" customWidth="1"/>
    <col min="5" max="6" width="10.75" style="12" customWidth="1"/>
    <col min="7" max="7" width="10.75" style="13" customWidth="1"/>
    <col min="8" max="8" width="10.75" style="12" customWidth="1"/>
    <col min="9" max="9" width="10.125" style="12" customWidth="1"/>
    <col min="10" max="10" width="9.75" style="12" customWidth="1"/>
    <col min="11" max="12" width="13.625" style="12" customWidth="1"/>
    <col min="13" max="13" width="10.75" style="12" customWidth="1"/>
    <col min="14" max="14" width="13.5" style="13" customWidth="1"/>
    <col min="15" max="15" width="10.75" style="12" customWidth="1"/>
    <col min="16" max="16" width="11.75" style="13" customWidth="1"/>
    <col min="17" max="17" width="11.5" style="12" customWidth="1"/>
    <col min="18" max="18" width="10.875" style="12" customWidth="1"/>
    <col min="19" max="19" width="14.375" style="12" customWidth="1"/>
    <col min="20" max="24" width="14.375" customWidth="1"/>
    <col min="25" max="256" width="11" customWidth="1"/>
  </cols>
  <sheetData>
    <row r="1" spans="1:42">
      <c r="A1" s="114" t="s">
        <v>163</v>
      </c>
      <c r="B1" s="37"/>
      <c r="C1" s="37"/>
      <c r="D1" s="38"/>
      <c r="E1" s="37"/>
      <c r="F1" s="37"/>
      <c r="G1" s="38"/>
      <c r="H1" s="37"/>
      <c r="I1" s="37"/>
      <c r="J1" s="37"/>
      <c r="K1" s="37"/>
      <c r="L1" s="37"/>
      <c r="M1" s="37"/>
      <c r="N1" s="38"/>
      <c r="O1" s="37"/>
      <c r="P1" s="38"/>
      <c r="Q1" s="37"/>
      <c r="R1" s="37"/>
    </row>
    <row r="2" spans="1:42">
      <c r="A2" s="114" t="s">
        <v>360</v>
      </c>
      <c r="B2" s="37"/>
      <c r="C2" s="37"/>
      <c r="D2" s="38"/>
      <c r="E2" s="37"/>
      <c r="F2" s="37"/>
      <c r="G2" s="38"/>
      <c r="H2" s="37"/>
      <c r="I2" s="37"/>
      <c r="J2" s="37"/>
      <c r="K2" s="37"/>
      <c r="L2" s="37"/>
      <c r="M2" s="37"/>
      <c r="N2" s="38"/>
      <c r="O2" s="37"/>
      <c r="P2" s="38"/>
      <c r="Q2" s="37"/>
      <c r="R2" s="37"/>
    </row>
    <row r="3" spans="1:42">
      <c r="A3" s="114" t="s">
        <v>207</v>
      </c>
      <c r="B3" s="37"/>
      <c r="C3" s="37"/>
      <c r="D3" s="38"/>
      <c r="E3" s="37"/>
      <c r="F3" s="37"/>
      <c r="G3" s="38"/>
      <c r="H3" s="37"/>
      <c r="I3" s="37"/>
      <c r="J3" s="37"/>
      <c r="K3" s="37"/>
      <c r="L3" s="37"/>
      <c r="M3" s="37"/>
      <c r="N3" s="38"/>
      <c r="O3" s="37"/>
      <c r="P3" s="38"/>
      <c r="Q3" s="37"/>
      <c r="R3" s="37"/>
    </row>
    <row r="4" spans="1:42">
      <c r="A4" s="114" t="s">
        <v>385</v>
      </c>
      <c r="B4" s="37"/>
      <c r="C4" s="37"/>
      <c r="D4" s="38"/>
      <c r="E4" s="37"/>
      <c r="F4" s="37"/>
      <c r="G4" s="38"/>
      <c r="H4" s="37"/>
      <c r="I4" s="37"/>
      <c r="J4" s="37"/>
      <c r="K4" s="37"/>
      <c r="L4" s="37"/>
      <c r="M4" s="37"/>
      <c r="N4" s="38"/>
      <c r="O4" s="37"/>
      <c r="P4" s="38"/>
      <c r="Q4" s="37"/>
      <c r="R4" s="37"/>
    </row>
    <row r="5" spans="1:42">
      <c r="A5" s="34"/>
      <c r="B5" s="37"/>
      <c r="C5" s="37"/>
      <c r="D5" s="38"/>
      <c r="E5" s="37"/>
      <c r="F5" s="37"/>
      <c r="G5" s="38"/>
      <c r="H5" s="37"/>
      <c r="I5" s="37"/>
      <c r="J5" s="37"/>
      <c r="K5" s="37"/>
      <c r="L5" s="37"/>
      <c r="M5" s="37"/>
      <c r="N5" s="38"/>
      <c r="O5" s="37"/>
      <c r="P5" s="38"/>
      <c r="Q5" s="37"/>
    </row>
    <row r="6" spans="1:42" ht="16.5" thickBot="1">
      <c r="A6" s="1"/>
      <c r="B6" s="150" t="s">
        <v>98</v>
      </c>
      <c r="C6" s="151" t="s">
        <v>100</v>
      </c>
      <c r="D6" s="151" t="s">
        <v>101</v>
      </c>
      <c r="E6" s="150" t="s">
        <v>102</v>
      </c>
      <c r="F6" s="151" t="s">
        <v>107</v>
      </c>
      <c r="G6" s="151" t="s">
        <v>103</v>
      </c>
      <c r="H6" s="151" t="s">
        <v>104</v>
      </c>
      <c r="I6" s="150" t="s">
        <v>105</v>
      </c>
      <c r="J6" s="150" t="s">
        <v>361</v>
      </c>
      <c r="K6" s="164" t="s">
        <v>362</v>
      </c>
      <c r="L6" s="1117" t="s">
        <v>250</v>
      </c>
      <c r="M6" s="150" t="s">
        <v>386</v>
      </c>
      <c r="N6" s="164" t="s">
        <v>362</v>
      </c>
      <c r="O6" s="150" t="s">
        <v>109</v>
      </c>
      <c r="P6" s="151" t="s">
        <v>110</v>
      </c>
      <c r="Q6" s="164" t="s">
        <v>362</v>
      </c>
      <c r="R6" s="156" t="s">
        <v>111</v>
      </c>
      <c r="S6" s="60"/>
      <c r="T6" s="1"/>
      <c r="U6" s="1"/>
      <c r="V6" s="1"/>
      <c r="W6" s="1"/>
      <c r="X6" s="1"/>
      <c r="Y6" s="1"/>
      <c r="Z6" s="1"/>
      <c r="AA6" s="1"/>
      <c r="AB6" s="1"/>
      <c r="AC6" s="1"/>
      <c r="AD6" s="1"/>
      <c r="AE6" s="1"/>
      <c r="AF6" s="1"/>
      <c r="AG6" s="1"/>
      <c r="AH6" s="1"/>
      <c r="AI6" s="1"/>
      <c r="AJ6" s="1"/>
      <c r="AK6" s="1"/>
      <c r="AL6" s="1"/>
      <c r="AM6" s="1"/>
      <c r="AN6" s="1"/>
      <c r="AO6" s="1"/>
      <c r="AP6" s="1"/>
    </row>
    <row r="7" spans="1:42" ht="16.5" thickBot="1">
      <c r="A7" s="160" t="s">
        <v>387</v>
      </c>
      <c r="B7" s="161"/>
      <c r="C7" s="1"/>
      <c r="D7" s="72"/>
      <c r="E7" s="72"/>
      <c r="F7" s="1"/>
      <c r="G7" s="1"/>
      <c r="H7" s="1"/>
      <c r="I7" s="1"/>
      <c r="J7" s="1"/>
      <c r="K7" s="153"/>
      <c r="L7" s="1123"/>
      <c r="M7" s="1"/>
      <c r="N7" s="1070"/>
      <c r="O7" s="1"/>
      <c r="P7" s="1"/>
      <c r="Q7" s="153"/>
      <c r="R7" s="157"/>
      <c r="S7" s="62"/>
      <c r="T7" s="63"/>
      <c r="U7" s="63"/>
      <c r="V7" s="63"/>
      <c r="W7" s="1"/>
      <c r="X7" s="1"/>
      <c r="Y7" s="1"/>
      <c r="Z7" s="1"/>
      <c r="AA7" s="1"/>
      <c r="AB7" s="1"/>
      <c r="AC7" s="1"/>
      <c r="AD7" s="1"/>
      <c r="AE7" s="1"/>
      <c r="AF7" s="1"/>
      <c r="AG7" s="1"/>
      <c r="AH7" s="1"/>
      <c r="AI7" s="1"/>
      <c r="AJ7" s="1"/>
      <c r="AK7" s="1"/>
      <c r="AL7" s="1"/>
      <c r="AM7" s="1"/>
      <c r="AN7" s="1"/>
      <c r="AO7" s="1"/>
      <c r="AP7" s="1"/>
    </row>
    <row r="8" spans="1:42" ht="12" customHeight="1">
      <c r="A8" s="87" t="s">
        <v>388</v>
      </c>
      <c r="B8" s="1082"/>
      <c r="C8" s="46"/>
      <c r="D8" s="380"/>
      <c r="E8" s="380"/>
      <c r="F8" s="46"/>
      <c r="G8" s="46"/>
      <c r="H8" s="46"/>
      <c r="I8" s="46"/>
      <c r="J8" s="46"/>
      <c r="K8" s="154" t="s">
        <v>0</v>
      </c>
      <c r="L8" s="1140"/>
      <c r="M8" s="46"/>
      <c r="N8" s="1062" t="s">
        <v>0</v>
      </c>
      <c r="O8" s="47" t="s">
        <v>0</v>
      </c>
      <c r="P8" s="46"/>
      <c r="Q8" s="155" t="s">
        <v>0</v>
      </c>
      <c r="R8" s="158" t="s">
        <v>0</v>
      </c>
      <c r="S8" s="60"/>
      <c r="T8" s="1"/>
      <c r="U8" s="1"/>
      <c r="V8" s="1"/>
      <c r="W8" s="1"/>
      <c r="X8" s="1"/>
      <c r="Y8" s="1"/>
      <c r="Z8" s="1"/>
      <c r="AA8" s="1"/>
      <c r="AB8" s="1"/>
      <c r="AC8" s="1"/>
      <c r="AD8" s="1"/>
      <c r="AE8" s="1"/>
      <c r="AF8" s="1"/>
      <c r="AG8" s="1"/>
      <c r="AH8" s="1"/>
      <c r="AI8" s="1"/>
      <c r="AJ8" s="1"/>
      <c r="AK8" s="1"/>
      <c r="AL8" s="1"/>
      <c r="AM8" s="1"/>
      <c r="AN8" s="1"/>
      <c r="AO8" s="1"/>
      <c r="AP8" s="1"/>
    </row>
    <row r="9" spans="1:42" ht="12" customHeight="1">
      <c r="A9" s="87" t="s">
        <v>212</v>
      </c>
      <c r="B9" s="418"/>
      <c r="C9" s="46"/>
      <c r="D9" s="380"/>
      <c r="E9" s="380"/>
      <c r="F9" s="46"/>
      <c r="G9" s="46"/>
      <c r="H9" s="46"/>
      <c r="I9" s="46"/>
      <c r="J9" s="46"/>
      <c r="K9" s="154" t="s">
        <v>0</v>
      </c>
      <c r="L9" s="1140"/>
      <c r="M9" s="46"/>
      <c r="N9" s="1062" t="s">
        <v>0</v>
      </c>
      <c r="O9" s="46"/>
      <c r="P9" s="46"/>
      <c r="Q9" s="155" t="s">
        <v>0</v>
      </c>
      <c r="R9" s="158" t="s">
        <v>0</v>
      </c>
      <c r="S9" s="60"/>
      <c r="T9" s="1"/>
      <c r="U9" s="1"/>
      <c r="V9" s="1"/>
      <c r="W9" s="1"/>
      <c r="X9" s="1"/>
      <c r="Y9" s="1"/>
      <c r="Z9" s="1"/>
      <c r="AA9" s="1"/>
      <c r="AB9" s="1"/>
      <c r="AC9" s="1"/>
      <c r="AD9" s="1"/>
      <c r="AE9" s="1"/>
      <c r="AF9" s="1"/>
      <c r="AG9" s="1"/>
      <c r="AH9" s="1"/>
      <c r="AI9" s="1"/>
      <c r="AJ9" s="1"/>
      <c r="AK9" s="1"/>
      <c r="AL9" s="1"/>
      <c r="AM9" s="1"/>
      <c r="AN9" s="1"/>
      <c r="AO9" s="1"/>
      <c r="AP9" s="1"/>
    </row>
    <row r="10" spans="1:42">
      <c r="A10" s="1" t="s">
        <v>389</v>
      </c>
      <c r="B10" s="419">
        <f>+bichvar!B51/bichvar!B22</f>
        <v>0.51161146654413059</v>
      </c>
      <c r="C10" s="353">
        <f>+bncvar!B51/bncvar!B22</f>
        <v>2.5278943297803207E-2</v>
      </c>
      <c r="D10" s="422">
        <f>+bphvar!B51/bphvar!B22</f>
        <v>3.6842645158734991E-2</v>
      </c>
      <c r="E10" s="422">
        <f>+buhvar!B51/buhvar!B22</f>
        <v>2.4555783326651488E-3</v>
      </c>
      <c r="F10" s="353">
        <f>+capitalbkvar!B51/capitalbkvar!B22</f>
        <v>0.1076524868763044</v>
      </c>
      <c r="G10" s="353">
        <f>+promobkvar!B51/promobkvar!B22</f>
        <v>6.0824078863200508E-2</v>
      </c>
      <c r="H10" s="353">
        <f>+socabkvar!B51/socabkvar!B22</f>
        <v>4.8779828849095208E-2</v>
      </c>
      <c r="I10" s="353">
        <f>+sogebkvar!B51/sogebkvar!B22</f>
        <v>6.6718680801081856E-2</v>
      </c>
      <c r="J10" s="353">
        <f>+unibkvar!B51/unibkvar!B22</f>
        <v>5.3471422775960807E-2</v>
      </c>
      <c r="K10" s="165">
        <f>+'bilsysbandéc.99  '!K51/'bilsysbandéc.99  '!K22</f>
        <v>5.1607183311776925E-2</v>
      </c>
      <c r="L10" s="1144">
        <f>+'bhdvar  '!B51/'bhdvar  '!B22</f>
        <v>0.44104028180217031</v>
      </c>
      <c r="M10" s="353">
        <f>+sgbelvar!B51/sgbelvar!B22</f>
        <v>8.1136202953418793E-2</v>
      </c>
      <c r="N10" s="166">
        <f>+'bilsysbandéc.99  '!N51/'bilsysbandéc.99  '!N22</f>
        <v>9.9135810668978669E-2</v>
      </c>
      <c r="O10" s="353">
        <f>+cbnavar!B51/cbnavar!B22</f>
        <v>2.9470706044752805E-2</v>
      </c>
      <c r="P10" s="353">
        <f>+scotiavar!B51/scotiavar!B22</f>
        <v>4.3769542305370647E-2</v>
      </c>
      <c r="Q10" s="166">
        <f>+'bilsysbandéc.99  '!Q51/'bilsysbandéc.99  '!Q22</f>
        <v>3.4810008111312157E-2</v>
      </c>
      <c r="R10" s="167">
        <f>+'bilsysbandéc.99  '!R51/'bilsysbandéc.99  '!R22</f>
        <v>5.0872879628307478E-2</v>
      </c>
      <c r="S10" s="60"/>
      <c r="T10" s="1"/>
      <c r="U10" s="1"/>
      <c r="V10" s="1"/>
      <c r="W10" s="1"/>
      <c r="X10" s="1"/>
      <c r="Y10" s="1"/>
      <c r="Z10" s="1"/>
      <c r="AA10" s="1"/>
      <c r="AB10" s="1"/>
      <c r="AC10" s="1"/>
      <c r="AD10" s="1"/>
      <c r="AE10" s="1"/>
      <c r="AF10" s="1"/>
      <c r="AG10" s="1"/>
      <c r="AH10" s="1"/>
      <c r="AI10" s="1"/>
      <c r="AJ10" s="1"/>
      <c r="AK10" s="1"/>
      <c r="AL10" s="1"/>
      <c r="AM10" s="1"/>
      <c r="AN10" s="1"/>
      <c r="AO10" s="1"/>
      <c r="AP10" s="1"/>
    </row>
    <row r="11" spans="1:42">
      <c r="A11" s="1" t="s">
        <v>390</v>
      </c>
      <c r="B11" s="419">
        <f>+bichvar!J51/bichvar!J22</f>
        <v>0.57125989720794568</v>
      </c>
      <c r="C11" s="353">
        <f>+bncvar!J51/bncvar!J22</f>
        <v>2.4869396548781814E-2</v>
      </c>
      <c r="D11" s="422">
        <f>+bphvar!J51/bphvar!J22</f>
        <v>3.584805204501966E-2</v>
      </c>
      <c r="E11" s="422">
        <f>+buhvar!J51/buhvar!J22</f>
        <v>4.0584086819379403E-2</v>
      </c>
      <c r="F11" s="353">
        <f>+capitalbkvar!J51/capitalbkvar!J22</f>
        <v>0.11324101863998144</v>
      </c>
      <c r="G11" s="353">
        <f>+promobkvar!J51/promobkvar!J22</f>
        <v>5.7345496625799804E-2</v>
      </c>
      <c r="H11" s="353">
        <f>+socabkvar!J51/socabkvar!J22</f>
        <v>4.9743827611328305E-2</v>
      </c>
      <c r="I11" s="353">
        <f>+sogebkvar!J51/sogebkvar!J22</f>
        <v>6.8150830259460796E-2</v>
      </c>
      <c r="J11" s="353">
        <f>+unibkvar!J51/unibkvar!J22</f>
        <v>5.6075347846952547E-2</v>
      </c>
      <c r="K11" s="165">
        <v>5.8000000000000003E-2</v>
      </c>
      <c r="L11" s="1145">
        <v>0</v>
      </c>
      <c r="M11" s="353">
        <f>+sgbelvar!J51/sgbelvar!J22</f>
        <v>7.9006500706393618E-2</v>
      </c>
      <c r="N11" s="166">
        <f>+M11</f>
        <v>7.9006500706393618E-2</v>
      </c>
      <c r="O11" s="353">
        <f>+cbnavar!J51/cbnavar!J22</f>
        <v>1.8448994078932888E-2</v>
      </c>
      <c r="P11" s="353">
        <f>+scotiavar!J51/scotiavar!J22</f>
        <v>-6.3377526624646815E-3</v>
      </c>
      <c r="Q11" s="166">
        <v>1.3599999999999999E-2</v>
      </c>
      <c r="R11" s="167">
        <v>5.7099999999999998E-2</v>
      </c>
      <c r="S11" s="60"/>
      <c r="T11" s="1"/>
      <c r="U11" s="1"/>
      <c r="V11" s="1"/>
      <c r="W11" s="1"/>
      <c r="X11" s="1"/>
      <c r="Y11" s="1"/>
      <c r="Z11" s="1"/>
      <c r="AA11" s="1"/>
      <c r="AB11" s="1"/>
      <c r="AC11" s="1"/>
      <c r="AD11" s="1"/>
      <c r="AE11" s="1"/>
      <c r="AF11" s="1"/>
      <c r="AG11" s="1"/>
      <c r="AH11" s="1"/>
      <c r="AI11" s="1"/>
      <c r="AJ11" s="1"/>
      <c r="AK11" s="1"/>
      <c r="AL11" s="1"/>
      <c r="AM11" s="1"/>
      <c r="AN11" s="1"/>
      <c r="AO11" s="1"/>
      <c r="AP11" s="1"/>
    </row>
    <row r="12" spans="1:42" ht="7.9" customHeight="1">
      <c r="A12" s="72" t="s">
        <v>0</v>
      </c>
      <c r="B12" s="419"/>
      <c r="C12" s="353"/>
      <c r="D12" s="422"/>
      <c r="E12" s="422"/>
      <c r="F12" s="353"/>
      <c r="G12" s="353"/>
      <c r="H12" s="353"/>
      <c r="I12" s="353"/>
      <c r="J12" s="353"/>
      <c r="K12" s="165" t="s">
        <v>0</v>
      </c>
      <c r="L12" s="438"/>
      <c r="M12" s="353"/>
      <c r="N12" s="166" t="s">
        <v>0</v>
      </c>
      <c r="O12" s="353"/>
      <c r="P12" s="353"/>
      <c r="Q12" s="166" t="s">
        <v>0</v>
      </c>
      <c r="R12" s="167" t="s">
        <v>0</v>
      </c>
      <c r="S12" s="60" t="s">
        <v>0</v>
      </c>
      <c r="T12" s="1"/>
      <c r="U12" s="1"/>
      <c r="V12" s="1"/>
      <c r="W12" s="1"/>
      <c r="X12" s="1"/>
      <c r="Y12" s="1"/>
      <c r="Z12" s="1"/>
      <c r="AA12" s="1"/>
      <c r="AB12" s="1"/>
      <c r="AC12" s="1"/>
      <c r="AD12" s="1"/>
      <c r="AE12" s="1"/>
      <c r="AF12" s="1"/>
      <c r="AG12" s="1"/>
      <c r="AH12" s="1"/>
      <c r="AI12" s="1"/>
      <c r="AJ12" s="1"/>
      <c r="AK12" s="1"/>
      <c r="AL12" s="1"/>
      <c r="AM12" s="1"/>
      <c r="AN12" s="1"/>
      <c r="AO12" s="1"/>
      <c r="AP12" s="1"/>
    </row>
    <row r="13" spans="1:42" ht="12" customHeight="1">
      <c r="A13" s="87" t="s">
        <v>213</v>
      </c>
      <c r="B13" s="419"/>
      <c r="C13" s="353"/>
      <c r="D13" s="422"/>
      <c r="E13" s="422"/>
      <c r="F13" s="353"/>
      <c r="G13" s="353"/>
      <c r="H13" s="353"/>
      <c r="I13" s="353"/>
      <c r="J13" s="353"/>
      <c r="K13" s="165" t="s">
        <v>0</v>
      </c>
      <c r="L13" s="438"/>
      <c r="M13" s="353"/>
      <c r="N13" s="166" t="s">
        <v>0</v>
      </c>
      <c r="O13" s="353"/>
      <c r="P13" s="353"/>
      <c r="Q13" s="166" t="s">
        <v>0</v>
      </c>
      <c r="R13" s="167" t="s">
        <v>0</v>
      </c>
      <c r="S13" s="60" t="s">
        <v>0</v>
      </c>
      <c r="T13" s="1"/>
      <c r="U13" s="1"/>
      <c r="V13" s="1"/>
      <c r="W13" s="1"/>
      <c r="X13" s="1"/>
      <c r="Y13" s="1"/>
      <c r="Z13" s="1"/>
      <c r="AA13" s="1"/>
      <c r="AB13" s="1"/>
      <c r="AC13" s="1"/>
      <c r="AD13" s="1"/>
      <c r="AE13" s="1"/>
      <c r="AF13" s="1"/>
      <c r="AG13" s="1"/>
      <c r="AH13" s="1"/>
      <c r="AI13" s="1"/>
      <c r="AJ13" s="1"/>
      <c r="AK13" s="1"/>
      <c r="AL13" s="1"/>
      <c r="AM13" s="1"/>
      <c r="AN13" s="1"/>
      <c r="AO13" s="1"/>
      <c r="AP13" s="1"/>
    </row>
    <row r="14" spans="1:42">
      <c r="A14" s="1" t="s">
        <v>389</v>
      </c>
      <c r="B14" s="419">
        <f>+bichvar!B29/bichvar!B22</f>
        <v>0.47243823123961681</v>
      </c>
      <c r="C14" s="353">
        <f>+bncvar!B29/bncvar!B22</f>
        <v>0.81244076626796868</v>
      </c>
      <c r="D14" s="422">
        <f>+bphvar!B29/bphvar!B22</f>
        <v>0.85560324443177782</v>
      </c>
      <c r="E14" s="422">
        <f>+buhvar!B29/buhvar!B22</f>
        <v>0.92491386092179217</v>
      </c>
      <c r="F14" s="353">
        <f>+capitalbkvar!B29/capitalbkvar!B22</f>
        <v>0.78542095101535137</v>
      </c>
      <c r="G14" s="353">
        <f>+promobkvar!B29/promobkvar!B22</f>
        <v>0.86419350744683765</v>
      </c>
      <c r="H14" s="353">
        <f>+socabkvar!B29/socabkvar!B22</f>
        <v>0.90614883804077073</v>
      </c>
      <c r="I14" s="353">
        <f>+sogebkvar!B29/sogebkvar!B22</f>
        <v>0.85881995061743022</v>
      </c>
      <c r="J14" s="353">
        <f>+unibkvar!B29/unibkvar!B22</f>
        <v>0.90093930747248596</v>
      </c>
      <c r="K14" s="165">
        <f>+'bilsysbandéc.99  '!K29/'bilsysbandéc.99  '!K22</f>
        <v>0.87204649067694129</v>
      </c>
      <c r="L14" s="1144">
        <f>+'bhdvar  '!B29/'bhdvar  '!B22</f>
        <v>0.15183796375205952</v>
      </c>
      <c r="M14" s="353">
        <f>+sgbelvar!B29/sgbelvar!B22</f>
        <v>0.86866812753606715</v>
      </c>
      <c r="N14" s="166">
        <f>+'bilsysbandéc.99  '!N29/'bilsysbandéc.99  '!N22</f>
        <v>0.83281784823924665</v>
      </c>
      <c r="O14" s="353">
        <f>+cbnavar!B29/cbnavar!B22</f>
        <v>0.8467159826286329</v>
      </c>
      <c r="P14" s="353">
        <f>+scotiavar!B29/scotiavar!B22</f>
        <v>0.928201282873369</v>
      </c>
      <c r="Q14" s="166">
        <f>+'bilsysbandéc.99  '!Q29/'bilsysbandéc.99  '!Q22</f>
        <v>0.87714325825170025</v>
      </c>
      <c r="R14" s="167">
        <f>+'bilsysbandéc.99  '!R29/'bilsysbandéc.99  '!R22</f>
        <v>0.87164041549781035</v>
      </c>
      <c r="S14" s="60"/>
      <c r="T14" s="1"/>
      <c r="U14" s="1"/>
      <c r="V14" s="1"/>
      <c r="W14" s="1"/>
      <c r="X14" s="1"/>
      <c r="Y14" s="1"/>
      <c r="Z14" s="1"/>
      <c r="AA14" s="1"/>
      <c r="AB14" s="1"/>
      <c r="AC14" s="1"/>
      <c r="AD14" s="1"/>
      <c r="AE14" s="1"/>
      <c r="AF14" s="1"/>
      <c r="AG14" s="1"/>
      <c r="AH14" s="1"/>
      <c r="AI14" s="1"/>
      <c r="AJ14" s="1"/>
      <c r="AK14" s="1"/>
      <c r="AL14" s="1"/>
      <c r="AM14" s="1"/>
      <c r="AN14" s="1"/>
      <c r="AO14" s="1"/>
      <c r="AP14" s="1"/>
    </row>
    <row r="15" spans="1:42">
      <c r="A15" s="1" t="s">
        <v>390</v>
      </c>
      <c r="B15" s="419">
        <f>+bilsysbansept99!B29/bilsysbansept99!B22</f>
        <v>0.41260690968983793</v>
      </c>
      <c r="C15" s="422">
        <f>+bilsysbansept99!C29/bilsysbansept99!C22</f>
        <v>0.75624294736112507</v>
      </c>
      <c r="D15" s="422">
        <f>+bilsysbansept99!D29/bilsysbansept99!D22</f>
        <v>0.84930073410962315</v>
      </c>
      <c r="E15" s="422">
        <f>+bilsysbansept99!E29/bilsysbansept99!E22</f>
        <v>0.87980167612481563</v>
      </c>
      <c r="F15" s="422">
        <f>+bilsysbansept99!F29/bilsysbansept99!F22</f>
        <v>0.77843793906686487</v>
      </c>
      <c r="G15" s="422">
        <f>+bilsysbansept99!G29/bilsysbansept99!G22</f>
        <v>0.84153918141677964</v>
      </c>
      <c r="H15" s="422">
        <f>+bilsysbansept99!H29/bilsysbansept99!H22</f>
        <v>0.87933309960329964</v>
      </c>
      <c r="I15" s="422">
        <f>+bilsysbansept99!I29/bilsysbansept99!I22</f>
        <v>0.88337447175008599</v>
      </c>
      <c r="J15" s="422">
        <f>+bilsysbansept99!J29/bilsysbansept99!J22</f>
        <v>0.89953697837806312</v>
      </c>
      <c r="K15" s="167">
        <f>+bilsysbansept99!K29/bilsysbansept99!K22</f>
        <v>0.86099184164220377</v>
      </c>
      <c r="L15" s="1146">
        <v>0</v>
      </c>
      <c r="M15" s="422">
        <f>+bilsysbansept99!L29/bilsysbansept99!L22</f>
        <v>0.83591205291687343</v>
      </c>
      <c r="N15" s="166">
        <f>+M15</f>
        <v>0.83591205291687343</v>
      </c>
      <c r="O15" s="422">
        <f>+bilsysbansept99!N29/bilsysbansept99!N22</f>
        <v>0.82890262155796701</v>
      </c>
      <c r="P15" s="422">
        <f>+bilsysbansept99!O29/bilsysbansept99!O22</f>
        <v>0.96032710280373834</v>
      </c>
      <c r="Q15" s="167">
        <f>+bilsysbansept99!P29/bilsysbansept99!P22</f>
        <v>0.87984500368998719</v>
      </c>
      <c r="R15" s="167">
        <f>+bilsysbansept99!Q29/bilsysbansept99!Q22</f>
        <v>0.8625079906404941</v>
      </c>
      <c r="S15" s="60"/>
      <c r="T15" s="1"/>
      <c r="U15" s="1"/>
      <c r="V15" s="1"/>
      <c r="W15" s="1"/>
      <c r="X15" s="1"/>
      <c r="Y15" s="1"/>
      <c r="Z15" s="1"/>
      <c r="AA15" s="1"/>
      <c r="AB15" s="1"/>
      <c r="AC15" s="1"/>
      <c r="AD15" s="1"/>
      <c r="AE15" s="1"/>
      <c r="AF15" s="1"/>
      <c r="AG15" s="1"/>
      <c r="AH15" s="1"/>
      <c r="AI15" s="1"/>
      <c r="AJ15" s="1"/>
      <c r="AK15" s="1"/>
      <c r="AL15" s="1"/>
      <c r="AM15" s="1"/>
      <c r="AN15" s="1"/>
      <c r="AO15" s="1"/>
      <c r="AP15" s="1"/>
    </row>
    <row r="16" spans="1:42" ht="8.4499999999999993" customHeight="1" thickBot="1">
      <c r="A16" s="70" t="s">
        <v>0</v>
      </c>
      <c r="B16" s="420"/>
      <c r="C16" s="421"/>
      <c r="D16" s="421"/>
      <c r="E16" s="421"/>
      <c r="F16" s="421"/>
      <c r="G16" s="421"/>
      <c r="H16" s="421"/>
      <c r="I16" s="421"/>
      <c r="J16" s="421"/>
      <c r="K16" s="168" t="s">
        <v>0</v>
      </c>
      <c r="L16" s="1141"/>
      <c r="M16" s="421"/>
      <c r="N16" s="169" t="s">
        <v>391</v>
      </c>
      <c r="O16" s="421"/>
      <c r="P16" s="421"/>
      <c r="Q16" s="169" t="s">
        <v>0</v>
      </c>
      <c r="R16" s="170" t="s">
        <v>0</v>
      </c>
      <c r="S16" s="60"/>
      <c r="T16" s="1"/>
      <c r="U16" s="1"/>
      <c r="V16" s="1"/>
      <c r="W16" s="1"/>
      <c r="X16" s="1"/>
      <c r="Y16" s="1"/>
      <c r="Z16" s="1"/>
      <c r="AA16" s="1"/>
      <c r="AB16" s="1"/>
      <c r="AC16" s="1"/>
      <c r="AD16" s="1"/>
      <c r="AE16" s="1"/>
      <c r="AF16" s="1"/>
      <c r="AG16" s="1"/>
      <c r="AH16" s="1"/>
      <c r="AI16" s="1"/>
      <c r="AJ16" s="1"/>
      <c r="AK16" s="1"/>
      <c r="AL16" s="1"/>
      <c r="AM16" s="1"/>
      <c r="AN16" s="1"/>
      <c r="AO16" s="1"/>
      <c r="AP16" s="1"/>
    </row>
    <row r="17" spans="1:42" ht="16.5" thickBot="1">
      <c r="A17" s="162" t="s">
        <v>392</v>
      </c>
      <c r="B17" s="419"/>
      <c r="C17" s="353"/>
      <c r="D17" s="422"/>
      <c r="E17" s="422"/>
      <c r="F17" s="353"/>
      <c r="G17" s="353"/>
      <c r="H17" s="353"/>
      <c r="I17" s="353"/>
      <c r="J17" s="353"/>
      <c r="K17" s="165" t="s">
        <v>0</v>
      </c>
      <c r="L17" s="438"/>
      <c r="M17" s="353"/>
      <c r="N17" s="166" t="s">
        <v>0</v>
      </c>
      <c r="O17" s="353"/>
      <c r="P17" s="353"/>
      <c r="Q17" s="166" t="s">
        <v>0</v>
      </c>
      <c r="R17" s="167" t="s">
        <v>0</v>
      </c>
      <c r="S17" s="60"/>
      <c r="T17" s="1"/>
      <c r="U17" s="1"/>
      <c r="V17" s="1"/>
      <c r="W17" s="1"/>
      <c r="X17" s="1"/>
      <c r="Y17" s="1"/>
      <c r="Z17" s="1"/>
      <c r="AA17" s="1"/>
      <c r="AB17" s="1"/>
      <c r="AC17" s="1"/>
      <c r="AD17" s="1"/>
      <c r="AE17" s="1"/>
      <c r="AF17" s="1"/>
      <c r="AG17" s="1"/>
      <c r="AH17" s="1"/>
      <c r="AI17" s="1"/>
      <c r="AJ17" s="1"/>
      <c r="AK17" s="1"/>
      <c r="AL17" s="1"/>
      <c r="AM17" s="1"/>
      <c r="AN17" s="1"/>
      <c r="AO17" s="1"/>
      <c r="AP17" s="1"/>
    </row>
    <row r="18" spans="1:42" ht="12" customHeight="1">
      <c r="A18" s="152" t="s">
        <v>215</v>
      </c>
      <c r="B18" s="419"/>
      <c r="C18" s="353"/>
      <c r="D18" s="422"/>
      <c r="E18" s="422"/>
      <c r="F18" s="353"/>
      <c r="G18" s="353"/>
      <c r="H18" s="353"/>
      <c r="I18" s="353"/>
      <c r="J18" s="353"/>
      <c r="K18" s="165" t="s">
        <v>0</v>
      </c>
      <c r="L18" s="438"/>
      <c r="M18" s="353"/>
      <c r="N18" s="166" t="s">
        <v>0</v>
      </c>
      <c r="O18" s="353"/>
      <c r="P18" s="353"/>
      <c r="Q18" s="166" t="s">
        <v>0</v>
      </c>
      <c r="R18" s="167" t="s">
        <v>0</v>
      </c>
      <c r="S18" s="60" t="s">
        <v>0</v>
      </c>
      <c r="T18" s="1"/>
      <c r="U18" s="1"/>
      <c r="V18" s="1"/>
      <c r="W18" s="1"/>
      <c r="X18" s="1"/>
      <c r="Y18" s="1"/>
      <c r="Z18" s="1"/>
      <c r="AA18" s="1"/>
      <c r="AB18" s="1"/>
      <c r="AC18" s="1"/>
      <c r="AD18" s="1"/>
      <c r="AE18" s="1"/>
      <c r="AF18" s="1"/>
      <c r="AG18" s="1"/>
      <c r="AH18" s="1"/>
      <c r="AI18" s="1"/>
      <c r="AJ18" s="1"/>
      <c r="AK18" s="1"/>
      <c r="AL18" s="1"/>
      <c r="AM18" s="1"/>
      <c r="AN18" s="1"/>
      <c r="AO18" s="1"/>
      <c r="AP18" s="1"/>
    </row>
    <row r="19" spans="1:42" ht="12" customHeight="1">
      <c r="A19" s="87" t="s">
        <v>393</v>
      </c>
      <c r="B19" s="419"/>
      <c r="C19" s="353"/>
      <c r="D19" s="422"/>
      <c r="E19" s="422"/>
      <c r="F19" s="353"/>
      <c r="G19" s="353"/>
      <c r="H19" s="353"/>
      <c r="I19" s="353"/>
      <c r="J19" s="353"/>
      <c r="K19" s="165" t="s">
        <v>0</v>
      </c>
      <c r="L19" s="438"/>
      <c r="M19" s="353"/>
      <c r="N19" s="166" t="s">
        <v>0</v>
      </c>
      <c r="O19" s="353"/>
      <c r="P19" s="353"/>
      <c r="Q19" s="166"/>
      <c r="R19" s="167"/>
      <c r="S19" s="60"/>
      <c r="T19" s="1"/>
      <c r="U19" s="1"/>
      <c r="V19" s="1"/>
      <c r="W19" s="1"/>
      <c r="X19" s="1"/>
      <c r="Y19" s="1"/>
      <c r="Z19" s="1"/>
      <c r="AA19" s="1"/>
      <c r="AB19" s="1"/>
      <c r="AC19" s="1"/>
      <c r="AD19" s="1"/>
      <c r="AE19" s="1"/>
      <c r="AF19" s="1"/>
      <c r="AG19" s="1"/>
      <c r="AH19" s="1"/>
      <c r="AI19" s="1"/>
      <c r="AJ19" s="1"/>
      <c r="AK19" s="1"/>
      <c r="AL19" s="1"/>
      <c r="AM19" s="1"/>
      <c r="AN19" s="1"/>
      <c r="AO19" s="1"/>
      <c r="AP19" s="1"/>
    </row>
    <row r="20" spans="1:42">
      <c r="A20" s="909" t="s">
        <v>389</v>
      </c>
      <c r="B20" s="881">
        <v>0</v>
      </c>
      <c r="C20" s="422">
        <f>+'bilsysbandéc.99  '!C62/'bilsysbandéc.99  '!C60</f>
        <v>0.41308733448263213</v>
      </c>
      <c r="D20" s="422">
        <f>+'bilsysbandéc.99  '!D62/'bilsysbandéc.99  '!D60</f>
        <v>0.23146779976885584</v>
      </c>
      <c r="E20" s="422">
        <f>+'bilsysbandéc.99  '!E62/'bilsysbandéc.99  '!E60</f>
        <v>8.702152729530746E-2</v>
      </c>
      <c r="F20" s="422">
        <f>+'bilsysbandéc.99  '!F62/'bilsysbandéc.99  '!F60</f>
        <v>1.4593665602749816E-2</v>
      </c>
      <c r="G20" s="422">
        <f>+'bilsysbandéc.99  '!G62/'bilsysbandéc.99  '!G60</f>
        <v>7.7573366901773869E-2</v>
      </c>
      <c r="H20" s="422">
        <f>+'bilsysbandéc.99  '!H62/'bilsysbandéc.99  '!H60</f>
        <v>5.0538493313214902E-2</v>
      </c>
      <c r="I20" s="422">
        <f>+'bilsysbandéc.99  '!I62/'bilsysbandéc.99  '!I60</f>
        <v>8.2188719689878675E-2</v>
      </c>
      <c r="J20" s="422">
        <f>+'bilsysbandéc.99  '!J62/'bilsysbandéc.99  '!J60</f>
        <v>1.0908227926891971E-2</v>
      </c>
      <c r="K20" s="171">
        <f>+'bilsysbandéc.99  '!K62/'bilsysbandéc.99  '!K60</f>
        <v>8.4084803637306582E-2</v>
      </c>
      <c r="L20" s="1159">
        <f>+'bhdvar  '!B62/'bhdvar  '!B60</f>
        <v>0</v>
      </c>
      <c r="M20" s="422">
        <f>+'bilsysbandéc.99  '!M62/'bilsysbandéc.99  '!M60</f>
        <v>9.9104718199610836E-2</v>
      </c>
      <c r="N20" s="167">
        <f>+'bilsysbandéc.99  '!N62/'bilsysbandéc.99  '!N60</f>
        <v>9.7572147526189437E-2</v>
      </c>
      <c r="O20" s="422">
        <f>+'bilsysbandéc.99  '!O62/'bilsysbandéc.99  '!O60</f>
        <v>4.6734635016312934E-2</v>
      </c>
      <c r="P20" s="422">
        <f>+'bilsysbandéc.99  '!P62/'bilsysbandéc.99  '!P60</f>
        <v>0.15679824561403508</v>
      </c>
      <c r="Q20" s="171">
        <f>+'bilsysbandéc.99  '!Q62/'bilsysbandéc.99  '!Q60</f>
        <v>9.1492144336338899E-2</v>
      </c>
      <c r="R20" s="171">
        <f>+'bilsysbandéc.99  '!R62/'bilsysbandéc.99  '!R60</f>
        <v>8.5599508867278046E-2</v>
      </c>
      <c r="S20" s="60"/>
      <c r="T20" s="1"/>
      <c r="U20" s="1"/>
      <c r="V20" s="1"/>
      <c r="W20" s="1"/>
      <c r="X20" s="1"/>
      <c r="Y20" s="1"/>
      <c r="Z20" s="1"/>
      <c r="AA20" s="1"/>
      <c r="AB20" s="1"/>
      <c r="AC20" s="1"/>
      <c r="AD20" s="1"/>
      <c r="AE20" s="1"/>
      <c r="AF20" s="1"/>
      <c r="AG20" s="1"/>
      <c r="AH20" s="1"/>
      <c r="AI20" s="1"/>
      <c r="AJ20" s="1"/>
      <c r="AK20" s="1"/>
      <c r="AL20" s="1"/>
      <c r="AM20" s="1"/>
      <c r="AN20" s="1"/>
      <c r="AO20" s="1"/>
      <c r="AP20" s="1"/>
    </row>
    <row r="21" spans="1:42">
      <c r="A21" s="1" t="s">
        <v>390</v>
      </c>
      <c r="B21" s="424">
        <f>+bilsysbansept99!B62/bilsysbansept99!B60</f>
        <v>0</v>
      </c>
      <c r="C21" s="422">
        <f>+bilsysbansept99!C62/bilsysbansept99!C60</f>
        <v>0.34487075275728152</v>
      </c>
      <c r="D21" s="422">
        <f>+bilsysbansept99!D62/bilsysbansept99!D60</f>
        <v>0.25014213337165558</v>
      </c>
      <c r="E21" s="422">
        <f>+bilsysbansept99!E62/bilsysbansept99!E60</f>
        <v>9.0626271945296183E-2</v>
      </c>
      <c r="F21" s="422">
        <f>+bilsysbansept99!F62/bilsysbansept99!F60</f>
        <v>9.2977857970586181E-3</v>
      </c>
      <c r="G21" s="422">
        <f>+bilsysbansept99!G62/bilsysbansept99!G60</f>
        <v>8.5794303887250414E-2</v>
      </c>
      <c r="H21" s="422">
        <f>+bilsysbansept99!H62/bilsysbansept99!H60</f>
        <v>5.4417829070198917E-2</v>
      </c>
      <c r="I21" s="422">
        <f>+bilsysbansept99!I62/bilsysbansept99!I60</f>
        <v>5.8659445293929267E-2</v>
      </c>
      <c r="J21" s="422">
        <f>+bilsysbansept99!J62/bilsysbansept99!J60</f>
        <v>4.5035958214156369E-3</v>
      </c>
      <c r="K21" s="167">
        <f>+bilsysbansept99!K62/bilsysbansept99!K60</f>
        <v>7.6269863910054261E-2</v>
      </c>
      <c r="L21" s="1146">
        <v>0</v>
      </c>
      <c r="M21" s="422">
        <f>+bilsysbansept99!L62/bilsysbansept99!L60</f>
        <v>9.9239285120332768E-2</v>
      </c>
      <c r="N21" s="166">
        <f>+M21</f>
        <v>9.9239285120332768E-2</v>
      </c>
      <c r="O21" s="422">
        <f>+bilsysbansept99!N62/bilsysbansept99!N60</f>
        <v>4.8588888686373712E-2</v>
      </c>
      <c r="P21" s="422">
        <f>+bilsysbansept99!O62/bilsysbansept99!O60</f>
        <v>0.15699500998201066</v>
      </c>
      <c r="Q21" s="167">
        <f>+bilsysbansept99!P62/bilsysbansept99!P60</f>
        <v>9.1662096350887262E-2</v>
      </c>
      <c r="R21" s="167">
        <f>+bilsysbansept99!Q62/bilsysbansept99!Q60</f>
        <v>7.9325933793292114E-2</v>
      </c>
      <c r="S21" s="60"/>
      <c r="T21" s="1"/>
      <c r="U21" s="1"/>
      <c r="V21" s="1"/>
      <c r="W21" s="1"/>
      <c r="X21" s="1"/>
      <c r="Y21" s="1"/>
      <c r="Z21" s="1"/>
      <c r="AA21" s="1"/>
      <c r="AB21" s="1"/>
      <c r="AC21" s="1"/>
      <c r="AD21" s="1"/>
      <c r="AE21" s="1"/>
      <c r="AF21" s="1"/>
      <c r="AG21" s="1"/>
      <c r="AH21" s="1"/>
      <c r="AI21" s="1"/>
      <c r="AJ21" s="1"/>
      <c r="AK21" s="1"/>
      <c r="AL21" s="1"/>
      <c r="AM21" s="1"/>
      <c r="AN21" s="1"/>
      <c r="AO21" s="1"/>
      <c r="AP21" s="1"/>
    </row>
    <row r="22" spans="1:42" ht="9" customHeight="1">
      <c r="A22" s="1" t="s">
        <v>0</v>
      </c>
      <c r="B22" s="419"/>
      <c r="C22" s="353"/>
      <c r="D22" s="422"/>
      <c r="E22" s="422"/>
      <c r="F22" s="353"/>
      <c r="G22" s="353"/>
      <c r="H22" s="353"/>
      <c r="I22" s="353"/>
      <c r="J22" s="353"/>
      <c r="K22" s="171" t="s">
        <v>0</v>
      </c>
      <c r="L22" s="1142"/>
      <c r="M22" s="353"/>
      <c r="N22" s="166" t="s">
        <v>0</v>
      </c>
      <c r="O22" s="353"/>
      <c r="P22" s="353"/>
      <c r="Q22" s="171" t="s">
        <v>0</v>
      </c>
      <c r="R22" s="171" t="s">
        <v>0</v>
      </c>
      <c r="S22" s="60"/>
      <c r="T22" s="1"/>
      <c r="U22" s="1"/>
      <c r="V22" s="1"/>
      <c r="W22" s="1"/>
      <c r="X22" s="1"/>
      <c r="Y22" s="1"/>
      <c r="Z22" s="1"/>
      <c r="AA22" s="1"/>
      <c r="AB22" s="1"/>
      <c r="AC22" s="1"/>
      <c r="AD22" s="1"/>
      <c r="AE22" s="1"/>
      <c r="AF22" s="1"/>
      <c r="AG22" s="1"/>
      <c r="AH22" s="1"/>
      <c r="AI22" s="1"/>
      <c r="AJ22" s="1"/>
      <c r="AK22" s="1"/>
      <c r="AL22" s="1"/>
      <c r="AM22" s="1"/>
      <c r="AN22" s="1"/>
      <c r="AO22" s="1"/>
      <c r="AP22" s="1"/>
    </row>
    <row r="23" spans="1:42" ht="12" customHeight="1">
      <c r="A23" s="152" t="s">
        <v>394</v>
      </c>
      <c r="B23" s="419"/>
      <c r="C23" s="353"/>
      <c r="D23" s="422"/>
      <c r="E23" s="422"/>
      <c r="F23" s="353"/>
      <c r="G23" s="353"/>
      <c r="H23" s="353"/>
      <c r="I23" s="353"/>
      <c r="J23" s="353"/>
      <c r="K23" s="171" t="s">
        <v>0</v>
      </c>
      <c r="L23" s="1142"/>
      <c r="M23" s="353"/>
      <c r="N23" s="166" t="s">
        <v>0</v>
      </c>
      <c r="O23" s="353"/>
      <c r="P23" s="353"/>
      <c r="Q23" s="171" t="s">
        <v>0</v>
      </c>
      <c r="R23" s="171" t="s">
        <v>0</v>
      </c>
      <c r="S23" s="60"/>
      <c r="T23" s="1"/>
      <c r="U23" s="1"/>
      <c r="V23" s="1"/>
      <c r="W23" s="1"/>
      <c r="X23" s="1"/>
      <c r="Y23" s="1"/>
      <c r="Z23" s="1"/>
      <c r="AA23" s="1"/>
      <c r="AB23" s="1"/>
      <c r="AC23" s="1"/>
      <c r="AD23" s="1"/>
      <c r="AE23" s="1"/>
      <c r="AF23" s="1"/>
      <c r="AG23" s="1"/>
      <c r="AH23" s="1"/>
      <c r="AI23" s="1"/>
      <c r="AJ23" s="1"/>
      <c r="AK23" s="1"/>
      <c r="AL23" s="1"/>
      <c r="AM23" s="1"/>
      <c r="AN23" s="1"/>
      <c r="AO23" s="1"/>
      <c r="AP23" s="1"/>
    </row>
    <row r="24" spans="1:42" ht="12" customHeight="1">
      <c r="A24" s="87" t="s">
        <v>218</v>
      </c>
      <c r="B24" s="419"/>
      <c r="C24" s="353"/>
      <c r="D24" s="422"/>
      <c r="E24" s="422"/>
      <c r="F24" s="353"/>
      <c r="G24" s="353"/>
      <c r="H24" s="353"/>
      <c r="I24" s="353"/>
      <c r="J24" s="353"/>
      <c r="K24" s="165" t="s">
        <v>0</v>
      </c>
      <c r="L24" s="438"/>
      <c r="M24" s="353"/>
      <c r="N24" s="166" t="s">
        <v>0</v>
      </c>
      <c r="O24" s="353"/>
      <c r="P24" s="353"/>
      <c r="Q24" s="166" t="s">
        <v>0</v>
      </c>
      <c r="R24" s="167" t="s">
        <v>0</v>
      </c>
      <c r="S24" s="60" t="s">
        <v>0</v>
      </c>
      <c r="T24" s="1" t="s">
        <v>0</v>
      </c>
      <c r="U24" s="1" t="s">
        <v>0</v>
      </c>
      <c r="V24" s="1" t="s">
        <v>0</v>
      </c>
      <c r="W24" s="1"/>
      <c r="X24" s="1"/>
      <c r="Y24" s="1"/>
      <c r="Z24" s="1"/>
      <c r="AA24" s="1"/>
      <c r="AB24" s="1"/>
      <c r="AC24" s="1"/>
      <c r="AD24" s="1"/>
      <c r="AE24" s="1"/>
      <c r="AF24" s="1"/>
      <c r="AG24" s="1"/>
      <c r="AH24" s="1"/>
      <c r="AI24" s="1"/>
      <c r="AJ24" s="1"/>
      <c r="AK24" s="1"/>
      <c r="AL24" s="1"/>
      <c r="AM24" s="1"/>
      <c r="AN24" s="1"/>
      <c r="AO24" s="1"/>
      <c r="AP24" s="1"/>
    </row>
    <row r="25" spans="1:42">
      <c r="A25" s="1" t="s">
        <v>389</v>
      </c>
      <c r="B25" s="424">
        <v>0</v>
      </c>
      <c r="C25" s="422">
        <f>+'bilsysbandéc.99  '!C61/'bilsysbandéc.99  '!C62</f>
        <v>0.61396471215017712</v>
      </c>
      <c r="D25" s="422">
        <f>+'bilsysbandéc.99  '!D61/'bilsysbandéc.99  '!D62</f>
        <v>0.41996293087321668</v>
      </c>
      <c r="E25" s="422">
        <f>+'bilsysbandéc.99  '!E61/'bilsysbandéc.99  '!E62</f>
        <v>0.57342555089268743</v>
      </c>
      <c r="F25" s="422">
        <f>+'bilsysbandéc.99  '!F61/'bilsysbandéc.99  '!F62</f>
        <v>0.98586810228802157</v>
      </c>
      <c r="G25" s="422">
        <f>+'bilsysbandéc.99  '!G61/'bilsysbandéc.99  '!G62</f>
        <v>0.92361648756619497</v>
      </c>
      <c r="H25" s="422">
        <f>+'bilsysbandéc.99  '!H61/'bilsysbandéc.99  '!H62</f>
        <v>0.42370614864776718</v>
      </c>
      <c r="I25" s="422">
        <f>+'bilsysbandéc.99  '!I61/'bilsysbandéc.99  '!I62</f>
        <v>0.5439606448264076</v>
      </c>
      <c r="J25" s="422">
        <f>+'bilsysbandéc.99  '!J61/'bilsysbandéc.99  '!J62</f>
        <v>1.7090617055836335</v>
      </c>
      <c r="K25" s="171">
        <f>+'bilsysbandéc.99  '!K61/'bilsysbandéc.99  '!K62</f>
        <v>0.60992440646284141</v>
      </c>
      <c r="L25" s="1159">
        <v>0</v>
      </c>
      <c r="M25" s="422">
        <f>+'bilsysbandéc.99  '!M61/'bilsysbandéc.99  '!M62</f>
        <v>0.33503712164477439</v>
      </c>
      <c r="N25" s="167">
        <f>+'bilsysbandéc.99  '!N61/'bilsysbandéc.99  '!N62</f>
        <v>0.33741576242147342</v>
      </c>
      <c r="O25" s="422">
        <f>+'bilsysbandéc.99  '!O61/'bilsysbandéc.99  '!O62</f>
        <v>0.75535046993545463</v>
      </c>
      <c r="P25" s="422">
        <f>+'bilsysbandéc.99  '!P61/'bilsysbandéc.99  '!P62</f>
        <v>0.28594996552743029</v>
      </c>
      <c r="Q25" s="171">
        <f>+'bilsysbandéc.99  '!Q61/'bilsysbandéc.99  '!Q62</f>
        <v>0.42821841644644265</v>
      </c>
      <c r="R25" s="171">
        <f>+'bilsysbandéc.99  '!R61/'bilsysbandéc.99  '!R62</f>
        <v>0.57184759420194997</v>
      </c>
      <c r="S25" s="60"/>
      <c r="T25" s="1"/>
      <c r="U25" s="1"/>
      <c r="V25" s="1"/>
      <c r="W25" s="1"/>
      <c r="X25" s="1"/>
      <c r="Y25" s="1"/>
      <c r="Z25" s="1"/>
      <c r="AA25" s="1"/>
      <c r="AB25" s="1"/>
      <c r="AC25" s="1"/>
      <c r="AD25" s="1"/>
      <c r="AE25" s="1"/>
      <c r="AF25" s="1"/>
      <c r="AG25" s="1"/>
      <c r="AH25" s="1"/>
      <c r="AI25" s="1"/>
      <c r="AJ25" s="1"/>
      <c r="AK25" s="1"/>
      <c r="AL25" s="1"/>
      <c r="AM25" s="1"/>
      <c r="AN25" s="1"/>
      <c r="AO25" s="1"/>
      <c r="AP25" s="1"/>
    </row>
    <row r="26" spans="1:42">
      <c r="A26" s="1" t="s">
        <v>390</v>
      </c>
      <c r="B26" s="424">
        <v>0</v>
      </c>
      <c r="C26" s="353">
        <f>+bilsysbansept99!C61/bilsysbansept99!C62</f>
        <v>0.71589704861322578</v>
      </c>
      <c r="D26" s="353">
        <f>+bilsysbansept99!D61/bilsysbansept99!D62</f>
        <v>0.38768443601140856</v>
      </c>
      <c r="E26" s="353">
        <f>+bilsysbansept99!E61/bilsysbansept99!E62</f>
        <v>0.58221177597796303</v>
      </c>
      <c r="F26" s="353">
        <f>+bilsysbansept99!F61/bilsysbansept99!F62</f>
        <v>1.374947720618988</v>
      </c>
      <c r="G26" s="353">
        <f>+bilsysbansept99!G61/bilsysbansept99!G62</f>
        <v>0.95153061224489799</v>
      </c>
      <c r="H26" s="353">
        <f>+bilsysbansept99!H61/bilsysbansept99!H62</f>
        <v>0.43426545998634497</v>
      </c>
      <c r="I26" s="353">
        <f>+bilsysbansept99!I61/bilsysbansept99!I62</f>
        <v>0.75220252249619857</v>
      </c>
      <c r="J26" s="353">
        <f>+bilsysbansept99!J61/bilsysbansept99!J62</f>
        <v>3.2473745285755733</v>
      </c>
      <c r="K26" s="167">
        <f>+bilsysbansept99!K61/bilsysbansept99!K62</f>
        <v>0.68684871385655288</v>
      </c>
      <c r="L26" s="1146">
        <v>0</v>
      </c>
      <c r="M26" s="353">
        <f>+bilsysbansept99!L61/bilsysbansept99!L62</f>
        <v>0.26631049432166254</v>
      </c>
      <c r="N26" s="166">
        <f>+M26</f>
        <v>0.26631049432166254</v>
      </c>
      <c r="O26" s="353">
        <f>+bilsysbansept99!N61/bilsysbansept99!N62</f>
        <v>0.71491345587053212</v>
      </c>
      <c r="P26" s="353">
        <f>+bilsysbansept99!O61/bilsysbansept99!O62</f>
        <v>0.28158331656268865</v>
      </c>
      <c r="Q26" s="167">
        <f>+bilsysbansept99!P61/bilsysbansept99!P62</f>
        <v>0.42001780425590196</v>
      </c>
      <c r="R26" s="167">
        <f>+bilsysbansept99!Q61/bilsysbansept99!Q62</f>
        <v>0.62312010624712222</v>
      </c>
      <c r="S26" s="60"/>
      <c r="T26" s="1"/>
      <c r="U26" s="1"/>
      <c r="V26" s="1"/>
      <c r="W26" s="1"/>
      <c r="X26" s="1"/>
      <c r="Y26" s="1"/>
      <c r="Z26" s="1"/>
      <c r="AA26" s="1"/>
      <c r="AB26" s="1"/>
      <c r="AC26" s="1"/>
      <c r="AD26" s="1"/>
      <c r="AE26" s="1"/>
      <c r="AF26" s="1"/>
      <c r="AG26" s="1"/>
      <c r="AH26" s="1"/>
      <c r="AI26" s="1"/>
      <c r="AJ26" s="1"/>
      <c r="AK26" s="1"/>
      <c r="AL26" s="1"/>
      <c r="AM26" s="1"/>
      <c r="AN26" s="1"/>
      <c r="AO26" s="1"/>
      <c r="AP26" s="1"/>
    </row>
    <row r="27" spans="1:42" ht="8.4499999999999993" customHeight="1">
      <c r="A27" s="1" t="s">
        <v>0</v>
      </c>
      <c r="B27" s="419"/>
      <c r="C27" s="353"/>
      <c r="D27" s="422"/>
      <c r="E27" s="422"/>
      <c r="F27" s="353"/>
      <c r="G27" s="353"/>
      <c r="H27" s="353"/>
      <c r="I27" s="353"/>
      <c r="J27" s="353"/>
      <c r="K27" s="165" t="s">
        <v>0</v>
      </c>
      <c r="L27" s="438"/>
      <c r="M27" s="353"/>
      <c r="N27" s="166" t="s">
        <v>0</v>
      </c>
      <c r="O27" s="353"/>
      <c r="P27" s="353"/>
      <c r="Q27" s="166" t="s">
        <v>0</v>
      </c>
      <c r="R27" s="167" t="s">
        <v>0</v>
      </c>
      <c r="S27" s="60"/>
      <c r="T27" s="1"/>
      <c r="U27" s="1"/>
      <c r="V27" s="1"/>
      <c r="W27" s="1"/>
      <c r="X27" s="1"/>
      <c r="Y27" s="1"/>
      <c r="Z27" s="1"/>
      <c r="AA27" s="1"/>
      <c r="AB27" s="1"/>
      <c r="AC27" s="1"/>
      <c r="AD27" s="1"/>
      <c r="AE27" s="1"/>
      <c r="AF27" s="1"/>
      <c r="AG27" s="1"/>
      <c r="AH27" s="1"/>
      <c r="AI27" s="1"/>
      <c r="AJ27" s="1"/>
      <c r="AK27" s="1"/>
      <c r="AL27" s="1"/>
      <c r="AM27" s="1"/>
      <c r="AN27" s="1"/>
      <c r="AO27" s="1"/>
      <c r="AP27" s="1"/>
    </row>
    <row r="28" spans="1:42" ht="12" customHeight="1">
      <c r="A28" s="87" t="s">
        <v>219</v>
      </c>
      <c r="B28" s="419"/>
      <c r="C28" s="353"/>
      <c r="D28" s="422"/>
      <c r="E28" s="422"/>
      <c r="F28" s="353"/>
      <c r="G28" s="353"/>
      <c r="H28" s="353"/>
      <c r="I28" s="353"/>
      <c r="J28" s="353"/>
      <c r="K28" s="165" t="s">
        <v>0</v>
      </c>
      <c r="L28" s="438"/>
      <c r="M28" s="353"/>
      <c r="N28" s="166" t="s">
        <v>0</v>
      </c>
      <c r="O28" s="353"/>
      <c r="P28" s="353"/>
      <c r="Q28" s="166" t="s">
        <v>0</v>
      </c>
      <c r="R28" s="167" t="s">
        <v>0</v>
      </c>
      <c r="S28" s="64"/>
      <c r="T28" s="66"/>
      <c r="U28" s="66"/>
      <c r="V28" s="66"/>
      <c r="W28" s="1"/>
      <c r="X28" s="1"/>
      <c r="Y28" s="1"/>
      <c r="Z28" s="1"/>
      <c r="AA28" s="1"/>
      <c r="AB28" s="1"/>
      <c r="AC28" s="1"/>
      <c r="AD28" s="1"/>
      <c r="AE28" s="1"/>
      <c r="AF28" s="1"/>
      <c r="AG28" s="1"/>
      <c r="AH28" s="1"/>
      <c r="AI28" s="1"/>
      <c r="AJ28" s="1"/>
      <c r="AK28" s="1"/>
      <c r="AL28" s="1"/>
      <c r="AM28" s="1"/>
      <c r="AN28" s="1"/>
      <c r="AO28" s="1"/>
      <c r="AP28" s="1"/>
    </row>
    <row r="29" spans="1:42" ht="12" customHeight="1">
      <c r="A29" s="87" t="s">
        <v>220</v>
      </c>
      <c r="B29" s="419"/>
      <c r="C29" s="353"/>
      <c r="D29" s="422"/>
      <c r="E29" s="422"/>
      <c r="F29" s="353"/>
      <c r="G29" s="353"/>
      <c r="H29" s="353"/>
      <c r="I29" s="353"/>
      <c r="J29" s="353"/>
      <c r="K29" s="165" t="s">
        <v>0</v>
      </c>
      <c r="L29" s="438"/>
      <c r="M29" s="353"/>
      <c r="N29" s="166" t="s">
        <v>0</v>
      </c>
      <c r="O29" s="353"/>
      <c r="P29" s="353"/>
      <c r="Q29" s="166" t="s">
        <v>0</v>
      </c>
      <c r="R29" s="167" t="s">
        <v>0</v>
      </c>
      <c r="S29" s="60"/>
      <c r="T29" s="1"/>
      <c r="U29" s="1"/>
      <c r="V29" s="1"/>
      <c r="W29" s="1"/>
      <c r="X29" s="1"/>
      <c r="Y29" s="1"/>
      <c r="Z29" s="1"/>
      <c r="AA29" s="1"/>
      <c r="AB29" s="1"/>
      <c r="AC29" s="1"/>
      <c r="AD29" s="1"/>
      <c r="AE29" s="1"/>
      <c r="AF29" s="1"/>
      <c r="AG29" s="1"/>
      <c r="AH29" s="1"/>
      <c r="AI29" s="1"/>
      <c r="AJ29" s="1"/>
      <c r="AK29" s="1"/>
      <c r="AL29" s="1"/>
      <c r="AM29" s="1"/>
      <c r="AN29" s="1"/>
      <c r="AO29" s="1"/>
      <c r="AP29" s="1"/>
    </row>
    <row r="30" spans="1:42" ht="16.149999999999999" customHeight="1">
      <c r="A30" s="1" t="s">
        <v>389</v>
      </c>
      <c r="B30" s="424">
        <v>0</v>
      </c>
      <c r="C30" s="422">
        <f>+('bilsysbandéc.99  '!C62-'bilsysbandéc.99  '!C61)/'bilsysbandéc.99  '!C51</f>
        <v>1.6128666201117319</v>
      </c>
      <c r="D30" s="422">
        <f>+('bilsysbandéc.99  '!D62-'bilsysbandéc.99  '!D61)/'bilsysbandéc.99  '!D51</f>
        <v>1.5983348594295794</v>
      </c>
      <c r="E30" s="422">
        <f>+('bilsysbandéc.99  '!E62-'bilsysbandéc.99  '!E61)/'bilsysbandéc.99  '!E51</f>
        <v>5.6166730843280712</v>
      </c>
      <c r="F30" s="422">
        <f>+('bilsysbandéc.99  '!F62-'bilsysbandéc.99  '!F61)/'bilsysbandéc.99  '!F51</f>
        <v>8.7628521832020293E-4</v>
      </c>
      <c r="G30" s="422">
        <f>+('bilsysbandéc.99  '!G62-'bilsysbandéc.99  '!G61)/'bilsysbandéc.99  '!G51</f>
        <v>5.1724318713235677E-2</v>
      </c>
      <c r="H30" s="422">
        <f>+('bilsysbandéc.99  '!H62-'bilsysbandéc.99  '!H61)/'bilsysbandéc.99  '!H51</f>
        <v>0.35926470839402613</v>
      </c>
      <c r="I30" s="422">
        <f>+('bilsysbandéc.99  '!I62-'bilsysbandéc.99  '!I61)/'bilsysbandéc.99  '!I51</f>
        <v>0.18846384388684465</v>
      </c>
      <c r="J30" s="422">
        <f>+('bilsysbandéc.99  '!J62-'bilsysbandéc.99  '!J61)/'bilsysbandéc.99  '!J51</f>
        <v>-5.8685712315218727E-2</v>
      </c>
      <c r="K30" s="171">
        <f>+('bilsysbandéc.99  '!K62-'bilsysbandéc.99  '!K61)/'bilsysbandéc.99  '!K51</f>
        <v>0.25951392109766996</v>
      </c>
      <c r="L30" s="1143">
        <f>+('bhdvar  '!B62-'bhdvar  '!B61)/'bhdvar  '!B51</f>
        <v>-6.7067083185726704E-3</v>
      </c>
      <c r="M30" s="422">
        <f>+('bilsysbandéc.99  '!M62-'bilsysbandéc.99  '!M61)/'bilsysbandéc.99  '!M51</f>
        <v>0.53653715001935387</v>
      </c>
      <c r="N30" s="167">
        <f>+('bilsysbandéc.99  '!N62-'bilsysbandéc.99  '!N61)/'bilsysbandéc.99  '!N51</f>
        <v>0.41566707510192968</v>
      </c>
      <c r="O30" s="422">
        <f>+('bilsysbandéc.99  '!O62-'bilsysbandéc.99  '!O61)/'bilsysbandéc.99  '!O51</f>
        <v>0.18250163664392963</v>
      </c>
      <c r="P30" s="422">
        <f>+('bilsysbandéc.99  '!P62-'bilsysbandéc.99  '!P61)/'bilsysbandéc.99  '!P51</f>
        <v>1.3838371787836128</v>
      </c>
      <c r="Q30" s="171">
        <f>+('bilsysbandéc.99  '!Q62-'bilsysbandéc.99  '!Q61)/'bilsysbandéc.99  '!Q51</f>
        <v>0.74654956085319946</v>
      </c>
      <c r="R30" s="171">
        <f>+('bilsysbandéc.99  '!R62-'bilsysbandéc.99  '!R61)/'bilsysbandéc.99  '!R51</f>
        <v>0.30570202810597435</v>
      </c>
      <c r="S30" s="60"/>
      <c r="T30" s="1"/>
      <c r="U30" s="1"/>
      <c r="V30" s="1"/>
      <c r="W30" s="1"/>
      <c r="X30" s="1"/>
      <c r="Y30" s="1"/>
      <c r="Z30" s="1"/>
      <c r="AA30" s="1"/>
      <c r="AB30" s="1"/>
      <c r="AC30" s="1"/>
      <c r="AD30" s="1"/>
      <c r="AE30" s="1"/>
      <c r="AF30" s="1"/>
      <c r="AG30" s="1"/>
      <c r="AH30" s="1"/>
      <c r="AI30" s="1"/>
      <c r="AJ30" s="1"/>
      <c r="AK30" s="1"/>
      <c r="AL30" s="1"/>
      <c r="AM30" s="1"/>
      <c r="AN30" s="1"/>
      <c r="AO30" s="1"/>
      <c r="AP30" s="1"/>
    </row>
    <row r="31" spans="1:42" ht="16.149999999999999" customHeight="1">
      <c r="A31" s="1" t="s">
        <v>390</v>
      </c>
      <c r="B31" s="424">
        <v>0</v>
      </c>
      <c r="C31" s="422">
        <f>+(bilsysbansept99!C62-bilsysbansept99!C61)/bilsysbansept99!C51</f>
        <v>0.98492462311557794</v>
      </c>
      <c r="D31" s="422">
        <f>+(bilsysbansept99!D62-bilsysbansept99!D61)/bilsysbansept99!D51</f>
        <v>1.7374656266165702</v>
      </c>
      <c r="E31" s="422">
        <f>+(bilsysbansept99!E62-bilsysbansept99!E61)/bilsysbansept99!E51</f>
        <v>0.3323607174332468</v>
      </c>
      <c r="F31" s="422">
        <f>+(bilsysbansept99!F62-bilsysbansept99!F61)/bilsysbansept99!F51</f>
        <v>-1.537406216505895E-2</v>
      </c>
      <c r="G31" s="422">
        <f>+(bilsysbansept99!G62-bilsysbansept99!G61)/bilsysbansept99!G51</f>
        <v>3.5574355951596685E-2</v>
      </c>
      <c r="H31" s="422">
        <f>+(bilsysbansept99!H62-bilsysbansept99!H61)/bilsysbansept99!H51</f>
        <v>0.34126815127942917</v>
      </c>
      <c r="I31" s="422">
        <f>+(bilsysbansept99!I62-bilsysbansept99!I61)/bilsysbansept99!I51</f>
        <v>7.3067995340571887E-2</v>
      </c>
      <c r="J31" s="422">
        <f>+(bilsysbansept99!J62-bilsysbansept99!J61)/bilsysbansept99!J51</f>
        <v>-8.1243097949599441E-2</v>
      </c>
      <c r="K31" s="167">
        <f>+(bilsysbansept99!K62-bilsysbansept99!K61)/bilsysbansept99!K51</f>
        <v>0.17144868852548376</v>
      </c>
      <c r="L31" s="1146">
        <v>0</v>
      </c>
      <c r="M31" s="422">
        <f>+(bilsysbansept99!L62-bilsysbansept99!L61)/bilsysbansept99!L51</f>
        <v>0.61921522423230069</v>
      </c>
      <c r="N31" s="166">
        <f>+M31</f>
        <v>0.61921522423230069</v>
      </c>
      <c r="O31" s="422">
        <f>+(bilsysbansept99!N62-bilsysbansept99!N61)/bilsysbansept99!N51</f>
        <v>0.39670407516498268</v>
      </c>
      <c r="P31" s="422">
        <f>+(bilsysbansept99!O62-bilsysbansept99!O61)/bilsysbansept99!O51</f>
        <v>-9.7937242798353914</v>
      </c>
      <c r="Q31" s="167">
        <f>+(bilsysbansept99!P62-bilsysbansept99!P61)/bilsysbansept99!P51</f>
        <v>3.2282147791700413</v>
      </c>
      <c r="R31" s="167">
        <f>+(bilsysbansept99!Q62-bilsysbansept99!Q61)/bilsysbansept99!Q51</f>
        <v>0.24694071828627295</v>
      </c>
      <c r="S31" s="60"/>
      <c r="T31" s="1"/>
      <c r="U31" s="1"/>
      <c r="V31" s="1"/>
      <c r="W31" s="1"/>
      <c r="X31" s="1"/>
      <c r="Y31" s="1"/>
      <c r="Z31" s="1"/>
      <c r="AA31" s="1"/>
      <c r="AB31" s="1"/>
      <c r="AC31" s="1"/>
      <c r="AD31" s="1"/>
      <c r="AE31" s="1"/>
      <c r="AF31" s="1"/>
      <c r="AG31" s="1"/>
      <c r="AH31" s="1"/>
      <c r="AI31" s="1"/>
      <c r="AJ31" s="1"/>
      <c r="AK31" s="1"/>
      <c r="AL31" s="1"/>
      <c r="AM31" s="1"/>
      <c r="AN31" s="1"/>
      <c r="AO31" s="1"/>
      <c r="AP31" s="1"/>
    </row>
    <row r="32" spans="1:42" ht="9" customHeight="1" thickBot="1">
      <c r="A32" s="70" t="s">
        <v>0</v>
      </c>
      <c r="B32" s="420"/>
      <c r="C32" s="421"/>
      <c r="D32" s="421"/>
      <c r="E32" s="421"/>
      <c r="F32" s="421"/>
      <c r="G32" s="421"/>
      <c r="H32" s="421"/>
      <c r="I32" s="421"/>
      <c r="J32" s="421"/>
      <c r="K32" s="168"/>
      <c r="L32" s="1141"/>
      <c r="M32" s="421"/>
      <c r="N32" s="169" t="s">
        <v>0</v>
      </c>
      <c r="O32" s="421"/>
      <c r="P32" s="421"/>
      <c r="Q32" s="169"/>
      <c r="R32" s="170"/>
      <c r="S32" s="60"/>
      <c r="T32" s="1"/>
      <c r="U32" s="1"/>
      <c r="V32" s="1"/>
      <c r="W32" s="1"/>
      <c r="X32" s="1"/>
      <c r="Y32" s="1"/>
      <c r="Z32" s="1"/>
      <c r="AA32" s="1"/>
      <c r="AB32" s="1"/>
      <c r="AC32" s="1"/>
      <c r="AD32" s="1"/>
      <c r="AE32" s="1"/>
      <c r="AF32" s="1"/>
      <c r="AG32" s="1"/>
      <c r="AH32" s="1"/>
      <c r="AI32" s="1"/>
      <c r="AJ32" s="1"/>
      <c r="AK32" s="1"/>
      <c r="AL32" s="1"/>
      <c r="AM32" s="1"/>
      <c r="AN32" s="1"/>
      <c r="AO32" s="1"/>
      <c r="AP32" s="1"/>
    </row>
    <row r="33" spans="1:42" ht="16.5" thickBot="1">
      <c r="A33" s="162" t="s">
        <v>395</v>
      </c>
      <c r="B33" s="419"/>
      <c r="C33" s="353"/>
      <c r="D33" s="422"/>
      <c r="E33" s="422"/>
      <c r="F33" s="353"/>
      <c r="G33" s="353"/>
      <c r="H33" s="353"/>
      <c r="I33" s="353"/>
      <c r="J33" s="353"/>
      <c r="K33" s="165" t="s">
        <v>0</v>
      </c>
      <c r="L33" s="438"/>
      <c r="M33" s="353"/>
      <c r="N33" s="166" t="s">
        <v>0</v>
      </c>
      <c r="O33" s="353"/>
      <c r="P33" s="353"/>
      <c r="Q33" s="166" t="s">
        <v>0</v>
      </c>
      <c r="R33" s="167" t="s">
        <v>0</v>
      </c>
      <c r="S33" s="60"/>
      <c r="T33" s="1"/>
      <c r="U33" s="1"/>
      <c r="V33" s="1"/>
      <c r="W33" s="1"/>
      <c r="X33" s="1"/>
      <c r="Y33" s="1"/>
      <c r="Z33" s="1"/>
      <c r="AA33" s="1"/>
      <c r="AB33" s="1"/>
      <c r="AC33" s="1"/>
      <c r="AD33" s="1"/>
      <c r="AE33" s="1"/>
      <c r="AF33" s="1"/>
      <c r="AG33" s="1"/>
      <c r="AH33" s="1"/>
      <c r="AI33" s="1"/>
      <c r="AJ33" s="1"/>
      <c r="AK33" s="1"/>
      <c r="AL33" s="1"/>
      <c r="AM33" s="1"/>
      <c r="AN33" s="1"/>
      <c r="AO33" s="1"/>
      <c r="AP33" s="1"/>
    </row>
    <row r="34" spans="1:42" ht="12" customHeight="1">
      <c r="A34" s="87" t="s">
        <v>222</v>
      </c>
      <c r="B34" s="419"/>
      <c r="C34" s="353"/>
      <c r="D34" s="422"/>
      <c r="E34" s="422"/>
      <c r="F34" s="353"/>
      <c r="G34" s="353"/>
      <c r="H34" s="353"/>
      <c r="I34" s="353"/>
      <c r="J34" s="353"/>
      <c r="K34" s="165" t="s">
        <v>0</v>
      </c>
      <c r="L34" s="438"/>
      <c r="M34" s="353"/>
      <c r="N34" s="166" t="s">
        <v>0</v>
      </c>
      <c r="O34" s="353"/>
      <c r="P34" s="353"/>
      <c r="Q34" s="166" t="s">
        <v>0</v>
      </c>
      <c r="R34" s="167" t="s">
        <v>0</v>
      </c>
      <c r="S34" s="60"/>
      <c r="T34" s="1"/>
      <c r="U34" s="1"/>
      <c r="V34" s="1"/>
      <c r="W34" s="1"/>
      <c r="X34" s="1"/>
      <c r="Y34" s="1"/>
      <c r="Z34" s="1"/>
      <c r="AA34" s="1"/>
      <c r="AB34" s="1"/>
      <c r="AC34" s="1"/>
      <c r="AD34" s="1"/>
      <c r="AE34" s="1"/>
      <c r="AF34" s="1"/>
      <c r="AG34" s="1"/>
      <c r="AH34" s="1"/>
      <c r="AI34" s="1"/>
      <c r="AJ34" s="1"/>
      <c r="AK34" s="1"/>
      <c r="AL34" s="1"/>
      <c r="AM34" s="1"/>
      <c r="AN34" s="1"/>
      <c r="AO34" s="1"/>
      <c r="AP34" s="1"/>
    </row>
    <row r="35" spans="1:42">
      <c r="A35" s="1" t="s">
        <v>396</v>
      </c>
      <c r="B35" s="419">
        <f>+('RÉSULTsyst  '!B42/((bichvar!B22+bichvar!J22)/2)*4)</f>
        <v>1.3872400093479759E-2</v>
      </c>
      <c r="C35" s="353">
        <f>+('RÉSULTsyst  '!C42/((bncvar!B22+bncvar!J22)/2)*4)</f>
        <v>-2.6988324160118885E-3</v>
      </c>
      <c r="D35" s="422">
        <f>+('RÉSULTsyst  '!D42/((bphvar!B22+bphvar!J22)/2)*4)</f>
        <v>1.4444361523109686E-3</v>
      </c>
      <c r="E35" s="422">
        <f>+('RÉSULTsyst  '!E42/((buhvar!B22+buhvar!J22)/2)*4)</f>
        <v>-2.5180904098660579E-3</v>
      </c>
      <c r="F35" s="353">
        <f>+('RÉSULTsyst  '!F42/((capitalbkvar!B22+capitalbkvar!J22)/2)*4)</f>
        <v>1.6097465825083788E-2</v>
      </c>
      <c r="G35" s="353">
        <f>+('RÉSULTsyst  '!G42/((promobkvar!B22+promobkvar!J22)/2)*4)</f>
        <v>2.3008967483244675E-2</v>
      </c>
      <c r="H35" s="353">
        <f>+('RÉSULTsyst  '!H42/((socabkvar!B22+socabkvar!J22)/2)*4)</f>
        <v>9.6437643463767979E-3</v>
      </c>
      <c r="I35" s="353">
        <f>+('RÉSULTsyst  '!I42/((sogebkvar!B22+sogebkvar!J22)/2)*4)</f>
        <v>1.2285187089496994E-2</v>
      </c>
      <c r="J35" s="353">
        <f>+('RÉSULTsyst  '!J42/((unibkvar!B22+unibkvar!J22)/2)*4)</f>
        <v>1.2769750507598893E-2</v>
      </c>
      <c r="K35" s="165">
        <f>+('RÉSULTsyst  '!K42/((bilsysbansept99!K22+'bilsysbandéc.99  '!K22)/2)*4)</f>
        <v>9.5167803213245077E-3</v>
      </c>
      <c r="L35" s="1144">
        <f>+('RÉSULTsyst  '!L42/('bilsysbandéc.99  '!L22/2)*4)</f>
        <v>-0.34000909039259131</v>
      </c>
      <c r="M35" s="353">
        <f>+('RÉSULTsyst  '!M42/((sgbelvar!B22+sgbelvar!J22)/2)*4)</f>
        <v>2.9441296501959334E-2</v>
      </c>
      <c r="N35" s="166">
        <f>+('RÉSULTsyst  '!N42/((bilsysbansept99!M22+'bilsysbandéc.99  '!N22)/2)*4)</f>
        <v>1.9738498652056843E-2</v>
      </c>
      <c r="O35" s="353">
        <f>+('RÉSULTsyst  '!O42/((cbnavar!B22+cbnavar!J22)/2)*4)</f>
        <v>2.9581379179199719E-2</v>
      </c>
      <c r="P35" s="353">
        <f>+('RÉSULTsyst  '!P42/((scotiavar!B22+scotiavar!J22)/2)*4)</f>
        <v>5.2872125930241596E-3</v>
      </c>
      <c r="Q35" s="166">
        <f>+('RÉSULTsyst  '!Q42/((bilsysbansept99!P22+'bilsysbandéc.99  '!Q22)/2)*4)</f>
        <v>2.0343793587768451E-2</v>
      </c>
      <c r="R35" s="167">
        <f>+('RÉSULTsyst  '!R42/((bilsysbansept99!Q22+'bilsysbandéc.99  '!R22)/2)*4)</f>
        <v>1.100441302706673E-2</v>
      </c>
      <c r="S35" s="60"/>
      <c r="T35" s="1"/>
      <c r="U35" s="1"/>
      <c r="V35" s="1"/>
      <c r="W35" s="1"/>
      <c r="X35" s="1"/>
      <c r="Y35" s="1"/>
      <c r="Z35" s="1"/>
      <c r="AA35" s="1"/>
      <c r="AB35" s="1"/>
      <c r="AC35" s="1"/>
      <c r="AD35" s="1"/>
      <c r="AE35" s="1"/>
      <c r="AF35" s="1"/>
      <c r="AG35" s="1"/>
      <c r="AH35" s="1"/>
      <c r="AI35" s="1"/>
      <c r="AJ35" s="1"/>
      <c r="AK35" s="1"/>
      <c r="AL35" s="1"/>
      <c r="AM35" s="1"/>
      <c r="AN35" s="1"/>
      <c r="AO35" s="1"/>
      <c r="AP35" s="1"/>
    </row>
    <row r="36" spans="1:42">
      <c r="A36" s="1" t="s">
        <v>397</v>
      </c>
      <c r="B36" s="419">
        <v>2.86E-2</v>
      </c>
      <c r="C36" s="353">
        <v>-2.7E-2</v>
      </c>
      <c r="D36" s="422">
        <v>1.32E-2</v>
      </c>
      <c r="E36" s="422">
        <v>6.3E-3</v>
      </c>
      <c r="F36" s="353">
        <v>1.7100000000000001E-2</v>
      </c>
      <c r="G36" s="353">
        <v>1.6000000000000001E-3</v>
      </c>
      <c r="H36" s="353">
        <v>5.0000000000000001E-3</v>
      </c>
      <c r="I36" s="353">
        <v>4.4999999999999997E-3</v>
      </c>
      <c r="J36" s="353">
        <v>1.06E-2</v>
      </c>
      <c r="K36" s="165">
        <v>1.6000000000000001E-3</v>
      </c>
      <c r="L36" s="1148">
        <v>0</v>
      </c>
      <c r="M36" s="353">
        <v>1.06E-2</v>
      </c>
      <c r="N36" s="166">
        <f>+M36</f>
        <v>1.06E-2</v>
      </c>
      <c r="O36" s="353">
        <v>1.7000000000000001E-2</v>
      </c>
      <c r="P36" s="353">
        <v>6.4000000000000003E-3</v>
      </c>
      <c r="Q36" s="166">
        <v>1.26E-2</v>
      </c>
      <c r="R36" s="167">
        <f>+(16537.9/((18356288.7+18210437.7)/2)*4)</f>
        <v>3.6181308261709756E-3</v>
      </c>
      <c r="S36" s="60"/>
      <c r="T36" s="1"/>
      <c r="U36" s="1"/>
      <c r="V36" s="1"/>
      <c r="W36" s="1"/>
      <c r="X36" s="1"/>
      <c r="Y36" s="1"/>
      <c r="Z36" s="1"/>
      <c r="AA36" s="1"/>
      <c r="AB36" s="1"/>
      <c r="AC36" s="1"/>
      <c r="AD36" s="1"/>
      <c r="AE36" s="1"/>
      <c r="AF36" s="1"/>
      <c r="AG36" s="1"/>
      <c r="AH36" s="1"/>
      <c r="AI36" s="1"/>
      <c r="AJ36" s="1"/>
      <c r="AK36" s="1"/>
      <c r="AL36" s="1"/>
      <c r="AM36" s="1"/>
      <c r="AN36" s="1"/>
      <c r="AO36" s="1"/>
      <c r="AP36" s="1"/>
    </row>
    <row r="37" spans="1:42" ht="16.149999999999999" customHeight="1">
      <c r="A37" s="909" t="s">
        <v>398</v>
      </c>
      <c r="B37" s="353">
        <f>+('résultsyscumul '!B42/((bichvar!B22+bichvar!J22)/2)*4)</f>
        <v>1.3872400093479759E-2</v>
      </c>
      <c r="C37" s="353">
        <f>+('résultsyscumul '!C42/((bncvar!J22+bncvar!B22)/2)*4)</f>
        <v>-2.6988324160118885E-3</v>
      </c>
      <c r="D37" s="422">
        <f>+('résultsyscumul '!D42/((bphvar!J22+bphvar!B22)/2)*4)</f>
        <v>1.4444361523109686E-3</v>
      </c>
      <c r="E37" s="422">
        <f>+('résultsyscumul '!E42/((buhvar!J22+buhvar!B22)/2)*4)</f>
        <v>-2.5180904098660579E-3</v>
      </c>
      <c r="F37" s="353">
        <f>+('résultsyscumul '!F42/((capitalbkvar!J22+capitalbkvar!B22)/2)*4)</f>
        <v>1.6097465825083788E-2</v>
      </c>
      <c r="G37" s="353">
        <f>+('résultsyscumul '!G42/((promobkvar!J22+promobkvar!B22)/2)*4)</f>
        <v>2.3008967483244675E-2</v>
      </c>
      <c r="H37" s="353">
        <f>+('résultsyscumul '!H42/((socabkvar!J22+socabkvar!B22)/2)*4)</f>
        <v>9.6437643463767979E-3</v>
      </c>
      <c r="I37" s="353">
        <f>+('résultsyscumul '!I42/((sogebkvar!J22+sogebkvar!B22)/2)*4)</f>
        <v>1.2285187089496994E-2</v>
      </c>
      <c r="J37" s="353">
        <f>+('résultsyscumul '!J42/((unibkvar!J22+unibkvar!B22)/2)*4)</f>
        <v>1.2769750507598893E-2</v>
      </c>
      <c r="K37" s="165">
        <f>+('résultsyscumul '!K42/((bilsysbansept99!K22+'bilsysbandéc.99  '!K22)/2)*4)</f>
        <v>9.5167803213245077E-3</v>
      </c>
      <c r="L37" s="1144">
        <f>+L35</f>
        <v>-0.34000909039259131</v>
      </c>
      <c r="M37" s="353">
        <f>+('résultsyscumul '!M42/((sgbelvar!J22+sgbelvar!B22)/2)*4)</f>
        <v>2.9441296501959334E-2</v>
      </c>
      <c r="N37" s="166">
        <f>+N35</f>
        <v>1.9738498652056843E-2</v>
      </c>
      <c r="O37" s="353">
        <f>+('résultsyscumul '!O42/((cbnavar!J22+cbnavar!B22)/2)*4)</f>
        <v>2.9581379179199719E-2</v>
      </c>
      <c r="P37" s="353">
        <f>+('résultsyscumul '!P42/((scotiavar!J22+scotiavar!B22)/2)*4)</f>
        <v>5.2872125930241596E-3</v>
      </c>
      <c r="Q37" s="166">
        <f>+('résultsyscumul '!Q42/((bilsysbansept99!P22+'bilsysbandéc.99  '!Q22)/2)*4)</f>
        <v>2.0343793587768451E-2</v>
      </c>
      <c r="R37" s="167">
        <f>+('résultsyscumul '!R42/((bilsysbansept99!Q22+'bilsysbandéc.99  '!R22)/2)*4)</f>
        <v>1.100441302706673E-2</v>
      </c>
      <c r="S37" s="60"/>
      <c r="T37" s="1"/>
      <c r="U37" s="1"/>
      <c r="V37" s="1"/>
      <c r="W37" s="1"/>
      <c r="X37" s="1"/>
      <c r="Y37" s="1"/>
      <c r="Z37" s="1"/>
      <c r="AA37" s="1"/>
      <c r="AB37" s="1"/>
      <c r="AC37" s="1"/>
      <c r="AD37" s="1"/>
      <c r="AE37" s="1"/>
      <c r="AF37" s="1"/>
      <c r="AG37" s="1"/>
      <c r="AH37" s="1"/>
      <c r="AI37" s="1"/>
      <c r="AJ37" s="1"/>
      <c r="AK37" s="1"/>
      <c r="AL37" s="1"/>
      <c r="AM37" s="1"/>
      <c r="AN37" s="1"/>
      <c r="AO37" s="1"/>
      <c r="AP37" s="1"/>
    </row>
    <row r="38" spans="1:42" ht="16.149999999999999" customHeight="1">
      <c r="A38" s="72" t="s">
        <v>399</v>
      </c>
      <c r="B38" s="419">
        <v>2.86E-2</v>
      </c>
      <c r="C38" s="353">
        <v>-2.7E-2</v>
      </c>
      <c r="D38" s="422">
        <v>1.32E-2</v>
      </c>
      <c r="E38" s="422">
        <v>6.3E-3</v>
      </c>
      <c r="F38" s="353">
        <v>1.7100000000000001E-2</v>
      </c>
      <c r="G38" s="353">
        <v>1.6000000000000001E-3</v>
      </c>
      <c r="H38" s="353">
        <v>5.0000000000000001E-3</v>
      </c>
      <c r="I38" s="353">
        <v>4.4999999999999997E-3</v>
      </c>
      <c r="J38" s="353">
        <v>1.06E-2</v>
      </c>
      <c r="K38" s="165">
        <v>1.6000000000000001E-3</v>
      </c>
      <c r="L38" s="1148">
        <v>0</v>
      </c>
      <c r="M38" s="353">
        <v>1.06E-2</v>
      </c>
      <c r="N38" s="166">
        <f>+M38</f>
        <v>1.06E-2</v>
      </c>
      <c r="O38" s="353">
        <v>1.7000000000000001E-2</v>
      </c>
      <c r="P38" s="353">
        <v>6.4000000000000003E-3</v>
      </c>
      <c r="Q38" s="166">
        <v>1.26E-2</v>
      </c>
      <c r="R38" s="167">
        <v>3.5999999999999999E-3</v>
      </c>
      <c r="S38" s="60"/>
      <c r="T38" s="1"/>
      <c r="U38" s="1"/>
      <c r="V38" s="1"/>
      <c r="W38" s="1"/>
      <c r="X38" s="1"/>
      <c r="Y38" s="1"/>
      <c r="Z38" s="1"/>
      <c r="AA38" s="1"/>
      <c r="AB38" s="1"/>
      <c r="AC38" s="1"/>
      <c r="AD38" s="1"/>
      <c r="AE38" s="1"/>
      <c r="AF38" s="1"/>
      <c r="AG38" s="1"/>
      <c r="AH38" s="1"/>
      <c r="AI38" s="1"/>
      <c r="AJ38" s="1"/>
      <c r="AK38" s="1"/>
      <c r="AL38" s="1"/>
      <c r="AM38" s="1"/>
      <c r="AN38" s="1"/>
      <c r="AO38" s="1"/>
      <c r="AP38" s="1"/>
    </row>
    <row r="39" spans="1:42" ht="6.6" customHeight="1">
      <c r="A39" s="1" t="s">
        <v>0</v>
      </c>
      <c r="B39" s="419"/>
      <c r="C39" s="353"/>
      <c r="D39" s="422"/>
      <c r="E39" s="422"/>
      <c r="F39" s="353"/>
      <c r="G39" s="353"/>
      <c r="H39" s="353"/>
      <c r="I39" s="353"/>
      <c r="J39" s="353"/>
      <c r="K39" s="165" t="s">
        <v>0</v>
      </c>
      <c r="L39" s="438"/>
      <c r="M39" s="353"/>
      <c r="N39" s="166" t="s">
        <v>0</v>
      </c>
      <c r="O39" s="353"/>
      <c r="P39" s="353"/>
      <c r="Q39" s="166" t="s">
        <v>0</v>
      </c>
      <c r="R39" s="167" t="s">
        <v>0</v>
      </c>
      <c r="S39" s="60" t="s">
        <v>0</v>
      </c>
      <c r="T39" s="1"/>
      <c r="U39" s="1"/>
      <c r="V39" s="1"/>
      <c r="W39" s="1"/>
      <c r="X39" s="1"/>
      <c r="Y39" s="1"/>
      <c r="Z39" s="1"/>
      <c r="AA39" s="1"/>
      <c r="AB39" s="1"/>
      <c r="AC39" s="1"/>
      <c r="AD39" s="1"/>
      <c r="AE39" s="1"/>
      <c r="AF39" s="1"/>
      <c r="AG39" s="1"/>
      <c r="AH39" s="1"/>
      <c r="AI39" s="1"/>
      <c r="AJ39" s="1"/>
      <c r="AK39" s="1"/>
      <c r="AL39" s="1"/>
      <c r="AM39" s="1"/>
      <c r="AN39" s="1"/>
      <c r="AO39" s="1"/>
      <c r="AP39" s="1"/>
    </row>
    <row r="40" spans="1:42" ht="12" customHeight="1">
      <c r="A40" s="87" t="s">
        <v>400</v>
      </c>
      <c r="B40" s="419"/>
      <c r="C40" s="353"/>
      <c r="D40" s="422"/>
      <c r="E40" s="422"/>
      <c r="F40" s="353"/>
      <c r="G40" s="353"/>
      <c r="H40" s="353"/>
      <c r="I40" s="353"/>
      <c r="J40" s="353"/>
      <c r="K40" s="171" t="s">
        <v>0</v>
      </c>
      <c r="L40" s="1142"/>
      <c r="M40" s="353"/>
      <c r="N40" s="166" t="s">
        <v>0</v>
      </c>
      <c r="O40" s="353"/>
      <c r="P40" s="353"/>
      <c r="Q40" s="171" t="s">
        <v>0</v>
      </c>
      <c r="R40" s="171" t="s">
        <v>0</v>
      </c>
      <c r="S40" s="60"/>
      <c r="T40" s="1"/>
      <c r="U40" s="1"/>
      <c r="V40" s="1"/>
      <c r="W40" s="1"/>
      <c r="X40" s="1"/>
      <c r="Y40" s="1"/>
      <c r="Z40" s="1"/>
      <c r="AA40" s="1"/>
      <c r="AB40" s="1"/>
      <c r="AC40" s="1"/>
      <c r="AD40" s="1"/>
      <c r="AE40" s="1"/>
      <c r="AF40" s="1"/>
      <c r="AG40" s="1"/>
      <c r="AH40" s="1"/>
      <c r="AI40" s="1"/>
      <c r="AJ40" s="1"/>
      <c r="AK40" s="1"/>
      <c r="AL40" s="1"/>
      <c r="AM40" s="1"/>
      <c r="AN40" s="1"/>
      <c r="AO40" s="1"/>
      <c r="AP40" s="1"/>
    </row>
    <row r="41" spans="1:42">
      <c r="A41" s="1" t="s">
        <v>396</v>
      </c>
      <c r="B41" s="419">
        <f>+('RÉSULTsyst  '!B42/((bichvar!B51+bichvar!J51)/2)*4)</f>
        <v>2.5703423370370002E-2</v>
      </c>
      <c r="C41" s="353">
        <f>+('RÉSULTsyst  '!C42/((bncvar!B51+bncvar!J51)/2)*4)</f>
        <v>-0.10765565642907733</v>
      </c>
      <c r="D41" s="422">
        <f>+('RÉSULTsyst  '!D42/((bphvar!B51+bphvar!J51)/2)*4)</f>
        <v>3.9748463569004105E-2</v>
      </c>
      <c r="E41" s="423">
        <f>+('RÉSULTsyst  '!E42/((buhvar!B51+buhvar!J51)/2)*4)</f>
        <v>-0.11816958277254375</v>
      </c>
      <c r="F41" s="353">
        <f>+('RÉSULTsyst  '!F42/((capitalbkvar!B51+capitalbkvar!J51)/2)*4)</f>
        <v>0.14589192595443415</v>
      </c>
      <c r="G41" s="574">
        <f>+('RÉSULTsyst  '!G42/((promobkvar!B51+promobkvar!J51)/2)*4)</f>
        <v>0.38920250255643402</v>
      </c>
      <c r="H41" s="353">
        <f>+('RÉSULTsyst  '!H42/((socabkvar!B51+socabkvar!J51)/2)*4)</f>
        <v>0.19585561553718145</v>
      </c>
      <c r="I41" s="353">
        <f>+('RÉSULTsyst  '!I42/((sogebkvar!B51+sogebkvar!J51)/2)*4)</f>
        <v>0.18221981051253039</v>
      </c>
      <c r="J41" s="353">
        <f>+('RÉSULTsyst  '!J42/((unibkvar!B51+unibkvar!J51)/2)*4)</f>
        <v>0.2334029087594667</v>
      </c>
      <c r="K41" s="165">
        <f>+('RÉSULTsyst  '!K42/((bilsysbansept99!K51+'bilsysbandéc.99  '!K51)/2)*4)</f>
        <v>0.17640741951156294</v>
      </c>
      <c r="L41" s="1144">
        <f>+('RÉSULTsyst  '!L42/('bilsysbandéc.99  '!L51/2)*4)</f>
        <v>-0.77092525200476647</v>
      </c>
      <c r="M41" s="353">
        <f>+('RÉSULTsyst  '!M42/((sgbelvar!B51+sgbelvar!J51)/2)*4)</f>
        <v>0.36756782609735406</v>
      </c>
      <c r="N41" s="166">
        <f>+('RÉSULTsyst  '!N42/((bilsysbansept99!M51+'bilsysbandéc.99  '!N51)/2)*4)</f>
        <v>0.22035242896139035</v>
      </c>
      <c r="O41" s="353">
        <f>+('RÉSULTsyst  '!O42/((cbnavar!B51+cbnavar!J51)/2)*4)</f>
        <v>1.220589424865856</v>
      </c>
      <c r="P41" s="353">
        <f>+('RÉSULTsyst  '!P42/((scotiavar!B51+scotiavar!J51)/2)*4)</f>
        <v>0.27517392388924306</v>
      </c>
      <c r="Q41" s="166">
        <f>+('RÉSULTsyst  '!Q42/((bilsysbansept99!P51+'bilsysbandéc.99  '!Q51)/2)*4)</f>
        <v>0.91121330031835868</v>
      </c>
      <c r="R41" s="167">
        <f>+('RÉSULTsyst  '!R42/((bilsysbansept99!Q51+'bilsysbandéc.99  '!R51)/2)*4)</f>
        <v>0.21482830157993479</v>
      </c>
      <c r="S41" s="60"/>
      <c r="T41" s="1"/>
      <c r="U41" s="1"/>
      <c r="V41" s="1"/>
      <c r="W41" s="1"/>
      <c r="X41" s="1"/>
      <c r="Y41" s="1"/>
      <c r="Z41" s="1"/>
      <c r="AA41" s="1"/>
      <c r="AB41" s="1"/>
      <c r="AC41" s="1"/>
      <c r="AD41" s="1"/>
      <c r="AE41" s="1"/>
      <c r="AF41" s="1"/>
      <c r="AG41" s="1"/>
      <c r="AH41" s="1"/>
      <c r="AI41" s="1"/>
      <c r="AJ41" s="1"/>
      <c r="AK41" s="1"/>
      <c r="AL41" s="1"/>
      <c r="AM41" s="1"/>
      <c r="AN41" s="1"/>
      <c r="AO41" s="1"/>
      <c r="AP41" s="1"/>
    </row>
    <row r="42" spans="1:42">
      <c r="A42" s="1" t="s">
        <v>397</v>
      </c>
      <c r="B42" s="419">
        <v>5.3800000000000001E-2</v>
      </c>
      <c r="C42" s="353">
        <v>-0.49759999999999999</v>
      </c>
      <c r="D42" s="422">
        <v>0.40250000000000002</v>
      </c>
      <c r="E42" s="422">
        <v>0.12570000000000001</v>
      </c>
      <c r="F42" s="353">
        <v>0.1123</v>
      </c>
      <c r="G42" s="353">
        <v>2.53E-2</v>
      </c>
      <c r="H42" s="353">
        <v>8.8800000000000004E-2</v>
      </c>
      <c r="I42" s="353">
        <v>6.1699999999999998E-2</v>
      </c>
      <c r="J42" s="353">
        <v>0.2157</v>
      </c>
      <c r="K42" s="165">
        <v>2.7400000000000001E-2</v>
      </c>
      <c r="L42" s="1148">
        <v>0</v>
      </c>
      <c r="M42" s="353">
        <v>0.16700000000000001</v>
      </c>
      <c r="N42" s="166">
        <f>+M42</f>
        <v>0.16700000000000001</v>
      </c>
      <c r="O42" s="353">
        <v>1.9557</v>
      </c>
      <c r="P42" s="353">
        <v>0.41160000000000002</v>
      </c>
      <c r="Q42" s="166">
        <v>1.0969</v>
      </c>
      <c r="R42" s="167">
        <f>+(16537.9/((1110607.3+1034905.5)/2)*4)</f>
        <v>6.1665071399247783E-2</v>
      </c>
      <c r="S42" s="60"/>
      <c r="T42" s="1"/>
      <c r="U42" s="1"/>
      <c r="V42" s="1"/>
      <c r="W42" s="1"/>
      <c r="X42" s="1"/>
      <c r="Y42" s="1"/>
      <c r="Z42" s="1"/>
      <c r="AA42" s="1"/>
      <c r="AB42" s="1"/>
      <c r="AC42" s="1"/>
      <c r="AD42" s="1"/>
      <c r="AE42" s="1"/>
      <c r="AF42" s="1"/>
      <c r="AG42" s="1"/>
      <c r="AH42" s="1"/>
      <c r="AI42" s="1"/>
      <c r="AJ42" s="1"/>
      <c r="AK42" s="1"/>
      <c r="AL42" s="1"/>
      <c r="AM42" s="1"/>
      <c r="AN42" s="1"/>
      <c r="AO42" s="1"/>
      <c r="AP42" s="1"/>
    </row>
    <row r="43" spans="1:42">
      <c r="A43" s="909" t="s">
        <v>398</v>
      </c>
      <c r="B43" s="419">
        <f>+('résultsyscumul '!B42/((bichvar!B51+bichvar!J51)/2)*4)</f>
        <v>2.5703423370370002E-2</v>
      </c>
      <c r="C43" s="353">
        <f>+('résultsyscumul '!C42/((bncvar!B51+bncvar!J51)/2)*4)</f>
        <v>-0.10765565642907733</v>
      </c>
      <c r="D43" s="422">
        <f>+('résultsyscumul '!D42/((bphvar!B51+bphvar!J51)/2)*4)</f>
        <v>3.9748463569004105E-2</v>
      </c>
      <c r="E43" s="423">
        <f>+('résultsyscumul '!E42/((buhvar!B51+buhvar!J51)/2)*4)</f>
        <v>-0.11816958277254375</v>
      </c>
      <c r="F43" s="353">
        <f>+('résultsyscumul '!F42/((capitalbkvar!B51+capitalbkvar!J51)/2)*4)</f>
        <v>0.14589192595443415</v>
      </c>
      <c r="G43" s="353">
        <f>+('résultsyscumul '!G42/((promobkvar!B51+promobkvar!J51)/2)*4)</f>
        <v>0.38920250255643402</v>
      </c>
      <c r="H43" s="353">
        <f>+('résultsyscumul '!H42/((socabkvar!B51+socabkvar!J51)/2)*4)</f>
        <v>0.19585561553718145</v>
      </c>
      <c r="I43" s="353">
        <f>+('résultsyscumul '!I42/((sogebkvar!B51+sogebkvar!J51)/2)*4)</f>
        <v>0.18221981051253039</v>
      </c>
      <c r="J43" s="353">
        <f>+('résultsyscumul '!J42/((unibkvar!B51+unibkvar!J51)/2)*4)</f>
        <v>0.2334029087594667</v>
      </c>
      <c r="K43" s="165">
        <f>+('résultsyscumul '!K42/((bilsysbansept99!K51+'bilsysbandéc.99  '!K51)/2)*4)</f>
        <v>0.17640741951156294</v>
      </c>
      <c r="L43" s="1144">
        <f>+L41</f>
        <v>-0.77092525200476647</v>
      </c>
      <c r="M43" s="353">
        <f>+('résultsyscumul '!M42/((sgbelvar!B51+sgbelvar!J51)/2)*4)</f>
        <v>0.36756782609735406</v>
      </c>
      <c r="N43" s="166">
        <f>+N41</f>
        <v>0.22035242896139035</v>
      </c>
      <c r="O43" s="353">
        <f>+('résultsyscumul '!O42/((cbnavar!B51+cbnavar!J51)/2)*4)</f>
        <v>1.220589424865856</v>
      </c>
      <c r="P43" s="353">
        <f>+('résultsyscumul '!P42/((scotiavar!B51+scotiavar!J51)/2)*4)</f>
        <v>0.27517392388924306</v>
      </c>
      <c r="Q43" s="166">
        <f>+('résultsyscumul '!Q42/((bilsysbansept99!P51+'bilsysbandéc.99  '!Q51)/2)*4)</f>
        <v>0.91121330031835868</v>
      </c>
      <c r="R43" s="167">
        <f>+('résultsyscumul '!R42/((bilsysbansept99!Q51+'bilsysbandéc.99  '!R51)/2)*4)</f>
        <v>0.21482830157993479</v>
      </c>
      <c r="S43" s="60"/>
      <c r="T43" s="1"/>
      <c r="U43" s="1"/>
      <c r="V43" s="1"/>
      <c r="W43" s="1"/>
      <c r="X43" s="1"/>
      <c r="Y43" s="1"/>
      <c r="Z43" s="1"/>
      <c r="AA43" s="1"/>
      <c r="AB43" s="1"/>
      <c r="AC43" s="1"/>
      <c r="AD43" s="1"/>
      <c r="AE43" s="1"/>
      <c r="AF43" s="1"/>
      <c r="AG43" s="1"/>
      <c r="AH43" s="1"/>
      <c r="AI43" s="1"/>
      <c r="AJ43" s="1"/>
      <c r="AK43" s="1"/>
      <c r="AL43" s="1"/>
      <c r="AM43" s="1"/>
      <c r="AN43" s="1"/>
      <c r="AO43" s="1"/>
      <c r="AP43" s="1"/>
    </row>
    <row r="44" spans="1:42" ht="17.25">
      <c r="A44" s="72" t="s">
        <v>399</v>
      </c>
      <c r="B44" s="419">
        <f t="shared" ref="B44:K44" si="0">+B42</f>
        <v>5.3800000000000001E-2</v>
      </c>
      <c r="C44" s="353">
        <f t="shared" si="0"/>
        <v>-0.49759999999999999</v>
      </c>
      <c r="D44" s="422">
        <f t="shared" si="0"/>
        <v>0.40250000000000002</v>
      </c>
      <c r="E44" s="422">
        <f t="shared" si="0"/>
        <v>0.12570000000000001</v>
      </c>
      <c r="F44" s="353">
        <f t="shared" si="0"/>
        <v>0.1123</v>
      </c>
      <c r="G44" s="353">
        <f t="shared" si="0"/>
        <v>2.53E-2</v>
      </c>
      <c r="H44" s="353">
        <f t="shared" si="0"/>
        <v>8.8800000000000004E-2</v>
      </c>
      <c r="I44" s="353">
        <f t="shared" si="0"/>
        <v>6.1699999999999998E-2</v>
      </c>
      <c r="J44" s="353">
        <f t="shared" si="0"/>
        <v>0.2157</v>
      </c>
      <c r="K44" s="165">
        <f t="shared" si="0"/>
        <v>2.7400000000000001E-2</v>
      </c>
      <c r="L44" s="1148">
        <v>0</v>
      </c>
      <c r="M44" s="353">
        <f>+M42</f>
        <v>0.16700000000000001</v>
      </c>
      <c r="N44" s="166">
        <f>+M44</f>
        <v>0.16700000000000001</v>
      </c>
      <c r="O44" s="353">
        <f>+O42</f>
        <v>1.9557</v>
      </c>
      <c r="P44" s="353">
        <f>+P42</f>
        <v>0.41160000000000002</v>
      </c>
      <c r="Q44" s="166">
        <f>+Q42</f>
        <v>1.0969</v>
      </c>
      <c r="R44" s="167">
        <f>+R42</f>
        <v>6.1665071399247783E-2</v>
      </c>
      <c r="S44" s="64"/>
      <c r="T44" s="66"/>
      <c r="U44" s="66"/>
      <c r="V44" s="66"/>
      <c r="W44" s="1"/>
      <c r="X44" s="1"/>
      <c r="Y44" s="1"/>
      <c r="Z44" s="1"/>
      <c r="AA44" s="1"/>
      <c r="AB44" s="1"/>
      <c r="AC44" s="1"/>
      <c r="AD44" s="1"/>
      <c r="AE44" s="1"/>
      <c r="AF44" s="1"/>
      <c r="AG44" s="1"/>
      <c r="AH44" s="1"/>
      <c r="AI44" s="1"/>
      <c r="AJ44" s="1"/>
      <c r="AK44" s="1"/>
      <c r="AL44" s="1"/>
      <c r="AM44" s="1"/>
      <c r="AN44" s="1"/>
      <c r="AO44" s="1"/>
      <c r="AP44" s="1"/>
    </row>
    <row r="45" spans="1:42" ht="8.4499999999999993" customHeight="1">
      <c r="A45" s="72"/>
      <c r="B45" s="419"/>
      <c r="C45" s="353"/>
      <c r="D45" s="422"/>
      <c r="E45" s="422"/>
      <c r="F45" s="353"/>
      <c r="G45" s="353"/>
      <c r="H45" s="353"/>
      <c r="I45" s="353"/>
      <c r="J45" s="353"/>
      <c r="K45" s="171"/>
      <c r="L45" s="1142"/>
      <c r="M45" s="353"/>
      <c r="N45" s="166" t="s">
        <v>0</v>
      </c>
      <c r="O45" s="353"/>
      <c r="P45" s="353"/>
      <c r="Q45" s="171"/>
      <c r="R45" s="171"/>
      <c r="S45" s="64"/>
      <c r="T45" s="66"/>
      <c r="U45" s="66"/>
      <c r="V45" s="66"/>
      <c r="W45" s="1"/>
      <c r="X45" s="1"/>
      <c r="Y45" s="1"/>
      <c r="Z45" s="1"/>
      <c r="AA45" s="1"/>
      <c r="AB45" s="1"/>
      <c r="AC45" s="1"/>
      <c r="AD45" s="1"/>
      <c r="AE45" s="1"/>
      <c r="AF45" s="1"/>
      <c r="AG45" s="1"/>
      <c r="AH45" s="1"/>
      <c r="AI45" s="1"/>
      <c r="AJ45" s="1"/>
      <c r="AK45" s="1"/>
      <c r="AL45" s="1"/>
      <c r="AM45" s="1"/>
      <c r="AN45" s="1"/>
      <c r="AO45" s="1"/>
      <c r="AP45" s="1"/>
    </row>
    <row r="46" spans="1:42" ht="12" customHeight="1">
      <c r="A46" s="152" t="s">
        <v>201</v>
      </c>
      <c r="B46" s="419"/>
      <c r="C46" s="353"/>
      <c r="D46" s="422"/>
      <c r="E46" s="422"/>
      <c r="F46" s="353"/>
      <c r="G46" s="353"/>
      <c r="H46" s="353"/>
      <c r="I46" s="353"/>
      <c r="J46" s="353"/>
      <c r="K46" s="171"/>
      <c r="L46" s="1142"/>
      <c r="M46" s="353"/>
      <c r="N46" s="166" t="s">
        <v>0</v>
      </c>
      <c r="O46" s="353"/>
      <c r="P46" s="353"/>
      <c r="Q46" s="171"/>
      <c r="R46" s="171"/>
      <c r="S46" s="64"/>
      <c r="T46" s="66"/>
      <c r="U46" s="66"/>
      <c r="V46" s="66"/>
      <c r="W46" s="1"/>
      <c r="X46" s="1"/>
      <c r="Y46" s="1"/>
      <c r="Z46" s="1"/>
      <c r="AA46" s="1"/>
      <c r="AB46" s="1"/>
      <c r="AC46" s="1"/>
      <c r="AD46" s="1"/>
      <c r="AE46" s="1"/>
      <c r="AF46" s="1"/>
      <c r="AG46" s="1"/>
      <c r="AH46" s="1"/>
      <c r="AI46" s="1"/>
      <c r="AJ46" s="1"/>
      <c r="AK46" s="1"/>
      <c r="AL46" s="1"/>
      <c r="AM46" s="1"/>
      <c r="AN46" s="1"/>
      <c r="AO46" s="1"/>
      <c r="AP46" s="1"/>
    </row>
    <row r="47" spans="1:42" ht="12" customHeight="1">
      <c r="A47" s="87" t="s">
        <v>225</v>
      </c>
      <c r="B47" s="419"/>
      <c r="C47" s="353"/>
      <c r="D47" s="422"/>
      <c r="E47" s="422"/>
      <c r="F47" s="353"/>
      <c r="G47" s="353"/>
      <c r="H47" s="353"/>
      <c r="I47" s="353"/>
      <c r="J47" s="353"/>
      <c r="K47" s="165" t="s">
        <v>0</v>
      </c>
      <c r="L47" s="438"/>
      <c r="M47" s="353"/>
      <c r="N47" s="166" t="s">
        <v>0</v>
      </c>
      <c r="O47" s="353"/>
      <c r="P47" s="353"/>
      <c r="Q47" s="166" t="s">
        <v>0</v>
      </c>
      <c r="R47" s="167" t="s">
        <v>0</v>
      </c>
      <c r="S47" s="60" t="s">
        <v>0</v>
      </c>
      <c r="T47" s="1"/>
      <c r="U47" s="1"/>
      <c r="V47" s="1"/>
      <c r="W47" s="1"/>
      <c r="X47" s="1"/>
      <c r="Y47" s="1"/>
      <c r="Z47" s="1"/>
      <c r="AA47" s="1"/>
      <c r="AB47" s="1"/>
      <c r="AC47" s="1"/>
      <c r="AD47" s="1"/>
      <c r="AE47" s="1"/>
      <c r="AF47" s="1"/>
      <c r="AG47" s="1"/>
      <c r="AH47" s="1"/>
      <c r="AI47" s="1"/>
      <c r="AJ47" s="1"/>
      <c r="AK47" s="1"/>
      <c r="AL47" s="1"/>
      <c r="AM47" s="1"/>
      <c r="AN47" s="1"/>
      <c r="AO47" s="1"/>
      <c r="AP47" s="1"/>
    </row>
    <row r="48" spans="1:42">
      <c r="A48" s="1" t="s">
        <v>396</v>
      </c>
      <c r="B48" s="419">
        <f>+'RÉSULTsyst  '!B16/'RÉSULTsyst  '!B14</f>
        <v>0.76382306477093198</v>
      </c>
      <c r="C48" s="353">
        <f>+'RÉSULTsyst  '!C16/'RÉSULTsyst  '!C14</f>
        <v>0.67314820836313971</v>
      </c>
      <c r="D48" s="422">
        <f>+'RÉSULTsyst  '!D16/'RÉSULTsyst  '!D14</f>
        <v>0.46575913886599718</v>
      </c>
      <c r="E48" s="422">
        <f>+'RÉSULTsyst  '!E16/'RÉSULTsyst  '!E14</f>
        <v>0.61283200494557655</v>
      </c>
      <c r="F48" s="353">
        <f>+'RÉSULTsyst  '!F16/'RÉSULTsyst  '!F14</f>
        <v>0.66023236333175506</v>
      </c>
      <c r="G48" s="353">
        <f>+'RÉSULTsyst  '!G16/'RÉSULTsyst  '!G14</f>
        <v>0.72328301115818139</v>
      </c>
      <c r="H48" s="353">
        <f>+'RÉSULTsyst  '!H16/'RÉSULTsyst  '!H14</f>
        <v>0.33479411615004834</v>
      </c>
      <c r="I48" s="353">
        <f>+'RÉSULTsyst  '!I16/'RÉSULTsyst  '!I14</f>
        <v>0.74798072957502648</v>
      </c>
      <c r="J48" s="353">
        <f>+'RÉSULTsyst  '!J16/'RÉSULTsyst  '!J14</f>
        <v>0.71138042984823358</v>
      </c>
      <c r="K48" s="165">
        <f>+'RÉSULTsyst  '!K16/'RÉSULTsyst  '!K14</f>
        <v>0.6391078635900902</v>
      </c>
      <c r="L48" s="1144">
        <f>+'RÉSULTsyst  '!L16/'RÉSULTsyst  '!L14</f>
        <v>0.57987643424536617</v>
      </c>
      <c r="M48" s="353">
        <f>+'RÉSULTsyst  '!M16/'RÉSULTsyst  '!M14</f>
        <v>0.69417739663396194</v>
      </c>
      <c r="N48" s="166">
        <f>+'RÉSULTsyst  '!N16/'RÉSULTsyst  '!N14</f>
        <v>0.69417739663396194</v>
      </c>
      <c r="O48" s="353">
        <f>+'RÉSULTsyst  '!O16/'RÉSULTsyst  '!O14</f>
        <v>0.58175059534181328</v>
      </c>
      <c r="P48" s="353">
        <f>+'RÉSULTsyst  '!P16/'RÉSULTsyst  '!P14</f>
        <v>0.70360406693832334</v>
      </c>
      <c r="Q48" s="166">
        <f>+'RÉSULTsyst  '!Q16/'RÉSULTsyst  '!Q14</f>
        <v>0.63333389157776621</v>
      </c>
      <c r="R48" s="167">
        <f>+'RÉSULTsyst  '!R16/'RÉSULTsyst  '!R14</f>
        <v>0.64022150193544991</v>
      </c>
      <c r="S48" s="60" t="s">
        <v>0</v>
      </c>
      <c r="T48" s="1" t="s">
        <v>0</v>
      </c>
      <c r="U48" s="1"/>
      <c r="V48" s="1"/>
      <c r="W48" s="1"/>
      <c r="X48" s="1"/>
      <c r="Y48" s="1"/>
      <c r="Z48" s="1"/>
      <c r="AA48" s="1"/>
      <c r="AB48" s="1"/>
      <c r="AC48" s="1"/>
      <c r="AD48" s="1"/>
      <c r="AE48" s="1"/>
      <c r="AF48" s="1"/>
      <c r="AG48" s="1"/>
      <c r="AH48" s="1"/>
      <c r="AI48" s="1"/>
      <c r="AJ48" s="1"/>
      <c r="AK48" s="1"/>
      <c r="AL48" s="1"/>
      <c r="AM48" s="1"/>
      <c r="AN48" s="1"/>
      <c r="AO48" s="1"/>
      <c r="AP48" s="1"/>
    </row>
    <row r="49" spans="1:42">
      <c r="A49" s="1" t="s">
        <v>397</v>
      </c>
      <c r="B49" s="419">
        <f>+'RÉSULTsyst  '!B58/'RÉSULTsyst  '!B56</f>
        <v>0.76349809885931563</v>
      </c>
      <c r="C49" s="353">
        <f>+'RÉSULTsyst  '!E58/'RÉSULTsyst  '!E56</f>
        <v>0.62075163398692812</v>
      </c>
      <c r="D49" s="422">
        <f>+'RÉSULTsyst  '!F58/'RÉSULTsyst  '!F56</f>
        <v>0.37860784166729144</v>
      </c>
      <c r="E49" s="422">
        <f>+'RÉSULTsyst  '!G58/'RÉSULTsyst  '!G56</f>
        <v>0.54010541643594001</v>
      </c>
      <c r="F49" s="353">
        <f>+'RÉSULTsyst  '!M58/'RÉSULTsyst  '!M56</f>
        <v>0.68413167055920332</v>
      </c>
      <c r="G49" s="353">
        <f>+'RÉSULTsyst  '!H58/'RÉSULTsyst  '!H56</f>
        <v>0.45142555599276479</v>
      </c>
      <c r="H49" s="353">
        <f>+'RÉSULTsyst  '!I58/'RÉSULTsyst  '!I56</f>
        <v>0.27396320755760573</v>
      </c>
      <c r="I49" s="353">
        <f>+'RÉSULTsyst  '!J58/'RÉSULTsyst  '!J56</f>
        <v>0.56358859836656638</v>
      </c>
      <c r="J49" s="353">
        <f>+'RÉSULTsyst  '!K58/'RÉSULTsyst  '!K56</f>
        <v>0.52138628211369831</v>
      </c>
      <c r="K49" s="165">
        <f>+'RÉSULTsyst  '!L58/'RÉSULTsyst  '!L56</f>
        <v>0.50337686681947236</v>
      </c>
      <c r="L49" s="1148">
        <v>0</v>
      </c>
      <c r="M49" s="353">
        <f>+'RÉSULTsyst  '!N58/'RÉSULTsyst  '!N56</f>
        <v>0.40735566188197764</v>
      </c>
      <c r="N49" s="166">
        <f>+M49</f>
        <v>0.40735566188197764</v>
      </c>
      <c r="O49" s="353">
        <f>+'RÉSULTsyst  '!P58/'RÉSULTsyst  '!P56</f>
        <v>0.51798045602605858</v>
      </c>
      <c r="P49" s="353">
        <f>+'RÉSULTsyst  '!Q58/'RÉSULTsyst  '!Q56</f>
        <v>0.64567285908473038</v>
      </c>
      <c r="Q49" s="166">
        <f>+'RÉSULTsyst  '!R58/'RÉSULTsyst  '!R56</f>
        <v>0.574367462757153</v>
      </c>
      <c r="R49" s="167">
        <f>+'RÉSULTsyst  '!S58/'RÉSULTsyst  '!S56</f>
        <v>0.51705123902956263</v>
      </c>
      <c r="S49" s="60"/>
      <c r="T49" s="1"/>
      <c r="U49" s="1"/>
      <c r="V49" s="1"/>
      <c r="W49" s="1"/>
      <c r="X49" s="1"/>
      <c r="Y49" s="1"/>
      <c r="Z49" s="1"/>
      <c r="AA49" s="1"/>
      <c r="AB49" s="1"/>
      <c r="AC49" s="1"/>
      <c r="AD49" s="1"/>
      <c r="AE49" s="1"/>
      <c r="AF49" s="1"/>
      <c r="AG49" s="1"/>
      <c r="AH49" s="1"/>
      <c r="AI49" s="1"/>
      <c r="AJ49" s="1"/>
      <c r="AK49" s="1"/>
      <c r="AL49" s="1"/>
      <c r="AM49" s="1"/>
      <c r="AN49" s="1"/>
      <c r="AO49" s="1"/>
      <c r="AP49" s="1"/>
    </row>
    <row r="50" spans="1:42">
      <c r="A50" s="909" t="s">
        <v>398</v>
      </c>
      <c r="B50" s="419">
        <f>+'résultsyscumul '!B16/'résultsyscumul '!B14</f>
        <v>0.76382306477093198</v>
      </c>
      <c r="C50" s="353">
        <f>+'résultsyscumul '!C16/'résultsyscumul '!C14</f>
        <v>0.67314820836313971</v>
      </c>
      <c r="D50" s="422">
        <f>+'résultsyscumul '!D16/'résultsyscumul '!D14</f>
        <v>0.46575913886599718</v>
      </c>
      <c r="E50" s="422">
        <f>+'résultsyscumul '!E16/'résultsyscumul '!E14</f>
        <v>0.61283200494557655</v>
      </c>
      <c r="F50" s="353">
        <f>+'résultsyscumul '!F16/'résultsyscumul '!F14</f>
        <v>0.66023236333175506</v>
      </c>
      <c r="G50" s="353">
        <f>+'résultsyscumul '!G16/'résultsyscumul '!G14</f>
        <v>0.72328301115818139</v>
      </c>
      <c r="H50" s="353">
        <f>+'résultsyscumul '!H16/'résultsyscumul '!H14</f>
        <v>0.33479411615004834</v>
      </c>
      <c r="I50" s="353">
        <f>+'résultsyscumul '!I16/'résultsyscumul '!I14</f>
        <v>0.74798072957502648</v>
      </c>
      <c r="J50" s="353">
        <f>+'résultsyscumul '!J16/'résultsyscumul '!J14</f>
        <v>0.71138042984823358</v>
      </c>
      <c r="K50" s="165">
        <f>+'résultsyscumul '!K16/'résultsyscumul '!K14</f>
        <v>0.6391078635900902</v>
      </c>
      <c r="L50" s="1144">
        <f>+L48</f>
        <v>0.57987643424536617</v>
      </c>
      <c r="M50" s="353">
        <f>+'résultsyscumul '!M16/'résultsyscumul '!M14</f>
        <v>0.69417739663396194</v>
      </c>
      <c r="N50" s="166">
        <f>+M50</f>
        <v>0.69417739663396194</v>
      </c>
      <c r="O50" s="353">
        <f>+'résultsyscumul '!O16/'résultsyscumul '!O14</f>
        <v>0.58175059534181328</v>
      </c>
      <c r="P50" s="353">
        <f>+'résultsyscumul '!P16/'résultsyscumul '!P14</f>
        <v>0.70360406693832334</v>
      </c>
      <c r="Q50" s="166">
        <f>+'résultsyscumul '!Q16/'résultsyscumul '!Q14</f>
        <v>0.63333389157776621</v>
      </c>
      <c r="R50" s="167">
        <f>+'résultsyscumul '!R16/'résultsyscumul '!R14</f>
        <v>0.64022150193544991</v>
      </c>
      <c r="S50" s="60"/>
      <c r="T50" s="1"/>
      <c r="U50" s="1"/>
      <c r="V50" s="1"/>
      <c r="W50" s="1"/>
      <c r="X50" s="1"/>
      <c r="Y50" s="1"/>
      <c r="Z50" s="1"/>
      <c r="AA50" s="1"/>
      <c r="AB50" s="1"/>
      <c r="AC50" s="1"/>
      <c r="AD50" s="1"/>
      <c r="AE50" s="1"/>
      <c r="AF50" s="1"/>
      <c r="AG50" s="1"/>
      <c r="AH50" s="1"/>
      <c r="AI50" s="1"/>
      <c r="AJ50" s="1"/>
      <c r="AK50" s="1"/>
      <c r="AL50" s="1"/>
      <c r="AM50" s="1"/>
      <c r="AN50" s="1"/>
      <c r="AO50" s="1"/>
      <c r="AP50" s="1"/>
    </row>
    <row r="51" spans="1:42">
      <c r="A51" s="72" t="s">
        <v>399</v>
      </c>
      <c r="B51" s="419">
        <f>+'résultsyscumul '!B57/'résultsyscumul '!B55</f>
        <v>0.76349809885931563</v>
      </c>
      <c r="C51" s="353">
        <f>+'résultsyscumul '!E57/'résultsyscumul '!E55</f>
        <v>0.62075163398692812</v>
      </c>
      <c r="D51" s="422">
        <f>+'résultsyscumul '!F57/'résultsyscumul '!F55</f>
        <v>0.37860784166729144</v>
      </c>
      <c r="E51" s="422">
        <f>+'résultsyscumul '!G57/'résultsyscumul '!G55</f>
        <v>0.54010541643594001</v>
      </c>
      <c r="F51" s="353">
        <f>+'résultsyscumul '!M57/'résultsyscumul '!M55</f>
        <v>0.68413167055920332</v>
      </c>
      <c r="G51" s="353">
        <f>+'résultsyscumul '!H57/'résultsyscumul '!H55</f>
        <v>0.45142555599276479</v>
      </c>
      <c r="H51" s="353">
        <f>+'résultsyscumul '!I57/'résultsyscumul '!I55</f>
        <v>0.27396320755760573</v>
      </c>
      <c r="I51" s="353">
        <f>+'résultsyscumul '!J57/'résultsyscumul '!J55</f>
        <v>0.56358859836656638</v>
      </c>
      <c r="J51" s="353">
        <f>+'résultsyscumul '!K57/'résultsyscumul '!K55</f>
        <v>0.52138628211369831</v>
      </c>
      <c r="K51" s="165">
        <f>+'résultsyscumul '!L57/'résultsyscumul '!L55</f>
        <v>0.50337686681947236</v>
      </c>
      <c r="L51" s="1148">
        <v>0</v>
      </c>
      <c r="M51" s="353">
        <f>+'résultsyscumul '!N57/'résultsyscumul '!N55</f>
        <v>0.40735566188197764</v>
      </c>
      <c r="N51" s="166">
        <f>+M51</f>
        <v>0.40735566188197764</v>
      </c>
      <c r="O51" s="353">
        <f>+'résultsyscumul '!P57/'résultsyscumul '!P55</f>
        <v>0.51798045602605858</v>
      </c>
      <c r="P51" s="353">
        <f>+'résultsyscumul '!Q57/'résultsyscumul '!Q55</f>
        <v>0.64567285908473038</v>
      </c>
      <c r="Q51" s="166">
        <f>+'résultsyscumul '!R57/'résultsyscumul '!R55</f>
        <v>0.574367462757153</v>
      </c>
      <c r="R51" s="167">
        <f>+'résultsyscumul '!S57/'résultsyscumul '!S55</f>
        <v>0.51705123902956263</v>
      </c>
      <c r="S51" s="60"/>
      <c r="T51" s="1"/>
      <c r="U51" s="1"/>
      <c r="V51" s="1"/>
      <c r="W51" s="1"/>
      <c r="X51" s="1"/>
      <c r="Y51" s="1"/>
      <c r="Z51" s="1"/>
      <c r="AA51" s="1"/>
      <c r="AB51" s="1"/>
      <c r="AC51" s="1"/>
      <c r="AD51" s="1"/>
      <c r="AE51" s="1"/>
      <c r="AF51" s="1"/>
      <c r="AG51" s="1"/>
      <c r="AH51" s="1"/>
      <c r="AI51" s="1"/>
      <c r="AJ51" s="1"/>
      <c r="AK51" s="1"/>
      <c r="AL51" s="1"/>
      <c r="AM51" s="1"/>
      <c r="AN51" s="1"/>
      <c r="AO51" s="1"/>
      <c r="AP51" s="1"/>
    </row>
    <row r="52" spans="1:42" ht="9" customHeight="1">
      <c r="A52" s="72" t="s">
        <v>0</v>
      </c>
      <c r="B52" s="419"/>
      <c r="C52" s="353"/>
      <c r="D52" s="422"/>
      <c r="E52" s="422"/>
      <c r="F52" s="353"/>
      <c r="G52" s="353"/>
      <c r="H52" s="353"/>
      <c r="I52" s="353"/>
      <c r="J52" s="353"/>
      <c r="K52" s="165" t="s">
        <v>0</v>
      </c>
      <c r="L52" s="438"/>
      <c r="M52" s="353"/>
      <c r="N52" s="166" t="s">
        <v>0</v>
      </c>
      <c r="O52" s="353"/>
      <c r="P52" s="353"/>
      <c r="Q52" s="166" t="s">
        <v>0</v>
      </c>
      <c r="R52" s="167" t="s">
        <v>0</v>
      </c>
      <c r="S52" s="60"/>
      <c r="T52" s="1"/>
      <c r="U52" s="1"/>
      <c r="V52" s="1"/>
      <c r="W52" s="1"/>
      <c r="X52" s="1"/>
      <c r="Y52" s="1"/>
      <c r="Z52" s="1"/>
      <c r="AA52" s="1"/>
      <c r="AB52" s="1"/>
      <c r="AC52" s="1"/>
      <c r="AD52" s="1"/>
      <c r="AE52" s="1"/>
      <c r="AF52" s="1"/>
      <c r="AG52" s="1"/>
      <c r="AH52" s="1"/>
      <c r="AI52" s="1"/>
      <c r="AJ52" s="1"/>
      <c r="AK52" s="1"/>
      <c r="AL52" s="1"/>
      <c r="AM52" s="1"/>
      <c r="AN52" s="1"/>
      <c r="AO52" s="1"/>
      <c r="AP52" s="1"/>
    </row>
    <row r="53" spans="1:42" ht="12" customHeight="1">
      <c r="A53" s="87" t="s">
        <v>226</v>
      </c>
      <c r="B53" s="419"/>
      <c r="C53" s="353"/>
      <c r="D53" s="422"/>
      <c r="E53" s="422"/>
      <c r="F53" s="353"/>
      <c r="G53" s="353"/>
      <c r="H53" s="353"/>
      <c r="I53" s="353"/>
      <c r="J53" s="353"/>
      <c r="K53" s="172"/>
      <c r="L53" s="1143"/>
      <c r="M53" s="353"/>
      <c r="N53" s="166" t="s">
        <v>0</v>
      </c>
      <c r="O53" s="353"/>
      <c r="P53" s="353"/>
      <c r="Q53" s="171"/>
      <c r="R53" s="172"/>
      <c r="S53" s="60"/>
      <c r="T53" s="1"/>
      <c r="U53" s="1"/>
      <c r="V53" s="1"/>
      <c r="W53" s="1"/>
      <c r="X53" s="1"/>
      <c r="Y53" s="1"/>
      <c r="Z53" s="1"/>
      <c r="AA53" s="1"/>
      <c r="AB53" s="1"/>
      <c r="AC53" s="1"/>
      <c r="AD53" s="1"/>
      <c r="AE53" s="1"/>
      <c r="AF53" s="1"/>
      <c r="AG53" s="1"/>
      <c r="AH53" s="1"/>
      <c r="AI53" s="1"/>
      <c r="AJ53" s="1"/>
      <c r="AK53" s="1"/>
      <c r="AL53" s="1"/>
      <c r="AM53" s="1"/>
      <c r="AN53" s="1"/>
      <c r="AO53" s="1"/>
      <c r="AP53" s="1"/>
    </row>
    <row r="54" spans="1:42">
      <c r="A54" s="1" t="s">
        <v>396</v>
      </c>
      <c r="B54" s="419">
        <f>+('RÉSULTsyst  '!B11/((bichvar!B60+bichvar!J60)/2)*4)</f>
        <v>0.13477763287467062</v>
      </c>
      <c r="C54" s="353">
        <f>+('RÉSULTsyst  '!C11/((bncvar!B60+bncvar!J60)/2)*4)</f>
        <v>0.1127149112257257</v>
      </c>
      <c r="D54" s="422">
        <f>+('RÉSULTsyst  '!D11/((bphvar!B60+bphvar!J60)/2)*4)</f>
        <v>0.15789464455322569</v>
      </c>
      <c r="E54" s="422">
        <f>+('RÉSULTsyst  '!E11/((buhvar!B60+buhvar!J60)/2)*4)</f>
        <v>0.19988102007556408</v>
      </c>
      <c r="F54" s="353">
        <f>+('RÉSULTsyst  '!F11/((capitalbkvar!B60+capitalbkvar!J60)/2)*4)</f>
        <v>0.17547860599682835</v>
      </c>
      <c r="G54" s="353">
        <f>+('RÉSULTsyst  '!G11/((promobkvar!B60+promobkvar!J60)/2)*4)</f>
        <v>0.18007308371436184</v>
      </c>
      <c r="H54" s="353">
        <f>+('RÉSULTsyst  '!H11/((socabkvar!B60+socabkvar!J60)/2)*4)</f>
        <v>0.15100181590805628</v>
      </c>
      <c r="I54" s="353">
        <f>+('RÉSULTsyst  '!I11/((sogebkvar!B60+sogebkvar!J60)/2)*4)</f>
        <v>0.15971240196789344</v>
      </c>
      <c r="J54" s="353">
        <f>+('RÉSULTsyst  '!J11/((unibkvar!B60+unibkvar!J60)/2)*4)</f>
        <v>0.15302353305502817</v>
      </c>
      <c r="K54" s="165">
        <f>+('RÉSULTsyst  '!K11/((bilsysbansept99!K60+'bilsysbandéc.99  '!K60)/2)*4)</f>
        <v>0.16097296144492995</v>
      </c>
      <c r="L54" s="1144">
        <f>+('RÉSULTsyst  '!L11/('bilsysbandéc.99  '!L60/2)*4)</f>
        <v>0.16330648793758895</v>
      </c>
      <c r="M54" s="353">
        <f>+('RÉSULTsyst  '!M11/((sgbelvar!B60+sgbelvar!J60)/2)*4)</f>
        <v>0.16793503055273862</v>
      </c>
      <c r="N54" s="166">
        <f>+('RÉSULTsyst  '!N11/((bilsysbansept99!M60+'bilsysbandéc.99  '!N60)/2)*4)</f>
        <v>0.16789838594136872</v>
      </c>
      <c r="O54" s="353">
        <f>+('RÉSULTsyst  '!O11/((cbnavar!B60+cbnavar!J60)/2)*4)</f>
        <v>0.15272316858710203</v>
      </c>
      <c r="P54" s="353">
        <f>+('RÉSULTsyst  '!P11/((scotiavar!B60+scotiavar!J60)/2)*4)</f>
        <v>0.17619215424817972</v>
      </c>
      <c r="Q54" s="166">
        <f>+('RÉSULTsyst  '!Q11/((bilsysbansept99!P60+'bilsysbandéc.99  '!Q60)/2)*4)</f>
        <v>0.16215747451230916</v>
      </c>
      <c r="R54" s="167">
        <f>+('RÉSULTsyst  '!R11/((bilsysbansept99!Q60+'bilsysbandéc.99  '!R60)/2)*4)</f>
        <v>0.16140050230624747</v>
      </c>
      <c r="S54" s="60"/>
      <c r="T54" s="1"/>
      <c r="U54" s="1"/>
      <c r="V54" s="1"/>
      <c r="W54" s="1"/>
      <c r="X54" s="1"/>
      <c r="Y54" s="1"/>
      <c r="Z54" s="1"/>
      <c r="AA54" s="1"/>
      <c r="AB54" s="1"/>
      <c r="AC54" s="1"/>
      <c r="AD54" s="1"/>
      <c r="AE54" s="1"/>
      <c r="AF54" s="1"/>
      <c r="AG54" s="1"/>
      <c r="AH54" s="1"/>
      <c r="AI54" s="1"/>
      <c r="AJ54" s="1"/>
      <c r="AK54" s="1"/>
      <c r="AL54" s="1"/>
      <c r="AM54" s="1"/>
      <c r="AN54" s="1"/>
      <c r="AO54" s="1"/>
      <c r="AP54" s="1"/>
    </row>
    <row r="55" spans="1:42">
      <c r="A55" s="1" t="s">
        <v>397</v>
      </c>
      <c r="B55" s="419">
        <v>0.15260000000000001</v>
      </c>
      <c r="C55" s="353">
        <v>0.1183</v>
      </c>
      <c r="D55" s="422">
        <v>0.18440000000000001</v>
      </c>
      <c r="E55" s="422">
        <v>0.2056</v>
      </c>
      <c r="F55" s="353">
        <v>0.2218</v>
      </c>
      <c r="G55" s="353">
        <v>0.1837</v>
      </c>
      <c r="H55" s="353">
        <v>0.21340000000000001</v>
      </c>
      <c r="I55" s="353">
        <v>0.19289999999999999</v>
      </c>
      <c r="J55" s="353">
        <v>0.17979999999999999</v>
      </c>
      <c r="K55" s="165">
        <v>0.18870000000000001</v>
      </c>
      <c r="L55" s="1148">
        <v>0</v>
      </c>
      <c r="M55" s="353">
        <v>0.188</v>
      </c>
      <c r="N55" s="166">
        <f>+M55</f>
        <v>0.188</v>
      </c>
      <c r="O55" s="353">
        <v>0.16719999999999999</v>
      </c>
      <c r="P55" s="353">
        <v>0.2011</v>
      </c>
      <c r="Q55" s="166">
        <v>0.1804</v>
      </c>
      <c r="R55" s="167">
        <v>0.18909999999999999</v>
      </c>
      <c r="S55" s="60"/>
      <c r="T55" s="1"/>
      <c r="U55" s="1"/>
      <c r="V55" s="1"/>
      <c r="W55" s="1"/>
      <c r="X55" s="1"/>
      <c r="Y55" s="1"/>
      <c r="Z55" s="1"/>
      <c r="AA55" s="1"/>
      <c r="AB55" s="1"/>
      <c r="AC55" s="1"/>
      <c r="AD55" s="1"/>
      <c r="AE55" s="1"/>
      <c r="AF55" s="1"/>
      <c r="AG55" s="1"/>
      <c r="AH55" s="1"/>
      <c r="AI55" s="1"/>
      <c r="AJ55" s="1"/>
      <c r="AK55" s="1"/>
      <c r="AL55" s="1"/>
      <c r="AM55" s="1"/>
      <c r="AN55" s="1"/>
      <c r="AO55" s="1"/>
      <c r="AP55" s="1"/>
    </row>
    <row r="56" spans="1:42">
      <c r="A56" s="909" t="s">
        <v>398</v>
      </c>
      <c r="B56" s="419">
        <f>+('résultsyscumul '!B11/((bichvar!J60+bichvar!B60)/2)*4)</f>
        <v>0.13477763287467062</v>
      </c>
      <c r="C56" s="353">
        <f>+('résultsyscumul '!C11/((bncvar!J60+bncvar!B60)/2)*4)</f>
        <v>0.1127149112257257</v>
      </c>
      <c r="D56" s="422">
        <f>+('résultsyscumul '!D11/((bphvar!J60+bphvar!B60)/2)*4)</f>
        <v>0.15789464455322569</v>
      </c>
      <c r="E56" s="422">
        <f>+('résultsyscumul '!E11/((buhvar!B60+buhvar!J60)/2)*4)</f>
        <v>0.19988102007556408</v>
      </c>
      <c r="F56" s="353">
        <f>+('résultsyscumul '!F11/((capitalbkvar!B60+capitalbkvar!J60)/2)*4)</f>
        <v>0.17547860599682835</v>
      </c>
      <c r="G56" s="353">
        <f>+('résultsyscumul '!G11/((promobkvar!B60+promobkvar!J60)/2)*4)</f>
        <v>0.18007308371436184</v>
      </c>
      <c r="H56" s="353">
        <f>+('résultsyscumul '!H11/((socabkvar!B60+socabkvar!J60)/2)*4)</f>
        <v>0.15100181590805628</v>
      </c>
      <c r="I56" s="353">
        <f>+('résultsyscumul '!I11/((sogebkvar!B60+sogebkvar!J60)/2)*4)</f>
        <v>0.15971240196789344</v>
      </c>
      <c r="J56" s="353">
        <f>+('résultsyscumul '!J11/((unibkvar!B60+unibkvar!J60)/2)*4)</f>
        <v>0.15302353305502817</v>
      </c>
      <c r="K56" s="165">
        <f>+('résultsyscumul '!K11/((bilsysbansept99!K60+'bilsysbandéc.99  '!K60)/2)*4)</f>
        <v>0.16097296144492995</v>
      </c>
      <c r="L56" s="1144">
        <f>+L54</f>
        <v>0.16330648793758895</v>
      </c>
      <c r="M56" s="353">
        <f>+('résultsyscumul '!M11/((sgbelvar!B60+sgbelvar!J60)/2)*4)</f>
        <v>0.16793503055273862</v>
      </c>
      <c r="N56" s="166">
        <f>+N54</f>
        <v>0.16789838594136872</v>
      </c>
      <c r="O56" s="353">
        <f>+('résultsyscumul '!O11/((cbnavar!B60+cbnavar!J60)/2)*4)</f>
        <v>0.15272316858710203</v>
      </c>
      <c r="P56" s="353">
        <f>+('résultsyscumul '!P11/((scotiavar!B60+scotiavar!J60)/2)*4)</f>
        <v>0.17619215424817972</v>
      </c>
      <c r="Q56" s="166">
        <f>+('résultsyscumul '!Q11/((bilsysbansept99!P60+'bilsysbandéc.99  '!Q60)/2)*4)</f>
        <v>0.16215747451230916</v>
      </c>
      <c r="R56" s="167">
        <f>('résultsyscumul '!R11/((bilsysbansept99!Q60+'bilsysbandéc.99  '!R60)/2)*4)</f>
        <v>0.16140050230624747</v>
      </c>
      <c r="S56" s="60"/>
      <c r="T56" s="1"/>
      <c r="U56" s="1"/>
      <c r="V56" s="1"/>
      <c r="W56" s="1"/>
      <c r="X56" s="1"/>
      <c r="Y56" s="1"/>
      <c r="Z56" s="1"/>
      <c r="AA56" s="1"/>
      <c r="AB56" s="1"/>
      <c r="AC56" s="1"/>
      <c r="AD56" s="1"/>
      <c r="AE56" s="1"/>
      <c r="AF56" s="1"/>
      <c r="AG56" s="1"/>
      <c r="AH56" s="1"/>
      <c r="AI56" s="1"/>
      <c r="AJ56" s="1"/>
      <c r="AK56" s="1"/>
      <c r="AL56" s="1"/>
      <c r="AM56" s="1"/>
      <c r="AN56" s="1"/>
      <c r="AO56" s="1"/>
      <c r="AP56" s="1"/>
    </row>
    <row r="57" spans="1:42">
      <c r="A57" s="72" t="s">
        <v>399</v>
      </c>
      <c r="B57" s="419">
        <f t="shared" ref="B57:K57" si="1">+B55</f>
        <v>0.15260000000000001</v>
      </c>
      <c r="C57" s="353">
        <f t="shared" si="1"/>
        <v>0.1183</v>
      </c>
      <c r="D57" s="422">
        <f t="shared" si="1"/>
        <v>0.18440000000000001</v>
      </c>
      <c r="E57" s="423">
        <f t="shared" si="1"/>
        <v>0.2056</v>
      </c>
      <c r="F57" s="353">
        <f t="shared" si="1"/>
        <v>0.2218</v>
      </c>
      <c r="G57" s="353">
        <f t="shared" si="1"/>
        <v>0.1837</v>
      </c>
      <c r="H57" s="353">
        <f t="shared" si="1"/>
        <v>0.21340000000000001</v>
      </c>
      <c r="I57" s="353">
        <f t="shared" si="1"/>
        <v>0.19289999999999999</v>
      </c>
      <c r="J57" s="353">
        <f t="shared" si="1"/>
        <v>0.17979999999999999</v>
      </c>
      <c r="K57" s="165">
        <f t="shared" si="1"/>
        <v>0.18870000000000001</v>
      </c>
      <c r="L57" s="1148">
        <v>0</v>
      </c>
      <c r="M57" s="353">
        <f>+M55</f>
        <v>0.188</v>
      </c>
      <c r="N57" s="166">
        <f>+M57</f>
        <v>0.188</v>
      </c>
      <c r="O57" s="353">
        <f>+O55</f>
        <v>0.16719999999999999</v>
      </c>
      <c r="P57" s="353">
        <f>+P55</f>
        <v>0.2011</v>
      </c>
      <c r="Q57" s="166">
        <f>+Q55</f>
        <v>0.1804</v>
      </c>
      <c r="R57" s="167">
        <f>+R55</f>
        <v>0.18909999999999999</v>
      </c>
      <c r="S57" s="60"/>
      <c r="T57" s="1"/>
      <c r="U57" s="1"/>
      <c r="V57" s="1"/>
      <c r="W57" s="1"/>
      <c r="X57" s="1"/>
      <c r="Y57" s="1"/>
      <c r="Z57" s="1"/>
      <c r="AA57" s="1"/>
      <c r="AB57" s="1"/>
      <c r="AC57" s="1"/>
      <c r="AD57" s="1"/>
      <c r="AE57" s="1"/>
      <c r="AF57" s="1"/>
      <c r="AG57" s="1"/>
      <c r="AH57" s="1"/>
      <c r="AI57" s="1"/>
      <c r="AJ57" s="1"/>
      <c r="AK57" s="1"/>
      <c r="AL57" s="1"/>
      <c r="AM57" s="1"/>
      <c r="AN57" s="1"/>
      <c r="AO57" s="1"/>
      <c r="AP57" s="1"/>
    </row>
    <row r="58" spans="1:42" ht="9" customHeight="1">
      <c r="A58" s="1" t="s">
        <v>0</v>
      </c>
      <c r="B58" s="419"/>
      <c r="C58" s="353"/>
      <c r="D58" s="422"/>
      <c r="E58" s="422"/>
      <c r="F58" s="353"/>
      <c r="G58" s="353"/>
      <c r="H58" s="353"/>
      <c r="I58" s="353"/>
      <c r="J58" s="353"/>
      <c r="K58" s="165" t="s">
        <v>0</v>
      </c>
      <c r="L58" s="438"/>
      <c r="M58" s="353"/>
      <c r="N58" s="166" t="s">
        <v>0</v>
      </c>
      <c r="O58" s="353"/>
      <c r="P58" s="353"/>
      <c r="Q58" s="166" t="s">
        <v>0</v>
      </c>
      <c r="R58" s="167" t="s">
        <v>0</v>
      </c>
      <c r="S58" s="60"/>
      <c r="T58" s="1"/>
      <c r="U58" s="1"/>
      <c r="V58" s="1"/>
      <c r="W58" s="1"/>
      <c r="X58" s="1"/>
      <c r="Y58" s="1"/>
      <c r="Z58" s="1"/>
      <c r="AA58" s="1"/>
      <c r="AB58" s="1"/>
      <c r="AC58" s="1"/>
      <c r="AD58" s="1"/>
      <c r="AE58" s="1"/>
      <c r="AF58" s="1"/>
      <c r="AG58" s="1"/>
      <c r="AH58" s="1"/>
      <c r="AI58" s="1"/>
      <c r="AJ58" s="1"/>
      <c r="AK58" s="1"/>
      <c r="AL58" s="1"/>
      <c r="AM58" s="1"/>
      <c r="AN58" s="1"/>
      <c r="AO58" s="1"/>
      <c r="AP58" s="1"/>
    </row>
    <row r="59" spans="1:42" ht="12" customHeight="1">
      <c r="A59" s="152" t="s">
        <v>227</v>
      </c>
      <c r="B59" s="419"/>
      <c r="C59" s="353"/>
      <c r="D59" s="422"/>
      <c r="E59" s="422"/>
      <c r="F59" s="353"/>
      <c r="G59" s="353"/>
      <c r="H59" s="353"/>
      <c r="I59" s="353"/>
      <c r="J59" s="353"/>
      <c r="K59" s="165" t="s">
        <v>0</v>
      </c>
      <c r="L59" s="438"/>
      <c r="M59" s="353"/>
      <c r="N59" s="166" t="s">
        <v>0</v>
      </c>
      <c r="O59" s="353"/>
      <c r="P59" s="353"/>
      <c r="Q59" s="166" t="s">
        <v>0</v>
      </c>
      <c r="R59" s="167" t="s">
        <v>0</v>
      </c>
      <c r="S59" s="60"/>
      <c r="T59" s="1"/>
      <c r="U59" s="1"/>
      <c r="V59" s="1"/>
      <c r="W59" s="1"/>
      <c r="X59" s="1"/>
      <c r="Y59" s="1"/>
      <c r="Z59" s="1"/>
      <c r="AA59" s="1"/>
      <c r="AB59" s="1"/>
      <c r="AC59" s="1"/>
      <c r="AD59" s="1"/>
      <c r="AE59" s="1"/>
      <c r="AF59" s="1"/>
      <c r="AG59" s="1"/>
      <c r="AH59" s="1"/>
      <c r="AI59" s="1"/>
      <c r="AJ59" s="1"/>
      <c r="AK59" s="1"/>
      <c r="AL59" s="1"/>
      <c r="AM59" s="1"/>
      <c r="AN59" s="1"/>
      <c r="AO59" s="1"/>
      <c r="AP59" s="1"/>
    </row>
    <row r="60" spans="1:42">
      <c r="A60" s="1" t="s">
        <v>396</v>
      </c>
      <c r="B60" s="419">
        <f>+('RÉSULTsyst  '!B15/((bichvar!B29+bichvar!J29)/2)*4)</f>
        <v>2.5166231798670145E-2</v>
      </c>
      <c r="C60" s="353">
        <f>+('RÉSULTsyst  '!C15/((bncvar!B29+bncvar!J29)/2)*4)</f>
        <v>2.7606378413635661E-2</v>
      </c>
      <c r="D60" s="422">
        <f>+('RÉSULTsyst  '!D15/((bphvar!B29+bphvar!J29)/2)*4)</f>
        <v>6.0840629861571197E-2</v>
      </c>
      <c r="E60" s="422">
        <f>+('RÉSULTsyst  '!E15/((buhvar!B29+buhvar!J29)/2)*4)</f>
        <v>3.7146452951700978E-2</v>
      </c>
      <c r="F60" s="353">
        <f>+('RÉSULTsyst  '!F15/((capitalbkvar!B29+capitalbkvar!J29)/2)*4)</f>
        <v>4.4531878851236002E-2</v>
      </c>
      <c r="G60" s="353">
        <f>+('RÉSULTsyst  '!G15/((promobkvar!B29+promobkvar!J29)/2)*4)</f>
        <v>3.4263312194852472E-2</v>
      </c>
      <c r="H60" s="353">
        <f>+('RÉSULTsyst  '!H15/((socabkvar!B29+socabkvar!J29)/2)*4)</f>
        <v>7.2922331093391857E-2</v>
      </c>
      <c r="I60" s="353">
        <f>+('RÉSULTsyst  '!I15/((sogebkvar!B29+sogebkvar!J29)/2)*4)</f>
        <v>2.4145788844299746E-2</v>
      </c>
      <c r="J60" s="353">
        <f>+('RÉSULTsyst  '!J15/((unibkvar!B29+unibkvar!J29)/2)*4)</f>
        <v>2.7129334497975225E-2</v>
      </c>
      <c r="K60" s="165">
        <f>+('RÉSULTsyst  '!K15/((bilsysbansept99!K29+'bilsysbandéc.99  '!K29)/2)*4)</f>
        <v>3.6507055754597457E-2</v>
      </c>
      <c r="L60" s="1144">
        <f>+('RÉSULTsyst  '!L15/('bilsysbandéc.99  '!L29/2)*4)</f>
        <v>8.9055191768007483E-2</v>
      </c>
      <c r="M60" s="353">
        <f>+('RÉSULTsyst  '!M15/((sgbelvar!B29+sgbelvar!J29)/2)*4)</f>
        <v>4.4476068156712595E-2</v>
      </c>
      <c r="N60" s="166">
        <f>+('RÉSULTsyst  '!N15/((bilsysbansept99!M29+'bilsysbandéc.99  '!N29)/2)*4)</f>
        <v>4.4689145451100573E-2</v>
      </c>
      <c r="O60" s="353">
        <f>+('RÉSULTsyst  '!O15/((cbnavar!B29+cbnavar!J29)/2)*4)</f>
        <v>4.4909063978733524E-2</v>
      </c>
      <c r="P60" s="353">
        <f>+('RÉSULTsyst  '!P15/((scotiavar!B29+scotiavar!J29)/2)*4)</f>
        <v>3.3814748931018157E-2</v>
      </c>
      <c r="Q60" s="166">
        <f>+('RÉSULTsyst  '!Q15/((bilsysbansept99!P29+'bilsysbandéc.99  '!Q29)/2)*4)</f>
        <v>4.03760147772452E-2</v>
      </c>
      <c r="R60" s="167">
        <f>+('RÉSULTsyst  '!R15/((bilsysbansept99!Q29+'bilsysbandéc.99  '!R29)/2)*4)</f>
        <v>3.714883304407432E-2</v>
      </c>
      <c r="S60" s="60"/>
      <c r="T60" s="1"/>
      <c r="U60" s="1"/>
      <c r="V60" s="1"/>
      <c r="W60" s="1"/>
      <c r="X60" s="1"/>
      <c r="Y60" s="1"/>
      <c r="Z60" s="1"/>
      <c r="AA60" s="1"/>
      <c r="AB60" s="1"/>
      <c r="AC60" s="1"/>
      <c r="AD60" s="1"/>
      <c r="AE60" s="1"/>
      <c r="AF60" s="1"/>
      <c r="AG60" s="1"/>
      <c r="AH60" s="1"/>
      <c r="AI60" s="1"/>
      <c r="AJ60" s="1"/>
      <c r="AK60" s="1"/>
      <c r="AL60" s="1"/>
      <c r="AM60" s="1"/>
      <c r="AN60" s="1"/>
      <c r="AO60" s="1"/>
      <c r="AP60" s="1"/>
    </row>
    <row r="61" spans="1:42">
      <c r="A61" s="1" t="s">
        <v>397</v>
      </c>
      <c r="B61" s="419">
        <v>2.53E-2</v>
      </c>
      <c r="C61" s="353">
        <v>3.39E-2</v>
      </c>
      <c r="D61" s="422">
        <v>7.8100000000000003E-2</v>
      </c>
      <c r="E61" s="422">
        <v>5.7599999999999998E-2</v>
      </c>
      <c r="F61" s="353">
        <v>5.33E-2</v>
      </c>
      <c r="G61" s="353">
        <v>6.25E-2</v>
      </c>
      <c r="H61" s="353">
        <v>9.7100000000000006E-2</v>
      </c>
      <c r="I61" s="353">
        <v>5.0099999999999999E-2</v>
      </c>
      <c r="J61" s="353">
        <v>5.3499999999999999E-2</v>
      </c>
      <c r="K61" s="165">
        <v>5.8299999999999998E-2</v>
      </c>
      <c r="L61" s="1148">
        <v>0</v>
      </c>
      <c r="M61" s="353">
        <v>9.5600000000000004E-2</v>
      </c>
      <c r="N61" s="166">
        <f>+M61</f>
        <v>9.5600000000000004E-2</v>
      </c>
      <c r="O61" s="353">
        <v>6.4600000000000005E-2</v>
      </c>
      <c r="P61" s="353">
        <v>4.6800000000000001E-2</v>
      </c>
      <c r="Q61" s="166">
        <v>5.67E-2</v>
      </c>
      <c r="R61" s="167">
        <v>5.8900000000000001E-2</v>
      </c>
      <c r="S61" s="60"/>
      <c r="T61" s="1"/>
      <c r="U61" s="1"/>
      <c r="V61" s="1"/>
      <c r="W61" s="1"/>
      <c r="X61" s="1"/>
      <c r="Y61" s="1"/>
      <c r="Z61" s="1"/>
      <c r="AA61" s="1"/>
      <c r="AB61" s="1"/>
      <c r="AC61" s="1"/>
      <c r="AD61" s="1"/>
      <c r="AE61" s="1"/>
      <c r="AF61" s="1"/>
      <c r="AG61" s="1"/>
      <c r="AH61" s="1"/>
      <c r="AI61" s="1"/>
      <c r="AJ61" s="1"/>
      <c r="AK61" s="1"/>
      <c r="AL61" s="1"/>
      <c r="AM61" s="1"/>
      <c r="AN61" s="1"/>
      <c r="AO61" s="1"/>
      <c r="AP61" s="1"/>
    </row>
    <row r="62" spans="1:42">
      <c r="A62" s="909" t="s">
        <v>398</v>
      </c>
      <c r="B62" s="419">
        <f>+('résultsyscumul '!B15/((bichvar!B29+bichvar!J29)/2)*4)</f>
        <v>2.5166231798670145E-2</v>
      </c>
      <c r="C62" s="353">
        <f>+('résultsyscumul '!C15/((bncvar!B29+bncvar!J29)/2)*4)</f>
        <v>2.7606378413635661E-2</v>
      </c>
      <c r="D62" s="422">
        <f>+('résultsyscumul '!D15/((bphvar!B29+bphvar!J29)/2)*4)</f>
        <v>6.0840629861571197E-2</v>
      </c>
      <c r="E62" s="422">
        <f>+('résultsyscumul '!E15/((buhvar!B29+buhvar!J29)/2)*4)</f>
        <v>3.7146452951700978E-2</v>
      </c>
      <c r="F62" s="353">
        <f>+('résultsyscumul '!F15/((capitalbkvar!B29+capitalbkvar!J29)/2)*4)</f>
        <v>4.4531878851236002E-2</v>
      </c>
      <c r="G62" s="353">
        <f>+('résultsyscumul '!G15/((promobkvar!B29+promobkvar!J29)/2)*4)</f>
        <v>3.4263312194852472E-2</v>
      </c>
      <c r="H62" s="353">
        <f>+('résultsyscumul '!H15/((socabkvar!B29+socabkvar!J29)/2)*4)</f>
        <v>7.2922331093391857E-2</v>
      </c>
      <c r="I62" s="353">
        <f>+('résultsyscumul '!I15/((sogebkvar!B29+sogebkvar!J29)/2)*4)</f>
        <v>2.4145788844299746E-2</v>
      </c>
      <c r="J62" s="353">
        <f>+('résultsyscumul '!J15/((unibkvar!B29+unibkvar!J29)/2)*4)</f>
        <v>2.7129334497975225E-2</v>
      </c>
      <c r="K62" s="165">
        <f>+('résultsyscumul '!K15/((bilsysbansept99!K29+'bilsysbandéc.99  '!K29)/2)*4)</f>
        <v>3.6507055754597457E-2</v>
      </c>
      <c r="L62" s="1144">
        <f>+L60</f>
        <v>8.9055191768007483E-2</v>
      </c>
      <c r="M62" s="353">
        <f>+('résultsyscumul '!M15/((sgbelvar!B29+sgbelvar!J29)/2)*4)</f>
        <v>4.4476068156712595E-2</v>
      </c>
      <c r="N62" s="166">
        <f>+N60</f>
        <v>4.4689145451100573E-2</v>
      </c>
      <c r="O62" s="353">
        <f>+('résultsyscumul '!O15/((cbnavar!B29+cbnavar!J29)/2)*4)</f>
        <v>4.4909063978733524E-2</v>
      </c>
      <c r="P62" s="353">
        <f>+('résultsyscumul '!P15/((scotiavar!B29+scotiavar!J29)/2)*4)</f>
        <v>3.3814748931018157E-2</v>
      </c>
      <c r="Q62" s="166">
        <f>+('résultsyscumul '!Q15/((bilsysbansept99!P29+'bilsysbandéc.99  '!Q29)/2)*4)</f>
        <v>4.03760147772452E-2</v>
      </c>
      <c r="R62" s="167">
        <f>+('résultsyscumul '!R15/((bilsysbansept99!Q29+'bilsysbandéc.99  '!R29)/2)*4)</f>
        <v>3.714883304407432E-2</v>
      </c>
      <c r="S62" s="60"/>
      <c r="T62" s="1"/>
      <c r="U62" s="1"/>
      <c r="V62" s="1"/>
      <c r="W62" s="1"/>
      <c r="X62" s="1"/>
      <c r="Y62" s="1"/>
      <c r="Z62" s="1"/>
      <c r="AA62" s="1"/>
      <c r="AB62" s="1"/>
      <c r="AC62" s="1"/>
      <c r="AD62" s="1"/>
      <c r="AE62" s="1"/>
      <c r="AF62" s="1"/>
      <c r="AG62" s="1"/>
      <c r="AH62" s="1"/>
      <c r="AI62" s="1"/>
      <c r="AJ62" s="1"/>
      <c r="AK62" s="1"/>
      <c r="AL62" s="1"/>
      <c r="AM62" s="1"/>
      <c r="AN62" s="1"/>
      <c r="AO62" s="1"/>
      <c r="AP62" s="1"/>
    </row>
    <row r="63" spans="1:42">
      <c r="A63" s="72" t="s">
        <v>399</v>
      </c>
      <c r="B63" s="419">
        <f t="shared" ref="B63:K63" si="2">+B61</f>
        <v>2.53E-2</v>
      </c>
      <c r="C63" s="353">
        <f t="shared" si="2"/>
        <v>3.39E-2</v>
      </c>
      <c r="D63" s="422">
        <f t="shared" si="2"/>
        <v>7.8100000000000003E-2</v>
      </c>
      <c r="E63" s="422">
        <f t="shared" si="2"/>
        <v>5.7599999999999998E-2</v>
      </c>
      <c r="F63" s="353">
        <f t="shared" si="2"/>
        <v>5.33E-2</v>
      </c>
      <c r="G63" s="353">
        <f t="shared" si="2"/>
        <v>6.25E-2</v>
      </c>
      <c r="H63" s="353">
        <f t="shared" si="2"/>
        <v>9.7100000000000006E-2</v>
      </c>
      <c r="I63" s="353">
        <f t="shared" si="2"/>
        <v>5.0099999999999999E-2</v>
      </c>
      <c r="J63" s="353">
        <f t="shared" si="2"/>
        <v>5.3499999999999999E-2</v>
      </c>
      <c r="K63" s="165">
        <f t="shared" si="2"/>
        <v>5.8299999999999998E-2</v>
      </c>
      <c r="L63" s="1148">
        <v>0</v>
      </c>
      <c r="M63" s="353">
        <f>+M61</f>
        <v>9.5600000000000004E-2</v>
      </c>
      <c r="N63" s="166">
        <f>+M63</f>
        <v>9.5600000000000004E-2</v>
      </c>
      <c r="O63" s="353">
        <f>+O61</f>
        <v>6.4600000000000005E-2</v>
      </c>
      <c r="P63" s="353">
        <f>+P61</f>
        <v>4.6800000000000001E-2</v>
      </c>
      <c r="Q63" s="166">
        <f>+Q61</f>
        <v>5.67E-2</v>
      </c>
      <c r="R63" s="167">
        <f>+R61</f>
        <v>5.8900000000000001E-2</v>
      </c>
      <c r="S63" s="60"/>
      <c r="T63" s="1"/>
      <c r="U63" s="1"/>
      <c r="V63" s="1"/>
      <c r="W63" s="1"/>
      <c r="X63" s="1"/>
      <c r="Y63" s="1"/>
      <c r="Z63" s="1"/>
      <c r="AA63" s="1"/>
      <c r="AB63" s="1"/>
      <c r="AC63" s="1"/>
      <c r="AD63" s="1"/>
      <c r="AE63" s="1"/>
      <c r="AF63" s="1"/>
      <c r="AG63" s="1"/>
      <c r="AH63" s="1"/>
      <c r="AI63" s="1"/>
      <c r="AJ63" s="1"/>
      <c r="AK63" s="1"/>
      <c r="AL63" s="1"/>
      <c r="AM63" s="1"/>
      <c r="AN63" s="1"/>
      <c r="AO63" s="1"/>
      <c r="AP63" s="1"/>
    </row>
    <row r="64" spans="1:42" ht="9" customHeight="1">
      <c r="A64" s="1" t="s">
        <v>0</v>
      </c>
      <c r="B64" s="419"/>
      <c r="C64" s="353"/>
      <c r="D64" s="422"/>
      <c r="E64" s="422"/>
      <c r="F64" s="353"/>
      <c r="G64" s="353"/>
      <c r="H64" s="353"/>
      <c r="I64" s="353"/>
      <c r="J64" s="353"/>
      <c r="K64" s="171" t="s">
        <v>0</v>
      </c>
      <c r="L64" s="1142"/>
      <c r="M64" s="353"/>
      <c r="N64" s="166" t="s">
        <v>0</v>
      </c>
      <c r="O64" s="353"/>
      <c r="P64" s="353"/>
      <c r="Q64" s="171" t="s">
        <v>0</v>
      </c>
      <c r="R64" s="171" t="s">
        <v>0</v>
      </c>
      <c r="S64" s="60"/>
      <c r="T64" s="1"/>
      <c r="U64" s="1"/>
      <c r="V64" s="1"/>
      <c r="W64" s="1"/>
      <c r="X64" s="1"/>
      <c r="Y64" s="1"/>
      <c r="Z64" s="1"/>
      <c r="AA64" s="1"/>
      <c r="AB64" s="1"/>
      <c r="AC64" s="1"/>
      <c r="AD64" s="1"/>
      <c r="AE64" s="1"/>
      <c r="AF64" s="1"/>
      <c r="AG64" s="1"/>
      <c r="AH64" s="1"/>
      <c r="AI64" s="1"/>
      <c r="AJ64" s="1"/>
      <c r="AK64" s="1"/>
      <c r="AL64" s="1"/>
      <c r="AM64" s="1"/>
      <c r="AN64" s="1"/>
      <c r="AO64" s="1"/>
      <c r="AP64" s="1"/>
    </row>
    <row r="65" spans="1:42" ht="12" customHeight="1">
      <c r="A65" s="87" t="s">
        <v>204</v>
      </c>
      <c r="B65" s="419"/>
      <c r="C65" s="353"/>
      <c r="D65" s="422"/>
      <c r="E65" s="422"/>
      <c r="F65" s="353"/>
      <c r="G65" s="353"/>
      <c r="H65" s="353"/>
      <c r="I65" s="353"/>
      <c r="J65" s="353"/>
      <c r="K65" s="171" t="s">
        <v>0</v>
      </c>
      <c r="L65" s="1142"/>
      <c r="M65" s="353"/>
      <c r="N65" s="166" t="s">
        <v>0</v>
      </c>
      <c r="O65" s="353"/>
      <c r="P65" s="353"/>
      <c r="Q65" s="171" t="s">
        <v>0</v>
      </c>
      <c r="R65" s="171" t="s">
        <v>0</v>
      </c>
      <c r="S65" s="60"/>
      <c r="T65" s="1"/>
      <c r="U65" s="1"/>
      <c r="V65" s="1"/>
      <c r="W65" s="1"/>
      <c r="X65" s="1"/>
      <c r="Y65" s="1"/>
      <c r="Z65" s="1"/>
      <c r="AA65" s="1"/>
      <c r="AB65" s="1"/>
      <c r="AC65" s="1"/>
      <c r="AD65" s="1"/>
      <c r="AE65" s="1"/>
      <c r="AF65" s="1"/>
      <c r="AG65" s="1"/>
      <c r="AH65" s="1"/>
      <c r="AI65" s="1"/>
      <c r="AJ65" s="1"/>
      <c r="AK65" s="1"/>
      <c r="AL65" s="1"/>
      <c r="AM65" s="1"/>
      <c r="AN65" s="1"/>
      <c r="AO65" s="1"/>
      <c r="AP65" s="1"/>
    </row>
    <row r="66" spans="1:42" ht="12" customHeight="1">
      <c r="A66" s="87" t="s">
        <v>228</v>
      </c>
      <c r="B66" s="419"/>
      <c r="C66" s="353"/>
      <c r="D66" s="422"/>
      <c r="E66" s="422"/>
      <c r="F66" s="353"/>
      <c r="G66" s="353"/>
      <c r="H66" s="353"/>
      <c r="I66" s="353"/>
      <c r="J66" s="353"/>
      <c r="K66" s="171"/>
      <c r="L66" s="1142"/>
      <c r="M66" s="353"/>
      <c r="N66" s="166" t="s">
        <v>0</v>
      </c>
      <c r="O66" s="353"/>
      <c r="P66" s="353"/>
      <c r="Q66" s="171"/>
      <c r="R66" s="171"/>
      <c r="S66" s="60"/>
      <c r="T66" s="1"/>
      <c r="U66" s="1"/>
      <c r="V66" s="1"/>
      <c r="W66" s="1"/>
      <c r="X66" s="1"/>
      <c r="Y66" s="1"/>
      <c r="Z66" s="1"/>
      <c r="AA66" s="1"/>
      <c r="AB66" s="1"/>
      <c r="AC66" s="1"/>
      <c r="AD66" s="1"/>
      <c r="AE66" s="1"/>
      <c r="AF66" s="1"/>
      <c r="AG66" s="1"/>
      <c r="AH66" s="1"/>
      <c r="AI66" s="1"/>
      <c r="AJ66" s="1"/>
      <c r="AK66" s="1"/>
      <c r="AL66" s="1"/>
      <c r="AM66" s="1"/>
      <c r="AN66" s="1"/>
      <c r="AO66" s="1"/>
      <c r="AP66" s="1"/>
    </row>
    <row r="67" spans="1:42" ht="12" customHeight="1">
      <c r="A67" s="87" t="s">
        <v>401</v>
      </c>
      <c r="B67" s="419"/>
      <c r="C67" s="353"/>
      <c r="D67" s="422"/>
      <c r="E67" s="422"/>
      <c r="F67" s="353"/>
      <c r="G67" s="353"/>
      <c r="H67" s="353"/>
      <c r="I67" s="353"/>
      <c r="J67" s="353"/>
      <c r="K67" s="171"/>
      <c r="L67" s="1142"/>
      <c r="M67" s="353"/>
      <c r="N67" s="166" t="s">
        <v>0</v>
      </c>
      <c r="O67" s="353"/>
      <c r="P67" s="353"/>
      <c r="Q67" s="171"/>
      <c r="R67" s="171"/>
      <c r="S67" s="60"/>
      <c r="T67" s="1"/>
      <c r="U67" s="1"/>
      <c r="V67" s="1"/>
      <c r="W67" s="1"/>
      <c r="X67" s="1"/>
      <c r="Y67" s="1"/>
      <c r="Z67" s="1"/>
      <c r="AA67" s="1"/>
      <c r="AB67" s="1"/>
      <c r="AC67" s="1"/>
      <c r="AD67" s="1"/>
      <c r="AE67" s="1"/>
      <c r="AF67" s="1"/>
      <c r="AG67" s="1"/>
      <c r="AH67" s="1"/>
      <c r="AI67" s="1"/>
      <c r="AJ67" s="1"/>
      <c r="AK67" s="1"/>
      <c r="AL67" s="1"/>
      <c r="AM67" s="1"/>
      <c r="AN67" s="1"/>
      <c r="AO67" s="1"/>
      <c r="AP67" s="1"/>
    </row>
    <row r="68" spans="1:42">
      <c r="A68" s="1" t="s">
        <v>396</v>
      </c>
      <c r="B68" s="419">
        <f>+'RÉSULTsyst  '!B36/'RÉSULTsyst  '!B24</f>
        <v>0.81169709263015566</v>
      </c>
      <c r="C68" s="353">
        <f>+'RÉSULTsyst  '!C36/'RÉSULTsyst  '!C24</f>
        <v>1.0404020877633868</v>
      </c>
      <c r="D68" s="422">
        <f>+'RÉSULTsyst  '!D36/'RÉSULTsyst  '!D24</f>
        <v>0.80999210002996558</v>
      </c>
      <c r="E68" s="422">
        <f>+'RÉSULTsyst  '!E36/'RÉSULTsyst  '!E24</f>
        <v>0.98866392871724673</v>
      </c>
      <c r="F68" s="353">
        <f>+'RÉSULTsyst  '!F36/'RÉSULTsyst  '!F24</f>
        <v>0.79248995654669185</v>
      </c>
      <c r="G68" s="353">
        <f>+'RÉSULTsyst  '!G36/'RÉSULTsyst  '!G24</f>
        <v>0.70514106568204082</v>
      </c>
      <c r="H68" s="353">
        <f>+'RÉSULTsyst  '!H36/'RÉSULTsyst  '!H24</f>
        <v>0.72411631987966907</v>
      </c>
      <c r="I68" s="353">
        <f>+'RÉSULTsyst  '!I36/'RÉSULTsyst  '!I24</f>
        <v>0.80341135832135424</v>
      </c>
      <c r="J68" s="353">
        <f>+'RÉSULTsyst  '!J36/'RÉSULTsyst  '!J24</f>
        <v>0.74321311733288109</v>
      </c>
      <c r="K68" s="165">
        <f>+'RÉSULTsyst  '!K36/'RÉSULTsyst  '!K24</f>
        <v>0.81210041790401222</v>
      </c>
      <c r="L68" s="1144">
        <f>+'RÉSULTsyst  '!L36/'RÉSULTsyst  '!L24</f>
        <v>16.980273141122915</v>
      </c>
      <c r="M68" s="353">
        <f>+'RÉSULTsyst  '!M36/'RÉSULTsyst  '!M24</f>
        <v>0.5056658461628093</v>
      </c>
      <c r="N68" s="166">
        <f>+'RÉSULTsyst  '!N36/'RÉSULTsyst  '!N24</f>
        <v>0.58435346045965508</v>
      </c>
      <c r="O68" s="353">
        <f>+'RÉSULTsyst  '!O36/'RÉSULTsyst  '!O24</f>
        <v>0.46814800983412691</v>
      </c>
      <c r="P68" s="353">
        <f>+'RÉSULTsyst  '!P36/'RÉSULTsyst  '!P24</f>
        <v>0.85956618464961065</v>
      </c>
      <c r="Q68" s="166">
        <f>+'RÉSULTsyst  '!Q36/'RÉSULTsyst  '!Q24</f>
        <v>0.62538866856578967</v>
      </c>
      <c r="R68" s="167">
        <f>+'RÉSULTsyst  '!R36/'RÉSULTsyst  '!R24</f>
        <v>0.78269281609657371</v>
      </c>
      <c r="S68" s="60"/>
      <c r="T68" s="1"/>
      <c r="U68" s="1"/>
      <c r="V68" s="1"/>
      <c r="W68" s="1"/>
      <c r="X68" s="1"/>
      <c r="Y68" s="1"/>
      <c r="Z68" s="1"/>
      <c r="AA68" s="1"/>
      <c r="AB68" s="1"/>
      <c r="AC68" s="1"/>
      <c r="AD68" s="1"/>
      <c r="AE68" s="1"/>
      <c r="AF68" s="1"/>
      <c r="AG68" s="1"/>
      <c r="AH68" s="1"/>
      <c r="AI68" s="1"/>
      <c r="AJ68" s="1"/>
      <c r="AK68" s="1"/>
      <c r="AL68" s="1"/>
      <c r="AM68" s="1"/>
      <c r="AN68" s="1"/>
      <c r="AO68" s="1"/>
      <c r="AP68" s="1"/>
    </row>
    <row r="69" spans="1:42">
      <c r="A69" s="1" t="s">
        <v>397</v>
      </c>
      <c r="B69" s="419">
        <f>+'RÉSULTsyst  '!B78/'RÉSULTsyst  '!B66</f>
        <v>0.64552973611658138</v>
      </c>
      <c r="C69" s="353">
        <f>+'RÉSULTsyst  '!E78/'RÉSULTsyst  '!E66</f>
        <v>1.4446258907363421</v>
      </c>
      <c r="D69" s="422">
        <f>+'RÉSULTsyst  '!F78/'RÉSULTsyst  '!F66</f>
        <v>0.6782568382012053</v>
      </c>
      <c r="E69" s="422">
        <f>+'RÉSULTsyst  '!G78/'RÉSULTsyst  '!G66</f>
        <v>0.83757288065631286</v>
      </c>
      <c r="F69" s="353">
        <f>+'RÉSULTsyst  '!M78/'RÉSULTsyst  '!M66</f>
        <v>0.76067440332822422</v>
      </c>
      <c r="G69" s="353">
        <f>+'RÉSULTsyst  '!H78/'RÉSULTsyst  '!H66</f>
        <v>0.87227390369683833</v>
      </c>
      <c r="H69" s="353">
        <f>+'RÉSULTsyst  '!I78/'RÉSULTsyst  '!I66</f>
        <v>0.75594101688102899</v>
      </c>
      <c r="I69" s="353">
        <f>+'RÉSULTsyst  '!J78/'RÉSULTsyst  '!J66</f>
        <v>0.87519054378971295</v>
      </c>
      <c r="J69" s="353">
        <f>+'RÉSULTsyst  '!K78/'RÉSULTsyst  '!K66</f>
        <v>0.77407097171449313</v>
      </c>
      <c r="K69" s="165">
        <f>+('RÉSULTsyst  '!L78+'RÉSULTsyst  '!M78)/('RÉSULTsyst  '!L66+'RÉSULTsyst  '!M66)</f>
        <v>0.89461680243052299</v>
      </c>
      <c r="L69" s="1148">
        <v>0</v>
      </c>
      <c r="M69" s="353">
        <f>+'RÉSULTsyst  '!N78/'RÉSULTsyst  '!N66</f>
        <v>0.74362790464994122</v>
      </c>
      <c r="N69" s="166">
        <f>+M69</f>
        <v>0.74362790464994122</v>
      </c>
      <c r="O69" s="353">
        <f>+'RÉSULTsyst  '!P78/'RÉSULTsyst  '!P66</f>
        <v>0.61364901314381126</v>
      </c>
      <c r="P69" s="353">
        <f>+'RÉSULTsyst  '!Q78/'RÉSULTsyst  '!Q66</f>
        <v>0.87140457694730211</v>
      </c>
      <c r="Q69" s="166">
        <f>+'RÉSULTsyst  '!R78/'RÉSULTsyst  '!R66</f>
        <v>0.72944422174538426</v>
      </c>
      <c r="R69" s="167">
        <f>+'RÉSULTsyst  '!S78/'RÉSULTsyst  '!S66</f>
        <v>0.87144105340811673</v>
      </c>
      <c r="S69" s="60"/>
      <c r="T69" s="1"/>
      <c r="U69" s="1"/>
      <c r="V69" s="1"/>
      <c r="W69" s="1"/>
      <c r="X69" s="1"/>
      <c r="Y69" s="1"/>
      <c r="Z69" s="1"/>
      <c r="AA69" s="1"/>
      <c r="AB69" s="1"/>
      <c r="AC69" s="1"/>
      <c r="AD69" s="1"/>
      <c r="AE69" s="1"/>
      <c r="AF69" s="1"/>
      <c r="AG69" s="1"/>
      <c r="AH69" s="1"/>
      <c r="AI69" s="1"/>
      <c r="AJ69" s="1"/>
      <c r="AK69" s="1"/>
      <c r="AL69" s="1"/>
      <c r="AM69" s="1"/>
      <c r="AN69" s="1"/>
      <c r="AO69" s="1"/>
      <c r="AP69" s="1"/>
    </row>
    <row r="70" spans="1:42">
      <c r="A70" s="909" t="s">
        <v>398</v>
      </c>
      <c r="B70" s="419">
        <f>+'résultsyscumul '!B36/'résultsyscumul '!B24</f>
        <v>0.81169709263015566</v>
      </c>
      <c r="C70" s="353">
        <f>+'résultsyscumul '!C36/'résultsyscumul '!C24</f>
        <v>1.0404020877633868</v>
      </c>
      <c r="D70" s="422">
        <f>+'résultsyscumul '!D36/'résultsyscumul '!D24</f>
        <v>0.80999210002996558</v>
      </c>
      <c r="E70" s="422">
        <f>+'résultsyscumul '!E36/'résultsyscumul '!E24</f>
        <v>0.98866392871724673</v>
      </c>
      <c r="F70" s="353">
        <f>+'résultsyscumul '!F36/'résultsyscumul '!F24</f>
        <v>0.79248995654669185</v>
      </c>
      <c r="G70" s="353">
        <f>+'résultsyscumul '!G36/'résultsyscumul '!G24</f>
        <v>0.70514106568204082</v>
      </c>
      <c r="H70" s="353">
        <f>+'résultsyscumul '!H36/'résultsyscumul '!H24</f>
        <v>0.72411631987966907</v>
      </c>
      <c r="I70" s="353">
        <f>+'résultsyscumul '!I36/'résultsyscumul '!I24</f>
        <v>0.80341135832135424</v>
      </c>
      <c r="J70" s="353">
        <f>+'résultsyscumul '!J36/'résultsyscumul '!J24</f>
        <v>0.74321311733288109</v>
      </c>
      <c r="K70" s="165">
        <f>+'résultsyscumul '!K36/'résultsyscumul '!K24</f>
        <v>0.81210041790401222</v>
      </c>
      <c r="L70" s="1144">
        <f>+L68</f>
        <v>16.980273141122915</v>
      </c>
      <c r="M70" s="353">
        <f>+'résultsyscumul '!M36/'résultsyscumul '!M24</f>
        <v>0.5056658461628093</v>
      </c>
      <c r="N70" s="166">
        <f>+N68</f>
        <v>0.58435346045965508</v>
      </c>
      <c r="O70" s="353">
        <f>+'résultsyscumul '!O36/'résultsyscumul '!O24</f>
        <v>0.46814800983412691</v>
      </c>
      <c r="P70" s="353">
        <f>+'résultsyscumul '!P36/'résultsyscumul '!P24</f>
        <v>0.85956618464961065</v>
      </c>
      <c r="Q70" s="166">
        <f>+'résultsyscumul '!Q36/'résultsyscumul '!Q24</f>
        <v>0.62538866856578967</v>
      </c>
      <c r="R70" s="167">
        <f>+'résultsyscumul '!R36/'résultsyscumul '!R24</f>
        <v>0.78269281609657371</v>
      </c>
      <c r="S70" s="60"/>
      <c r="T70" s="1"/>
      <c r="U70" s="1"/>
      <c r="V70" s="1"/>
      <c r="W70" s="1"/>
      <c r="X70" s="1"/>
      <c r="Y70" s="1"/>
      <c r="Z70" s="1"/>
      <c r="AA70" s="1"/>
      <c r="AB70" s="1"/>
      <c r="AC70" s="1"/>
      <c r="AD70" s="1"/>
      <c r="AE70" s="1"/>
      <c r="AF70" s="1"/>
      <c r="AG70" s="1"/>
      <c r="AH70" s="1"/>
      <c r="AI70" s="1"/>
      <c r="AJ70" s="1"/>
      <c r="AK70" s="1"/>
      <c r="AL70" s="1"/>
      <c r="AM70" s="1"/>
      <c r="AN70" s="1"/>
      <c r="AO70" s="1"/>
      <c r="AP70" s="1"/>
    </row>
    <row r="71" spans="1:42" s="19" customFormat="1" ht="16.5" thickBot="1">
      <c r="A71" s="72" t="s">
        <v>399</v>
      </c>
      <c r="B71" s="419">
        <f>+'résultsyscumul '!B77/'résultsyscumul '!B65</f>
        <v>0.64552973611658138</v>
      </c>
      <c r="C71" s="422">
        <f>+'résultsyscumul '!E77/'résultsyscumul '!E65</f>
        <v>1.4446258907363421</v>
      </c>
      <c r="D71" s="422">
        <f>+'résultsyscumul '!F77/'résultsyscumul '!F65</f>
        <v>0.6782568382012053</v>
      </c>
      <c r="E71" s="423">
        <f>+'résultsyscumul '!G77/'résultsyscumul '!G65</f>
        <v>0.83757288065631286</v>
      </c>
      <c r="F71" s="422">
        <f>+'résultsyscumul '!M77/'résultsyscumul '!M65</f>
        <v>0.76067440332822422</v>
      </c>
      <c r="G71" s="422">
        <f>+'résultsyscumul '!H77/'résultsyscumul '!H65</f>
        <v>0.87227390369683833</v>
      </c>
      <c r="H71" s="422">
        <f>+'résultsyscumul '!I77/'résultsyscumul '!I65</f>
        <v>0.75594101688102899</v>
      </c>
      <c r="I71" s="422">
        <f>+'résultsyscumul '!J77/'résultsyscumul '!J65</f>
        <v>0.87519054378971295</v>
      </c>
      <c r="J71" s="422">
        <f>+'résultsyscumul '!K77/'résultsyscumul '!K65</f>
        <v>0.77407097171449313</v>
      </c>
      <c r="K71" s="165">
        <f>+('résultsyscumul '!L77+'résultsyscumul '!M77)/('résultsyscumul '!L65+'résultsyscumul '!M65)</f>
        <v>0.89461680243052299</v>
      </c>
      <c r="L71" s="1148">
        <v>0</v>
      </c>
      <c r="M71" s="422">
        <f>+'résultsyscumul '!N77/'résultsyscumul '!N65</f>
        <v>0.74362790464994122</v>
      </c>
      <c r="N71" s="166">
        <f>+N69</f>
        <v>0.74362790464994122</v>
      </c>
      <c r="O71" s="422">
        <f>+'résultsyscumul '!P77/'résultsyscumul '!P65</f>
        <v>0.61364901314381126</v>
      </c>
      <c r="P71" s="422">
        <f>+'résultsyscumul '!Q77/'résultsyscumul '!Q65</f>
        <v>0.87140457694730211</v>
      </c>
      <c r="Q71" s="166">
        <f>+'résultsyscumul '!R77/'résultsyscumul '!R65</f>
        <v>0.72944422174538426</v>
      </c>
      <c r="R71" s="166">
        <f>+'résultsyscumul '!S77/'résultsyscumul '!S65</f>
        <v>0.87144105340811673</v>
      </c>
      <c r="S71" s="159"/>
      <c r="T71" s="72"/>
      <c r="U71" s="70"/>
      <c r="V71" s="70"/>
      <c r="W71" s="70"/>
      <c r="X71" s="70"/>
      <c r="Y71" s="70"/>
      <c r="Z71" s="70"/>
      <c r="AA71" s="70"/>
      <c r="AB71" s="70"/>
      <c r="AC71" s="70"/>
      <c r="AD71" s="70"/>
      <c r="AE71" s="70"/>
      <c r="AF71" s="70"/>
      <c r="AG71" s="70"/>
      <c r="AH71" s="70"/>
      <c r="AI71" s="70"/>
      <c r="AJ71" s="70"/>
      <c r="AK71" s="70"/>
      <c r="AL71" s="70"/>
      <c r="AM71" s="70"/>
      <c r="AN71" s="70"/>
      <c r="AO71" s="70"/>
      <c r="AP71" s="70"/>
    </row>
    <row r="72" spans="1:42" s="20" customFormat="1" ht="9" customHeight="1">
      <c r="A72" s="72"/>
      <c r="B72" s="419"/>
      <c r="C72" s="422"/>
      <c r="D72" s="422"/>
      <c r="E72" s="422"/>
      <c r="F72" s="422"/>
      <c r="G72" s="422"/>
      <c r="H72" s="422"/>
      <c r="I72" s="422"/>
      <c r="J72" s="422"/>
      <c r="K72" s="165"/>
      <c r="L72" s="438"/>
      <c r="M72" s="422"/>
      <c r="N72" s="166" t="s">
        <v>0</v>
      </c>
      <c r="O72" s="422"/>
      <c r="P72" s="422"/>
      <c r="Q72" s="166"/>
      <c r="R72" s="166"/>
      <c r="S72" s="159"/>
      <c r="T72" s="72"/>
      <c r="U72" s="72"/>
      <c r="V72" s="72"/>
      <c r="W72" s="72"/>
      <c r="X72" s="72"/>
      <c r="Y72" s="72"/>
      <c r="Z72" s="72"/>
      <c r="AA72" s="72"/>
      <c r="AB72" s="72"/>
      <c r="AC72" s="72"/>
      <c r="AD72" s="72"/>
      <c r="AE72" s="72"/>
      <c r="AF72" s="72"/>
      <c r="AG72" s="72"/>
      <c r="AH72" s="72"/>
      <c r="AI72" s="72"/>
      <c r="AJ72" s="72"/>
      <c r="AK72" s="72"/>
      <c r="AL72" s="72"/>
      <c r="AM72" s="72"/>
      <c r="AN72" s="72"/>
      <c r="AO72" s="72"/>
      <c r="AP72" s="72"/>
    </row>
    <row r="73" spans="1:42" s="20" customFormat="1">
      <c r="A73" s="72" t="s">
        <v>402</v>
      </c>
      <c r="B73" s="419"/>
      <c r="C73" s="422"/>
      <c r="D73" s="422"/>
      <c r="E73" s="422"/>
      <c r="F73" s="422"/>
      <c r="G73" s="422"/>
      <c r="H73" s="422"/>
      <c r="I73" s="422"/>
      <c r="J73" s="422"/>
      <c r="K73" s="165"/>
      <c r="L73" s="438"/>
      <c r="M73" s="422"/>
      <c r="N73" s="166" t="s">
        <v>0</v>
      </c>
      <c r="O73" s="422"/>
      <c r="P73" s="422"/>
      <c r="Q73" s="166"/>
      <c r="R73" s="166"/>
      <c r="S73" s="159"/>
      <c r="T73" s="72"/>
      <c r="U73" s="72"/>
      <c r="V73" s="72"/>
      <c r="W73" s="72"/>
      <c r="X73" s="72"/>
      <c r="Y73" s="72"/>
      <c r="Z73" s="72"/>
      <c r="AA73" s="72"/>
      <c r="AB73" s="72"/>
      <c r="AC73" s="72"/>
      <c r="AD73" s="72"/>
      <c r="AE73" s="72"/>
      <c r="AF73" s="72"/>
      <c r="AG73" s="72"/>
      <c r="AH73" s="72"/>
      <c r="AI73" s="72"/>
      <c r="AJ73" s="72"/>
      <c r="AK73" s="72"/>
      <c r="AL73" s="72"/>
      <c r="AM73" s="72"/>
      <c r="AN73" s="72"/>
      <c r="AO73" s="72"/>
      <c r="AP73" s="72"/>
    </row>
    <row r="74" spans="1:42" s="20" customFormat="1">
      <c r="A74" s="1" t="s">
        <v>396</v>
      </c>
      <c r="B74" s="440">
        <f>+('RÉSULTsyst  '!B24/((10+9)/2)*4)</f>
        <v>124.54736842105261</v>
      </c>
      <c r="C74" s="441">
        <f>+('RÉSULTsyst  '!C24/((316+233)/2)*4)</f>
        <v>452.28415300546447</v>
      </c>
      <c r="D74" s="441">
        <f>+('RÉSULTsyst  '!D24/((107+111)/2)*4)</f>
        <v>404.13577981651372</v>
      </c>
      <c r="E74" s="441">
        <f>+('RÉSULTsyst  '!E24/((383+385)/2)*4)</f>
        <v>433.71875</v>
      </c>
      <c r="F74" s="441">
        <f>+('RÉSULTsyst  '!F24/((157+146)/2)*4)</f>
        <v>644.0660066006601</v>
      </c>
      <c r="G74" s="441">
        <f>+('RÉSULTsyst  '!G24/((164+164)/2)*4)</f>
        <v>1028.4951219512195</v>
      </c>
      <c r="H74" s="441">
        <f>+('RÉSULTsyst  '!H24/((177+188)/2)*4)</f>
        <v>699.44109589041091</v>
      </c>
      <c r="I74" s="441">
        <f>+('RÉSULTsyst  '!I24/((750+806)/2)*4)</f>
        <v>599.08740359897172</v>
      </c>
      <c r="J74" s="441">
        <f>+('RÉSULTsyst  '!J24/((412+455)/2)*4)</f>
        <v>750.8207612456747</v>
      </c>
      <c r="K74" s="452">
        <f>+('RÉSULTsyst  '!K24/((10+316+107+383+164+177+750+412+157+146+455+806+188+164+111+233+9)/2)*4)</f>
        <v>663.2092414995642</v>
      </c>
      <c r="L74" s="1147"/>
      <c r="M74" s="441">
        <f>+('RÉSULTsyst  '!M24/((48+50)/2)*4)</f>
        <v>1120.9306122448982</v>
      </c>
      <c r="N74" s="450">
        <f>+M74</f>
        <v>1120.9306122448982</v>
      </c>
      <c r="O74" s="440">
        <f>+('RÉSULTsyst  '!O24/((51+59)/2)*4)</f>
        <v>2336.9454545454546</v>
      </c>
      <c r="P74" s="441">
        <f>+('RÉSULTsyst  '!P24/((84+84)/2)*4)</f>
        <v>1027.4285714285713</v>
      </c>
      <c r="Q74" s="454">
        <f>+('RÉSULTsyst  '!Q24/((51+59+84+84)/2)*4)</f>
        <v>1545.5827338129495</v>
      </c>
      <c r="R74" s="452">
        <f>+('RÉSULTsyst  '!R24/((employés!AE50+employés!AE52)/2)*4)</f>
        <v>667.07398994600635</v>
      </c>
      <c r="S74" s="159"/>
      <c r="T74" s="72"/>
      <c r="U74" s="72"/>
      <c r="V74" s="72"/>
      <c r="W74" s="72"/>
      <c r="X74" s="72"/>
      <c r="Y74" s="72"/>
      <c r="Z74" s="72"/>
      <c r="AA74" s="72"/>
      <c r="AB74" s="72"/>
      <c r="AC74" s="72"/>
      <c r="AD74" s="72"/>
      <c r="AE74" s="72"/>
      <c r="AF74" s="72"/>
      <c r="AG74" s="72"/>
      <c r="AH74" s="72"/>
      <c r="AI74" s="72"/>
      <c r="AJ74" s="72"/>
      <c r="AK74" s="72"/>
      <c r="AL74" s="72"/>
      <c r="AM74" s="72"/>
      <c r="AN74" s="72"/>
      <c r="AO74" s="72"/>
      <c r="AP74" s="72"/>
    </row>
    <row r="75" spans="1:42" s="20" customFormat="1">
      <c r="A75" s="1" t="s">
        <v>397</v>
      </c>
      <c r="B75" s="440">
        <v>101.56</v>
      </c>
      <c r="C75" s="441">
        <v>216.64</v>
      </c>
      <c r="D75" s="441">
        <v>518.49</v>
      </c>
      <c r="E75" s="441">
        <v>443.63</v>
      </c>
      <c r="F75" s="441">
        <v>765.15</v>
      </c>
      <c r="G75" s="441">
        <v>626.59</v>
      </c>
      <c r="H75" s="441">
        <v>649.92999999999995</v>
      </c>
      <c r="I75" s="441">
        <v>593.66999999999996</v>
      </c>
      <c r="J75" s="441">
        <v>623.41</v>
      </c>
      <c r="K75" s="450">
        <v>511.77</v>
      </c>
      <c r="L75" s="1148">
        <v>0</v>
      </c>
      <c r="M75" s="441">
        <v>710.74</v>
      </c>
      <c r="N75" s="450">
        <f>+M75</f>
        <v>710.74</v>
      </c>
      <c r="O75" s="440">
        <v>1746.32</v>
      </c>
      <c r="P75" s="441">
        <v>946.68</v>
      </c>
      <c r="Q75" s="454">
        <v>1265.94</v>
      </c>
      <c r="R75" s="450">
        <v>565.25</v>
      </c>
      <c r="S75" s="159"/>
      <c r="T75" s="72"/>
      <c r="U75" s="72"/>
      <c r="V75" s="72"/>
      <c r="W75" s="72"/>
      <c r="X75" s="72"/>
      <c r="Y75" s="72"/>
      <c r="Z75" s="72"/>
      <c r="AA75" s="72"/>
      <c r="AB75" s="72"/>
      <c r="AC75" s="72"/>
      <c r="AD75" s="72"/>
      <c r="AE75" s="72"/>
      <c r="AF75" s="72"/>
      <c r="AG75" s="72"/>
      <c r="AH75" s="72"/>
      <c r="AI75" s="72"/>
      <c r="AJ75" s="72"/>
      <c r="AK75" s="72"/>
      <c r="AL75" s="72"/>
      <c r="AM75" s="72"/>
      <c r="AN75" s="72"/>
      <c r="AO75" s="72"/>
      <c r="AP75" s="72"/>
    </row>
    <row r="76" spans="1:42">
      <c r="A76" s="909" t="s">
        <v>398</v>
      </c>
      <c r="B76" s="440">
        <f>+('résultsyscumul '!B24/((10+9)/2)*4)</f>
        <v>124.54736842105261</v>
      </c>
      <c r="C76" s="443">
        <f>+('résultsyscumul '!C24/((316+233)/2)*4)</f>
        <v>452.28415300546447</v>
      </c>
      <c r="D76" s="441">
        <f>+('résultsyscumul '!D24/((107+111)/2)*4)</f>
        <v>404.13577981651372</v>
      </c>
      <c r="E76" s="441">
        <f>+('résultsyscumul '!E24/((383+385)/2)*4)</f>
        <v>433.71875</v>
      </c>
      <c r="F76" s="443">
        <f>+('résultsyscumul '!F24/((157+146)/2)*4)</f>
        <v>644.0660066006601</v>
      </c>
      <c r="G76" s="443">
        <f>+('résultsyscumul '!G24/((164+164)/2)*4)</f>
        <v>1028.4951219512195</v>
      </c>
      <c r="H76" s="443">
        <f>+('résultsyscumul '!H24/((177+188)/2)*4)</f>
        <v>699.44109589041091</v>
      </c>
      <c r="I76" s="443">
        <f>+('résultsyscumul '!I24/((750+806)/2)*4)</f>
        <v>599.08740359897172</v>
      </c>
      <c r="J76" s="443">
        <f>+('résultsyscumul '!J24/((412+455)/2)*4)</f>
        <v>750.8207612456747</v>
      </c>
      <c r="K76" s="450">
        <f>+('résultsyscumul '!K24/((10+316+107+383+164+177+750+412+157+146+455+806+188+164+111+233+9)/2)*4)</f>
        <v>663.2092414995642</v>
      </c>
      <c r="L76" s="1148"/>
      <c r="M76" s="443">
        <f>+('résultsyscumul '!M24/((48+50)/2)*4)</f>
        <v>1120.9306122448982</v>
      </c>
      <c r="N76" s="450">
        <f>+M76</f>
        <v>1120.9306122448982</v>
      </c>
      <c r="O76" s="443">
        <f>+('résultsyscumul '!O24/((51+59)/2)*4)</f>
        <v>2336.9454545454546</v>
      </c>
      <c r="P76" s="443">
        <f>+('résultsyscumul '!P24/((84+84)/2)*4)</f>
        <v>1027.4285714285713</v>
      </c>
      <c r="Q76" s="454">
        <f>+('résultsyscumul '!Q24/((51+59+84+84)/2)*4)</f>
        <v>1545.5827338129495</v>
      </c>
      <c r="R76" s="453">
        <f>+('résultsyscumul '!R24/((employés!AE50+employés!AE52)/2)*4)</f>
        <v>667.07398994600635</v>
      </c>
      <c r="S76" s="60"/>
      <c r="T76" s="1"/>
      <c r="U76" s="1"/>
      <c r="V76" s="1"/>
      <c r="W76" s="1"/>
      <c r="X76" s="1"/>
      <c r="Y76" s="1"/>
      <c r="Z76" s="1"/>
      <c r="AA76" s="1"/>
      <c r="AB76" s="1"/>
      <c r="AC76" s="1"/>
      <c r="AD76" s="1"/>
      <c r="AE76" s="1"/>
      <c r="AF76" s="1"/>
      <c r="AG76" s="1"/>
      <c r="AH76" s="1"/>
      <c r="AI76" s="1"/>
      <c r="AJ76" s="1"/>
      <c r="AK76" s="1"/>
      <c r="AL76" s="1"/>
      <c r="AM76" s="1"/>
      <c r="AN76" s="1"/>
      <c r="AO76" s="1"/>
      <c r="AP76" s="1"/>
    </row>
    <row r="77" spans="1:42" s="19" customFormat="1" ht="16.5" thickBot="1">
      <c r="A77" s="72" t="s">
        <v>399</v>
      </c>
      <c r="B77" s="442">
        <v>101.56</v>
      </c>
      <c r="C77" s="444">
        <v>216.64</v>
      </c>
      <c r="D77" s="444">
        <v>518.49</v>
      </c>
      <c r="E77" s="444">
        <v>443.63</v>
      </c>
      <c r="F77" s="444">
        <v>765.15</v>
      </c>
      <c r="G77" s="444">
        <v>626.59</v>
      </c>
      <c r="H77" s="444">
        <v>649.92999999999995</v>
      </c>
      <c r="I77" s="444">
        <v>593.66999999999996</v>
      </c>
      <c r="J77" s="444">
        <v>623.41</v>
      </c>
      <c r="K77" s="451">
        <v>511.77</v>
      </c>
      <c r="L77" s="1149">
        <v>0</v>
      </c>
      <c r="M77" s="444">
        <v>710.74</v>
      </c>
      <c r="N77" s="451">
        <f>+M77</f>
        <v>710.74</v>
      </c>
      <c r="O77" s="444">
        <v>1746.32</v>
      </c>
      <c r="P77" s="444">
        <v>946.68</v>
      </c>
      <c r="Q77" s="455">
        <v>1265.94</v>
      </c>
      <c r="R77" s="451">
        <v>565.25</v>
      </c>
      <c r="S77" s="159"/>
      <c r="T77" s="72"/>
      <c r="U77" s="70"/>
      <c r="V77" s="70"/>
      <c r="W77" s="70"/>
      <c r="X77" s="70"/>
      <c r="Y77" s="70"/>
      <c r="Z77" s="70"/>
      <c r="AA77" s="70"/>
      <c r="AB77" s="70"/>
      <c r="AC77" s="70"/>
      <c r="AD77" s="70"/>
      <c r="AE77" s="70"/>
      <c r="AF77" s="70"/>
      <c r="AG77" s="70"/>
      <c r="AH77" s="70"/>
      <c r="AI77" s="70"/>
      <c r="AJ77" s="70"/>
      <c r="AK77" s="70"/>
      <c r="AL77" s="70"/>
      <c r="AM77" s="70"/>
      <c r="AN77" s="70"/>
      <c r="AO77" s="70"/>
      <c r="AP77" s="70"/>
    </row>
    <row r="78" spans="1:42" s="20" customFormat="1">
      <c r="A78" s="72"/>
      <c r="B78" s="422"/>
      <c r="C78" s="422"/>
      <c r="D78" s="422"/>
      <c r="E78" s="422"/>
      <c r="F78" s="422"/>
      <c r="G78" s="422"/>
      <c r="H78" s="422"/>
      <c r="I78" s="422"/>
      <c r="J78" s="422"/>
      <c r="K78" s="438"/>
      <c r="L78" s="438"/>
      <c r="M78" s="422"/>
      <c r="N78" s="439" t="s">
        <v>0</v>
      </c>
      <c r="O78" s="422"/>
      <c r="P78" s="422"/>
      <c r="Q78" s="439"/>
      <c r="R78" s="439"/>
      <c r="S78" s="159"/>
      <c r="T78" s="72"/>
      <c r="U78" s="72"/>
      <c r="V78" s="72"/>
      <c r="W78" s="72"/>
      <c r="X78" s="72"/>
      <c r="Y78" s="72"/>
      <c r="Z78" s="72"/>
      <c r="AA78" s="72"/>
      <c r="AB78" s="72"/>
      <c r="AC78" s="72"/>
      <c r="AD78" s="72"/>
      <c r="AE78" s="72"/>
      <c r="AF78" s="72"/>
      <c r="AG78" s="72"/>
      <c r="AH78" s="72"/>
      <c r="AI78" s="72"/>
      <c r="AJ78" s="72"/>
      <c r="AK78" s="72"/>
      <c r="AL78" s="72"/>
      <c r="AM78" s="72"/>
      <c r="AN78" s="72"/>
      <c r="AO78" s="72"/>
      <c r="AP78" s="72"/>
    </row>
    <row r="79" spans="1:42">
      <c r="B79" s="102"/>
      <c r="C79" s="102"/>
      <c r="D79" s="102"/>
      <c r="E79" s="102"/>
      <c r="F79" s="102"/>
      <c r="G79" s="102"/>
      <c r="H79" s="102"/>
      <c r="I79" s="102"/>
      <c r="J79" s="102"/>
      <c r="K79" s="102"/>
      <c r="L79" s="102"/>
      <c r="M79" s="102"/>
      <c r="N79" s="102"/>
      <c r="O79" s="102"/>
      <c r="P79" s="102"/>
      <c r="Q79" s="88"/>
      <c r="R79" s="88"/>
      <c r="S79" s="60"/>
      <c r="T79" s="1"/>
      <c r="U79" s="1"/>
      <c r="V79" s="1"/>
      <c r="W79" s="1"/>
      <c r="X79" s="1"/>
      <c r="Y79" s="1"/>
      <c r="Z79" s="1"/>
      <c r="AA79" s="1"/>
      <c r="AB79" s="1"/>
      <c r="AC79" s="1"/>
      <c r="AD79" s="1"/>
      <c r="AE79" s="1"/>
      <c r="AF79" s="1"/>
      <c r="AG79" s="1"/>
      <c r="AH79" s="1"/>
      <c r="AI79" s="1"/>
      <c r="AJ79" s="1"/>
      <c r="AK79" s="1"/>
      <c r="AL79" s="1"/>
      <c r="AM79" s="1"/>
      <c r="AN79" s="1"/>
      <c r="AO79" s="1"/>
      <c r="AP79" s="1"/>
    </row>
    <row r="80" spans="1:42">
      <c r="B80" s="102"/>
      <c r="C80" s="102"/>
      <c r="D80" s="102"/>
      <c r="E80" s="102"/>
      <c r="F80" s="102"/>
      <c r="G80" s="102"/>
      <c r="H80" s="102"/>
      <c r="I80" s="102"/>
      <c r="J80" s="102"/>
      <c r="K80" s="102"/>
      <c r="L80" s="102"/>
      <c r="M80" s="102"/>
      <c r="N80" s="102"/>
      <c r="O80" s="102"/>
      <c r="P80" s="102"/>
      <c r="Q80" s="88"/>
      <c r="R80" s="88"/>
      <c r="S80" s="60"/>
      <c r="T80" s="1"/>
      <c r="U80" s="1"/>
      <c r="V80" s="1"/>
      <c r="W80" s="1"/>
      <c r="X80" s="1"/>
      <c r="Y80" s="1"/>
      <c r="Z80" s="1"/>
      <c r="AA80" s="1"/>
      <c r="AB80" s="1"/>
      <c r="AC80" s="1"/>
      <c r="AD80" s="1"/>
      <c r="AE80" s="1"/>
      <c r="AF80" s="1"/>
      <c r="AG80" s="1"/>
      <c r="AH80" s="1"/>
      <c r="AI80" s="1"/>
      <c r="AJ80" s="1"/>
      <c r="AK80" s="1"/>
      <c r="AL80" s="1"/>
      <c r="AM80" s="1"/>
      <c r="AN80" s="1"/>
      <c r="AO80" s="1"/>
      <c r="AP80" s="1"/>
    </row>
    <row r="81" spans="2:42">
      <c r="B81" s="102"/>
      <c r="C81" s="102"/>
      <c r="D81" s="102"/>
      <c r="E81" s="102"/>
      <c r="F81" s="102"/>
      <c r="G81" s="102"/>
      <c r="H81" s="102"/>
      <c r="I81" s="102"/>
      <c r="J81" s="102"/>
      <c r="K81" s="102"/>
      <c r="L81" s="102"/>
      <c r="M81" s="102"/>
      <c r="N81" s="102"/>
      <c r="O81" s="102"/>
      <c r="P81" s="102"/>
      <c r="Q81" s="88"/>
      <c r="R81" s="88"/>
      <c r="S81" s="60"/>
      <c r="T81" s="1"/>
      <c r="U81" s="1"/>
      <c r="V81" s="1"/>
      <c r="W81" s="1"/>
      <c r="X81" s="1"/>
      <c r="Y81" s="1"/>
      <c r="Z81" s="1"/>
      <c r="AA81" s="1"/>
      <c r="AB81" s="1"/>
      <c r="AC81" s="1"/>
      <c r="AD81" s="1"/>
      <c r="AE81" s="1"/>
      <c r="AF81" s="1"/>
      <c r="AG81" s="1"/>
      <c r="AH81" s="1"/>
      <c r="AI81" s="1"/>
      <c r="AJ81" s="1"/>
      <c r="AK81" s="1"/>
      <c r="AL81" s="1"/>
      <c r="AM81" s="1"/>
      <c r="AN81" s="1"/>
      <c r="AO81" s="1"/>
      <c r="AP81" s="1"/>
    </row>
    <row r="82" spans="2:42">
      <c r="B82" s="102"/>
      <c r="C82" s="102"/>
      <c r="D82" s="102"/>
      <c r="E82" s="102"/>
      <c r="F82" s="102"/>
      <c r="G82" s="102"/>
      <c r="H82" s="102"/>
      <c r="I82" s="102"/>
      <c r="J82" s="102"/>
      <c r="K82" s="102"/>
      <c r="L82" s="102"/>
      <c r="M82" s="102"/>
      <c r="N82" s="102"/>
      <c r="O82" s="102"/>
      <c r="P82" s="102"/>
      <c r="Q82" s="88"/>
      <c r="R82" s="88"/>
      <c r="S82" s="60"/>
      <c r="T82" s="1"/>
      <c r="U82" s="1"/>
      <c r="V82" s="1"/>
      <c r="W82" s="1"/>
      <c r="X82" s="1"/>
      <c r="Y82" s="1"/>
      <c r="Z82" s="1"/>
      <c r="AA82" s="1"/>
      <c r="AB82" s="1"/>
      <c r="AC82" s="1"/>
      <c r="AD82" s="1"/>
      <c r="AE82" s="1"/>
      <c r="AF82" s="1"/>
      <c r="AG82" s="1"/>
      <c r="AH82" s="1"/>
      <c r="AI82" s="1"/>
      <c r="AJ82" s="1"/>
      <c r="AK82" s="1"/>
      <c r="AL82" s="1"/>
      <c r="AM82" s="1"/>
      <c r="AN82" s="1"/>
      <c r="AO82" s="1"/>
      <c r="AP82" s="1"/>
    </row>
    <row r="83" spans="2:42">
      <c r="B83" s="102"/>
      <c r="C83" s="102"/>
      <c r="D83" s="102"/>
      <c r="E83" s="102"/>
      <c r="F83" s="102"/>
      <c r="G83" s="102"/>
      <c r="H83" s="102"/>
      <c r="I83" s="102"/>
      <c r="J83" s="102"/>
      <c r="K83" s="102"/>
      <c r="L83" s="102"/>
      <c r="M83" s="102"/>
      <c r="N83" s="102"/>
      <c r="O83" s="102"/>
      <c r="P83" s="102"/>
      <c r="Q83" s="88"/>
      <c r="R83" s="88"/>
      <c r="S83" s="60"/>
      <c r="T83" s="1"/>
      <c r="U83" s="1"/>
      <c r="V83" s="1"/>
      <c r="W83" s="1"/>
      <c r="X83" s="1"/>
      <c r="Y83" s="1"/>
      <c r="Z83" s="1"/>
      <c r="AA83" s="1"/>
      <c r="AB83" s="1"/>
      <c r="AC83" s="1"/>
      <c r="AD83" s="1"/>
      <c r="AE83" s="1"/>
      <c r="AF83" s="1"/>
      <c r="AG83" s="1"/>
      <c r="AH83" s="1"/>
      <c r="AI83" s="1"/>
      <c r="AJ83" s="1"/>
      <c r="AK83" s="1"/>
      <c r="AL83" s="1"/>
      <c r="AM83" s="1"/>
      <c r="AN83" s="1"/>
      <c r="AO83" s="1"/>
      <c r="AP83" s="1"/>
    </row>
    <row r="84" spans="2:42">
      <c r="B84" s="102"/>
      <c r="C84" s="102"/>
      <c r="D84" s="102"/>
      <c r="E84" s="102"/>
      <c r="F84" s="102"/>
      <c r="G84" s="102"/>
      <c r="H84" s="102"/>
      <c r="I84" s="102"/>
      <c r="J84" s="102"/>
      <c r="K84" s="102"/>
      <c r="L84" s="102"/>
      <c r="M84" s="102"/>
      <c r="N84" s="102"/>
      <c r="O84" s="102"/>
      <c r="P84" s="102"/>
      <c r="Q84" s="88"/>
      <c r="R84" s="88"/>
      <c r="S84" s="60"/>
      <c r="T84" s="1"/>
      <c r="U84" s="1"/>
      <c r="V84" s="1"/>
      <c r="W84" s="1"/>
      <c r="X84" s="1"/>
      <c r="Y84" s="1"/>
      <c r="Z84" s="1"/>
      <c r="AA84" s="1"/>
      <c r="AB84" s="1"/>
      <c r="AC84" s="1"/>
      <c r="AD84" s="1"/>
      <c r="AE84" s="1"/>
      <c r="AF84" s="1"/>
      <c r="AG84" s="1"/>
      <c r="AH84" s="1"/>
      <c r="AI84" s="1"/>
      <c r="AJ84" s="1"/>
      <c r="AK84" s="1"/>
      <c r="AL84" s="1"/>
      <c r="AM84" s="1"/>
      <c r="AN84" s="1"/>
      <c r="AO84" s="1"/>
      <c r="AP84" s="1"/>
    </row>
    <row r="85" spans="2:42">
      <c r="B85" s="102"/>
      <c r="C85" s="102"/>
      <c r="D85" s="102"/>
      <c r="E85" s="102"/>
      <c r="F85" s="102"/>
      <c r="G85" s="102"/>
      <c r="H85" s="102"/>
      <c r="I85" s="102"/>
      <c r="J85" s="102"/>
      <c r="K85" s="102"/>
      <c r="L85" s="102"/>
      <c r="M85" s="102"/>
      <c r="N85" s="102"/>
      <c r="O85" s="102"/>
      <c r="P85" s="102"/>
      <c r="Q85" s="88"/>
      <c r="R85" s="88"/>
      <c r="S85" s="60"/>
      <c r="T85" s="1"/>
      <c r="U85" s="1"/>
      <c r="V85" s="1"/>
      <c r="W85" s="1"/>
      <c r="X85" s="1"/>
      <c r="Y85" s="1"/>
      <c r="Z85" s="1"/>
      <c r="AA85" s="1"/>
      <c r="AB85" s="1"/>
      <c r="AC85" s="1"/>
      <c r="AD85" s="1"/>
      <c r="AE85" s="1"/>
      <c r="AF85" s="1"/>
      <c r="AG85" s="1"/>
      <c r="AH85" s="1"/>
      <c r="AI85" s="1"/>
      <c r="AJ85" s="1"/>
      <c r="AK85" s="1"/>
      <c r="AL85" s="1"/>
      <c r="AM85" s="1"/>
      <c r="AN85" s="1"/>
      <c r="AO85" s="1"/>
      <c r="AP85" s="1"/>
    </row>
    <row r="86" spans="2:42">
      <c r="B86" s="102"/>
      <c r="C86" s="102"/>
      <c r="D86" s="102"/>
      <c r="E86" s="102"/>
      <c r="F86" s="102"/>
      <c r="G86" s="102"/>
      <c r="H86" s="102"/>
      <c r="I86" s="102"/>
      <c r="J86" s="102"/>
      <c r="K86" s="102"/>
      <c r="L86" s="102"/>
      <c r="M86" s="102"/>
      <c r="N86" s="102"/>
      <c r="O86" s="102"/>
      <c r="P86" s="102"/>
      <c r="Q86" s="88"/>
      <c r="R86" s="88"/>
      <c r="S86" s="60"/>
      <c r="T86" s="1"/>
      <c r="U86" s="1"/>
      <c r="V86" s="1"/>
      <c r="W86" s="1"/>
      <c r="X86" s="1"/>
      <c r="Y86" s="1"/>
      <c r="Z86" s="1"/>
      <c r="AA86" s="1"/>
      <c r="AB86" s="1"/>
      <c r="AC86" s="1"/>
      <c r="AD86" s="1"/>
      <c r="AE86" s="1"/>
      <c r="AF86" s="1"/>
      <c r="AG86" s="1"/>
      <c r="AH86" s="1"/>
      <c r="AI86" s="1"/>
      <c r="AJ86" s="1"/>
      <c r="AK86" s="1"/>
      <c r="AL86" s="1"/>
      <c r="AM86" s="1"/>
      <c r="AN86" s="1"/>
      <c r="AO86" s="1"/>
      <c r="AP86" s="1"/>
    </row>
    <row r="87" spans="2:42">
      <c r="B87" s="102"/>
      <c r="C87" s="102"/>
      <c r="D87" s="102"/>
      <c r="E87" s="102"/>
      <c r="F87" s="102"/>
      <c r="G87" s="102"/>
      <c r="H87" s="102"/>
      <c r="I87" s="102"/>
      <c r="J87" s="102"/>
      <c r="K87" s="102"/>
      <c r="L87" s="102"/>
      <c r="M87" s="102"/>
      <c r="N87" s="102"/>
      <c r="O87" s="102"/>
      <c r="P87" s="102"/>
      <c r="Q87" s="88"/>
      <c r="R87" s="88"/>
      <c r="S87" s="60"/>
      <c r="T87" s="1"/>
      <c r="U87" s="1"/>
      <c r="V87" s="1"/>
      <c r="W87" s="1"/>
      <c r="X87" s="1"/>
      <c r="Y87" s="1"/>
      <c r="Z87" s="1"/>
      <c r="AA87" s="1"/>
      <c r="AB87" s="1"/>
      <c r="AC87" s="1"/>
      <c r="AD87" s="1"/>
      <c r="AE87" s="1"/>
      <c r="AF87" s="1"/>
      <c r="AG87" s="1"/>
      <c r="AH87" s="1"/>
      <c r="AI87" s="1"/>
      <c r="AJ87" s="1"/>
      <c r="AK87" s="1"/>
      <c r="AL87" s="1"/>
      <c r="AM87" s="1"/>
      <c r="AN87" s="1"/>
      <c r="AO87" s="1"/>
      <c r="AP87" s="1"/>
    </row>
    <row r="88" spans="2:42">
      <c r="B88" s="102"/>
      <c r="C88" s="102"/>
      <c r="D88" s="102"/>
      <c r="E88" s="102"/>
      <c r="F88" s="102"/>
      <c r="G88" s="102"/>
      <c r="H88" s="102"/>
      <c r="I88" s="102"/>
      <c r="J88" s="102"/>
      <c r="K88" s="102"/>
      <c r="L88" s="102"/>
      <c r="M88" s="102"/>
      <c r="N88" s="102"/>
      <c r="O88" s="102"/>
      <c r="P88" s="102"/>
      <c r="Q88" s="88"/>
      <c r="R88" s="88"/>
      <c r="S88" s="60"/>
      <c r="T88" s="1"/>
      <c r="U88" s="1"/>
      <c r="V88" s="1"/>
      <c r="W88" s="1"/>
      <c r="X88" s="1"/>
      <c r="Y88" s="1"/>
      <c r="Z88" s="1"/>
      <c r="AA88" s="1"/>
      <c r="AB88" s="1"/>
      <c r="AC88" s="1"/>
      <c r="AD88" s="1"/>
      <c r="AE88" s="1"/>
      <c r="AF88" s="1"/>
      <c r="AG88" s="1"/>
      <c r="AH88" s="1"/>
      <c r="AI88" s="1"/>
      <c r="AJ88" s="1"/>
      <c r="AK88" s="1"/>
      <c r="AL88" s="1"/>
      <c r="AM88" s="1"/>
      <c r="AN88" s="1"/>
      <c r="AO88" s="1"/>
      <c r="AP88" s="1"/>
    </row>
    <row r="89" spans="2:42">
      <c r="B89" s="102"/>
      <c r="C89" s="102"/>
      <c r="D89" s="102"/>
      <c r="E89" s="102"/>
      <c r="F89" s="102"/>
      <c r="G89" s="102"/>
      <c r="H89" s="102"/>
      <c r="I89" s="102"/>
      <c r="J89" s="102"/>
      <c r="K89" s="102"/>
      <c r="L89" s="102"/>
      <c r="M89" s="102"/>
      <c r="N89" s="102"/>
      <c r="O89" s="102"/>
      <c r="P89" s="102"/>
      <c r="Q89" s="88"/>
      <c r="R89" s="88"/>
      <c r="S89" s="60"/>
      <c r="T89" s="1"/>
      <c r="U89" s="1"/>
      <c r="V89" s="1"/>
      <c r="W89" s="1"/>
      <c r="X89" s="1"/>
      <c r="Y89" s="1"/>
      <c r="Z89" s="1"/>
      <c r="AA89" s="1"/>
      <c r="AB89" s="1"/>
      <c r="AC89" s="1"/>
      <c r="AD89" s="1"/>
      <c r="AE89" s="1"/>
      <c r="AF89" s="1"/>
      <c r="AG89" s="1"/>
      <c r="AH89" s="1"/>
      <c r="AI89" s="1"/>
      <c r="AJ89" s="1"/>
      <c r="AK89" s="1"/>
      <c r="AL89" s="1"/>
      <c r="AM89" s="1"/>
      <c r="AN89" s="1"/>
      <c r="AO89" s="1"/>
      <c r="AP89" s="1"/>
    </row>
    <row r="90" spans="2:42">
      <c r="B90" s="102"/>
      <c r="C90" s="102"/>
      <c r="D90" s="102"/>
      <c r="E90" s="102"/>
      <c r="F90" s="102"/>
      <c r="G90" s="102"/>
      <c r="H90" s="102"/>
      <c r="I90" s="102"/>
      <c r="J90" s="102"/>
      <c r="K90" s="102"/>
      <c r="L90" s="102"/>
      <c r="M90" s="102"/>
      <c r="N90" s="102"/>
      <c r="O90" s="102"/>
      <c r="P90" s="102"/>
      <c r="Q90" s="88"/>
      <c r="R90" s="88"/>
      <c r="S90" s="60"/>
      <c r="T90" s="1"/>
      <c r="U90" s="1"/>
      <c r="V90" s="1"/>
      <c r="W90" s="1"/>
      <c r="X90" s="1"/>
      <c r="Y90" s="1"/>
      <c r="Z90" s="1"/>
      <c r="AA90" s="1"/>
      <c r="AB90" s="1"/>
      <c r="AC90" s="1"/>
      <c r="AD90" s="1"/>
      <c r="AE90" s="1"/>
      <c r="AF90" s="1"/>
      <c r="AG90" s="1"/>
      <c r="AH90" s="1"/>
      <c r="AI90" s="1"/>
      <c r="AJ90" s="1"/>
      <c r="AK90" s="1"/>
      <c r="AL90" s="1"/>
      <c r="AM90" s="1"/>
      <c r="AN90" s="1"/>
      <c r="AO90" s="1"/>
      <c r="AP90" s="1"/>
    </row>
    <row r="91" spans="2:42">
      <c r="B91" s="102"/>
      <c r="C91" s="102"/>
      <c r="D91" s="102"/>
      <c r="E91" s="102"/>
      <c r="F91" s="102"/>
      <c r="G91" s="102"/>
      <c r="H91" s="102"/>
      <c r="I91" s="102"/>
      <c r="J91" s="102"/>
      <c r="K91" s="102"/>
      <c r="L91" s="102"/>
      <c r="M91" s="102"/>
      <c r="N91" s="102"/>
      <c r="O91" s="102"/>
      <c r="P91" s="102"/>
      <c r="Q91" s="88"/>
      <c r="R91" s="88"/>
      <c r="S91" s="60"/>
      <c r="T91" s="1"/>
      <c r="U91" s="1"/>
      <c r="V91" s="1"/>
      <c r="W91" s="1"/>
      <c r="X91" s="1"/>
      <c r="Y91" s="1"/>
      <c r="Z91" s="1"/>
      <c r="AA91" s="1"/>
      <c r="AB91" s="1"/>
      <c r="AC91" s="1"/>
      <c r="AD91" s="1"/>
      <c r="AE91" s="1"/>
      <c r="AF91" s="1"/>
      <c r="AG91" s="1"/>
      <c r="AH91" s="1"/>
      <c r="AI91" s="1"/>
      <c r="AJ91" s="1"/>
      <c r="AK91" s="1"/>
      <c r="AL91" s="1"/>
      <c r="AM91" s="1"/>
      <c r="AN91" s="1"/>
      <c r="AO91" s="1"/>
      <c r="AP91" s="1"/>
    </row>
    <row r="92" spans="2:42">
      <c r="B92" s="102"/>
      <c r="C92" s="102"/>
      <c r="D92" s="102"/>
      <c r="E92" s="102"/>
      <c r="F92" s="102"/>
      <c r="G92" s="102"/>
      <c r="H92" s="102"/>
      <c r="I92" s="102"/>
      <c r="J92" s="102"/>
      <c r="K92" s="102"/>
      <c r="L92" s="102"/>
      <c r="M92" s="102"/>
      <c r="N92" s="102"/>
      <c r="O92" s="102"/>
      <c r="P92" s="102"/>
      <c r="Q92" s="88"/>
      <c r="R92" s="88"/>
      <c r="S92" s="60"/>
      <c r="T92" s="1"/>
      <c r="U92" s="1"/>
      <c r="V92" s="1"/>
      <c r="W92" s="1"/>
      <c r="X92" s="1"/>
      <c r="Y92" s="1"/>
      <c r="Z92" s="1"/>
      <c r="AA92" s="1"/>
      <c r="AB92" s="1"/>
      <c r="AC92" s="1"/>
      <c r="AD92" s="1"/>
      <c r="AE92" s="1"/>
      <c r="AF92" s="1"/>
      <c r="AG92" s="1"/>
      <c r="AH92" s="1"/>
      <c r="AI92" s="1"/>
      <c r="AJ92" s="1"/>
      <c r="AK92" s="1"/>
      <c r="AL92" s="1"/>
      <c r="AM92" s="1"/>
      <c r="AN92" s="1"/>
      <c r="AO92" s="1"/>
      <c r="AP92" s="1"/>
    </row>
    <row r="93" spans="2:42">
      <c r="B93" s="102"/>
      <c r="C93" s="102"/>
      <c r="D93" s="102"/>
      <c r="E93" s="102"/>
      <c r="F93" s="102"/>
      <c r="G93" s="102"/>
      <c r="H93" s="102"/>
      <c r="I93" s="102"/>
      <c r="J93" s="102"/>
      <c r="K93" s="102"/>
      <c r="L93" s="102"/>
      <c r="M93" s="102"/>
      <c r="N93" s="102"/>
      <c r="O93" s="102"/>
      <c r="P93" s="102"/>
      <c r="Q93" s="88"/>
      <c r="R93" s="88"/>
      <c r="S93" s="60"/>
      <c r="T93" s="1"/>
      <c r="U93" s="1"/>
      <c r="V93" s="1"/>
      <c r="W93" s="1"/>
      <c r="X93" s="1"/>
      <c r="Y93" s="1"/>
      <c r="Z93" s="1"/>
      <c r="AA93" s="1"/>
      <c r="AB93" s="1"/>
      <c r="AC93" s="1"/>
      <c r="AD93" s="1"/>
      <c r="AE93" s="1"/>
      <c r="AF93" s="1"/>
      <c r="AG93" s="1"/>
      <c r="AH93" s="1"/>
      <c r="AI93" s="1"/>
      <c r="AJ93" s="1"/>
      <c r="AK93" s="1"/>
      <c r="AL93" s="1"/>
      <c r="AM93" s="1"/>
      <c r="AN93" s="1"/>
      <c r="AO93" s="1"/>
      <c r="AP93" s="1"/>
    </row>
    <row r="94" spans="2:42">
      <c r="B94" s="102"/>
      <c r="C94" s="102"/>
      <c r="D94" s="102"/>
      <c r="E94" s="102"/>
      <c r="F94" s="102"/>
      <c r="G94" s="102"/>
      <c r="H94" s="102"/>
      <c r="I94" s="102"/>
      <c r="J94" s="102"/>
      <c r="K94" s="102"/>
      <c r="L94" s="102"/>
      <c r="M94" s="102"/>
      <c r="N94" s="102"/>
      <c r="O94" s="102"/>
      <c r="P94" s="102"/>
      <c r="Q94" s="88"/>
      <c r="R94" s="88"/>
      <c r="S94" s="60"/>
      <c r="T94" s="1"/>
      <c r="U94" s="1"/>
      <c r="V94" s="1"/>
      <c r="W94" s="1"/>
      <c r="X94" s="1"/>
      <c r="Y94" s="1"/>
      <c r="Z94" s="1"/>
      <c r="AA94" s="1"/>
      <c r="AB94" s="1"/>
      <c r="AC94" s="1"/>
      <c r="AD94" s="1"/>
      <c r="AE94" s="1"/>
      <c r="AF94" s="1"/>
      <c r="AG94" s="1"/>
      <c r="AH94" s="1"/>
      <c r="AI94" s="1"/>
      <c r="AJ94" s="1"/>
      <c r="AK94" s="1"/>
      <c r="AL94" s="1"/>
      <c r="AM94" s="1"/>
      <c r="AN94" s="1"/>
      <c r="AO94" s="1"/>
      <c r="AP94" s="1"/>
    </row>
    <row r="95" spans="2:42">
      <c r="B95" s="102"/>
      <c r="C95" s="102"/>
      <c r="D95" s="102"/>
      <c r="E95" s="102"/>
      <c r="F95" s="102"/>
      <c r="G95" s="102"/>
      <c r="H95" s="102"/>
      <c r="I95" s="102"/>
      <c r="J95" s="102"/>
      <c r="K95" s="102"/>
      <c r="L95" s="102"/>
      <c r="M95" s="102"/>
      <c r="N95" s="102"/>
      <c r="O95" s="102"/>
      <c r="P95" s="102"/>
      <c r="Q95" s="88"/>
      <c r="R95" s="88"/>
      <c r="S95" s="60"/>
      <c r="T95" s="1"/>
      <c r="U95" s="1"/>
      <c r="V95" s="1"/>
      <c r="W95" s="1"/>
      <c r="X95" s="1"/>
      <c r="Y95" s="1"/>
      <c r="Z95" s="1"/>
      <c r="AA95" s="1"/>
      <c r="AB95" s="1"/>
      <c r="AC95" s="1"/>
      <c r="AD95" s="1"/>
      <c r="AE95" s="1"/>
      <c r="AF95" s="1"/>
      <c r="AG95" s="1"/>
      <c r="AH95" s="1"/>
      <c r="AI95" s="1"/>
      <c r="AJ95" s="1"/>
      <c r="AK95" s="1"/>
      <c r="AL95" s="1"/>
      <c r="AM95" s="1"/>
      <c r="AN95" s="1"/>
      <c r="AO95" s="1"/>
      <c r="AP95" s="1"/>
    </row>
    <row r="96" spans="2:42">
      <c r="B96" s="102"/>
      <c r="C96" s="102"/>
      <c r="D96" s="102"/>
      <c r="E96" s="102"/>
      <c r="F96" s="102"/>
      <c r="G96" s="102"/>
      <c r="H96" s="102"/>
      <c r="I96" s="102"/>
      <c r="J96" s="102"/>
      <c r="K96" s="102"/>
      <c r="L96" s="102"/>
      <c r="M96" s="102"/>
      <c r="N96" s="102"/>
      <c r="O96" s="102"/>
      <c r="P96" s="102"/>
      <c r="Q96" s="88"/>
      <c r="R96" s="88"/>
      <c r="S96" s="60"/>
      <c r="T96" s="1"/>
      <c r="U96" s="1"/>
      <c r="V96" s="1"/>
      <c r="W96" s="1"/>
      <c r="X96" s="1"/>
      <c r="Y96" s="1"/>
      <c r="Z96" s="1"/>
      <c r="AA96" s="1"/>
      <c r="AB96" s="1"/>
      <c r="AC96" s="1"/>
      <c r="AD96" s="1"/>
      <c r="AE96" s="1"/>
      <c r="AF96" s="1"/>
      <c r="AG96" s="1"/>
      <c r="AH96" s="1"/>
      <c r="AI96" s="1"/>
      <c r="AJ96" s="1"/>
      <c r="AK96" s="1"/>
      <c r="AL96" s="1"/>
      <c r="AM96" s="1"/>
      <c r="AN96" s="1"/>
      <c r="AO96" s="1"/>
      <c r="AP96" s="1"/>
    </row>
    <row r="97" spans="2:42">
      <c r="B97" s="102"/>
      <c r="C97" s="102"/>
      <c r="D97" s="102"/>
      <c r="E97" s="102"/>
      <c r="F97" s="102"/>
      <c r="G97" s="102"/>
      <c r="H97" s="102"/>
      <c r="I97" s="102"/>
      <c r="J97" s="102"/>
      <c r="K97" s="102"/>
      <c r="L97" s="102"/>
      <c r="M97" s="102"/>
      <c r="N97" s="102"/>
      <c r="O97" s="102"/>
      <c r="P97" s="102"/>
      <c r="Q97" s="88"/>
      <c r="R97" s="88"/>
      <c r="S97" s="60"/>
      <c r="T97" s="1"/>
      <c r="U97" s="1"/>
      <c r="V97" s="1"/>
      <c r="W97" s="1"/>
      <c r="X97" s="1"/>
      <c r="Y97" s="1"/>
      <c r="Z97" s="1"/>
      <c r="AA97" s="1"/>
      <c r="AB97" s="1"/>
      <c r="AC97" s="1"/>
      <c r="AD97" s="1"/>
      <c r="AE97" s="1"/>
      <c r="AF97" s="1"/>
      <c r="AG97" s="1"/>
      <c r="AH97" s="1"/>
      <c r="AI97" s="1"/>
      <c r="AJ97" s="1"/>
      <c r="AK97" s="1"/>
      <c r="AL97" s="1"/>
      <c r="AM97" s="1"/>
      <c r="AN97" s="1"/>
      <c r="AO97" s="1"/>
      <c r="AP97" s="1"/>
    </row>
    <row r="98" spans="2:42">
      <c r="B98" s="102"/>
      <c r="C98" s="102"/>
      <c r="D98" s="102"/>
      <c r="E98" s="102"/>
      <c r="F98" s="102"/>
      <c r="G98" s="102"/>
      <c r="H98" s="102"/>
      <c r="I98" s="102"/>
      <c r="J98" s="102"/>
      <c r="K98" s="102"/>
      <c r="L98" s="102"/>
      <c r="M98" s="102"/>
      <c r="N98" s="102"/>
      <c r="O98" s="102"/>
      <c r="P98" s="102"/>
      <c r="Q98" s="88"/>
      <c r="R98" s="88"/>
      <c r="S98" s="60"/>
      <c r="T98" s="1"/>
      <c r="U98" s="1"/>
      <c r="V98" s="1"/>
      <c r="W98" s="1"/>
      <c r="X98" s="1"/>
      <c r="Y98" s="1"/>
      <c r="Z98" s="1"/>
      <c r="AA98" s="1"/>
      <c r="AB98" s="1"/>
      <c r="AC98" s="1"/>
      <c r="AD98" s="1"/>
      <c r="AE98" s="1"/>
      <c r="AF98" s="1"/>
      <c r="AG98" s="1"/>
      <c r="AH98" s="1"/>
      <c r="AI98" s="1"/>
      <c r="AJ98" s="1"/>
      <c r="AK98" s="1"/>
      <c r="AL98" s="1"/>
      <c r="AM98" s="1"/>
      <c r="AN98" s="1"/>
      <c r="AO98" s="1"/>
      <c r="AP98" s="1"/>
    </row>
    <row r="99" spans="2:42">
      <c r="B99" s="102"/>
      <c r="C99" s="102"/>
      <c r="D99" s="102"/>
      <c r="E99" s="102"/>
      <c r="F99" s="102"/>
      <c r="G99" s="102"/>
      <c r="H99" s="102"/>
      <c r="I99" s="102"/>
      <c r="J99" s="102"/>
      <c r="K99" s="102"/>
      <c r="L99" s="102"/>
      <c r="M99" s="102"/>
      <c r="N99" s="102"/>
      <c r="O99" s="102"/>
      <c r="P99" s="102"/>
      <c r="Q99" s="88"/>
      <c r="R99" s="88"/>
      <c r="S99" s="60"/>
      <c r="T99" s="1"/>
      <c r="U99" s="1"/>
      <c r="V99" s="1"/>
      <c r="W99" s="1"/>
      <c r="X99" s="1"/>
      <c r="Y99" s="1"/>
      <c r="Z99" s="1"/>
      <c r="AA99" s="1"/>
      <c r="AB99" s="1"/>
      <c r="AC99" s="1"/>
      <c r="AD99" s="1"/>
      <c r="AE99" s="1"/>
      <c r="AF99" s="1"/>
      <c r="AG99" s="1"/>
      <c r="AH99" s="1"/>
      <c r="AI99" s="1"/>
      <c r="AJ99" s="1"/>
      <c r="AK99" s="1"/>
      <c r="AL99" s="1"/>
      <c r="AM99" s="1"/>
      <c r="AN99" s="1"/>
      <c r="AO99" s="1"/>
      <c r="AP99" s="1"/>
    </row>
    <row r="100" spans="2:42">
      <c r="B100" s="102"/>
      <c r="C100" s="102"/>
      <c r="D100" s="102"/>
      <c r="E100" s="102"/>
      <c r="F100" s="102"/>
      <c r="G100" s="102"/>
      <c r="H100" s="102"/>
      <c r="I100" s="102"/>
      <c r="J100" s="102"/>
      <c r="K100" s="102"/>
      <c r="L100" s="102"/>
      <c r="M100" s="102"/>
      <c r="N100" s="102"/>
      <c r="O100" s="102"/>
      <c r="P100" s="102"/>
      <c r="Q100" s="88"/>
      <c r="R100" s="88"/>
      <c r="S100" s="60"/>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2:42">
      <c r="B101" s="102"/>
      <c r="C101" s="102"/>
      <c r="D101" s="102"/>
      <c r="E101" s="102"/>
      <c r="F101" s="102"/>
      <c r="G101" s="102"/>
      <c r="H101" s="102"/>
      <c r="I101" s="102"/>
      <c r="J101" s="102"/>
      <c r="K101" s="102"/>
      <c r="L101" s="102"/>
      <c r="M101" s="102"/>
      <c r="N101" s="102"/>
      <c r="O101" s="102"/>
      <c r="P101" s="102"/>
      <c r="Q101" s="88"/>
      <c r="R101" s="88"/>
      <c r="S101" s="60"/>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2:42">
      <c r="B102" s="102"/>
      <c r="C102" s="102"/>
      <c r="D102" s="102"/>
      <c r="E102" s="102"/>
      <c r="F102" s="102"/>
      <c r="G102" s="102"/>
      <c r="H102" s="102"/>
      <c r="I102" s="102"/>
      <c r="J102" s="102"/>
      <c r="K102" s="102"/>
      <c r="L102" s="102"/>
      <c r="M102" s="102"/>
      <c r="N102" s="102"/>
      <c r="O102" s="102"/>
      <c r="P102" s="102"/>
      <c r="Q102" s="88"/>
      <c r="R102" s="88"/>
      <c r="S102" s="60"/>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2:42">
      <c r="B103" s="102"/>
      <c r="C103" s="102"/>
      <c r="D103" s="102"/>
      <c r="E103" s="102"/>
      <c r="F103" s="102"/>
      <c r="G103" s="102"/>
      <c r="H103" s="102"/>
      <c r="I103" s="102"/>
      <c r="J103" s="102"/>
      <c r="K103" s="102"/>
      <c r="L103" s="102"/>
      <c r="M103" s="102"/>
      <c r="N103" s="102"/>
      <c r="O103" s="102"/>
      <c r="P103" s="102"/>
      <c r="Q103" s="88"/>
      <c r="R103" s="88"/>
      <c r="S103" s="60"/>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2:42">
      <c r="B104" s="102"/>
      <c r="C104" s="102"/>
      <c r="D104" s="102"/>
      <c r="E104" s="102"/>
      <c r="F104" s="102"/>
      <c r="G104" s="102"/>
      <c r="H104" s="102"/>
      <c r="I104" s="102"/>
      <c r="J104" s="102"/>
      <c r="K104" s="102"/>
      <c r="L104" s="102"/>
      <c r="M104" s="102"/>
      <c r="N104" s="102"/>
      <c r="O104" s="102"/>
      <c r="P104" s="102"/>
      <c r="Q104" s="88"/>
      <c r="R104" s="88"/>
      <c r="S104" s="60"/>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2:42">
      <c r="B105" s="102"/>
      <c r="C105" s="102"/>
      <c r="D105" s="102"/>
      <c r="E105" s="102"/>
      <c r="F105" s="102"/>
      <c r="G105" s="102"/>
      <c r="H105" s="102"/>
      <c r="I105" s="102"/>
      <c r="J105" s="102"/>
      <c r="K105" s="102"/>
      <c r="L105" s="102"/>
      <c r="M105" s="102"/>
      <c r="N105" s="102"/>
      <c r="O105" s="102"/>
      <c r="P105" s="102"/>
      <c r="Q105" s="88"/>
      <c r="R105" s="88"/>
      <c r="S105" s="60"/>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2:42">
      <c r="B106" s="102"/>
      <c r="C106" s="102"/>
      <c r="D106" s="102"/>
      <c r="E106" s="102"/>
      <c r="F106" s="102"/>
      <c r="G106" s="102"/>
      <c r="H106" s="102"/>
      <c r="I106" s="102"/>
      <c r="J106" s="102"/>
      <c r="K106" s="102"/>
      <c r="L106" s="102"/>
      <c r="M106" s="102"/>
      <c r="N106" s="102"/>
      <c r="O106" s="102"/>
      <c r="P106" s="102"/>
      <c r="Q106" s="88"/>
      <c r="R106" s="88"/>
      <c r="S106" s="60"/>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2:42">
      <c r="B107" s="102"/>
      <c r="C107" s="102"/>
      <c r="D107" s="102"/>
      <c r="E107" s="102"/>
      <c r="F107" s="102"/>
      <c r="G107" s="102"/>
      <c r="H107" s="102"/>
      <c r="I107" s="102"/>
      <c r="J107" s="102"/>
      <c r="K107" s="102"/>
      <c r="L107" s="102"/>
      <c r="M107" s="102"/>
      <c r="N107" s="102"/>
      <c r="O107" s="102"/>
      <c r="P107" s="102"/>
      <c r="Q107" s="88"/>
      <c r="R107" s="88"/>
      <c r="S107" s="60"/>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2:42">
      <c r="B108" s="102"/>
      <c r="C108" s="102"/>
      <c r="D108" s="102"/>
      <c r="E108" s="102"/>
      <c r="F108" s="102"/>
      <c r="G108" s="102"/>
      <c r="H108" s="102"/>
      <c r="I108" s="102"/>
      <c r="J108" s="102"/>
      <c r="K108" s="102"/>
      <c r="L108" s="102"/>
      <c r="M108" s="102"/>
      <c r="N108" s="102"/>
      <c r="O108" s="102"/>
      <c r="P108" s="102"/>
      <c r="Q108" s="88"/>
      <c r="R108" s="88"/>
      <c r="S108" s="60"/>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2:42">
      <c r="B109" s="102"/>
      <c r="C109" s="102"/>
      <c r="D109" s="102"/>
      <c r="E109" s="102"/>
      <c r="F109" s="102"/>
      <c r="G109" s="102"/>
      <c r="H109" s="102"/>
      <c r="I109" s="102"/>
      <c r="J109" s="102"/>
      <c r="K109" s="102"/>
      <c r="L109" s="102"/>
      <c r="M109" s="102"/>
      <c r="N109" s="102"/>
      <c r="O109" s="102"/>
      <c r="P109" s="102"/>
      <c r="Q109" s="88"/>
      <c r="R109" s="88"/>
      <c r="S109" s="60"/>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2:42">
      <c r="B110" s="102"/>
      <c r="C110" s="102"/>
      <c r="D110" s="102"/>
      <c r="E110" s="102"/>
      <c r="F110" s="102"/>
      <c r="G110" s="102"/>
      <c r="H110" s="102"/>
      <c r="I110" s="102"/>
      <c r="J110" s="102"/>
      <c r="K110" s="102"/>
      <c r="L110" s="102"/>
      <c r="M110" s="102"/>
      <c r="N110" s="102"/>
      <c r="O110" s="102"/>
      <c r="P110" s="102"/>
      <c r="Q110" s="88"/>
      <c r="R110" s="88"/>
      <c r="S110" s="60"/>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2:42">
      <c r="B111" s="102"/>
      <c r="C111" s="102"/>
      <c r="D111" s="102"/>
      <c r="E111" s="102"/>
      <c r="F111" s="102"/>
      <c r="G111" s="102"/>
      <c r="H111" s="102"/>
      <c r="I111" s="102"/>
      <c r="J111" s="102"/>
      <c r="K111" s="102"/>
      <c r="L111" s="102"/>
      <c r="M111" s="102"/>
      <c r="N111" s="102"/>
      <c r="O111" s="102"/>
      <c r="P111" s="102"/>
      <c r="Q111" s="88"/>
      <c r="R111" s="88"/>
      <c r="S111" s="60"/>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2:42">
      <c r="B112" s="102"/>
      <c r="C112" s="102"/>
      <c r="D112" s="102"/>
      <c r="E112" s="102"/>
      <c r="F112" s="102"/>
      <c r="G112" s="102"/>
      <c r="H112" s="102"/>
      <c r="I112" s="102"/>
      <c r="J112" s="102"/>
      <c r="K112" s="102"/>
      <c r="L112" s="102"/>
      <c r="M112" s="102"/>
      <c r="N112" s="102"/>
      <c r="O112" s="102"/>
      <c r="P112" s="102"/>
      <c r="Q112" s="88"/>
      <c r="R112" s="88"/>
      <c r="S112" s="60"/>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2:42">
      <c r="B113" s="102"/>
      <c r="C113" s="102"/>
      <c r="D113" s="102"/>
      <c r="E113" s="102"/>
      <c r="F113" s="102"/>
      <c r="G113" s="102"/>
      <c r="H113" s="102"/>
      <c r="I113" s="102"/>
      <c r="J113" s="102"/>
      <c r="K113" s="102"/>
      <c r="L113" s="102"/>
      <c r="M113" s="102"/>
      <c r="N113" s="102"/>
      <c r="O113" s="102"/>
      <c r="P113" s="102"/>
      <c r="Q113" s="88"/>
      <c r="R113" s="88"/>
      <c r="S113" s="60"/>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2:42">
      <c r="B114" s="102"/>
      <c r="C114" s="102"/>
      <c r="D114" s="102"/>
      <c r="E114" s="102"/>
      <c r="F114" s="102"/>
      <c r="G114" s="102"/>
      <c r="H114" s="102"/>
      <c r="I114" s="102"/>
      <c r="J114" s="102"/>
      <c r="K114" s="102"/>
      <c r="L114" s="102"/>
      <c r="M114" s="102"/>
      <c r="N114" s="102"/>
      <c r="O114" s="102"/>
      <c r="P114" s="102"/>
      <c r="Q114" s="88"/>
      <c r="R114" s="88"/>
      <c r="S114" s="60"/>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2:42">
      <c r="B115" s="102"/>
      <c r="C115" s="102"/>
      <c r="D115" s="102"/>
      <c r="E115" s="102"/>
      <c r="F115" s="102"/>
      <c r="G115" s="102"/>
      <c r="H115" s="102"/>
      <c r="I115" s="102"/>
      <c r="J115" s="102"/>
      <c r="K115" s="102"/>
      <c r="L115" s="102"/>
      <c r="M115" s="102"/>
      <c r="N115" s="102"/>
      <c r="O115" s="102"/>
      <c r="P115" s="102"/>
      <c r="Q115" s="88"/>
      <c r="R115" s="88"/>
      <c r="S115" s="60"/>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2:42">
      <c r="B116" s="102"/>
      <c r="C116" s="102"/>
      <c r="D116" s="102"/>
      <c r="E116" s="102"/>
      <c r="F116" s="102"/>
      <c r="G116" s="102"/>
      <c r="H116" s="102"/>
      <c r="I116" s="102"/>
      <c r="J116" s="102"/>
      <c r="K116" s="102"/>
      <c r="L116" s="102"/>
      <c r="M116" s="102"/>
      <c r="N116" s="102"/>
      <c r="O116" s="102"/>
      <c r="P116" s="102"/>
      <c r="Q116" s="88"/>
      <c r="R116" s="88"/>
      <c r="S116" s="60"/>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2:42">
      <c r="B117" s="102"/>
      <c r="C117" s="102"/>
      <c r="D117" s="102"/>
      <c r="E117" s="102"/>
      <c r="F117" s="102"/>
      <c r="G117" s="102"/>
      <c r="H117" s="102"/>
      <c r="I117" s="102"/>
      <c r="J117" s="102"/>
      <c r="K117" s="102"/>
      <c r="L117" s="102"/>
      <c r="M117" s="102"/>
      <c r="N117" s="102"/>
      <c r="O117" s="102"/>
      <c r="P117" s="102"/>
      <c r="Q117" s="88"/>
      <c r="R117" s="88"/>
      <c r="S117" s="60"/>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2:42">
      <c r="B118" s="102"/>
      <c r="C118" s="102"/>
      <c r="D118" s="102"/>
      <c r="E118" s="102"/>
      <c r="F118" s="102"/>
      <c r="G118" s="102"/>
      <c r="H118" s="102"/>
      <c r="I118" s="102"/>
      <c r="J118" s="102"/>
      <c r="K118" s="102"/>
      <c r="L118" s="102"/>
      <c r="M118" s="102"/>
      <c r="N118" s="102"/>
      <c r="O118" s="102"/>
      <c r="P118" s="102"/>
      <c r="Q118" s="88"/>
      <c r="R118" s="88"/>
      <c r="S118" s="60"/>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2:42">
      <c r="B119" s="102"/>
      <c r="C119" s="102"/>
      <c r="D119" s="102"/>
      <c r="E119" s="102"/>
      <c r="F119" s="102"/>
      <c r="G119" s="102"/>
      <c r="H119" s="102"/>
      <c r="I119" s="102"/>
      <c r="J119" s="102"/>
      <c r="K119" s="102"/>
      <c r="L119" s="102"/>
      <c r="M119" s="102"/>
      <c r="N119" s="102"/>
      <c r="O119" s="102"/>
      <c r="P119" s="102"/>
      <c r="Q119" s="88"/>
      <c r="R119" s="88"/>
      <c r="S119" s="60"/>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2:42">
      <c r="B120" s="102"/>
      <c r="C120" s="102"/>
      <c r="D120" s="102"/>
      <c r="E120" s="102"/>
      <c r="F120" s="102"/>
      <c r="G120" s="102"/>
      <c r="H120" s="102"/>
      <c r="I120" s="102"/>
      <c r="J120" s="102"/>
      <c r="K120" s="102"/>
      <c r="L120" s="102"/>
      <c r="M120" s="102"/>
      <c r="N120" s="102"/>
      <c r="O120" s="102"/>
      <c r="P120" s="102"/>
      <c r="Q120" s="88"/>
      <c r="R120" s="88"/>
      <c r="S120" s="60"/>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2:42">
      <c r="B121" s="102"/>
      <c r="C121" s="102"/>
      <c r="D121" s="102"/>
      <c r="E121" s="102"/>
      <c r="F121" s="102"/>
      <c r="G121" s="102"/>
      <c r="H121" s="102"/>
      <c r="I121" s="102"/>
      <c r="J121" s="102"/>
      <c r="K121" s="102"/>
      <c r="L121" s="102"/>
      <c r="M121" s="102"/>
      <c r="N121" s="102"/>
      <c r="O121" s="102"/>
      <c r="P121" s="102"/>
      <c r="Q121" s="88"/>
      <c r="R121" s="88"/>
      <c r="S121" s="60"/>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2:42">
      <c r="B122" s="102"/>
      <c r="C122" s="102"/>
      <c r="D122" s="102"/>
      <c r="E122" s="102"/>
      <c r="F122" s="102"/>
      <c r="G122" s="102"/>
      <c r="H122" s="102"/>
      <c r="I122" s="102"/>
      <c r="J122" s="102"/>
      <c r="K122" s="102"/>
      <c r="L122" s="102"/>
      <c r="M122" s="102"/>
      <c r="N122" s="102"/>
      <c r="O122" s="102"/>
      <c r="P122" s="102"/>
      <c r="Q122" s="88"/>
      <c r="R122" s="88"/>
      <c r="S122" s="60"/>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2:42">
      <c r="B123" s="102"/>
      <c r="C123" s="102"/>
      <c r="D123" s="102"/>
      <c r="E123" s="102"/>
      <c r="F123" s="102"/>
      <c r="G123" s="102"/>
      <c r="H123" s="102"/>
      <c r="I123" s="102"/>
      <c r="J123" s="102"/>
      <c r="K123" s="102"/>
      <c r="L123" s="102"/>
      <c r="M123" s="102"/>
      <c r="N123" s="102"/>
      <c r="O123" s="102"/>
      <c r="P123" s="102"/>
      <c r="Q123" s="88"/>
      <c r="R123" s="88"/>
      <c r="S123" s="60"/>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2:42">
      <c r="B124" s="102"/>
      <c r="C124" s="102"/>
      <c r="D124" s="102"/>
      <c r="E124" s="102"/>
      <c r="F124" s="102"/>
      <c r="G124" s="102"/>
      <c r="H124" s="102"/>
      <c r="I124" s="102"/>
      <c r="J124" s="102"/>
      <c r="K124" s="102"/>
      <c r="L124" s="102"/>
      <c r="M124" s="102"/>
      <c r="N124" s="102"/>
      <c r="O124" s="102"/>
      <c r="P124" s="102"/>
      <c r="Q124" s="88"/>
      <c r="R124" s="88"/>
      <c r="S124" s="60"/>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2:42">
      <c r="B125" s="102"/>
      <c r="C125" s="102"/>
      <c r="D125" s="102"/>
      <c r="E125" s="102"/>
      <c r="F125" s="102"/>
      <c r="G125" s="102"/>
      <c r="H125" s="102"/>
      <c r="I125" s="102"/>
      <c r="J125" s="102"/>
      <c r="K125" s="102"/>
      <c r="L125" s="102"/>
      <c r="M125" s="102"/>
      <c r="N125" s="102"/>
      <c r="O125" s="102"/>
      <c r="P125" s="102"/>
      <c r="Q125" s="88"/>
      <c r="R125" s="88"/>
      <c r="S125" s="60"/>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2:42">
      <c r="B126" s="102"/>
      <c r="C126" s="102"/>
      <c r="D126" s="102"/>
      <c r="E126" s="102"/>
      <c r="F126" s="102"/>
      <c r="G126" s="102"/>
      <c r="H126" s="102"/>
      <c r="I126" s="102"/>
      <c r="J126" s="102"/>
      <c r="K126" s="102"/>
      <c r="L126" s="102"/>
      <c r="M126" s="102"/>
      <c r="N126" s="102"/>
      <c r="O126" s="102"/>
      <c r="P126" s="102"/>
      <c r="Q126" s="88"/>
      <c r="R126" s="88"/>
      <c r="S126" s="60"/>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2:42">
      <c r="B127" s="102"/>
      <c r="C127" s="102"/>
      <c r="D127" s="102"/>
      <c r="E127" s="102"/>
      <c r="F127" s="102"/>
      <c r="G127" s="102"/>
      <c r="H127" s="102"/>
      <c r="I127" s="102"/>
      <c r="J127" s="102"/>
      <c r="K127" s="102"/>
      <c r="L127" s="102"/>
      <c r="M127" s="102"/>
      <c r="N127" s="102"/>
      <c r="O127" s="102"/>
      <c r="P127" s="102"/>
      <c r="Q127" s="88"/>
      <c r="R127" s="88"/>
      <c r="S127" s="60"/>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2:42">
      <c r="B128" s="102"/>
      <c r="C128" s="102"/>
      <c r="D128" s="102"/>
      <c r="E128" s="102"/>
      <c r="F128" s="102"/>
      <c r="G128" s="102"/>
      <c r="H128" s="102"/>
      <c r="I128" s="102"/>
      <c r="J128" s="102"/>
      <c r="K128" s="102"/>
      <c r="L128" s="102"/>
      <c r="M128" s="102"/>
      <c r="N128" s="102"/>
      <c r="O128" s="102"/>
      <c r="P128" s="102"/>
      <c r="Q128" s="88"/>
      <c r="R128" s="88"/>
      <c r="S128" s="60"/>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c r="B129" s="102"/>
      <c r="C129" s="102"/>
      <c r="D129" s="102"/>
      <c r="E129" s="102"/>
      <c r="F129" s="102"/>
      <c r="G129" s="102"/>
      <c r="H129" s="102"/>
      <c r="I129" s="102"/>
      <c r="J129" s="102"/>
      <c r="K129" s="102"/>
      <c r="L129" s="102"/>
      <c r="M129" s="102"/>
      <c r="N129" s="102"/>
      <c r="O129" s="102"/>
      <c r="P129" s="102"/>
      <c r="Q129" s="88"/>
      <c r="R129" s="88"/>
      <c r="S129" s="60"/>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c r="B130" s="102"/>
      <c r="C130" s="102"/>
      <c r="D130" s="102"/>
      <c r="E130" s="102"/>
      <c r="F130" s="102"/>
      <c r="G130" s="102"/>
      <c r="H130" s="102"/>
      <c r="I130" s="102"/>
      <c r="J130" s="102"/>
      <c r="K130" s="102"/>
      <c r="L130" s="102"/>
      <c r="M130" s="102"/>
      <c r="N130" s="102"/>
      <c r="O130" s="102"/>
      <c r="P130" s="102"/>
      <c r="Q130" s="88"/>
      <c r="R130" s="88"/>
      <c r="S130" s="60"/>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c r="B131" s="102"/>
      <c r="C131" s="102"/>
      <c r="D131" s="102"/>
      <c r="E131" s="102"/>
      <c r="F131" s="102"/>
      <c r="G131" s="102"/>
      <c r="H131" s="102"/>
      <c r="I131" s="102"/>
      <c r="J131" s="102"/>
      <c r="K131" s="102"/>
      <c r="L131" s="102"/>
      <c r="M131" s="102"/>
      <c r="N131" s="102"/>
      <c r="O131" s="102"/>
      <c r="P131" s="102"/>
      <c r="Q131" s="88"/>
      <c r="R131" s="88"/>
      <c r="S131" s="60"/>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c r="B132" s="102"/>
      <c r="C132" s="102"/>
      <c r="D132" s="102"/>
      <c r="E132" s="102"/>
      <c r="F132" s="102"/>
      <c r="G132" s="102"/>
      <c r="H132" s="102"/>
      <c r="I132" s="102"/>
      <c r="J132" s="102"/>
      <c r="K132" s="102"/>
      <c r="L132" s="102"/>
      <c r="M132" s="102"/>
      <c r="N132" s="102"/>
      <c r="O132" s="102"/>
      <c r="P132" s="102"/>
      <c r="Q132" s="88"/>
      <c r="R132" s="88"/>
      <c r="S132" s="60"/>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c r="B133" s="102"/>
      <c r="C133" s="102"/>
      <c r="D133" s="102"/>
      <c r="E133" s="102"/>
      <c r="F133" s="102"/>
      <c r="G133" s="102"/>
      <c r="H133" s="102"/>
      <c r="I133" s="102"/>
      <c r="J133" s="102"/>
      <c r="K133" s="102"/>
      <c r="L133" s="102"/>
      <c r="M133" s="102"/>
      <c r="N133" s="102"/>
      <c r="O133" s="102"/>
      <c r="P133" s="102"/>
      <c r="Q133" s="88"/>
      <c r="R133" s="88"/>
      <c r="S133" s="60"/>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c r="B134" s="102"/>
      <c r="C134" s="102"/>
      <c r="D134" s="102"/>
      <c r="E134" s="102"/>
      <c r="F134" s="102"/>
      <c r="G134" s="102"/>
      <c r="H134" s="102"/>
      <c r="I134" s="102"/>
      <c r="J134" s="102"/>
      <c r="K134" s="102"/>
      <c r="L134" s="102"/>
      <c r="M134" s="102"/>
      <c r="N134" s="102"/>
      <c r="O134" s="102"/>
      <c r="P134" s="102"/>
      <c r="Q134" s="88"/>
      <c r="R134" s="88"/>
      <c r="S134" s="60"/>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c r="B135" s="102"/>
      <c r="C135" s="102"/>
      <c r="D135" s="102"/>
      <c r="E135" s="102"/>
      <c r="F135" s="102"/>
      <c r="G135" s="102"/>
      <c r="H135" s="102"/>
      <c r="I135" s="102"/>
      <c r="J135" s="102"/>
      <c r="K135" s="102"/>
      <c r="L135" s="102"/>
      <c r="M135" s="102"/>
      <c r="N135" s="102"/>
      <c r="O135" s="102"/>
      <c r="P135" s="102"/>
      <c r="Q135" s="88"/>
      <c r="R135" s="88"/>
      <c r="S135" s="60"/>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c r="B136" s="102"/>
      <c r="C136" s="102"/>
      <c r="D136" s="102"/>
      <c r="E136" s="102"/>
      <c r="F136" s="102"/>
      <c r="G136" s="102"/>
      <c r="H136" s="102"/>
      <c r="I136" s="102"/>
      <c r="J136" s="102"/>
      <c r="K136" s="102"/>
      <c r="L136" s="102"/>
      <c r="M136" s="102"/>
      <c r="N136" s="102"/>
      <c r="O136" s="102"/>
      <c r="P136" s="102"/>
      <c r="Q136" s="88"/>
      <c r="R136" s="88"/>
      <c r="S136" s="60"/>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c r="B137" s="102"/>
      <c r="C137" s="102"/>
      <c r="D137" s="102"/>
      <c r="E137" s="102"/>
      <c r="F137" s="102"/>
      <c r="G137" s="102"/>
      <c r="H137" s="102"/>
      <c r="I137" s="102"/>
      <c r="J137" s="102"/>
      <c r="K137" s="102"/>
      <c r="L137" s="102"/>
      <c r="M137" s="102"/>
      <c r="N137" s="102"/>
      <c r="O137" s="102"/>
      <c r="P137" s="102"/>
      <c r="Q137" s="88"/>
      <c r="R137" s="88"/>
      <c r="S137" s="60"/>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c r="B138" s="102"/>
      <c r="C138" s="102"/>
      <c r="D138" s="102"/>
      <c r="E138" s="102"/>
      <c r="F138" s="102"/>
      <c r="G138" s="102"/>
      <c r="H138" s="102"/>
      <c r="I138" s="102"/>
      <c r="J138" s="102"/>
      <c r="K138" s="102"/>
      <c r="L138" s="102"/>
      <c r="M138" s="102"/>
      <c r="N138" s="102"/>
      <c r="O138" s="102"/>
      <c r="P138" s="102"/>
      <c r="Q138" s="88"/>
      <c r="R138" s="88"/>
      <c r="S138" s="60"/>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c r="B139" s="102"/>
      <c r="C139" s="102"/>
      <c r="D139" s="102"/>
      <c r="E139" s="102"/>
      <c r="F139" s="102"/>
      <c r="G139" s="102"/>
      <c r="H139" s="102"/>
      <c r="I139" s="102"/>
      <c r="J139" s="102"/>
      <c r="K139" s="102"/>
      <c r="L139" s="102"/>
      <c r="M139" s="102"/>
      <c r="N139" s="102"/>
      <c r="O139" s="102"/>
      <c r="P139" s="102"/>
      <c r="Q139" s="88"/>
      <c r="R139" s="88"/>
      <c r="S139" s="60"/>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c r="B140" s="102"/>
      <c r="C140" s="102"/>
      <c r="D140" s="102"/>
      <c r="E140" s="102"/>
      <c r="F140" s="102"/>
      <c r="G140" s="102"/>
      <c r="H140" s="102"/>
      <c r="I140" s="102"/>
      <c r="J140" s="102"/>
      <c r="K140" s="102"/>
      <c r="L140" s="102"/>
      <c r="M140" s="102"/>
      <c r="N140" s="102"/>
      <c r="O140" s="102"/>
      <c r="P140" s="102"/>
      <c r="Q140" s="88"/>
      <c r="R140" s="88"/>
      <c r="S140" s="60"/>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c r="B141" s="102"/>
      <c r="C141" s="102"/>
      <c r="D141" s="102"/>
      <c r="E141" s="102"/>
      <c r="F141" s="102"/>
      <c r="G141" s="102"/>
      <c r="H141" s="102"/>
      <c r="I141" s="102"/>
      <c r="J141" s="102"/>
      <c r="K141" s="102"/>
      <c r="L141" s="102"/>
      <c r="M141" s="102"/>
      <c r="N141" s="102"/>
      <c r="O141" s="102"/>
      <c r="P141" s="102"/>
      <c r="Q141" s="88"/>
      <c r="R141" s="88"/>
      <c r="S141" s="60"/>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c r="B142" s="102"/>
      <c r="C142" s="102"/>
      <c r="D142" s="102"/>
      <c r="E142" s="102"/>
      <c r="F142" s="102"/>
      <c r="G142" s="102"/>
      <c r="H142" s="102"/>
      <c r="I142" s="102"/>
      <c r="J142" s="102"/>
      <c r="K142" s="102"/>
      <c r="L142" s="102"/>
      <c r="M142" s="102"/>
      <c r="N142" s="102"/>
      <c r="O142" s="102"/>
      <c r="P142" s="102"/>
      <c r="Q142" s="88"/>
      <c r="R142" s="88"/>
      <c r="S142" s="60"/>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c r="B143" s="102"/>
      <c r="C143" s="102"/>
      <c r="D143" s="102"/>
      <c r="E143" s="102"/>
      <c r="F143" s="102"/>
      <c r="G143" s="102"/>
      <c r="H143" s="102"/>
      <c r="I143" s="102"/>
      <c r="J143" s="102"/>
      <c r="K143" s="102"/>
      <c r="L143" s="102"/>
      <c r="M143" s="102"/>
      <c r="N143" s="102"/>
      <c r="O143" s="102"/>
      <c r="P143" s="102"/>
      <c r="Q143" s="88"/>
      <c r="R143" s="88"/>
      <c r="S143" s="60"/>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c r="A144" s="1"/>
      <c r="B144" s="88"/>
      <c r="C144" s="88"/>
      <c r="D144" s="101"/>
      <c r="E144" s="88"/>
      <c r="F144" s="88"/>
      <c r="G144" s="101"/>
      <c r="H144" s="88"/>
      <c r="I144" s="88"/>
      <c r="J144" s="88"/>
      <c r="K144" s="88"/>
      <c r="L144" s="88"/>
      <c r="M144" s="88"/>
      <c r="N144" s="101"/>
      <c r="O144" s="88"/>
      <c r="P144" s="101"/>
      <c r="Q144" s="88"/>
      <c r="R144" s="88"/>
      <c r="S144" s="60"/>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c r="A145" s="1" t="s">
        <v>374</v>
      </c>
      <c r="B145" s="91">
        <v>0</v>
      </c>
      <c r="C145" s="91"/>
      <c r="D145" s="103"/>
      <c r="E145" s="91"/>
      <c r="F145" s="91"/>
      <c r="G145" s="103"/>
      <c r="H145" s="91"/>
      <c r="I145" s="91"/>
      <c r="J145" s="91"/>
      <c r="K145" s="91"/>
      <c r="L145" s="91"/>
      <c r="M145" s="91"/>
      <c r="N145" s="103"/>
      <c r="O145" s="88"/>
      <c r="P145" s="103"/>
      <c r="Q145" s="88"/>
      <c r="R145" s="88"/>
      <c r="S145" s="60"/>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c r="A146" s="1"/>
      <c r="B146" s="88"/>
      <c r="C146" s="88"/>
      <c r="D146" s="101"/>
      <c r="E146" s="88"/>
      <c r="F146" s="88"/>
      <c r="G146" s="101"/>
      <c r="H146" s="88"/>
      <c r="I146" s="88"/>
      <c r="J146" s="88"/>
      <c r="K146" s="88"/>
      <c r="L146" s="88"/>
      <c r="M146" s="88"/>
      <c r="N146" s="101"/>
      <c r="O146" s="88"/>
      <c r="P146" s="101"/>
      <c r="Q146" s="88"/>
      <c r="R146" s="88"/>
      <c r="S146" s="60"/>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c r="A147" s="1" t="s">
        <v>375</v>
      </c>
      <c r="B147" s="91">
        <v>0</v>
      </c>
      <c r="C147" s="91"/>
      <c r="D147" s="103"/>
      <c r="E147" s="91"/>
      <c r="F147" s="91"/>
      <c r="G147" s="103"/>
      <c r="H147" s="91"/>
      <c r="I147" s="91"/>
      <c r="J147" s="91"/>
      <c r="K147" s="91"/>
      <c r="L147" s="91"/>
      <c r="M147" s="91"/>
      <c r="N147" s="103"/>
      <c r="O147" s="88"/>
      <c r="P147" s="103"/>
      <c r="Q147" s="88"/>
      <c r="R147" s="88"/>
      <c r="S147" s="60"/>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c r="A148" s="1"/>
      <c r="B148" s="88"/>
      <c r="C148" s="88"/>
      <c r="D148" s="101"/>
      <c r="E148" s="88"/>
      <c r="F148" s="88"/>
      <c r="G148" s="101"/>
      <c r="H148" s="88"/>
      <c r="I148" s="88"/>
      <c r="J148" s="88"/>
      <c r="K148" s="88"/>
      <c r="L148" s="88"/>
      <c r="M148" s="88"/>
      <c r="N148" s="101"/>
      <c r="O148" s="88"/>
      <c r="P148" s="101"/>
      <c r="Q148" s="88"/>
      <c r="R148" s="88"/>
      <c r="S148" s="60"/>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c r="A149" s="1" t="s">
        <v>376</v>
      </c>
      <c r="B149" s="91">
        <f>+B152+B153+B154</f>
        <v>0</v>
      </c>
      <c r="C149" s="91"/>
      <c r="D149" s="103"/>
      <c r="E149" s="91"/>
      <c r="F149" s="91"/>
      <c r="G149" s="103"/>
      <c r="H149" s="91"/>
      <c r="I149" s="91"/>
      <c r="J149" s="91"/>
      <c r="K149" s="91"/>
      <c r="L149" s="91"/>
      <c r="M149" s="91"/>
      <c r="N149" s="103"/>
      <c r="O149" s="88"/>
      <c r="P149" s="103"/>
      <c r="Q149" s="88"/>
      <c r="R149" s="88"/>
      <c r="S149" s="60"/>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c r="A150" s="1" t="s">
        <v>377</v>
      </c>
      <c r="B150" s="88">
        <v>0</v>
      </c>
      <c r="C150" s="88"/>
      <c r="D150" s="101"/>
      <c r="E150" s="88"/>
      <c r="F150" s="88"/>
      <c r="G150" s="101"/>
      <c r="H150" s="88"/>
      <c r="I150" s="88"/>
      <c r="J150" s="88"/>
      <c r="K150" s="88"/>
      <c r="L150" s="88"/>
      <c r="M150" s="88"/>
      <c r="N150" s="101"/>
      <c r="O150" s="88"/>
      <c r="P150" s="101"/>
      <c r="Q150" s="88"/>
      <c r="R150" s="88"/>
      <c r="S150" s="60"/>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c r="A151" s="1" t="s">
        <v>378</v>
      </c>
      <c r="B151" s="88">
        <v>0</v>
      </c>
      <c r="C151" s="88"/>
      <c r="D151" s="101"/>
      <c r="E151" s="88"/>
      <c r="F151" s="88"/>
      <c r="G151" s="101"/>
      <c r="H151" s="88"/>
      <c r="I151" s="88"/>
      <c r="J151" s="88"/>
      <c r="K151" s="88"/>
      <c r="L151" s="88"/>
      <c r="M151" s="88"/>
      <c r="N151" s="101"/>
      <c r="O151" s="88"/>
      <c r="P151" s="101"/>
      <c r="Q151" s="88"/>
      <c r="R151" s="88"/>
      <c r="S151" s="60"/>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c r="A152" s="1" t="s">
        <v>289</v>
      </c>
      <c r="B152" s="91">
        <f>+B150+B151</f>
        <v>0</v>
      </c>
      <c r="C152" s="88"/>
      <c r="D152" s="101"/>
      <c r="E152" s="88"/>
      <c r="F152" s="88"/>
      <c r="G152" s="101"/>
      <c r="H152" s="88"/>
      <c r="I152" s="88"/>
      <c r="J152" s="88"/>
      <c r="K152" s="88"/>
      <c r="L152" s="88"/>
      <c r="M152" s="88"/>
      <c r="N152" s="101"/>
      <c r="O152" s="88"/>
      <c r="P152" s="101"/>
      <c r="Q152" s="88"/>
      <c r="R152" s="88"/>
      <c r="S152" s="60"/>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c r="A153" s="1" t="s">
        <v>379</v>
      </c>
      <c r="B153" s="88">
        <v>0</v>
      </c>
      <c r="C153" s="88"/>
      <c r="D153" s="101"/>
      <c r="E153" s="88"/>
      <c r="F153" s="88"/>
      <c r="G153" s="101"/>
      <c r="H153" s="88"/>
      <c r="I153" s="88"/>
      <c r="J153" s="88"/>
      <c r="K153" s="88"/>
      <c r="L153" s="88"/>
      <c r="M153" s="88"/>
      <c r="N153" s="101"/>
      <c r="O153" s="88"/>
      <c r="P153" s="101"/>
      <c r="Q153" s="88"/>
      <c r="R153" s="88"/>
      <c r="S153" s="60"/>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c r="A154" s="1" t="s">
        <v>380</v>
      </c>
      <c r="B154" s="88">
        <v>0</v>
      </c>
      <c r="C154" s="88"/>
      <c r="D154" s="101"/>
      <c r="E154" s="88"/>
      <c r="F154" s="88"/>
      <c r="G154" s="101"/>
      <c r="H154" s="88"/>
      <c r="I154" s="88"/>
      <c r="J154" s="88"/>
      <c r="K154" s="88"/>
      <c r="L154" s="88"/>
      <c r="M154" s="88"/>
      <c r="N154" s="101"/>
      <c r="O154" s="88"/>
      <c r="P154" s="101"/>
      <c r="Q154" s="88"/>
      <c r="R154" s="88"/>
      <c r="S154" s="60"/>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c r="A155" s="1"/>
      <c r="B155" s="88"/>
      <c r="C155" s="88"/>
      <c r="D155" s="101"/>
      <c r="E155" s="88"/>
      <c r="F155" s="88"/>
      <c r="G155" s="101"/>
      <c r="H155" s="88"/>
      <c r="I155" s="88"/>
      <c r="J155" s="88"/>
      <c r="K155" s="88"/>
      <c r="L155" s="88"/>
      <c r="M155" s="88"/>
      <c r="N155" s="101"/>
      <c r="O155" s="88"/>
      <c r="P155" s="101"/>
      <c r="Q155" s="88"/>
      <c r="R155" s="88"/>
      <c r="S155" s="60"/>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c r="A156" s="1" t="s">
        <v>381</v>
      </c>
      <c r="B156" s="91">
        <f>SUM(B157:B158)</f>
        <v>0</v>
      </c>
      <c r="C156" s="91"/>
      <c r="D156" s="103"/>
      <c r="E156" s="91"/>
      <c r="F156" s="91"/>
      <c r="G156" s="103"/>
      <c r="H156" s="91"/>
      <c r="I156" s="91"/>
      <c r="J156" s="91"/>
      <c r="K156" s="91"/>
      <c r="L156" s="91"/>
      <c r="M156" s="91"/>
      <c r="N156" s="103"/>
      <c r="O156" s="88"/>
      <c r="P156" s="103"/>
      <c r="Q156" s="88"/>
      <c r="R156" s="88"/>
      <c r="S156" s="60"/>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c r="A157" s="1" t="s">
        <v>382</v>
      </c>
      <c r="B157" s="88">
        <v>0</v>
      </c>
      <c r="C157" s="88"/>
      <c r="D157" s="101"/>
      <c r="E157" s="88"/>
      <c r="F157" s="88"/>
      <c r="G157" s="101"/>
      <c r="H157" s="88"/>
      <c r="I157" s="88"/>
      <c r="J157" s="88"/>
      <c r="K157" s="88"/>
      <c r="L157" s="88"/>
      <c r="M157" s="88"/>
      <c r="N157" s="101"/>
      <c r="O157" s="88"/>
      <c r="P157" s="101"/>
      <c r="Q157" s="88"/>
      <c r="R157" s="88"/>
      <c r="S157" s="60"/>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c r="A158" s="1" t="s">
        <v>383</v>
      </c>
      <c r="B158" s="88">
        <v>0</v>
      </c>
      <c r="C158" s="88"/>
      <c r="D158" s="101"/>
      <c r="E158" s="88"/>
      <c r="F158" s="88"/>
      <c r="G158" s="101"/>
      <c r="H158" s="88"/>
      <c r="I158" s="88"/>
      <c r="J158" s="88"/>
      <c r="K158" s="88"/>
      <c r="L158" s="88"/>
      <c r="M158" s="88"/>
      <c r="N158" s="101"/>
      <c r="O158" s="88"/>
      <c r="P158" s="101"/>
      <c r="Q158" s="88"/>
      <c r="R158" s="88"/>
      <c r="S158" s="60"/>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c r="A159" s="1"/>
      <c r="B159" s="88"/>
      <c r="C159" s="88"/>
      <c r="D159" s="101"/>
      <c r="E159" s="88"/>
      <c r="F159" s="88"/>
      <c r="G159" s="101"/>
      <c r="H159" s="88"/>
      <c r="I159" s="88"/>
      <c r="J159" s="88"/>
      <c r="K159" s="88"/>
      <c r="L159" s="88"/>
      <c r="M159" s="88"/>
      <c r="N159" s="101"/>
      <c r="O159" s="88"/>
      <c r="P159" s="101"/>
      <c r="Q159" s="88"/>
      <c r="R159" s="88"/>
      <c r="S159" s="60"/>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c r="A160" s="1" t="s">
        <v>384</v>
      </c>
      <c r="B160" s="91">
        <f>+B111+B115+B117+B119+B134+B143+B145+B147+B149+B156</f>
        <v>0</v>
      </c>
      <c r="C160" s="91">
        <f>+C111+C115+C117+C119+C134+C143+C145+C147+C149+C156</f>
        <v>0</v>
      </c>
      <c r="D160" s="103">
        <f>+D111+D115+D117+D119+D134+D143+D145+D147+D149+D156</f>
        <v>0</v>
      </c>
      <c r="E160" s="91">
        <f>+E111+E115+E117+E119+E134+E143+E145+E147+E149+E156</f>
        <v>0</v>
      </c>
      <c r="F160" s="91"/>
      <c r="G160" s="103">
        <f>+G111+G115+G117+G119+G134+G143+G145+G147+G149+G156</f>
        <v>0</v>
      </c>
      <c r="H160" s="91"/>
      <c r="I160" s="91"/>
      <c r="J160" s="91"/>
      <c r="K160" s="91"/>
      <c r="L160" s="91"/>
      <c r="M160" s="91">
        <f>+M111+M115+M117+M119+M134+M143+M145+M147+M149+M156</f>
        <v>0</v>
      </c>
      <c r="N160" s="103">
        <f>+N111+N115+N117+N119+N134+N143+N145+N147+N149+N156</f>
        <v>0</v>
      </c>
      <c r="O160" s="88"/>
      <c r="P160" s="103">
        <f>+P111+P115+P117+P119+P134+P143+P145+P147+P149+P156</f>
        <v>0</v>
      </c>
      <c r="Q160" s="88"/>
      <c r="R160" s="88"/>
      <c r="S160" s="60"/>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c r="A161" s="1"/>
      <c r="B161" s="88"/>
      <c r="C161" s="88"/>
      <c r="D161" s="101"/>
      <c r="E161" s="88"/>
      <c r="F161" s="88"/>
      <c r="G161" s="101"/>
      <c r="H161" s="88"/>
      <c r="I161" s="88"/>
      <c r="J161" s="88"/>
      <c r="K161" s="88"/>
      <c r="L161" s="88"/>
      <c r="M161" s="88"/>
      <c r="N161" s="101"/>
      <c r="O161" s="88"/>
      <c r="P161" s="101"/>
      <c r="Q161" s="88"/>
      <c r="R161" s="88"/>
      <c r="S161" s="60"/>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c r="A162" s="1"/>
      <c r="B162" s="88"/>
      <c r="C162" s="88"/>
      <c r="D162" s="101"/>
      <c r="E162" s="88"/>
      <c r="F162" s="88"/>
      <c r="G162" s="101"/>
      <c r="H162" s="88"/>
      <c r="I162" s="88"/>
      <c r="J162" s="88"/>
      <c r="K162" s="88"/>
      <c r="L162" s="88"/>
      <c r="M162" s="88"/>
      <c r="N162" s="101"/>
      <c r="O162" s="88"/>
      <c r="P162" s="101"/>
      <c r="Q162" s="88"/>
      <c r="R162" s="88"/>
      <c r="S162" s="60"/>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c r="A163" s="1"/>
      <c r="B163" s="88"/>
      <c r="C163" s="88"/>
      <c r="D163" s="101"/>
      <c r="E163" s="88"/>
      <c r="F163" s="88"/>
      <c r="G163" s="101"/>
      <c r="H163" s="88"/>
      <c r="I163" s="88"/>
      <c r="J163" s="88"/>
      <c r="K163" s="88"/>
      <c r="L163" s="88"/>
      <c r="M163" s="88"/>
      <c r="N163" s="101"/>
      <c r="O163" s="88"/>
      <c r="P163" s="101"/>
      <c r="Q163" s="88"/>
      <c r="R163" s="88"/>
      <c r="S163" s="60"/>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c r="A164" s="1"/>
      <c r="B164" s="88"/>
      <c r="C164" s="88"/>
      <c r="D164" s="101"/>
      <c r="E164" s="88"/>
      <c r="F164" s="88"/>
      <c r="G164" s="101"/>
      <c r="H164" s="88"/>
      <c r="I164" s="88"/>
      <c r="J164" s="88"/>
      <c r="K164" s="88"/>
      <c r="L164" s="88"/>
      <c r="M164" s="88"/>
      <c r="N164" s="101"/>
      <c r="O164" s="88"/>
      <c r="P164" s="101"/>
      <c r="Q164" s="88"/>
      <c r="R164" s="88"/>
      <c r="S164" s="60"/>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c r="A165" s="1"/>
      <c r="B165" s="88"/>
      <c r="C165" s="88"/>
      <c r="D165" s="101"/>
      <c r="E165" s="88"/>
      <c r="F165" s="88"/>
      <c r="G165" s="101"/>
      <c r="H165" s="88"/>
      <c r="I165" s="88"/>
      <c r="J165" s="88"/>
      <c r="K165" s="88"/>
      <c r="L165" s="88"/>
      <c r="M165" s="88"/>
      <c r="N165" s="101"/>
      <c r="O165" s="88"/>
      <c r="P165" s="101"/>
      <c r="Q165" s="88"/>
      <c r="R165" s="88"/>
      <c r="S165" s="60"/>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c r="A166" s="1"/>
      <c r="B166" s="88"/>
      <c r="C166" s="88"/>
      <c r="D166" s="101"/>
      <c r="E166" s="88"/>
      <c r="F166" s="88"/>
      <c r="G166" s="101"/>
      <c r="H166" s="88"/>
      <c r="I166" s="88"/>
      <c r="J166" s="88"/>
      <c r="K166" s="88"/>
      <c r="L166" s="88"/>
      <c r="M166" s="88"/>
      <c r="N166" s="101"/>
      <c r="O166" s="88"/>
      <c r="P166" s="101"/>
      <c r="Q166" s="88"/>
      <c r="R166" s="88"/>
      <c r="S166" s="60"/>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c r="A167" s="1"/>
      <c r="B167" s="88"/>
      <c r="C167" s="88"/>
      <c r="D167" s="101"/>
      <c r="E167" s="88"/>
      <c r="F167" s="88"/>
      <c r="G167" s="101"/>
      <c r="H167" s="88"/>
      <c r="I167" s="88"/>
      <c r="J167" s="88"/>
      <c r="K167" s="88"/>
      <c r="L167" s="88"/>
      <c r="M167" s="88"/>
      <c r="N167" s="101"/>
      <c r="O167" s="88"/>
      <c r="P167" s="101"/>
      <c r="Q167" s="88"/>
      <c r="R167" s="88"/>
      <c r="S167" s="60"/>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c r="A168" s="1"/>
      <c r="B168" s="88"/>
      <c r="C168" s="88"/>
      <c r="D168" s="101"/>
      <c r="E168" s="88"/>
      <c r="F168" s="88"/>
      <c r="G168" s="101"/>
      <c r="H168" s="88"/>
      <c r="I168" s="88"/>
      <c r="J168" s="88"/>
      <c r="K168" s="88"/>
      <c r="L168" s="88"/>
      <c r="M168" s="88"/>
      <c r="N168" s="101"/>
      <c r="O168" s="88"/>
      <c r="P168" s="101"/>
      <c r="Q168" s="88"/>
      <c r="R168" s="88"/>
      <c r="S168" s="60"/>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c r="A169" s="1"/>
      <c r="B169" s="88"/>
      <c r="C169" s="88"/>
      <c r="D169" s="101"/>
      <c r="E169" s="88"/>
      <c r="F169" s="88"/>
      <c r="G169" s="101"/>
      <c r="H169" s="88"/>
      <c r="I169" s="88"/>
      <c r="J169" s="88"/>
      <c r="K169" s="88"/>
      <c r="L169" s="88"/>
      <c r="M169" s="88"/>
      <c r="N169" s="101"/>
      <c r="O169" s="88"/>
      <c r="P169" s="101"/>
      <c r="Q169" s="88"/>
      <c r="R169" s="88"/>
      <c r="S169" s="60"/>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c r="A170" s="1"/>
      <c r="B170" s="88"/>
      <c r="C170" s="88"/>
      <c r="D170" s="101"/>
      <c r="E170" s="88"/>
      <c r="F170" s="88"/>
      <c r="G170" s="101"/>
      <c r="H170" s="88"/>
      <c r="I170" s="88"/>
      <c r="J170" s="88"/>
      <c r="K170" s="88"/>
      <c r="L170" s="88"/>
      <c r="M170" s="88"/>
      <c r="N170" s="101"/>
      <c r="O170" s="88"/>
      <c r="P170" s="101"/>
      <c r="Q170" s="88"/>
      <c r="R170" s="88"/>
      <c r="S170" s="60"/>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c r="A171" s="1"/>
      <c r="B171" s="88"/>
      <c r="C171" s="88"/>
      <c r="D171" s="101"/>
      <c r="E171" s="88"/>
      <c r="F171" s="88"/>
      <c r="G171" s="101"/>
      <c r="H171" s="88"/>
      <c r="I171" s="88"/>
      <c r="J171" s="88"/>
      <c r="K171" s="88"/>
      <c r="L171" s="88"/>
      <c r="M171" s="88"/>
      <c r="N171" s="101"/>
      <c r="O171" s="88"/>
      <c r="P171" s="101"/>
      <c r="Q171" s="88"/>
      <c r="R171" s="88"/>
      <c r="S171" s="60"/>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c r="A172" s="1"/>
      <c r="B172" s="88"/>
      <c r="C172" s="88"/>
      <c r="D172" s="101"/>
      <c r="E172" s="88"/>
      <c r="F172" s="88"/>
      <c r="G172" s="101"/>
      <c r="H172" s="88"/>
      <c r="I172" s="88"/>
      <c r="J172" s="88"/>
      <c r="K172" s="88"/>
      <c r="L172" s="88"/>
      <c r="M172" s="88"/>
      <c r="N172" s="101"/>
      <c r="O172" s="88"/>
      <c r="P172" s="101"/>
      <c r="Q172" s="88"/>
      <c r="R172" s="88"/>
      <c r="S172" s="60"/>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c r="A173" s="1"/>
      <c r="B173" s="88"/>
      <c r="C173" s="88"/>
      <c r="D173" s="101"/>
      <c r="E173" s="88"/>
      <c r="F173" s="88"/>
      <c r="G173" s="101"/>
      <c r="H173" s="88"/>
      <c r="I173" s="88"/>
      <c r="J173" s="88"/>
      <c r="K173" s="88"/>
      <c r="L173" s="88"/>
      <c r="M173" s="88"/>
      <c r="N173" s="101"/>
      <c r="O173" s="88"/>
      <c r="P173" s="101"/>
      <c r="Q173" s="88"/>
      <c r="R173" s="88"/>
      <c r="S173" s="60"/>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c r="A174" s="1"/>
      <c r="B174" s="88"/>
      <c r="C174" s="88"/>
      <c r="D174" s="101"/>
      <c r="E174" s="88"/>
      <c r="F174" s="88"/>
      <c r="G174" s="101"/>
      <c r="H174" s="88"/>
      <c r="I174" s="88"/>
      <c r="J174" s="88"/>
      <c r="K174" s="88"/>
      <c r="L174" s="88"/>
      <c r="M174" s="88"/>
      <c r="N174" s="101"/>
      <c r="O174" s="88"/>
      <c r="P174" s="101"/>
      <c r="Q174" s="88"/>
      <c r="R174" s="88"/>
      <c r="S174" s="60"/>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c r="A175" s="1"/>
      <c r="B175" s="88"/>
      <c r="C175" s="88"/>
      <c r="D175" s="101"/>
      <c r="E175" s="88"/>
      <c r="F175" s="88"/>
      <c r="G175" s="101"/>
      <c r="H175" s="88"/>
      <c r="I175" s="88"/>
      <c r="J175" s="88"/>
      <c r="K175" s="88"/>
      <c r="L175" s="88"/>
      <c r="M175" s="88"/>
      <c r="N175" s="101"/>
      <c r="O175" s="88"/>
      <c r="P175" s="101"/>
      <c r="Q175" s="88"/>
      <c r="R175" s="88"/>
      <c r="S175" s="60"/>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c r="A176" s="1"/>
      <c r="B176" s="88"/>
      <c r="C176" s="88"/>
      <c r="D176" s="101"/>
      <c r="E176" s="88"/>
      <c r="F176" s="88"/>
      <c r="G176" s="101"/>
      <c r="H176" s="88"/>
      <c r="I176" s="88"/>
      <c r="J176" s="88"/>
      <c r="K176" s="88"/>
      <c r="L176" s="88"/>
      <c r="M176" s="88"/>
      <c r="N176" s="101"/>
      <c r="O176" s="88"/>
      <c r="P176" s="101"/>
      <c r="Q176" s="88"/>
      <c r="R176" s="88"/>
      <c r="S176" s="60"/>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c r="A177" s="1"/>
      <c r="B177" s="88"/>
      <c r="C177" s="88"/>
      <c r="D177" s="101"/>
      <c r="E177" s="88"/>
      <c r="F177" s="88"/>
      <c r="G177" s="101"/>
      <c r="H177" s="88"/>
      <c r="I177" s="88"/>
      <c r="J177" s="88"/>
      <c r="K177" s="88"/>
      <c r="L177" s="88"/>
      <c r="M177" s="88"/>
      <c r="N177" s="101"/>
      <c r="O177" s="88"/>
      <c r="P177" s="101"/>
      <c r="Q177" s="88"/>
      <c r="R177" s="88"/>
      <c r="S177" s="60"/>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c r="A178" s="1"/>
      <c r="B178" s="88"/>
      <c r="C178" s="88"/>
      <c r="D178" s="101"/>
      <c r="E178" s="88"/>
      <c r="F178" s="88"/>
      <c r="G178" s="101"/>
      <c r="H178" s="88"/>
      <c r="I178" s="88"/>
      <c r="J178" s="88"/>
      <c r="K178" s="88"/>
      <c r="L178" s="88"/>
      <c r="M178" s="88"/>
      <c r="N178" s="101"/>
      <c r="O178" s="88"/>
      <c r="P178" s="101"/>
      <c r="Q178" s="88"/>
      <c r="R178" s="88"/>
      <c r="S178" s="60"/>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c r="A179" s="1"/>
      <c r="B179" s="88"/>
      <c r="C179" s="88"/>
      <c r="D179" s="101"/>
      <c r="E179" s="88"/>
      <c r="F179" s="88"/>
      <c r="G179" s="101"/>
      <c r="H179" s="88"/>
      <c r="I179" s="88"/>
      <c r="J179" s="88"/>
      <c r="K179" s="88"/>
      <c r="L179" s="88"/>
      <c r="M179" s="88"/>
      <c r="N179" s="101"/>
      <c r="O179" s="88"/>
      <c r="P179" s="101"/>
      <c r="Q179" s="88"/>
      <c r="R179" s="88"/>
      <c r="S179" s="60"/>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c r="A180" s="1"/>
      <c r="B180" s="88"/>
      <c r="C180" s="88"/>
      <c r="D180" s="101"/>
      <c r="E180" s="88"/>
      <c r="F180" s="88"/>
      <c r="G180" s="101"/>
      <c r="H180" s="88"/>
      <c r="I180" s="88"/>
      <c r="J180" s="88"/>
      <c r="K180" s="88"/>
      <c r="L180" s="88"/>
      <c r="M180" s="88"/>
      <c r="N180" s="101"/>
      <c r="O180" s="88"/>
      <c r="P180" s="101"/>
      <c r="Q180" s="88"/>
      <c r="R180" s="88"/>
      <c r="S180" s="60"/>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c r="A181" s="1"/>
      <c r="B181" s="88"/>
      <c r="C181" s="88"/>
      <c r="D181" s="101"/>
      <c r="E181" s="88"/>
      <c r="F181" s="88"/>
      <c r="G181" s="101"/>
      <c r="H181" s="88"/>
      <c r="I181" s="88"/>
      <c r="J181" s="88"/>
      <c r="K181" s="88"/>
      <c r="L181" s="88"/>
      <c r="M181" s="88"/>
      <c r="N181" s="101"/>
      <c r="O181" s="88"/>
      <c r="P181" s="101"/>
      <c r="Q181" s="88"/>
      <c r="R181" s="88"/>
      <c r="S181" s="60"/>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c r="A182" s="1"/>
      <c r="B182" s="88"/>
      <c r="C182" s="88"/>
      <c r="D182" s="101"/>
      <c r="E182" s="88"/>
      <c r="F182" s="88"/>
      <c r="G182" s="101"/>
      <c r="H182" s="88"/>
      <c r="I182" s="88"/>
      <c r="J182" s="88"/>
      <c r="K182" s="88"/>
      <c r="L182" s="88"/>
      <c r="M182" s="88"/>
      <c r="N182" s="101"/>
      <c r="O182" s="88"/>
      <c r="P182" s="101"/>
      <c r="Q182" s="88"/>
      <c r="R182" s="88"/>
      <c r="S182" s="60"/>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c r="A183" s="1"/>
      <c r="B183" s="88"/>
      <c r="C183" s="88"/>
      <c r="D183" s="101"/>
      <c r="E183" s="88"/>
      <c r="F183" s="88"/>
      <c r="G183" s="101"/>
      <c r="H183" s="88"/>
      <c r="I183" s="88"/>
      <c r="J183" s="88"/>
      <c r="K183" s="88"/>
      <c r="L183" s="88"/>
      <c r="M183" s="88"/>
      <c r="N183" s="101"/>
      <c r="O183" s="88"/>
      <c r="P183" s="101"/>
      <c r="Q183" s="88"/>
      <c r="R183" s="88"/>
      <c r="S183" s="60"/>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c r="A184" s="1"/>
      <c r="B184" s="88"/>
      <c r="C184" s="88"/>
      <c r="D184" s="101"/>
      <c r="E184" s="88"/>
      <c r="F184" s="88"/>
      <c r="G184" s="101"/>
      <c r="H184" s="88"/>
      <c r="I184" s="88"/>
      <c r="J184" s="88"/>
      <c r="K184" s="88"/>
      <c r="L184" s="88"/>
      <c r="M184" s="88"/>
      <c r="N184" s="101"/>
      <c r="O184" s="88"/>
      <c r="P184" s="101"/>
      <c r="Q184" s="88"/>
      <c r="R184" s="88"/>
      <c r="S184" s="60"/>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c r="A185" s="1"/>
      <c r="B185" s="88"/>
      <c r="C185" s="88"/>
      <c r="D185" s="101"/>
      <c r="E185" s="88"/>
      <c r="F185" s="88"/>
      <c r="G185" s="101"/>
      <c r="H185" s="88"/>
      <c r="I185" s="88"/>
      <c r="J185" s="88"/>
      <c r="K185" s="88"/>
      <c r="L185" s="88"/>
      <c r="M185" s="88"/>
      <c r="N185" s="101"/>
      <c r="O185" s="88"/>
      <c r="P185" s="101"/>
      <c r="Q185" s="88"/>
      <c r="R185" s="88"/>
      <c r="S185" s="60"/>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c r="A186" s="1"/>
      <c r="B186" s="88"/>
      <c r="C186" s="88"/>
      <c r="D186" s="101"/>
      <c r="E186" s="88"/>
      <c r="F186" s="88"/>
      <c r="G186" s="101"/>
      <c r="H186" s="88"/>
      <c r="I186" s="88"/>
      <c r="J186" s="88"/>
      <c r="K186" s="88"/>
      <c r="L186" s="88"/>
      <c r="M186" s="88"/>
      <c r="N186" s="101"/>
      <c r="O186" s="88"/>
      <c r="P186" s="101"/>
      <c r="Q186" s="88"/>
      <c r="R186" s="88"/>
      <c r="S186" s="60"/>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c r="A187" s="1"/>
      <c r="B187" s="88"/>
      <c r="C187" s="88"/>
      <c r="D187" s="101"/>
      <c r="E187" s="88"/>
      <c r="F187" s="88"/>
      <c r="G187" s="101"/>
      <c r="H187" s="88"/>
      <c r="I187" s="88"/>
      <c r="J187" s="88"/>
      <c r="K187" s="88"/>
      <c r="L187" s="88"/>
      <c r="M187" s="88"/>
      <c r="N187" s="101"/>
      <c r="O187" s="88"/>
      <c r="P187" s="101"/>
      <c r="Q187" s="88"/>
      <c r="R187" s="88"/>
      <c r="S187" s="60"/>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c r="A188" s="1"/>
      <c r="B188" s="88"/>
      <c r="C188" s="88"/>
      <c r="D188" s="101"/>
      <c r="E188" s="88"/>
      <c r="F188" s="88"/>
      <c r="G188" s="101"/>
      <c r="H188" s="88"/>
      <c r="I188" s="88"/>
      <c r="J188" s="88"/>
      <c r="K188" s="88"/>
      <c r="L188" s="88"/>
      <c r="M188" s="88"/>
      <c r="N188" s="101"/>
      <c r="O188" s="88"/>
      <c r="P188" s="101"/>
      <c r="Q188" s="88"/>
      <c r="R188" s="88"/>
      <c r="S188" s="60"/>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c r="A189" s="1"/>
      <c r="B189" s="88"/>
      <c r="C189" s="88"/>
      <c r="D189" s="101"/>
      <c r="E189" s="88"/>
      <c r="F189" s="88"/>
      <c r="G189" s="101"/>
      <c r="H189" s="88"/>
      <c r="I189" s="88"/>
      <c r="J189" s="88"/>
      <c r="K189" s="88"/>
      <c r="L189" s="88"/>
      <c r="M189" s="88"/>
      <c r="N189" s="101"/>
      <c r="O189" s="88"/>
      <c r="P189" s="101"/>
      <c r="Q189" s="88"/>
      <c r="R189" s="88"/>
      <c r="S189" s="60"/>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c r="A190" s="1"/>
      <c r="B190" s="88"/>
      <c r="C190" s="88"/>
      <c r="D190" s="101"/>
      <c r="E190" s="88"/>
      <c r="F190" s="88"/>
      <c r="G190" s="101"/>
      <c r="H190" s="88"/>
      <c r="I190" s="88"/>
      <c r="J190" s="88"/>
      <c r="K190" s="88"/>
      <c r="L190" s="88"/>
      <c r="M190" s="88"/>
      <c r="N190" s="101"/>
      <c r="O190" s="88"/>
      <c r="P190" s="101"/>
      <c r="Q190" s="88"/>
      <c r="R190" s="88"/>
      <c r="S190" s="60"/>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c r="A191" s="1"/>
      <c r="B191" s="88"/>
      <c r="C191" s="88"/>
      <c r="D191" s="101"/>
      <c r="E191" s="88"/>
      <c r="F191" s="88"/>
      <c r="G191" s="101"/>
      <c r="H191" s="88"/>
      <c r="I191" s="88"/>
      <c r="J191" s="88"/>
      <c r="K191" s="88"/>
      <c r="L191" s="88"/>
      <c r="M191" s="88"/>
      <c r="N191" s="101"/>
      <c r="O191" s="88"/>
      <c r="P191" s="101"/>
      <c r="Q191" s="88"/>
      <c r="R191" s="88"/>
      <c r="S191" s="60"/>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c r="A192" s="1"/>
      <c r="B192" s="88"/>
      <c r="C192" s="88"/>
      <c r="D192" s="101"/>
      <c r="E192" s="88"/>
      <c r="F192" s="88"/>
      <c r="G192" s="101"/>
      <c r="H192" s="88"/>
      <c r="I192" s="88"/>
      <c r="J192" s="88"/>
      <c r="K192" s="88"/>
      <c r="L192" s="88"/>
      <c r="M192" s="88"/>
      <c r="N192" s="101"/>
      <c r="O192" s="88"/>
      <c r="P192" s="101"/>
      <c r="Q192" s="88"/>
      <c r="R192" s="88"/>
      <c r="S192" s="60"/>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2:18">
      <c r="B193" s="88"/>
      <c r="C193" s="88"/>
      <c r="D193" s="101"/>
      <c r="E193" s="88"/>
      <c r="F193" s="88"/>
      <c r="G193" s="101"/>
      <c r="H193" s="88"/>
      <c r="I193" s="88"/>
      <c r="J193" s="88"/>
      <c r="K193" s="88"/>
      <c r="L193" s="88"/>
      <c r="M193" s="88"/>
      <c r="N193" s="101"/>
      <c r="O193" s="88"/>
      <c r="P193" s="101"/>
      <c r="Q193" s="88"/>
      <c r="R193" s="88"/>
    </row>
    <row r="194" spans="2:18">
      <c r="B194" s="88"/>
      <c r="C194" s="88"/>
      <c r="D194" s="101"/>
      <c r="E194" s="88"/>
      <c r="F194" s="88"/>
      <c r="G194" s="101"/>
      <c r="H194" s="88"/>
      <c r="I194" s="88"/>
      <c r="J194" s="88"/>
      <c r="K194" s="88"/>
      <c r="L194" s="88"/>
      <c r="M194" s="88"/>
      <c r="N194" s="101"/>
      <c r="O194" s="88"/>
      <c r="P194" s="101"/>
      <c r="Q194" s="88"/>
      <c r="R194" s="88"/>
    </row>
    <row r="195" spans="2:18">
      <c r="B195" s="88"/>
      <c r="C195" s="88"/>
      <c r="D195" s="101"/>
      <c r="E195" s="88"/>
      <c r="F195" s="88"/>
      <c r="G195" s="101"/>
      <c r="H195" s="88"/>
      <c r="I195" s="88"/>
      <c r="J195" s="88"/>
      <c r="K195" s="88"/>
      <c r="L195" s="88"/>
      <c r="M195" s="88"/>
      <c r="N195" s="101"/>
      <c r="O195" s="88"/>
      <c r="P195" s="101"/>
      <c r="Q195" s="88"/>
      <c r="R195" s="88"/>
    </row>
    <row r="196" spans="2:18">
      <c r="B196" s="88"/>
      <c r="C196" s="88"/>
      <c r="D196" s="101"/>
      <c r="E196" s="88"/>
      <c r="F196" s="88"/>
      <c r="G196" s="101"/>
      <c r="H196" s="88"/>
      <c r="I196" s="88"/>
      <c r="J196" s="88"/>
      <c r="K196" s="88"/>
      <c r="L196" s="88"/>
      <c r="M196" s="88"/>
      <c r="N196" s="101"/>
      <c r="O196" s="88"/>
      <c r="P196" s="101"/>
      <c r="Q196" s="88"/>
      <c r="R196" s="88"/>
    </row>
    <row r="197" spans="2:18">
      <c r="B197" s="88"/>
      <c r="C197" s="88"/>
      <c r="D197" s="101"/>
      <c r="E197" s="88"/>
      <c r="F197" s="88"/>
      <c r="G197" s="101"/>
      <c r="H197" s="88"/>
      <c r="I197" s="88"/>
      <c r="J197" s="88"/>
      <c r="K197" s="88"/>
      <c r="L197" s="88"/>
      <c r="M197" s="88"/>
      <c r="N197" s="101"/>
      <c r="O197" s="88"/>
      <c r="P197" s="101"/>
      <c r="Q197" s="88"/>
      <c r="R197" s="88"/>
    </row>
    <row r="198" spans="2:18">
      <c r="B198" s="88"/>
      <c r="C198" s="88"/>
      <c r="D198" s="101"/>
      <c r="E198" s="88"/>
      <c r="F198" s="88"/>
      <c r="G198" s="101"/>
      <c r="H198" s="88"/>
      <c r="I198" s="88"/>
      <c r="J198" s="88"/>
      <c r="K198" s="88"/>
      <c r="L198" s="88"/>
      <c r="M198" s="88"/>
      <c r="N198" s="101"/>
      <c r="O198" s="88"/>
      <c r="P198" s="101"/>
      <c r="Q198" s="88"/>
      <c r="R198" s="88"/>
    </row>
    <row r="199" spans="2:18">
      <c r="B199" s="88"/>
      <c r="C199" s="88"/>
      <c r="D199" s="101"/>
      <c r="E199" s="88"/>
      <c r="F199" s="88"/>
      <c r="G199" s="101"/>
      <c r="H199" s="88"/>
      <c r="I199" s="88"/>
      <c r="J199" s="88"/>
      <c r="K199" s="88"/>
      <c r="L199" s="88"/>
      <c r="M199" s="88"/>
      <c r="N199" s="101"/>
      <c r="O199" s="88"/>
      <c r="P199" s="101"/>
      <c r="Q199" s="88"/>
      <c r="R199" s="88"/>
    </row>
    <row r="200" spans="2:18">
      <c r="B200" s="88"/>
      <c r="C200" s="88"/>
      <c r="D200" s="101"/>
      <c r="E200" s="88"/>
      <c r="F200" s="88"/>
      <c r="G200" s="101"/>
      <c r="H200" s="88"/>
      <c r="I200" s="88"/>
      <c r="J200" s="88"/>
      <c r="K200" s="88"/>
      <c r="L200" s="88"/>
      <c r="M200" s="88"/>
      <c r="N200" s="101"/>
      <c r="O200" s="88"/>
      <c r="P200" s="101"/>
      <c r="Q200" s="88"/>
      <c r="R200" s="88"/>
    </row>
    <row r="201" spans="2:18">
      <c r="B201" s="88"/>
      <c r="C201" s="88"/>
      <c r="D201" s="101"/>
      <c r="E201" s="88"/>
      <c r="F201" s="88"/>
      <c r="G201" s="101"/>
      <c r="H201" s="88"/>
      <c r="I201" s="88"/>
      <c r="J201" s="88"/>
      <c r="K201" s="88"/>
      <c r="L201" s="88"/>
      <c r="M201" s="88"/>
      <c r="N201" s="101"/>
      <c r="O201" s="88"/>
      <c r="P201" s="101"/>
      <c r="Q201" s="88"/>
      <c r="R201" s="88"/>
    </row>
    <row r="202" spans="2:18">
      <c r="B202" s="88"/>
      <c r="C202" s="88"/>
      <c r="D202" s="101"/>
      <c r="E202" s="88"/>
      <c r="F202" s="88"/>
      <c r="G202" s="101"/>
      <c r="H202" s="88"/>
      <c r="I202" s="88"/>
      <c r="J202" s="88"/>
      <c r="K202" s="88"/>
      <c r="L202" s="88"/>
      <c r="M202" s="88"/>
      <c r="N202" s="101"/>
      <c r="O202" s="88"/>
      <c r="P202" s="101"/>
      <c r="Q202" s="88"/>
      <c r="R202" s="88"/>
    </row>
    <row r="203" spans="2:18">
      <c r="B203" s="88"/>
      <c r="C203" s="88"/>
      <c r="D203" s="101"/>
      <c r="E203" s="88"/>
      <c r="F203" s="88"/>
      <c r="G203" s="101"/>
      <c r="H203" s="88"/>
      <c r="I203" s="88"/>
      <c r="J203" s="88"/>
      <c r="K203" s="88"/>
      <c r="L203" s="88"/>
      <c r="M203" s="88"/>
      <c r="N203" s="101"/>
      <c r="O203" s="88"/>
      <c r="P203" s="101"/>
      <c r="Q203" s="88"/>
      <c r="R203" s="88"/>
    </row>
    <row r="204" spans="2:18">
      <c r="B204" s="88"/>
      <c r="C204" s="88"/>
      <c r="D204" s="101"/>
      <c r="E204" s="88"/>
      <c r="F204" s="88"/>
      <c r="G204" s="101"/>
      <c r="H204" s="88"/>
      <c r="I204" s="88"/>
      <c r="J204" s="88"/>
      <c r="K204" s="88"/>
      <c r="L204" s="88"/>
      <c r="M204" s="88"/>
      <c r="N204" s="101"/>
      <c r="O204" s="88"/>
      <c r="P204" s="101"/>
      <c r="Q204" s="88"/>
      <c r="R204" s="88"/>
    </row>
    <row r="205" spans="2:18">
      <c r="B205" s="88"/>
      <c r="C205" s="88"/>
      <c r="D205" s="101"/>
      <c r="E205" s="88"/>
      <c r="F205" s="88"/>
      <c r="G205" s="101"/>
      <c r="H205" s="88"/>
      <c r="I205" s="88"/>
      <c r="J205" s="88"/>
      <c r="K205" s="88"/>
      <c r="L205" s="88"/>
      <c r="M205" s="88"/>
      <c r="N205" s="101"/>
      <c r="O205" s="88"/>
      <c r="P205" s="101"/>
      <c r="Q205" s="88"/>
      <c r="R205" s="88"/>
    </row>
    <row r="206" spans="2:18">
      <c r="B206" s="88"/>
      <c r="C206" s="88"/>
      <c r="D206" s="101"/>
      <c r="E206" s="88"/>
      <c r="F206" s="88"/>
      <c r="G206" s="101"/>
      <c r="H206" s="88"/>
      <c r="I206" s="88"/>
      <c r="J206" s="88"/>
      <c r="K206" s="88"/>
      <c r="L206" s="88"/>
      <c r="M206" s="88"/>
      <c r="N206" s="101"/>
      <c r="O206" s="88"/>
      <c r="P206" s="101"/>
      <c r="Q206" s="88"/>
      <c r="R206" s="88"/>
    </row>
    <row r="207" spans="2:18">
      <c r="B207" s="88"/>
      <c r="C207" s="88"/>
      <c r="D207" s="101"/>
      <c r="E207" s="88"/>
      <c r="F207" s="88"/>
      <c r="G207" s="101"/>
      <c r="H207" s="88"/>
      <c r="I207" s="88"/>
      <c r="J207" s="88"/>
      <c r="K207" s="88"/>
      <c r="L207" s="88"/>
      <c r="M207" s="88"/>
      <c r="N207" s="101"/>
      <c r="O207" s="88"/>
      <c r="P207" s="101"/>
      <c r="Q207" s="88"/>
      <c r="R207" s="88"/>
    </row>
    <row r="208" spans="2:18">
      <c r="B208" s="88"/>
      <c r="C208" s="88"/>
      <c r="D208" s="101"/>
      <c r="E208" s="88"/>
      <c r="F208" s="88"/>
      <c r="G208" s="101"/>
      <c r="H208" s="88"/>
      <c r="I208" s="88"/>
      <c r="J208" s="88"/>
      <c r="K208" s="88"/>
      <c r="L208" s="88"/>
      <c r="M208" s="88"/>
      <c r="N208" s="101"/>
      <c r="O208" s="88"/>
      <c r="P208" s="101"/>
      <c r="Q208" s="88"/>
      <c r="R208" s="88"/>
    </row>
    <row r="209" spans="2:18">
      <c r="B209" s="88"/>
      <c r="C209" s="88"/>
      <c r="D209" s="101"/>
      <c r="E209" s="88"/>
      <c r="F209" s="88"/>
      <c r="G209" s="101"/>
      <c r="H209" s="88"/>
      <c r="I209" s="88"/>
      <c r="J209" s="88"/>
      <c r="K209" s="88"/>
      <c r="L209" s="88"/>
      <c r="M209" s="88"/>
      <c r="N209" s="101"/>
      <c r="O209" s="88"/>
      <c r="P209" s="101"/>
      <c r="Q209" s="88"/>
      <c r="R209" s="88"/>
    </row>
    <row r="210" spans="2:18">
      <c r="B210" s="88"/>
      <c r="C210" s="88"/>
      <c r="D210" s="101"/>
      <c r="E210" s="88"/>
      <c r="F210" s="88"/>
      <c r="G210" s="101"/>
      <c r="H210" s="88"/>
      <c r="I210" s="88"/>
      <c r="J210" s="88"/>
      <c r="K210" s="88"/>
      <c r="L210" s="88"/>
      <c r="M210" s="88"/>
      <c r="N210" s="101"/>
      <c r="O210" s="88"/>
      <c r="P210" s="101"/>
      <c r="Q210" s="88"/>
      <c r="R210" s="88"/>
    </row>
    <row r="211" spans="2:18">
      <c r="B211" s="88"/>
      <c r="C211" s="88"/>
      <c r="D211" s="101"/>
      <c r="E211" s="88"/>
      <c r="F211" s="88"/>
      <c r="G211" s="101"/>
      <c r="H211" s="88"/>
      <c r="I211" s="88"/>
      <c r="J211" s="88"/>
      <c r="K211" s="88"/>
      <c r="L211" s="88"/>
      <c r="M211" s="88"/>
      <c r="N211" s="101"/>
      <c r="O211" s="88"/>
      <c r="P211" s="101"/>
      <c r="Q211" s="88"/>
      <c r="R211" s="88"/>
    </row>
    <row r="212" spans="2:18">
      <c r="B212" s="88"/>
      <c r="C212" s="88"/>
      <c r="D212" s="101"/>
      <c r="E212" s="88"/>
      <c r="F212" s="88"/>
      <c r="G212" s="101"/>
      <c r="H212" s="88"/>
      <c r="I212" s="88"/>
      <c r="J212" s="88"/>
      <c r="K212" s="88"/>
      <c r="L212" s="88"/>
      <c r="M212" s="88"/>
      <c r="N212" s="101"/>
      <c r="O212" s="88"/>
      <c r="P212" s="101"/>
      <c r="Q212" s="88"/>
      <c r="R212" s="88"/>
    </row>
    <row r="213" spans="2:18">
      <c r="B213" s="88"/>
      <c r="C213" s="88"/>
      <c r="D213" s="101"/>
      <c r="E213" s="88"/>
      <c r="F213" s="88"/>
      <c r="G213" s="101"/>
      <c r="H213" s="88"/>
      <c r="I213" s="88"/>
      <c r="J213" s="88"/>
      <c r="K213" s="88"/>
      <c r="L213" s="88"/>
      <c r="M213" s="88"/>
      <c r="N213" s="101"/>
      <c r="O213" s="88"/>
      <c r="P213" s="101"/>
      <c r="Q213" s="88"/>
      <c r="R213" s="88"/>
    </row>
    <row r="214" spans="2:18">
      <c r="B214" s="88"/>
      <c r="C214" s="88"/>
      <c r="D214" s="101"/>
      <c r="E214" s="88"/>
      <c r="F214" s="88"/>
      <c r="G214" s="101"/>
      <c r="H214" s="88"/>
      <c r="I214" s="88"/>
      <c r="J214" s="88"/>
      <c r="K214" s="88"/>
      <c r="L214" s="88"/>
      <c r="M214" s="88"/>
      <c r="N214" s="101"/>
      <c r="O214" s="88"/>
      <c r="P214" s="101"/>
      <c r="Q214" s="88"/>
      <c r="R214" s="88"/>
    </row>
    <row r="215" spans="2:18">
      <c r="B215" s="88"/>
      <c r="C215" s="88"/>
      <c r="D215" s="101"/>
      <c r="E215" s="88"/>
      <c r="F215" s="88"/>
      <c r="G215" s="101"/>
      <c r="H215" s="88"/>
      <c r="I215" s="88"/>
      <c r="J215" s="88"/>
      <c r="K215" s="88"/>
      <c r="L215" s="88"/>
      <c r="M215" s="88"/>
      <c r="N215" s="101"/>
      <c r="O215" s="88"/>
      <c r="P215" s="101"/>
      <c r="Q215" s="88"/>
      <c r="R215" s="88"/>
    </row>
    <row r="216" spans="2:18">
      <c r="B216" s="88"/>
      <c r="C216" s="88"/>
      <c r="D216" s="101"/>
      <c r="E216" s="88"/>
      <c r="F216" s="88"/>
      <c r="G216" s="101"/>
      <c r="H216" s="88"/>
      <c r="I216" s="88"/>
      <c r="J216" s="88"/>
      <c r="K216" s="88"/>
      <c r="L216" s="88"/>
      <c r="M216" s="88"/>
      <c r="N216" s="101"/>
      <c r="O216" s="88"/>
      <c r="P216" s="101"/>
      <c r="Q216" s="88"/>
      <c r="R216" s="88"/>
    </row>
    <row r="217" spans="2:18">
      <c r="B217" s="88"/>
      <c r="C217" s="88"/>
      <c r="D217" s="101"/>
      <c r="E217" s="88"/>
      <c r="F217" s="88"/>
      <c r="G217" s="101"/>
      <c r="H217" s="88"/>
      <c r="I217" s="88"/>
      <c r="J217" s="88"/>
      <c r="K217" s="88"/>
      <c r="L217" s="88"/>
      <c r="M217" s="88"/>
      <c r="N217" s="101"/>
      <c r="O217" s="88"/>
      <c r="P217" s="101"/>
      <c r="Q217" s="88"/>
      <c r="R217" s="88"/>
    </row>
    <row r="218" spans="2:18">
      <c r="B218" s="88"/>
      <c r="C218" s="88"/>
      <c r="D218" s="101"/>
      <c r="E218" s="88"/>
      <c r="F218" s="88"/>
      <c r="G218" s="101"/>
      <c r="H218" s="88"/>
      <c r="I218" s="88"/>
      <c r="J218" s="88"/>
      <c r="K218" s="88"/>
      <c r="L218" s="88"/>
      <c r="M218" s="88"/>
      <c r="N218" s="101"/>
      <c r="O218" s="88"/>
      <c r="P218" s="101"/>
      <c r="Q218" s="88"/>
      <c r="R218" s="88"/>
    </row>
    <row r="219" spans="2:18">
      <c r="B219" s="88"/>
      <c r="C219" s="88"/>
      <c r="D219" s="101"/>
      <c r="E219" s="88"/>
      <c r="F219" s="88"/>
      <c r="G219" s="101"/>
      <c r="H219" s="88"/>
      <c r="I219" s="88"/>
      <c r="J219" s="88"/>
      <c r="K219" s="88"/>
      <c r="L219" s="88"/>
      <c r="M219" s="88"/>
      <c r="N219" s="101"/>
      <c r="O219" s="88"/>
      <c r="P219" s="101"/>
      <c r="Q219" s="88"/>
      <c r="R219" s="88"/>
    </row>
    <row r="220" spans="2:18">
      <c r="B220" s="88"/>
      <c r="C220" s="88"/>
      <c r="D220" s="101"/>
      <c r="E220" s="88"/>
      <c r="F220" s="88"/>
      <c r="G220" s="101"/>
      <c r="H220" s="88"/>
      <c r="I220" s="88"/>
      <c r="J220" s="88"/>
      <c r="K220" s="88"/>
      <c r="L220" s="88"/>
      <c r="M220" s="88"/>
      <c r="N220" s="101"/>
      <c r="O220" s="88"/>
      <c r="P220" s="101"/>
      <c r="Q220" s="88"/>
      <c r="R220" s="88"/>
    </row>
    <row r="221" spans="2:18">
      <c r="B221" s="88"/>
      <c r="C221" s="88"/>
      <c r="D221" s="101"/>
      <c r="E221" s="88"/>
      <c r="F221" s="88"/>
      <c r="G221" s="101"/>
      <c r="H221" s="88"/>
      <c r="I221" s="88"/>
      <c r="J221" s="88"/>
      <c r="K221" s="88"/>
      <c r="L221" s="88"/>
      <c r="M221" s="88"/>
      <c r="N221" s="101"/>
      <c r="O221" s="88"/>
      <c r="P221" s="101"/>
      <c r="Q221" s="88"/>
      <c r="R221" s="88"/>
    </row>
    <row r="222" spans="2:18">
      <c r="B222" s="88"/>
      <c r="C222" s="88"/>
      <c r="D222" s="101"/>
      <c r="E222" s="88"/>
      <c r="F222" s="88"/>
      <c r="G222" s="101"/>
      <c r="H222" s="88"/>
      <c r="I222" s="88"/>
      <c r="J222" s="88"/>
      <c r="K222" s="88"/>
      <c r="L222" s="88"/>
      <c r="M222" s="88"/>
      <c r="N222" s="101"/>
      <c r="O222" s="88"/>
      <c r="P222" s="101"/>
      <c r="Q222" s="88"/>
      <c r="R222" s="88"/>
    </row>
    <row r="223" spans="2:18">
      <c r="B223" s="88"/>
      <c r="C223" s="88"/>
      <c r="D223" s="101"/>
      <c r="E223" s="88"/>
      <c r="F223" s="88"/>
      <c r="G223" s="101"/>
      <c r="H223" s="88"/>
      <c r="I223" s="88"/>
      <c r="J223" s="88"/>
      <c r="K223" s="88"/>
      <c r="L223" s="88"/>
      <c r="M223" s="88"/>
      <c r="N223" s="101"/>
      <c r="O223" s="88"/>
      <c r="P223" s="101"/>
      <c r="Q223" s="88"/>
      <c r="R223" s="88"/>
    </row>
    <row r="224" spans="2:18">
      <c r="B224" s="88"/>
      <c r="C224" s="88"/>
      <c r="D224" s="101"/>
      <c r="E224" s="88"/>
      <c r="F224" s="88"/>
      <c r="G224" s="101"/>
      <c r="H224" s="88"/>
      <c r="I224" s="88"/>
      <c r="J224" s="88"/>
      <c r="K224" s="88"/>
      <c r="L224" s="88"/>
      <c r="M224" s="88"/>
      <c r="N224" s="101"/>
      <c r="O224" s="88"/>
      <c r="P224" s="101"/>
      <c r="Q224" s="88"/>
      <c r="R224" s="88"/>
    </row>
    <row r="225" spans="2:18">
      <c r="B225" s="88"/>
      <c r="C225" s="88"/>
      <c r="D225" s="101"/>
      <c r="E225" s="88"/>
      <c r="F225" s="88"/>
      <c r="G225" s="101"/>
      <c r="H225" s="88"/>
      <c r="I225" s="88"/>
      <c r="J225" s="88"/>
      <c r="K225" s="88"/>
      <c r="L225" s="88"/>
      <c r="M225" s="88"/>
      <c r="N225" s="101"/>
      <c r="O225" s="88"/>
      <c r="P225" s="101"/>
      <c r="Q225" s="88"/>
      <c r="R225" s="88"/>
    </row>
    <row r="226" spans="2:18">
      <c r="B226" s="88"/>
      <c r="C226" s="88"/>
      <c r="D226" s="101"/>
      <c r="E226" s="88"/>
      <c r="F226" s="88"/>
      <c r="G226" s="101"/>
      <c r="H226" s="88"/>
      <c r="I226" s="88"/>
      <c r="J226" s="88"/>
      <c r="K226" s="88"/>
      <c r="L226" s="88"/>
      <c r="M226" s="88"/>
      <c r="N226" s="101"/>
      <c r="O226" s="88"/>
      <c r="P226" s="101"/>
      <c r="Q226" s="88"/>
      <c r="R226" s="88"/>
    </row>
    <row r="227" spans="2:18">
      <c r="B227" s="88"/>
      <c r="C227" s="88"/>
      <c r="D227" s="101"/>
      <c r="E227" s="88"/>
      <c r="F227" s="88"/>
      <c r="G227" s="101"/>
      <c r="H227" s="88"/>
      <c r="I227" s="88"/>
      <c r="J227" s="88"/>
      <c r="K227" s="88"/>
      <c r="L227" s="88"/>
      <c r="M227" s="88"/>
      <c r="N227" s="101"/>
      <c r="O227" s="88"/>
      <c r="P227" s="101"/>
      <c r="Q227" s="88"/>
      <c r="R227" s="88"/>
    </row>
    <row r="228" spans="2:18">
      <c r="B228" s="88"/>
      <c r="C228" s="88"/>
      <c r="D228" s="101"/>
      <c r="E228" s="88"/>
      <c r="F228" s="88"/>
      <c r="G228" s="101"/>
      <c r="H228" s="88"/>
      <c r="I228" s="88"/>
      <c r="J228" s="88"/>
      <c r="K228" s="88"/>
      <c r="L228" s="88"/>
      <c r="M228" s="88"/>
      <c r="N228" s="101"/>
      <c r="O228" s="88"/>
      <c r="P228" s="101"/>
      <c r="Q228" s="88"/>
      <c r="R228" s="88"/>
    </row>
    <row r="229" spans="2:18">
      <c r="B229" s="88"/>
      <c r="C229" s="88"/>
      <c r="D229" s="101"/>
      <c r="E229" s="88"/>
      <c r="F229" s="88"/>
      <c r="G229" s="101"/>
      <c r="H229" s="88"/>
      <c r="I229" s="88"/>
      <c r="J229" s="88"/>
      <c r="K229" s="88"/>
      <c r="L229" s="88"/>
      <c r="M229" s="88"/>
      <c r="N229" s="101"/>
      <c r="O229" s="88"/>
      <c r="P229" s="101"/>
      <c r="Q229" s="88"/>
      <c r="R229" s="88"/>
    </row>
    <row r="230" spans="2:18">
      <c r="B230" s="88"/>
      <c r="C230" s="88"/>
      <c r="D230" s="101"/>
      <c r="E230" s="88"/>
      <c r="F230" s="88"/>
      <c r="G230" s="101"/>
      <c r="H230" s="88"/>
      <c r="I230" s="88"/>
      <c r="J230" s="88"/>
      <c r="K230" s="88"/>
      <c r="L230" s="88"/>
      <c r="M230" s="88"/>
      <c r="N230" s="101"/>
      <c r="O230" s="88"/>
      <c r="P230" s="101"/>
      <c r="Q230" s="88"/>
      <c r="R230" s="88"/>
    </row>
    <row r="231" spans="2:18">
      <c r="B231" s="88"/>
      <c r="C231" s="88"/>
      <c r="D231" s="101"/>
      <c r="E231" s="88"/>
      <c r="F231" s="88"/>
      <c r="G231" s="101"/>
      <c r="H231" s="88"/>
      <c r="I231" s="88"/>
      <c r="J231" s="88"/>
      <c r="K231" s="88"/>
      <c r="L231" s="88"/>
      <c r="M231" s="88"/>
      <c r="N231" s="101"/>
      <c r="O231" s="88"/>
      <c r="P231" s="101"/>
      <c r="Q231" s="88"/>
      <c r="R231" s="88"/>
    </row>
    <row r="232" spans="2:18">
      <c r="B232" s="88"/>
      <c r="C232" s="88"/>
      <c r="D232" s="101"/>
      <c r="E232" s="88"/>
      <c r="F232" s="88"/>
      <c r="G232" s="101"/>
      <c r="H232" s="88"/>
      <c r="I232" s="88"/>
      <c r="J232" s="88"/>
      <c r="K232" s="88"/>
      <c r="L232" s="88"/>
      <c r="M232" s="88"/>
      <c r="N232" s="101"/>
      <c r="O232" s="88"/>
      <c r="P232" s="101"/>
      <c r="Q232" s="88"/>
      <c r="R232" s="88"/>
    </row>
    <row r="233" spans="2:18">
      <c r="B233" s="88"/>
      <c r="C233" s="88"/>
      <c r="D233" s="101"/>
      <c r="E233" s="88"/>
      <c r="F233" s="88"/>
      <c r="G233" s="101"/>
      <c r="H233" s="88"/>
      <c r="I233" s="88"/>
      <c r="J233" s="88"/>
      <c r="K233" s="88"/>
      <c r="L233" s="88"/>
      <c r="M233" s="88"/>
      <c r="N233" s="101"/>
      <c r="O233" s="88"/>
      <c r="P233" s="101"/>
      <c r="Q233" s="88"/>
      <c r="R233" s="88"/>
    </row>
    <row r="234" spans="2:18">
      <c r="B234" s="88"/>
      <c r="C234" s="88"/>
      <c r="D234" s="101"/>
      <c r="E234" s="88"/>
      <c r="F234" s="88"/>
      <c r="G234" s="101"/>
      <c r="H234" s="88"/>
      <c r="I234" s="88"/>
      <c r="J234" s="88"/>
      <c r="K234" s="88"/>
      <c r="L234" s="88"/>
      <c r="M234" s="88"/>
      <c r="N234" s="101"/>
      <c r="O234" s="88"/>
      <c r="P234" s="101"/>
      <c r="Q234" s="88"/>
      <c r="R234" s="88"/>
    </row>
    <row r="235" spans="2:18">
      <c r="B235" s="88"/>
      <c r="C235" s="88"/>
      <c r="D235" s="101"/>
      <c r="E235" s="88"/>
      <c r="F235" s="88"/>
      <c r="G235" s="101"/>
      <c r="H235" s="88"/>
      <c r="I235" s="88"/>
      <c r="J235" s="88"/>
      <c r="K235" s="88"/>
      <c r="L235" s="88"/>
      <c r="M235" s="88"/>
      <c r="N235" s="101"/>
      <c r="O235" s="88"/>
      <c r="P235" s="101"/>
      <c r="Q235" s="88"/>
      <c r="R235" s="88"/>
    </row>
    <row r="236" spans="2:18">
      <c r="B236" s="88"/>
      <c r="C236" s="88"/>
      <c r="D236" s="101"/>
      <c r="E236" s="88"/>
      <c r="F236" s="88"/>
      <c r="G236" s="101"/>
      <c r="H236" s="88"/>
      <c r="I236" s="88"/>
      <c r="J236" s="88"/>
      <c r="K236" s="88"/>
      <c r="L236" s="88"/>
      <c r="M236" s="88"/>
      <c r="N236" s="101"/>
      <c r="O236" s="88"/>
      <c r="P236" s="101"/>
      <c r="Q236" s="88"/>
      <c r="R236" s="88"/>
    </row>
    <row r="237" spans="2:18">
      <c r="B237" s="88"/>
      <c r="C237" s="88"/>
      <c r="D237" s="101"/>
      <c r="E237" s="88"/>
      <c r="F237" s="88"/>
      <c r="G237" s="101"/>
      <c r="H237" s="88"/>
      <c r="I237" s="88"/>
      <c r="J237" s="88"/>
      <c r="K237" s="88"/>
      <c r="L237" s="88"/>
      <c r="M237" s="88"/>
      <c r="N237" s="101"/>
      <c r="O237" s="88"/>
      <c r="P237" s="101"/>
      <c r="Q237" s="88"/>
      <c r="R237" s="88"/>
    </row>
    <row r="238" spans="2:18">
      <c r="B238" s="88"/>
      <c r="C238" s="88"/>
      <c r="D238" s="101"/>
      <c r="E238" s="88"/>
      <c r="F238" s="88"/>
      <c r="G238" s="101"/>
      <c r="H238" s="88"/>
      <c r="I238" s="88"/>
      <c r="J238" s="88"/>
      <c r="K238" s="88"/>
      <c r="L238" s="88"/>
      <c r="M238" s="88"/>
      <c r="N238" s="101"/>
      <c r="O238" s="88"/>
      <c r="P238" s="101"/>
      <c r="Q238" s="88"/>
      <c r="R238" s="88"/>
    </row>
    <row r="239" spans="2:18">
      <c r="B239" s="88"/>
      <c r="C239" s="88"/>
      <c r="D239" s="101"/>
      <c r="E239" s="88"/>
      <c r="F239" s="88"/>
      <c r="G239" s="101"/>
      <c r="H239" s="88"/>
      <c r="I239" s="88"/>
      <c r="J239" s="88"/>
      <c r="K239" s="88"/>
      <c r="L239" s="88"/>
      <c r="M239" s="88"/>
      <c r="N239" s="101"/>
      <c r="O239" s="88"/>
      <c r="P239" s="101"/>
      <c r="Q239" s="88"/>
      <c r="R239" s="88"/>
    </row>
    <row r="240" spans="2:18">
      <c r="B240" s="88"/>
      <c r="C240" s="88"/>
      <c r="D240" s="101"/>
      <c r="E240" s="88"/>
      <c r="F240" s="88"/>
      <c r="G240" s="101"/>
      <c r="H240" s="88"/>
      <c r="I240" s="88"/>
      <c r="J240" s="88"/>
      <c r="K240" s="88"/>
      <c r="L240" s="88"/>
      <c r="M240" s="88"/>
      <c r="N240" s="101"/>
      <c r="O240" s="88"/>
      <c r="P240" s="101"/>
      <c r="Q240" s="88"/>
      <c r="R240" s="88"/>
    </row>
    <row r="241" spans="2:18">
      <c r="B241" s="88"/>
      <c r="C241" s="88"/>
      <c r="D241" s="101"/>
      <c r="E241" s="88"/>
      <c r="F241" s="88"/>
      <c r="G241" s="101"/>
      <c r="H241" s="88"/>
      <c r="I241" s="88"/>
      <c r="J241" s="88"/>
      <c r="K241" s="88"/>
      <c r="L241" s="88"/>
      <c r="M241" s="88"/>
      <c r="N241" s="101"/>
      <c r="O241" s="88"/>
      <c r="P241" s="101"/>
      <c r="Q241" s="88"/>
      <c r="R241" s="88"/>
    </row>
    <row r="242" spans="2:18">
      <c r="B242" s="88"/>
      <c r="C242" s="88"/>
      <c r="D242" s="101"/>
      <c r="E242" s="88"/>
      <c r="F242" s="88"/>
      <c r="G242" s="101"/>
      <c r="H242" s="88"/>
      <c r="I242" s="88"/>
      <c r="J242" s="88"/>
      <c r="K242" s="88"/>
      <c r="L242" s="88"/>
      <c r="M242" s="88"/>
      <c r="N242" s="101"/>
      <c r="O242" s="88"/>
      <c r="P242" s="101"/>
      <c r="Q242" s="88"/>
      <c r="R242" s="88"/>
    </row>
    <row r="243" spans="2:18">
      <c r="B243" s="88"/>
      <c r="C243" s="88"/>
      <c r="D243" s="101"/>
      <c r="E243" s="88"/>
      <c r="F243" s="88"/>
      <c r="G243" s="101"/>
      <c r="H243" s="88"/>
      <c r="I243" s="88"/>
      <c r="J243" s="88"/>
      <c r="K243" s="88"/>
      <c r="L243" s="88"/>
      <c r="M243" s="88"/>
      <c r="N243" s="101"/>
      <c r="O243" s="88"/>
      <c r="P243" s="101"/>
      <c r="Q243" s="88"/>
      <c r="R243" s="88"/>
    </row>
    <row r="244" spans="2:18">
      <c r="B244" s="88"/>
      <c r="C244" s="88"/>
      <c r="D244" s="101"/>
      <c r="E244" s="88"/>
      <c r="F244" s="88"/>
      <c r="G244" s="101"/>
      <c r="H244" s="88"/>
      <c r="I244" s="88"/>
      <c r="J244" s="88"/>
      <c r="K244" s="88"/>
      <c r="L244" s="88"/>
      <c r="M244" s="88"/>
      <c r="N244" s="101"/>
      <c r="O244" s="88"/>
      <c r="P244" s="101"/>
      <c r="Q244" s="88"/>
      <c r="R244" s="88"/>
    </row>
    <row r="245" spans="2:18">
      <c r="B245" s="88"/>
      <c r="C245" s="88"/>
      <c r="D245" s="101"/>
      <c r="E245" s="88"/>
      <c r="F245" s="88"/>
      <c r="G245" s="101"/>
      <c r="H245" s="88"/>
      <c r="I245" s="88"/>
      <c r="J245" s="88"/>
      <c r="K245" s="88"/>
      <c r="L245" s="88"/>
      <c r="M245" s="88"/>
      <c r="N245" s="101"/>
      <c r="O245" s="88"/>
      <c r="P245" s="101"/>
      <c r="Q245" s="88"/>
      <c r="R245" s="88"/>
    </row>
    <row r="246" spans="2:18">
      <c r="B246" s="88"/>
      <c r="C246" s="88"/>
      <c r="D246" s="101"/>
      <c r="E246" s="88"/>
      <c r="F246" s="88"/>
      <c r="G246" s="101"/>
      <c r="H246" s="88"/>
      <c r="I246" s="88"/>
      <c r="J246" s="88"/>
      <c r="K246" s="88"/>
      <c r="L246" s="88"/>
      <c r="M246" s="88"/>
      <c r="N246" s="101"/>
      <c r="O246" s="88"/>
      <c r="P246" s="101"/>
      <c r="Q246" s="88"/>
      <c r="R246" s="88"/>
    </row>
    <row r="247" spans="2:18">
      <c r="B247" s="88"/>
      <c r="C247" s="88"/>
      <c r="D247" s="101"/>
      <c r="E247" s="88"/>
      <c r="F247" s="88"/>
      <c r="G247" s="101"/>
      <c r="H247" s="88"/>
      <c r="I247" s="88"/>
      <c r="J247" s="88"/>
      <c r="K247" s="88"/>
      <c r="L247" s="88"/>
      <c r="M247" s="88"/>
      <c r="N247" s="101"/>
      <c r="O247" s="88"/>
      <c r="P247" s="101"/>
      <c r="Q247" s="88"/>
      <c r="R247" s="88"/>
    </row>
    <row r="248" spans="2:18">
      <c r="B248" s="88"/>
      <c r="C248" s="88"/>
      <c r="D248" s="101"/>
      <c r="E248" s="88"/>
      <c r="F248" s="88"/>
      <c r="G248" s="101"/>
      <c r="H248" s="88"/>
      <c r="I248" s="88"/>
      <c r="J248" s="88"/>
      <c r="K248" s="88"/>
      <c r="L248" s="88"/>
      <c r="M248" s="88"/>
      <c r="N248" s="101"/>
      <c r="O248" s="88"/>
      <c r="P248" s="101"/>
      <c r="Q248" s="88"/>
      <c r="R248" s="88"/>
    </row>
    <row r="249" spans="2:18">
      <c r="B249" s="88"/>
      <c r="C249" s="88"/>
      <c r="D249" s="101"/>
      <c r="E249" s="88"/>
      <c r="F249" s="88"/>
      <c r="G249" s="101"/>
      <c r="H249" s="88"/>
      <c r="I249" s="88"/>
      <c r="J249" s="88"/>
      <c r="K249" s="88"/>
      <c r="L249" s="88"/>
      <c r="M249" s="88"/>
      <c r="N249" s="101"/>
      <c r="O249" s="88"/>
      <c r="P249" s="101"/>
      <c r="Q249" s="88"/>
      <c r="R249" s="88"/>
    </row>
    <row r="250" spans="2:18">
      <c r="B250" s="88"/>
      <c r="C250" s="88"/>
      <c r="D250" s="101"/>
      <c r="E250" s="88"/>
      <c r="F250" s="88"/>
      <c r="G250" s="101"/>
      <c r="H250" s="88"/>
      <c r="I250" s="88"/>
      <c r="J250" s="88"/>
      <c r="K250" s="88"/>
      <c r="L250" s="88"/>
      <c r="M250" s="88"/>
      <c r="N250" s="101"/>
      <c r="O250" s="88"/>
      <c r="P250" s="101"/>
      <c r="Q250" s="88"/>
      <c r="R250" s="88"/>
    </row>
    <row r="251" spans="2:18">
      <c r="B251" s="88"/>
      <c r="C251" s="88"/>
      <c r="D251" s="101"/>
      <c r="E251" s="88"/>
      <c r="F251" s="88"/>
      <c r="G251" s="101"/>
      <c r="H251" s="88"/>
      <c r="I251" s="88"/>
      <c r="J251" s="88"/>
      <c r="K251" s="88"/>
      <c r="L251" s="88"/>
      <c r="M251" s="88"/>
      <c r="N251" s="101"/>
      <c r="O251" s="88"/>
      <c r="P251" s="101"/>
      <c r="Q251" s="88"/>
      <c r="R251" s="88"/>
    </row>
    <row r="252" spans="2:18">
      <c r="B252" s="88"/>
      <c r="C252" s="88"/>
      <c r="D252" s="101"/>
      <c r="E252" s="88"/>
      <c r="F252" s="88"/>
      <c r="G252" s="101"/>
      <c r="H252" s="88"/>
      <c r="I252" s="88"/>
      <c r="J252" s="88"/>
      <c r="K252" s="88"/>
      <c r="L252" s="88"/>
      <c r="M252" s="88"/>
      <c r="N252" s="101"/>
      <c r="O252" s="88"/>
      <c r="P252" s="101"/>
      <c r="Q252" s="88"/>
      <c r="R252" s="88"/>
    </row>
    <row r="253" spans="2:18">
      <c r="B253" s="88"/>
      <c r="C253" s="88"/>
      <c r="D253" s="101"/>
      <c r="E253" s="88"/>
      <c r="F253" s="88"/>
      <c r="G253" s="101"/>
      <c r="H253" s="88"/>
      <c r="I253" s="88"/>
      <c r="J253" s="88"/>
      <c r="K253" s="88"/>
      <c r="L253" s="88"/>
      <c r="M253" s="88"/>
      <c r="N253" s="101"/>
      <c r="O253" s="88"/>
      <c r="P253" s="101"/>
      <c r="Q253" s="88"/>
      <c r="R253" s="88"/>
    </row>
    <row r="254" spans="2:18">
      <c r="B254" s="88"/>
      <c r="C254" s="88"/>
      <c r="D254" s="101"/>
      <c r="E254" s="88"/>
      <c r="F254" s="88"/>
      <c r="G254" s="101"/>
      <c r="H254" s="88"/>
      <c r="I254" s="88"/>
      <c r="J254" s="88"/>
      <c r="K254" s="88"/>
      <c r="L254" s="88"/>
      <c r="M254" s="88"/>
      <c r="N254" s="101"/>
      <c r="O254" s="88"/>
      <c r="P254" s="101"/>
      <c r="Q254" s="88"/>
      <c r="R254" s="88"/>
    </row>
    <row r="255" spans="2:18">
      <c r="B255" s="88"/>
      <c r="C255" s="88"/>
      <c r="D255" s="101"/>
      <c r="E255" s="88"/>
      <c r="F255" s="88"/>
      <c r="G255" s="101"/>
      <c r="H255" s="88"/>
      <c r="I255" s="88"/>
      <c r="J255" s="88"/>
      <c r="K255" s="88"/>
      <c r="L255" s="88"/>
      <c r="M255" s="88"/>
      <c r="N255" s="101"/>
      <c r="O255" s="88"/>
      <c r="P255" s="101"/>
      <c r="Q255" s="88"/>
      <c r="R255" s="88"/>
    </row>
    <row r="256" spans="2:18">
      <c r="B256" s="88"/>
      <c r="C256" s="88"/>
      <c r="D256" s="101"/>
      <c r="E256" s="88"/>
      <c r="F256" s="88"/>
      <c r="G256" s="101"/>
      <c r="H256" s="88"/>
      <c r="I256" s="88"/>
      <c r="J256" s="88"/>
      <c r="K256" s="88"/>
      <c r="L256" s="88"/>
      <c r="M256" s="88"/>
      <c r="N256" s="101"/>
      <c r="O256" s="88"/>
      <c r="P256" s="101"/>
      <c r="Q256" s="88"/>
      <c r="R256" s="88"/>
    </row>
    <row r="257" spans="2:18">
      <c r="B257" s="88"/>
      <c r="C257" s="88"/>
      <c r="D257" s="101"/>
      <c r="E257" s="88"/>
      <c r="F257" s="88"/>
      <c r="G257" s="101"/>
      <c r="H257" s="88"/>
      <c r="I257" s="88"/>
      <c r="J257" s="88"/>
      <c r="K257" s="88"/>
      <c r="L257" s="88"/>
      <c r="M257" s="88"/>
      <c r="N257" s="101"/>
      <c r="O257" s="88"/>
      <c r="P257" s="101"/>
      <c r="Q257" s="88"/>
      <c r="R257" s="88"/>
    </row>
    <row r="258" spans="2:18">
      <c r="B258" s="88"/>
      <c r="C258" s="88"/>
      <c r="D258" s="101"/>
      <c r="E258" s="88"/>
      <c r="F258" s="88"/>
      <c r="G258" s="101"/>
      <c r="H258" s="88"/>
      <c r="I258" s="88"/>
      <c r="J258" s="88"/>
      <c r="K258" s="88"/>
      <c r="L258" s="88"/>
      <c r="M258" s="88"/>
      <c r="N258" s="101"/>
      <c r="O258" s="88"/>
      <c r="P258" s="101"/>
      <c r="Q258" s="88"/>
      <c r="R258" s="88"/>
    </row>
    <row r="259" spans="2:18">
      <c r="B259" s="88"/>
      <c r="C259" s="88"/>
      <c r="D259" s="101"/>
      <c r="E259" s="88"/>
      <c r="F259" s="88"/>
      <c r="G259" s="101"/>
      <c r="H259" s="88"/>
      <c r="I259" s="88"/>
      <c r="J259" s="88"/>
      <c r="K259" s="88"/>
      <c r="L259" s="88"/>
      <c r="M259" s="88"/>
      <c r="N259" s="101"/>
      <c r="O259" s="88"/>
      <c r="P259" s="101"/>
      <c r="Q259" s="88"/>
      <c r="R259" s="88"/>
    </row>
    <row r="260" spans="2:18">
      <c r="B260" s="88"/>
      <c r="C260" s="88"/>
      <c r="D260" s="101"/>
      <c r="E260" s="88"/>
      <c r="F260" s="88"/>
      <c r="G260" s="101"/>
      <c r="H260" s="88"/>
      <c r="I260" s="88"/>
      <c r="J260" s="88"/>
      <c r="K260" s="88"/>
      <c r="L260" s="88"/>
      <c r="M260" s="88"/>
      <c r="N260" s="101"/>
      <c r="O260" s="88"/>
      <c r="P260" s="101"/>
      <c r="Q260" s="88"/>
      <c r="R260" s="88"/>
    </row>
    <row r="261" spans="2:18">
      <c r="B261" s="88"/>
      <c r="C261" s="88"/>
      <c r="D261" s="101"/>
      <c r="E261" s="88"/>
      <c r="F261" s="88"/>
      <c r="G261" s="101"/>
      <c r="H261" s="88"/>
      <c r="I261" s="88"/>
      <c r="J261" s="88"/>
      <c r="K261" s="88"/>
      <c r="L261" s="88"/>
      <c r="M261" s="88"/>
      <c r="N261" s="101"/>
      <c r="O261" s="88"/>
      <c r="P261" s="101"/>
      <c r="Q261" s="88"/>
      <c r="R261" s="88"/>
    </row>
    <row r="262" spans="2:18">
      <c r="B262" s="88"/>
      <c r="C262" s="88"/>
      <c r="D262" s="101"/>
      <c r="E262" s="88"/>
      <c r="F262" s="88"/>
      <c r="G262" s="101"/>
      <c r="H262" s="88"/>
      <c r="I262" s="88"/>
      <c r="J262" s="88"/>
      <c r="K262" s="88"/>
      <c r="L262" s="88"/>
      <c r="M262" s="88"/>
      <c r="N262" s="101"/>
      <c r="O262" s="88"/>
      <c r="P262" s="101"/>
      <c r="Q262" s="88"/>
      <c r="R262" s="88"/>
    </row>
    <row r="263" spans="2:18">
      <c r="B263" s="88"/>
      <c r="C263" s="88"/>
      <c r="D263" s="101"/>
      <c r="E263" s="88"/>
      <c r="F263" s="88"/>
      <c r="G263" s="101"/>
      <c r="H263" s="88"/>
      <c r="I263" s="88"/>
      <c r="J263" s="88"/>
      <c r="K263" s="88"/>
      <c r="L263" s="88"/>
      <c r="M263" s="88"/>
      <c r="N263" s="101"/>
      <c r="O263" s="88"/>
      <c r="P263" s="101"/>
      <c r="Q263" s="88"/>
      <c r="R263" s="88"/>
    </row>
    <row r="264" spans="2:18">
      <c r="B264" s="88"/>
      <c r="C264" s="88"/>
      <c r="D264" s="101"/>
      <c r="E264" s="88"/>
      <c r="F264" s="88"/>
      <c r="G264" s="101"/>
      <c r="H264" s="88"/>
      <c r="I264" s="88"/>
      <c r="J264" s="88"/>
      <c r="K264" s="88"/>
      <c r="L264" s="88"/>
      <c r="M264" s="88"/>
      <c r="N264" s="101"/>
      <c r="O264" s="88"/>
      <c r="P264" s="101"/>
      <c r="Q264" s="88"/>
      <c r="R264" s="88"/>
    </row>
    <row r="265" spans="2:18">
      <c r="B265" s="88"/>
      <c r="C265" s="88"/>
      <c r="D265" s="101"/>
      <c r="E265" s="88"/>
      <c r="F265" s="88"/>
      <c r="G265" s="101"/>
      <c r="H265" s="88"/>
      <c r="I265" s="88"/>
      <c r="J265" s="88"/>
      <c r="K265" s="88"/>
      <c r="L265" s="88"/>
      <c r="M265" s="88"/>
      <c r="N265" s="101"/>
      <c r="O265" s="88"/>
      <c r="P265" s="101"/>
      <c r="Q265" s="88"/>
      <c r="R265" s="88"/>
    </row>
    <row r="266" spans="2:18">
      <c r="B266" s="88"/>
      <c r="C266" s="88"/>
      <c r="D266" s="101"/>
      <c r="E266" s="88"/>
      <c r="F266" s="88"/>
      <c r="G266" s="101"/>
      <c r="H266" s="88"/>
      <c r="I266" s="88"/>
      <c r="J266" s="88"/>
      <c r="K266" s="88"/>
      <c r="L266" s="88"/>
      <c r="M266" s="88"/>
      <c r="N266" s="101"/>
      <c r="O266" s="88"/>
      <c r="P266" s="101"/>
      <c r="Q266" s="88"/>
      <c r="R266" s="88"/>
    </row>
    <row r="267" spans="2:18">
      <c r="B267" s="88"/>
      <c r="C267" s="88"/>
      <c r="D267" s="101"/>
      <c r="E267" s="88"/>
      <c r="F267" s="88"/>
      <c r="G267" s="101"/>
      <c r="H267" s="88"/>
      <c r="I267" s="88"/>
      <c r="J267" s="88"/>
      <c r="K267" s="88"/>
      <c r="L267" s="88"/>
      <c r="M267" s="88"/>
      <c r="N267" s="101"/>
      <c r="O267" s="88"/>
      <c r="P267" s="101"/>
      <c r="Q267" s="88"/>
      <c r="R267" s="88"/>
    </row>
    <row r="268" spans="2:18">
      <c r="B268" s="88"/>
      <c r="C268" s="88"/>
      <c r="D268" s="101"/>
      <c r="E268" s="88"/>
      <c r="F268" s="88"/>
      <c r="G268" s="101"/>
      <c r="H268" s="88"/>
      <c r="I268" s="88"/>
      <c r="J268" s="88"/>
      <c r="K268" s="88"/>
      <c r="L268" s="88"/>
      <c r="M268" s="88"/>
      <c r="N268" s="101"/>
      <c r="O268" s="88"/>
      <c r="P268" s="101"/>
      <c r="Q268" s="88"/>
      <c r="R268" s="88"/>
    </row>
    <row r="269" spans="2:18">
      <c r="B269" s="88"/>
      <c r="C269" s="88"/>
      <c r="D269" s="101"/>
      <c r="E269" s="88"/>
      <c r="F269" s="88"/>
      <c r="G269" s="101"/>
      <c r="H269" s="88"/>
      <c r="I269" s="88"/>
      <c r="J269" s="88"/>
      <c r="K269" s="88"/>
      <c r="L269" s="88"/>
      <c r="M269" s="88"/>
      <c r="N269" s="101"/>
      <c r="O269" s="88"/>
      <c r="P269" s="101"/>
      <c r="Q269" s="88"/>
      <c r="R269" s="88"/>
    </row>
    <row r="270" spans="2:18">
      <c r="B270" s="88"/>
      <c r="C270" s="88"/>
      <c r="D270" s="101"/>
      <c r="E270" s="88"/>
      <c r="F270" s="88"/>
      <c r="G270" s="101"/>
      <c r="H270" s="88"/>
      <c r="I270" s="88"/>
      <c r="J270" s="88"/>
      <c r="K270" s="88"/>
      <c r="L270" s="88"/>
      <c r="M270" s="88"/>
      <c r="N270" s="101"/>
      <c r="O270" s="88"/>
      <c r="P270" s="101"/>
      <c r="Q270" s="88"/>
      <c r="R270" s="88"/>
    </row>
    <row r="271" spans="2:18">
      <c r="B271" s="88"/>
      <c r="C271" s="88"/>
      <c r="D271" s="101"/>
      <c r="E271" s="88"/>
      <c r="F271" s="88"/>
      <c r="G271" s="101"/>
      <c r="H271" s="88"/>
      <c r="I271" s="88"/>
      <c r="J271" s="88"/>
      <c r="K271" s="88"/>
      <c r="L271" s="88"/>
      <c r="M271" s="88"/>
      <c r="N271" s="101"/>
      <c r="O271" s="88"/>
      <c r="P271" s="101"/>
      <c r="Q271" s="88"/>
      <c r="R271" s="88"/>
    </row>
    <row r="272" spans="2:18">
      <c r="B272" s="88"/>
      <c r="C272" s="88"/>
      <c r="D272" s="101"/>
      <c r="E272" s="88"/>
      <c r="F272" s="88"/>
      <c r="G272" s="101"/>
      <c r="H272" s="88"/>
      <c r="I272" s="88"/>
      <c r="J272" s="88"/>
      <c r="K272" s="88"/>
      <c r="L272" s="88"/>
      <c r="M272" s="88"/>
      <c r="N272" s="101"/>
      <c r="O272" s="88"/>
      <c r="P272" s="101"/>
      <c r="Q272" s="88"/>
      <c r="R272" s="88"/>
    </row>
    <row r="273" spans="2:18">
      <c r="B273" s="88"/>
      <c r="C273" s="88"/>
      <c r="D273" s="101"/>
      <c r="E273" s="88"/>
      <c r="F273" s="88"/>
      <c r="G273" s="101"/>
      <c r="H273" s="88"/>
      <c r="I273" s="88"/>
      <c r="J273" s="88"/>
      <c r="K273" s="88"/>
      <c r="L273" s="88"/>
      <c r="M273" s="88"/>
      <c r="N273" s="101"/>
      <c r="O273" s="88"/>
      <c r="P273" s="101"/>
      <c r="Q273" s="88"/>
      <c r="R273" s="88"/>
    </row>
    <row r="274" spans="2:18">
      <c r="B274" s="88"/>
      <c r="C274" s="88"/>
      <c r="D274" s="101"/>
      <c r="E274" s="88"/>
      <c r="F274" s="88"/>
      <c r="G274" s="101"/>
      <c r="H274" s="88"/>
      <c r="I274" s="88"/>
      <c r="J274" s="88"/>
      <c r="K274" s="88"/>
      <c r="L274" s="88"/>
      <c r="M274" s="88"/>
      <c r="N274" s="101"/>
      <c r="O274" s="88"/>
      <c r="P274" s="101"/>
      <c r="Q274" s="88"/>
      <c r="R274" s="88"/>
    </row>
    <row r="275" spans="2:18">
      <c r="B275" s="88"/>
      <c r="C275" s="88"/>
      <c r="D275" s="101"/>
      <c r="E275" s="88"/>
      <c r="F275" s="88"/>
      <c r="G275" s="101"/>
      <c r="H275" s="88"/>
      <c r="I275" s="88"/>
      <c r="J275" s="88"/>
      <c r="K275" s="88"/>
      <c r="L275" s="88"/>
      <c r="M275" s="88"/>
      <c r="N275" s="101"/>
      <c r="O275" s="88"/>
      <c r="P275" s="101"/>
      <c r="Q275" s="88"/>
      <c r="R275" s="88"/>
    </row>
    <row r="276" spans="2:18">
      <c r="B276" s="88"/>
      <c r="C276" s="88"/>
      <c r="D276" s="101"/>
      <c r="E276" s="88"/>
      <c r="F276" s="88"/>
      <c r="G276" s="101"/>
      <c r="H276" s="88"/>
      <c r="I276" s="88"/>
      <c r="J276" s="88"/>
      <c r="K276" s="88"/>
      <c r="L276" s="88"/>
      <c r="M276" s="88"/>
      <c r="N276" s="101"/>
      <c r="O276" s="88"/>
      <c r="P276" s="101"/>
      <c r="Q276" s="88"/>
      <c r="R276" s="88"/>
    </row>
    <row r="277" spans="2:18">
      <c r="B277" s="88"/>
      <c r="C277" s="88"/>
      <c r="D277" s="101"/>
      <c r="E277" s="88"/>
      <c r="F277" s="88"/>
      <c r="G277" s="101"/>
      <c r="H277" s="88"/>
      <c r="I277" s="88"/>
      <c r="J277" s="88"/>
      <c r="K277" s="88"/>
      <c r="L277" s="88"/>
      <c r="M277" s="88"/>
      <c r="N277" s="101"/>
      <c r="O277" s="88"/>
      <c r="P277" s="101"/>
      <c r="Q277" s="88"/>
      <c r="R277" s="88"/>
    </row>
    <row r="278" spans="2:18">
      <c r="B278" s="88"/>
      <c r="C278" s="88"/>
      <c r="D278" s="101"/>
      <c r="E278" s="88"/>
      <c r="F278" s="88"/>
      <c r="G278" s="101"/>
      <c r="H278" s="88"/>
      <c r="I278" s="88"/>
      <c r="J278" s="88"/>
      <c r="K278" s="88"/>
      <c r="L278" s="88"/>
      <c r="M278" s="88"/>
      <c r="N278" s="101"/>
      <c r="O278" s="88"/>
      <c r="P278" s="101"/>
      <c r="Q278" s="88"/>
      <c r="R278" s="88"/>
    </row>
    <row r="279" spans="2:18">
      <c r="B279" s="88"/>
      <c r="C279" s="88"/>
      <c r="D279" s="101"/>
      <c r="E279" s="88"/>
      <c r="F279" s="88"/>
      <c r="G279" s="101"/>
      <c r="H279" s="88"/>
      <c r="I279" s="88"/>
      <c r="J279" s="88"/>
      <c r="K279" s="88"/>
      <c r="L279" s="88"/>
      <c r="M279" s="88"/>
      <c r="N279" s="101"/>
      <c r="O279" s="88"/>
      <c r="P279" s="101"/>
      <c r="Q279" s="88"/>
      <c r="R279" s="88"/>
    </row>
    <row r="280" spans="2:18">
      <c r="B280" s="88"/>
      <c r="C280" s="88"/>
      <c r="D280" s="101"/>
      <c r="E280" s="88"/>
      <c r="F280" s="88"/>
      <c r="G280" s="101"/>
      <c r="H280" s="88"/>
      <c r="I280" s="88"/>
      <c r="J280" s="88"/>
      <c r="K280" s="88"/>
      <c r="L280" s="88"/>
      <c r="M280" s="88"/>
      <c r="N280" s="101"/>
      <c r="O280" s="88"/>
      <c r="P280" s="101"/>
      <c r="Q280" s="88"/>
      <c r="R280" s="88"/>
    </row>
    <row r="281" spans="2:18">
      <c r="B281" s="88"/>
      <c r="C281" s="88"/>
      <c r="D281" s="101"/>
      <c r="E281" s="88"/>
      <c r="F281" s="88"/>
      <c r="G281" s="101"/>
      <c r="H281" s="88"/>
      <c r="I281" s="88"/>
      <c r="J281" s="88"/>
      <c r="K281" s="88"/>
      <c r="L281" s="88"/>
      <c r="M281" s="88"/>
      <c r="N281" s="101"/>
      <c r="O281" s="88"/>
      <c r="P281" s="101"/>
      <c r="Q281" s="88"/>
      <c r="R281" s="88"/>
    </row>
  </sheetData>
  <pageMargins left="0.2" right="0.2" top="0.38" bottom="0.3" header="0.32" footer="0.23"/>
  <pageSetup scale="52" orientation="landscape" r:id="rId1"/>
  <headerFooter alignWithMargins="0">
    <oddFooter>&amp;R&amp;P</oddFooter>
  </headerFooter>
  <rowBreaks count="1" manualBreakCount="1">
    <brk id="68" max="65535"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188"/>
  <sheetViews>
    <sheetView topLeftCell="A6" workbookViewId="0">
      <pane xSplit="1" ySplit="2" topLeftCell="B8" activePane="bottomRight" state="frozen"/>
      <selection activeCell="A6" sqref="A6"/>
      <selection pane="topRight" activeCell="B6" sqref="B6"/>
      <selection pane="bottomLeft" activeCell="A8" sqref="A8"/>
      <selection pane="bottomRight" activeCell="B9" sqref="B9"/>
    </sheetView>
  </sheetViews>
  <sheetFormatPr defaultRowHeight="15.75"/>
  <cols>
    <col min="1" max="1" width="32.75" style="555" customWidth="1"/>
    <col min="2" max="2" width="13.625" style="12" customWidth="1"/>
    <col min="3" max="3" width="13.75" style="12" customWidth="1"/>
    <col min="4" max="4" width="13.75" style="13" customWidth="1"/>
    <col min="5" max="7" width="13.75" style="12" customWidth="1"/>
    <col min="8" max="8" width="13.75" style="13" customWidth="1"/>
    <col min="9" max="12" width="13.75" style="12" customWidth="1"/>
    <col min="13" max="13" width="13.625" style="12" customWidth="1"/>
    <col min="14" max="15" width="13.75" style="12" customWidth="1"/>
    <col min="16" max="16" width="13.75" style="13" customWidth="1"/>
    <col min="17" max="18" width="13.75" style="12" customWidth="1"/>
    <col min="19" max="19" width="14.375" style="12" customWidth="1"/>
    <col min="20" max="24" width="14.375" style="555" customWidth="1"/>
    <col min="25" max="256" width="11" style="555" customWidth="1"/>
    <col min="257" max="16384" width="9" style="555"/>
  </cols>
  <sheetData>
    <row r="1" spans="1:42">
      <c r="A1" s="554" t="s">
        <v>163</v>
      </c>
      <c r="B1" s="37"/>
      <c r="C1" s="37"/>
      <c r="D1" s="38"/>
      <c r="E1" s="37"/>
      <c r="F1" s="37"/>
      <c r="G1" s="37"/>
      <c r="H1" s="38"/>
      <c r="I1" s="37"/>
      <c r="J1" s="37"/>
      <c r="K1" s="37"/>
      <c r="L1" s="37"/>
      <c r="M1" s="37"/>
      <c r="N1" s="37"/>
      <c r="O1" s="37"/>
      <c r="P1" s="38"/>
      <c r="Q1" s="37"/>
    </row>
    <row r="2" spans="1:42">
      <c r="A2" s="554" t="s">
        <v>360</v>
      </c>
      <c r="B2" s="37"/>
      <c r="C2" s="37"/>
      <c r="D2" s="38"/>
      <c r="E2" s="37"/>
      <c r="F2" s="37"/>
      <c r="G2" s="37"/>
      <c r="H2" s="38"/>
      <c r="I2" s="37"/>
      <c r="J2" s="37"/>
      <c r="K2" s="37"/>
      <c r="L2" s="37"/>
      <c r="M2" s="37"/>
      <c r="N2" s="37"/>
      <c r="O2" s="37"/>
      <c r="P2" s="38"/>
      <c r="Q2" s="37"/>
    </row>
    <row r="3" spans="1:42">
      <c r="A3" s="554" t="s">
        <v>403</v>
      </c>
      <c r="B3" s="37"/>
      <c r="C3" s="37"/>
      <c r="D3" s="38"/>
      <c r="E3" s="37"/>
      <c r="F3" s="37"/>
      <c r="G3" s="37"/>
      <c r="H3" s="38"/>
      <c r="I3" s="37"/>
      <c r="J3" s="37"/>
      <c r="K3" s="37"/>
      <c r="L3" s="37"/>
      <c r="M3" s="37"/>
      <c r="N3" s="37"/>
      <c r="O3" s="37"/>
      <c r="P3" s="38"/>
      <c r="Q3" s="37"/>
    </row>
    <row r="4" spans="1:42">
      <c r="A4" s="554" t="s">
        <v>404</v>
      </c>
      <c r="B4" s="37"/>
      <c r="C4" s="37"/>
      <c r="D4" s="38"/>
      <c r="E4" s="37"/>
      <c r="F4" s="37"/>
      <c r="G4" s="37"/>
      <c r="H4" s="38"/>
      <c r="I4" s="37"/>
      <c r="J4" s="37"/>
      <c r="K4" s="37"/>
      <c r="L4" s="37"/>
      <c r="M4" s="37"/>
      <c r="N4" s="37"/>
      <c r="O4" s="37"/>
      <c r="P4" s="38"/>
      <c r="Q4" s="37"/>
    </row>
    <row r="5" spans="1:42">
      <c r="A5" s="554" t="s">
        <v>179</v>
      </c>
      <c r="B5" s="37"/>
      <c r="C5" s="37"/>
      <c r="D5" s="38"/>
      <c r="E5" s="37"/>
      <c r="F5" s="37"/>
      <c r="G5" s="37"/>
      <c r="H5" s="38"/>
      <c r="I5" s="37"/>
      <c r="J5" s="37"/>
      <c r="K5" s="37"/>
      <c r="L5" s="37"/>
      <c r="M5" s="37"/>
      <c r="N5" s="37"/>
      <c r="O5" s="37"/>
      <c r="P5" s="38"/>
      <c r="Q5" s="37"/>
    </row>
    <row r="6" spans="1:42">
      <c r="A6" s="556"/>
      <c r="B6" s="60"/>
      <c r="C6" s="60"/>
      <c r="D6" s="61"/>
      <c r="E6" s="60"/>
      <c r="F6" s="60"/>
      <c r="G6" s="60"/>
      <c r="H6" s="61"/>
      <c r="I6" s="60"/>
      <c r="J6" s="60"/>
      <c r="K6" s="60"/>
      <c r="L6" s="60"/>
      <c r="M6" s="60"/>
      <c r="N6" s="60"/>
      <c r="O6" s="60"/>
      <c r="P6" s="61"/>
      <c r="Q6" s="60"/>
      <c r="R6" s="60"/>
      <c r="S6" s="60"/>
      <c r="T6" s="556"/>
      <c r="U6" s="556"/>
      <c r="V6" s="556"/>
      <c r="W6" s="556"/>
      <c r="X6" s="556"/>
      <c r="Y6" s="556"/>
      <c r="Z6" s="556"/>
      <c r="AA6" s="556"/>
      <c r="AB6" s="556"/>
      <c r="AC6" s="556"/>
      <c r="AD6" s="556"/>
      <c r="AE6" s="556"/>
      <c r="AF6" s="556"/>
      <c r="AG6" s="556"/>
      <c r="AH6" s="556"/>
      <c r="AI6" s="556"/>
      <c r="AJ6" s="556"/>
      <c r="AK6" s="556"/>
      <c r="AL6" s="556"/>
      <c r="AM6" s="556"/>
      <c r="AN6" s="556"/>
      <c r="AO6" s="556"/>
      <c r="AP6" s="556"/>
    </row>
    <row r="7" spans="1:42" s="558" customFormat="1" ht="16.5" thickBot="1">
      <c r="A7" s="557"/>
      <c r="B7" s="150" t="s">
        <v>98</v>
      </c>
      <c r="C7" s="151" t="s">
        <v>405</v>
      </c>
      <c r="D7" s="151" t="s">
        <v>101</v>
      </c>
      <c r="E7" s="150" t="s">
        <v>102</v>
      </c>
      <c r="F7" s="151" t="s">
        <v>107</v>
      </c>
      <c r="G7" s="151" t="s">
        <v>103</v>
      </c>
      <c r="H7" s="151" t="s">
        <v>104</v>
      </c>
      <c r="I7" s="150" t="s">
        <v>105</v>
      </c>
      <c r="J7" s="150" t="s">
        <v>361</v>
      </c>
      <c r="K7" s="297" t="s">
        <v>362</v>
      </c>
      <c r="L7" s="1117" t="s">
        <v>250</v>
      </c>
      <c r="M7" s="150" t="s">
        <v>108</v>
      </c>
      <c r="N7" s="297" t="s">
        <v>362</v>
      </c>
      <c r="O7" s="150" t="s">
        <v>109</v>
      </c>
      <c r="P7" s="151" t="s">
        <v>110</v>
      </c>
      <c r="Q7" s="297" t="s">
        <v>362</v>
      </c>
      <c r="R7" s="150" t="s">
        <v>111</v>
      </c>
      <c r="S7" s="68"/>
      <c r="T7" s="557"/>
      <c r="U7" s="557"/>
      <c r="V7" s="557"/>
      <c r="W7" s="557"/>
      <c r="X7" s="557"/>
      <c r="Y7" s="557"/>
      <c r="Z7" s="557"/>
      <c r="AA7" s="557"/>
      <c r="AB7" s="557"/>
      <c r="AC7" s="557"/>
      <c r="AD7" s="557"/>
      <c r="AE7" s="557"/>
      <c r="AF7" s="557"/>
      <c r="AG7" s="557"/>
      <c r="AH7" s="557"/>
      <c r="AI7" s="557"/>
      <c r="AJ7" s="557"/>
      <c r="AK7" s="557"/>
      <c r="AL7" s="557"/>
      <c r="AM7" s="557"/>
      <c r="AN7" s="557"/>
      <c r="AO7" s="557"/>
      <c r="AP7" s="557"/>
    </row>
    <row r="8" spans="1:42">
      <c r="A8" s="558" t="s">
        <v>243</v>
      </c>
      <c r="B8" s="556"/>
      <c r="C8" s="556"/>
      <c r="D8" s="556"/>
      <c r="E8" s="556"/>
      <c r="F8" s="556"/>
      <c r="G8" s="556"/>
      <c r="H8" s="556"/>
      <c r="I8" s="556"/>
      <c r="J8" s="556"/>
      <c r="K8" s="559"/>
      <c r="L8" s="1121"/>
      <c r="M8" s="556"/>
      <c r="N8" s="559"/>
      <c r="O8" s="556"/>
      <c r="P8" s="556"/>
      <c r="Q8" s="559"/>
      <c r="R8" s="62"/>
      <c r="S8" s="62"/>
      <c r="T8" s="560"/>
      <c r="U8" s="560"/>
      <c r="V8" s="560"/>
      <c r="W8" s="556"/>
      <c r="X8" s="556"/>
      <c r="Y8" s="556"/>
      <c r="Z8" s="556"/>
      <c r="AA8" s="556"/>
      <c r="AB8" s="556"/>
      <c r="AC8" s="556"/>
      <c r="AD8" s="556"/>
      <c r="AE8" s="556"/>
      <c r="AF8" s="556"/>
      <c r="AG8" s="556"/>
      <c r="AH8" s="556"/>
      <c r="AI8" s="556"/>
      <c r="AJ8" s="556"/>
      <c r="AK8" s="556"/>
      <c r="AL8" s="556"/>
      <c r="AM8" s="556"/>
      <c r="AN8" s="556"/>
      <c r="AO8" s="556"/>
      <c r="AP8" s="556"/>
    </row>
    <row r="9" spans="1:42">
      <c r="A9" s="556" t="s">
        <v>264</v>
      </c>
      <c r="B9" s="60"/>
      <c r="C9" s="61"/>
      <c r="D9" s="61"/>
      <c r="E9" s="556"/>
      <c r="F9" s="61"/>
      <c r="G9" s="61"/>
      <c r="H9" s="61"/>
      <c r="I9" s="60"/>
      <c r="J9" s="60"/>
      <c r="K9" s="84"/>
      <c r="L9" s="86"/>
      <c r="M9" s="60"/>
      <c r="N9" s="84"/>
      <c r="O9" s="60"/>
      <c r="P9" s="61"/>
      <c r="Q9" s="84"/>
      <c r="R9" s="60"/>
      <c r="S9" s="60"/>
      <c r="T9" s="556"/>
      <c r="U9" s="556"/>
      <c r="V9" s="556"/>
      <c r="W9" s="556"/>
      <c r="X9" s="556"/>
      <c r="Y9" s="556"/>
      <c r="Z9" s="556"/>
      <c r="AA9" s="556"/>
      <c r="AB9" s="556"/>
      <c r="AC9" s="556"/>
      <c r="AD9" s="556"/>
      <c r="AE9" s="556"/>
      <c r="AF9" s="556"/>
      <c r="AG9" s="556"/>
      <c r="AH9" s="556"/>
      <c r="AI9" s="556"/>
      <c r="AJ9" s="556"/>
      <c r="AK9" s="556"/>
      <c r="AL9" s="556"/>
      <c r="AM9" s="556"/>
      <c r="AN9" s="556"/>
      <c r="AO9" s="556"/>
      <c r="AP9" s="556"/>
    </row>
    <row r="10" spans="1:42">
      <c r="A10" s="556" t="s">
        <v>265</v>
      </c>
      <c r="B10" s="88">
        <f>+bichvar!B10</f>
        <v>384.1</v>
      </c>
      <c r="C10" s="88">
        <f>+bncvar!B10</f>
        <v>247065</v>
      </c>
      <c r="D10" s="88">
        <f>+bphvar!B10</f>
        <v>46037.1</v>
      </c>
      <c r="E10" s="88">
        <f>+buhvar!B10</f>
        <v>250622</v>
      </c>
      <c r="F10" s="88">
        <f>+capitalbkvar!B10</f>
        <v>63929</v>
      </c>
      <c r="G10" s="88">
        <f>+promobkvar!B10</f>
        <v>85272</v>
      </c>
      <c r="H10" s="88">
        <f>+socabkvar!B10</f>
        <v>91122.4</v>
      </c>
      <c r="I10" s="88">
        <f>+sogebkvar!B10</f>
        <v>265332</v>
      </c>
      <c r="J10" s="88">
        <f>+unibkvar!B10</f>
        <v>203597.6</v>
      </c>
      <c r="K10" s="90">
        <f>SUM(B10:J10)</f>
        <v>1253361.2000000002</v>
      </c>
      <c r="L10" s="303">
        <f>+'bhdvar  '!B10</f>
        <v>97</v>
      </c>
      <c r="M10" s="88">
        <f>+sgbelvar!B10</f>
        <v>12208.8</v>
      </c>
      <c r="N10" s="117">
        <f>+L10+M10</f>
        <v>12305.8</v>
      </c>
      <c r="O10" s="88">
        <f>+cbnavar!B10</f>
        <v>44938</v>
      </c>
      <c r="P10" s="88">
        <f>+scotiavar!B10</f>
        <v>36100</v>
      </c>
      <c r="Q10" s="117">
        <f>SUM(O10:P10)</f>
        <v>81038</v>
      </c>
      <c r="R10" s="91">
        <f>+K10+N10+Q10</f>
        <v>1346705.0000000002</v>
      </c>
      <c r="S10" s="60"/>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c r="AP10" s="556"/>
    </row>
    <row r="11" spans="1:42">
      <c r="A11" s="556" t="s">
        <v>266</v>
      </c>
      <c r="B11" s="88">
        <f>+bichvar!B11</f>
        <v>4060.5</v>
      </c>
      <c r="C11" s="88">
        <f>+bncvar!B11</f>
        <v>371963</v>
      </c>
      <c r="D11" s="88">
        <f>+bphvar!B11</f>
        <v>160218.29999999999</v>
      </c>
      <c r="E11" s="88">
        <f>+buhvar!B11</f>
        <v>235553</v>
      </c>
      <c r="F11" s="88">
        <f>+capitalbkvar!B11</f>
        <v>117712</v>
      </c>
      <c r="G11" s="88">
        <f>+promobkvar!B11</f>
        <v>271439</v>
      </c>
      <c r="H11" s="88">
        <f>+socabkvar!B11</f>
        <v>482100.1</v>
      </c>
      <c r="I11" s="88">
        <f>+sogebkvar!B11</f>
        <v>1060879</v>
      </c>
      <c r="J11" s="88">
        <f>+unibkvar!B11</f>
        <v>538430.19999999995</v>
      </c>
      <c r="K11" s="90">
        <f>SUM(B11:J11)</f>
        <v>3242355.0999999996</v>
      </c>
      <c r="L11" s="303">
        <f>+'bhdvar  '!B11</f>
        <v>2611.8000000000002</v>
      </c>
      <c r="M11" s="88">
        <f>+sgbelvar!B11</f>
        <v>66232.7</v>
      </c>
      <c r="N11" s="117">
        <f>+L11+M11</f>
        <v>68844.5</v>
      </c>
      <c r="O11" s="88">
        <f>+cbnavar!B11</f>
        <v>318347</v>
      </c>
      <c r="P11" s="88">
        <f>+scotiavar!B11</f>
        <v>249258</v>
      </c>
      <c r="Q11" s="117">
        <f>SUM(O11:P11)</f>
        <v>567605</v>
      </c>
      <c r="R11" s="91">
        <f>+K11+N11+Q11</f>
        <v>3878804.5999999996</v>
      </c>
      <c r="S11" s="60"/>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c r="AP11" s="556"/>
    </row>
    <row r="12" spans="1:42">
      <c r="A12" s="556" t="s">
        <v>267</v>
      </c>
      <c r="B12" s="88">
        <f>+bichvar!B12</f>
        <v>448.4</v>
      </c>
      <c r="C12" s="88">
        <f>+bncvar!B12</f>
        <v>38433</v>
      </c>
      <c r="D12" s="88">
        <f>+bphvar!B12</f>
        <v>47634.2</v>
      </c>
      <c r="E12" s="88">
        <f>+buhvar!B12</f>
        <v>113044</v>
      </c>
      <c r="F12" s="88">
        <f>+capitalbkvar!B12</f>
        <v>28845</v>
      </c>
      <c r="G12" s="88">
        <f>+promobkvar!B12</f>
        <v>108675</v>
      </c>
      <c r="H12" s="88">
        <f>+socabkvar!B12</f>
        <v>72353.899999999994</v>
      </c>
      <c r="I12" s="88">
        <f>+sogebkvar!B12</f>
        <v>314717</v>
      </c>
      <c r="J12" s="88">
        <f>+unibkvar!B12</f>
        <v>268205.5</v>
      </c>
      <c r="K12" s="90">
        <f>SUM(B12:J12)</f>
        <v>992356</v>
      </c>
      <c r="L12" s="303">
        <f>+'bhdvar  '!B12</f>
        <v>2091.6</v>
      </c>
      <c r="M12" s="88">
        <f>+sgbelvar!B12</f>
        <v>5174.1000000000004</v>
      </c>
      <c r="N12" s="117">
        <f>+L12+M12</f>
        <v>7265.7000000000007</v>
      </c>
      <c r="O12" s="88">
        <f>+cbnavar!B12</f>
        <v>15820</v>
      </c>
      <c r="P12" s="88">
        <f>+scotiavar!B12</f>
        <v>120369</v>
      </c>
      <c r="Q12" s="117">
        <f>SUM(O12:P12)</f>
        <v>136189</v>
      </c>
      <c r="R12" s="91">
        <f>+K12+N12+Q12</f>
        <v>1135810.7</v>
      </c>
      <c r="S12" s="60"/>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c r="AP12" s="556"/>
    </row>
    <row r="13" spans="1:42">
      <c r="A13" s="556" t="s">
        <v>268</v>
      </c>
      <c r="B13" s="88">
        <f>+bichvar!B13</f>
        <v>1500</v>
      </c>
      <c r="C13" s="88">
        <f>+bncvar!B13</f>
        <v>0</v>
      </c>
      <c r="D13" s="88">
        <f>+bphvar!B13</f>
        <v>0</v>
      </c>
      <c r="E13" s="88">
        <f>+buhvar!B13</f>
        <v>175541</v>
      </c>
      <c r="F13" s="88">
        <f>+capitalbkvar!B13</f>
        <v>656</v>
      </c>
      <c r="G13" s="88">
        <f>+promobkvar!B13</f>
        <v>0</v>
      </c>
      <c r="H13" s="88">
        <f>+socabkvar!B13</f>
        <v>2781.6</v>
      </c>
      <c r="I13" s="88">
        <f>+sogebkvar!B13</f>
        <v>0</v>
      </c>
      <c r="J13" s="88">
        <f>+unibkvar!B13</f>
        <v>11593.6</v>
      </c>
      <c r="K13" s="90">
        <f>SUM(B13:J13)</f>
        <v>192072.2</v>
      </c>
      <c r="L13" s="303">
        <f>+'bhdvar  '!B13</f>
        <v>360.3</v>
      </c>
      <c r="M13" s="88">
        <f>+sgbelvar!B13</f>
        <v>5137.7</v>
      </c>
      <c r="N13" s="117">
        <f>+L13+M13</f>
        <v>5498</v>
      </c>
      <c r="O13" s="88">
        <f>+cbnavar!B13</f>
        <v>0</v>
      </c>
      <c r="P13" s="88">
        <f>+scotiavar!B13</f>
        <v>0</v>
      </c>
      <c r="Q13" s="117">
        <f>SUM(O13:P13)</f>
        <v>0</v>
      </c>
      <c r="R13" s="91">
        <f>+K13+N13+Q13</f>
        <v>197570.2</v>
      </c>
      <c r="S13" s="60"/>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c r="AP13" s="556"/>
    </row>
    <row r="14" spans="1:42">
      <c r="A14" s="556" t="s">
        <v>269</v>
      </c>
      <c r="B14" s="221">
        <f>+bichvar!B14</f>
        <v>313.7</v>
      </c>
      <c r="C14" s="221">
        <f>+bncvar!B14</f>
        <v>18877</v>
      </c>
      <c r="D14" s="221">
        <f>+bphvar!B14</f>
        <v>8462.2999999999993</v>
      </c>
      <c r="E14" s="221">
        <f>+buhvar!B14</f>
        <v>13365</v>
      </c>
      <c r="F14" s="221">
        <f>+capitalbkvar!B14</f>
        <v>48144</v>
      </c>
      <c r="G14" s="221">
        <f>+promobkvar!B14</f>
        <v>35629</v>
      </c>
      <c r="H14" s="221">
        <f>+socabkvar!B14</f>
        <v>70586.5</v>
      </c>
      <c r="I14" s="221">
        <f>+sogebkvar!B14</f>
        <v>143700</v>
      </c>
      <c r="J14" s="1090">
        <f>+unibkvar!B14</f>
        <v>99475.1</v>
      </c>
      <c r="K14" s="286">
        <f>SUM(B14:J14)</f>
        <v>438552.6</v>
      </c>
      <c r="L14" s="1132">
        <f>+'bhdvar  '!B14</f>
        <v>0</v>
      </c>
      <c r="M14" s="1090">
        <f>+sgbelvar!B14</f>
        <v>4894.6000000000004</v>
      </c>
      <c r="N14" s="117">
        <f>+L14+M14</f>
        <v>4894.6000000000004</v>
      </c>
      <c r="O14" s="221">
        <f>+cbnavar!B14</f>
        <v>87981</v>
      </c>
      <c r="P14" s="1090">
        <f>+scotiavar!B14</f>
        <v>11750</v>
      </c>
      <c r="Q14" s="286">
        <f>SUM(O14:P14)</f>
        <v>99731</v>
      </c>
      <c r="R14" s="1138">
        <f>+K14+N14+Q14</f>
        <v>543178.19999999995</v>
      </c>
      <c r="S14" s="60"/>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c r="AP14" s="556"/>
    </row>
    <row r="15" spans="1:42" ht="15.6" customHeight="1">
      <c r="A15" s="556"/>
      <c r="B15" s="88">
        <f t="shared" ref="B15:N15" si="0">SUM(B10:B14)</f>
        <v>6706.7</v>
      </c>
      <c r="C15" s="88">
        <f t="shared" si="0"/>
        <v>676338</v>
      </c>
      <c r="D15" s="88">
        <f t="shared" si="0"/>
        <v>262351.89999999997</v>
      </c>
      <c r="E15" s="88">
        <f t="shared" si="0"/>
        <v>788125</v>
      </c>
      <c r="F15" s="143">
        <f t="shared" si="0"/>
        <v>259286</v>
      </c>
      <c r="G15" s="88">
        <f t="shared" si="0"/>
        <v>501015</v>
      </c>
      <c r="H15" s="88">
        <f t="shared" si="0"/>
        <v>718944.5</v>
      </c>
      <c r="I15" s="88">
        <f t="shared" si="0"/>
        <v>1784628</v>
      </c>
      <c r="J15" s="88">
        <f t="shared" si="0"/>
        <v>1121302</v>
      </c>
      <c r="K15" s="90">
        <f t="shared" si="0"/>
        <v>6118697.0999999996</v>
      </c>
      <c r="L15" s="16">
        <f t="shared" si="0"/>
        <v>5160.7</v>
      </c>
      <c r="M15" s="16">
        <f t="shared" si="0"/>
        <v>93647.900000000009</v>
      </c>
      <c r="N15" s="1135">
        <f t="shared" si="0"/>
        <v>98808.6</v>
      </c>
      <c r="O15" s="88">
        <f>SUM(O10:O14)</f>
        <v>467086</v>
      </c>
      <c r="P15" s="88">
        <f>SUM(P10:P14)</f>
        <v>417477</v>
      </c>
      <c r="Q15" s="117">
        <f>SUM(Q10:Q14)</f>
        <v>884563</v>
      </c>
      <c r="R15" s="91">
        <f>SUM(R10:R14)</f>
        <v>7102068.7000000002</v>
      </c>
      <c r="S15" s="60"/>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c r="AP15" s="556"/>
    </row>
    <row r="16" spans="1:42" ht="7.9" customHeight="1">
      <c r="A16" s="556"/>
      <c r="B16" s="88"/>
      <c r="C16" s="100" t="s">
        <v>0</v>
      </c>
      <c r="D16" s="89" t="s">
        <v>0</v>
      </c>
      <c r="E16" s="88"/>
      <c r="F16" s="88" t="s">
        <v>0</v>
      </c>
      <c r="G16" s="89" t="s">
        <v>0</v>
      </c>
      <c r="H16" s="89" t="s">
        <v>0</v>
      </c>
      <c r="I16" s="88"/>
      <c r="J16" s="88"/>
      <c r="K16" s="90"/>
      <c r="L16" s="94"/>
      <c r="M16" s="88"/>
      <c r="N16" s="117"/>
      <c r="O16" s="88"/>
      <c r="P16" s="88" t="s">
        <v>0</v>
      </c>
      <c r="Q16" s="117"/>
      <c r="R16" s="91"/>
      <c r="S16" s="60"/>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row>
    <row r="17" spans="1:42" ht="15.6" customHeight="1">
      <c r="A17" s="556" t="s">
        <v>270</v>
      </c>
      <c r="B17" s="88">
        <f>+bichvar!B17</f>
        <v>0</v>
      </c>
      <c r="C17" s="88">
        <f>+bncvar!B17</f>
        <v>389000</v>
      </c>
      <c r="D17" s="88">
        <f>+bphvar!B17</f>
        <v>155000</v>
      </c>
      <c r="E17" s="88">
        <f>+buhvar!B17</f>
        <v>125000</v>
      </c>
      <c r="F17" s="88">
        <f>+capitalbkvar!B17</f>
        <v>80000</v>
      </c>
      <c r="G17" s="88">
        <f>+promobkvar!B17</f>
        <v>90000</v>
      </c>
      <c r="H17" s="88">
        <f>+socabkvar!B17</f>
        <v>50000</v>
      </c>
      <c r="I17" s="88">
        <f>+sogebkvar!B17</f>
        <v>935000</v>
      </c>
      <c r="J17" s="88">
        <f>+unibkvar!B17</f>
        <v>270000</v>
      </c>
      <c r="K17" s="90">
        <f>SUM(B17:J17)</f>
        <v>2094000</v>
      </c>
      <c r="L17" s="303">
        <f>+'bhdvar  '!B17</f>
        <v>0</v>
      </c>
      <c r="M17" s="88">
        <f>+sgbelvar!B17</f>
        <v>46000</v>
      </c>
      <c r="N17" s="117">
        <f>+L17+M17</f>
        <v>46000</v>
      </c>
      <c r="O17" s="88">
        <f>+cbnavar!B17</f>
        <v>116970</v>
      </c>
      <c r="P17" s="88">
        <f>+scotiavar!B17</f>
        <v>25000</v>
      </c>
      <c r="Q17" s="117">
        <f>SUM(O17:P17)</f>
        <v>141970</v>
      </c>
      <c r="R17" s="91">
        <f>+K17+N17+Q17</f>
        <v>2281970</v>
      </c>
      <c r="S17" s="60"/>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row>
    <row r="18" spans="1:42">
      <c r="A18" s="556" t="s">
        <v>271</v>
      </c>
      <c r="B18" s="88">
        <f>+bichvar!B18</f>
        <v>0</v>
      </c>
      <c r="C18" s="88">
        <f>+bncvar!B18</f>
        <v>197209</v>
      </c>
      <c r="D18" s="88">
        <f>+bphvar!B18</f>
        <v>18345.5</v>
      </c>
      <c r="E18" s="88">
        <f>+buhvar!B18</f>
        <v>98137</v>
      </c>
      <c r="F18" s="88">
        <f>+capitalbkvar!B18</f>
        <v>81079</v>
      </c>
      <c r="G18" s="88">
        <f>+promobkvar!B18</f>
        <v>19324</v>
      </c>
      <c r="H18" s="88">
        <f>+socabkvar!B18</f>
        <v>109376.9</v>
      </c>
      <c r="I18" s="88">
        <f>+sogebkvar!B18</f>
        <v>334696</v>
      </c>
      <c r="J18" s="88">
        <f>+unibkvar!B18</f>
        <v>583444.80000000005</v>
      </c>
      <c r="K18" s="90">
        <f>SUM(B18:J18)</f>
        <v>1441612.2000000002</v>
      </c>
      <c r="L18" s="303">
        <f>+'bhdvar  '!B18</f>
        <v>2973.6</v>
      </c>
      <c r="M18" s="88">
        <f>+sgbelvar!B18</f>
        <v>18945.3</v>
      </c>
      <c r="N18" s="117">
        <f>+L18+M18</f>
        <v>21918.899999999998</v>
      </c>
      <c r="O18" s="88">
        <f>+cbnavar!B18</f>
        <v>0</v>
      </c>
      <c r="P18" s="88">
        <f>+scotiavar!B18</f>
        <v>0</v>
      </c>
      <c r="Q18" s="117">
        <f>SUM(O18:P18)</f>
        <v>0</v>
      </c>
      <c r="R18" s="91">
        <f>+K18+N18+Q18</f>
        <v>1463531.1</v>
      </c>
      <c r="S18" s="60"/>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c r="AP18" s="556"/>
    </row>
    <row r="19" spans="1:42">
      <c r="A19" s="556" t="s">
        <v>406</v>
      </c>
      <c r="B19" s="88">
        <f>+bichvar!B19</f>
        <v>3752.9</v>
      </c>
      <c r="C19" s="88">
        <f>+bncvar!B19</f>
        <v>345925</v>
      </c>
      <c r="D19" s="88">
        <f>+bphvar!B19</f>
        <v>316912.7</v>
      </c>
      <c r="E19" s="88">
        <f>+buhvar!B19</f>
        <v>746670</v>
      </c>
      <c r="F19" s="88">
        <f>+capitalbkvar!B19</f>
        <v>501800</v>
      </c>
      <c r="G19" s="88">
        <f>+promobkvar!B19</f>
        <v>772879</v>
      </c>
      <c r="H19" s="88">
        <f>+socabkvar!B19</f>
        <v>1484208</v>
      </c>
      <c r="I19" s="88">
        <f>+sogebkvar!B19</f>
        <v>1730929</v>
      </c>
      <c r="J19" s="88">
        <f>+unibkvar!B19</f>
        <v>1489899</v>
      </c>
      <c r="K19" s="90">
        <f>SUM(B19:J19)</f>
        <v>7392975.5999999996</v>
      </c>
      <c r="L19" s="303">
        <f>+'bhdvar  '!B19</f>
        <v>5467.1</v>
      </c>
      <c r="M19" s="88">
        <f>+sgbelvar!B19</f>
        <v>341630.7</v>
      </c>
      <c r="N19" s="117">
        <f>+L19+M19</f>
        <v>347097.8</v>
      </c>
      <c r="O19" s="88">
        <f>+cbnavar!B19</f>
        <v>729160</v>
      </c>
      <c r="P19" s="88">
        <f>+scotiavar!B19</f>
        <v>494790</v>
      </c>
      <c r="Q19" s="117">
        <f>SUM(O19:P19)</f>
        <v>1223950</v>
      </c>
      <c r="R19" s="91">
        <f>+K19+N19+Q19</f>
        <v>8964023.3999999985</v>
      </c>
      <c r="S19" s="60"/>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c r="AP19" s="556"/>
    </row>
    <row r="20" spans="1:42">
      <c r="A20" s="556" t="s">
        <v>273</v>
      </c>
      <c r="B20" s="88">
        <f>+bichvar!B20</f>
        <v>176.7</v>
      </c>
      <c r="C20" s="88">
        <f>+bncvar!B20</f>
        <v>149576</v>
      </c>
      <c r="D20" s="88">
        <f>+bphvar!B20</f>
        <v>32763.1</v>
      </c>
      <c r="E20" s="88">
        <f>+buhvar!B20</f>
        <v>230086</v>
      </c>
      <c r="F20" s="88">
        <f>+capitalbkvar!B20</f>
        <v>73605</v>
      </c>
      <c r="G20" s="88">
        <f>+promobkvar!B20</f>
        <v>114146</v>
      </c>
      <c r="H20" s="88">
        <f>+socabkvar!B20</f>
        <v>72823.399999999994</v>
      </c>
      <c r="I20" s="88">
        <f>+sogebkvar!B20</f>
        <v>456305</v>
      </c>
      <c r="J20" s="88">
        <f>+unibkvar!B20</f>
        <v>139126.29999999999</v>
      </c>
      <c r="K20" s="90">
        <f>SUM(B20:J20)</f>
        <v>1268607.5000000002</v>
      </c>
      <c r="L20" s="303">
        <f>+'bhdvar  '!B20</f>
        <v>14449.5</v>
      </c>
      <c r="M20" s="88">
        <f>+sgbelvar!B20</f>
        <v>26211.7</v>
      </c>
      <c r="N20" s="117">
        <f>+L20+M20</f>
        <v>40661.199999999997</v>
      </c>
      <c r="O20" s="88">
        <f>+cbnavar!B20</f>
        <v>25365</v>
      </c>
      <c r="P20" s="88">
        <f>+scotiavar!B20</f>
        <v>14572</v>
      </c>
      <c r="Q20" s="117">
        <f>SUM(O20:P20)</f>
        <v>39937</v>
      </c>
      <c r="R20" s="91">
        <f>+K20+N20+Q20</f>
        <v>1349205.7000000002</v>
      </c>
      <c r="S20" s="60"/>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c r="AP20" s="556"/>
    </row>
    <row r="21" spans="1:42" ht="16.5" thickBot="1">
      <c r="A21" s="556" t="s">
        <v>274</v>
      </c>
      <c r="B21" s="99">
        <f>+bichvar!B21</f>
        <v>680.1</v>
      </c>
      <c r="C21" s="99">
        <f>+bncvar!B21</f>
        <v>54686</v>
      </c>
      <c r="D21" s="99">
        <f>+bphvar!B21</f>
        <v>14976.5</v>
      </c>
      <c r="E21" s="99">
        <f>+buhvar!B21</f>
        <v>127166</v>
      </c>
      <c r="F21" s="99">
        <f>+capitalbkvar!B21</f>
        <v>117293</v>
      </c>
      <c r="G21" s="99">
        <f>+promobkvar!B21</f>
        <v>70617</v>
      </c>
      <c r="H21" s="99">
        <f>+socabkvar!B21</f>
        <v>85264.9</v>
      </c>
      <c r="I21" s="99">
        <f>+sogebkvar!B21</f>
        <v>159538</v>
      </c>
      <c r="J21" s="1091">
        <f>+unibkvar!B21</f>
        <v>138314.6</v>
      </c>
      <c r="K21" s="97">
        <f>SUM(B21:J21)</f>
        <v>768536.1</v>
      </c>
      <c r="L21" s="1137">
        <f>+'bhdvar  '!B21</f>
        <v>110.7</v>
      </c>
      <c r="M21" s="1091">
        <f>+sgbelvar!B21</f>
        <v>8497</v>
      </c>
      <c r="N21" s="117">
        <f>+L21+M21</f>
        <v>8607.7000000000007</v>
      </c>
      <c r="O21" s="99">
        <f>+cbnavar!B21</f>
        <v>268201</v>
      </c>
      <c r="P21" s="1091">
        <f>+scotiavar!B21</f>
        <v>5699</v>
      </c>
      <c r="Q21" s="97">
        <f>SUM(O21:P21)</f>
        <v>273900</v>
      </c>
      <c r="R21" s="1139">
        <f>+K21+N21+Q21</f>
        <v>1051043.7999999998</v>
      </c>
      <c r="S21" s="60"/>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c r="AP21" s="556"/>
    </row>
    <row r="22" spans="1:42">
      <c r="A22" s="556" t="s">
        <v>275</v>
      </c>
      <c r="B22" s="91">
        <f t="shared" ref="B22:N22" si="1">SUM(B15:B21)</f>
        <v>11316.400000000001</v>
      </c>
      <c r="C22" s="91">
        <f t="shared" si="1"/>
        <v>1812734</v>
      </c>
      <c r="D22" s="91">
        <f t="shared" si="1"/>
        <v>800349.7</v>
      </c>
      <c r="E22" s="91">
        <f t="shared" si="1"/>
        <v>2115184</v>
      </c>
      <c r="F22" s="4">
        <f t="shared" si="1"/>
        <v>1113063</v>
      </c>
      <c r="G22" s="91">
        <f t="shared" si="1"/>
        <v>1567981</v>
      </c>
      <c r="H22" s="91">
        <f t="shared" si="1"/>
        <v>2520617.6999999997</v>
      </c>
      <c r="I22" s="91">
        <f t="shared" si="1"/>
        <v>5401096</v>
      </c>
      <c r="J22" s="91">
        <f t="shared" si="1"/>
        <v>3742086.6999999997</v>
      </c>
      <c r="K22" s="90">
        <f t="shared" si="1"/>
        <v>19084428.5</v>
      </c>
      <c r="L22" s="91">
        <f t="shared" si="1"/>
        <v>28161.600000000002</v>
      </c>
      <c r="M22" s="91">
        <f t="shared" si="1"/>
        <v>534932.6</v>
      </c>
      <c r="N22" s="1136">
        <f t="shared" si="1"/>
        <v>563094.19999999995</v>
      </c>
      <c r="O22" s="4">
        <f>SUM(O15:O21)</f>
        <v>1606782</v>
      </c>
      <c r="P22" s="4">
        <f>SUM(P15:P21)</f>
        <v>957538</v>
      </c>
      <c r="Q22" s="117">
        <f>SUM(Q15:Q21)</f>
        <v>2564320</v>
      </c>
      <c r="R22" s="91">
        <f>SUM(R15:R21)</f>
        <v>22211842.699999996</v>
      </c>
      <c r="S22" s="60"/>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c r="AP22" s="556"/>
    </row>
    <row r="23" spans="1:42" ht="15.6" customHeight="1">
      <c r="A23" s="556"/>
      <c r="B23" s="88"/>
      <c r="C23" s="100" t="s">
        <v>0</v>
      </c>
      <c r="D23" s="89" t="s">
        <v>0</v>
      </c>
      <c r="E23" s="88"/>
      <c r="F23" s="89" t="s">
        <v>0</v>
      </c>
      <c r="G23" s="89" t="s">
        <v>0</v>
      </c>
      <c r="H23" s="89" t="s">
        <v>0</v>
      </c>
      <c r="I23" s="88"/>
      <c r="J23" s="88"/>
      <c r="K23" s="94"/>
      <c r="L23" s="94"/>
      <c r="M23" s="88"/>
      <c r="N23" s="1066"/>
      <c r="O23" s="88"/>
      <c r="P23" s="88" t="s">
        <v>0</v>
      </c>
      <c r="Q23" s="118"/>
      <c r="R23" s="91"/>
      <c r="S23" s="60"/>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c r="AP23" s="556"/>
    </row>
    <row r="24" spans="1:42">
      <c r="A24" s="558" t="s">
        <v>276</v>
      </c>
      <c r="B24" s="88"/>
      <c r="C24" s="100" t="s">
        <v>0</v>
      </c>
      <c r="D24" s="89" t="s">
        <v>0</v>
      </c>
      <c r="E24" s="88"/>
      <c r="F24" s="89" t="s">
        <v>0</v>
      </c>
      <c r="G24" s="89" t="s">
        <v>0</v>
      </c>
      <c r="H24" s="89" t="s">
        <v>0</v>
      </c>
      <c r="I24" s="88"/>
      <c r="J24" s="88"/>
      <c r="K24" s="94"/>
      <c r="L24" s="94"/>
      <c r="M24" s="88"/>
      <c r="N24" s="1066"/>
      <c r="O24" s="88"/>
      <c r="P24" s="88" t="s">
        <v>0</v>
      </c>
      <c r="Q24" s="118"/>
      <c r="R24" s="91"/>
      <c r="S24" s="60"/>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c r="AP24" s="556"/>
    </row>
    <row r="25" spans="1:42">
      <c r="A25" s="556" t="s">
        <v>277</v>
      </c>
      <c r="B25" s="88"/>
      <c r="C25" s="100" t="s">
        <v>0</v>
      </c>
      <c r="D25" s="89" t="s">
        <v>0</v>
      </c>
      <c r="E25" s="88"/>
      <c r="F25" s="89" t="s">
        <v>0</v>
      </c>
      <c r="G25" s="89" t="s">
        <v>0</v>
      </c>
      <c r="H25" s="89" t="s">
        <v>0</v>
      </c>
      <c r="I25" s="88"/>
      <c r="J25" s="88"/>
      <c r="K25" s="94"/>
      <c r="L25" s="94"/>
      <c r="M25" s="88"/>
      <c r="N25" s="1066"/>
      <c r="O25" s="88"/>
      <c r="P25" s="88" t="s">
        <v>0</v>
      </c>
      <c r="Q25" s="118"/>
      <c r="R25" s="91"/>
      <c r="S25" s="60"/>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c r="AP25" s="556"/>
    </row>
    <row r="26" spans="1:42">
      <c r="A26" s="556" t="s">
        <v>278</v>
      </c>
      <c r="B26" s="88">
        <f>+bichvar!B26</f>
        <v>2186.9</v>
      </c>
      <c r="C26" s="88">
        <f>+bncvar!B26</f>
        <v>371222</v>
      </c>
      <c r="D26" s="88">
        <f>+bphvar!B26</f>
        <v>442282.4</v>
      </c>
      <c r="E26" s="88">
        <f>+buhvar!B26</f>
        <v>433531</v>
      </c>
      <c r="F26" s="88">
        <f>+capitalbkvar!B26</f>
        <v>303887</v>
      </c>
      <c r="G26" s="88">
        <f>+promobkvar!B26</f>
        <v>418877</v>
      </c>
      <c r="H26" s="88">
        <f>+socabkvar!B26</f>
        <v>398833.8</v>
      </c>
      <c r="I26" s="88">
        <f>+sogebkvar!B26</f>
        <v>1075154</v>
      </c>
      <c r="J26" s="88">
        <f>+unibkvar!B26</f>
        <v>829983.4</v>
      </c>
      <c r="K26" s="90">
        <f>SUM(B26:J26)</f>
        <v>4275957.5</v>
      </c>
      <c r="L26" s="303">
        <f>+'bhdvar  '!B26</f>
        <v>550.20000000000005</v>
      </c>
      <c r="M26" s="88">
        <f>+sgbelvar!B26</f>
        <v>73794.8</v>
      </c>
      <c r="N26" s="117">
        <f>+L26+M26</f>
        <v>74345</v>
      </c>
      <c r="O26" s="88">
        <f>+cbnavar!B26</f>
        <v>299702</v>
      </c>
      <c r="P26" s="88">
        <f>+scotiavar!B26</f>
        <v>172953</v>
      </c>
      <c r="Q26" s="117">
        <f>SUM(O26:P26)</f>
        <v>472655</v>
      </c>
      <c r="R26" s="91">
        <f>+K26+N26+Q26</f>
        <v>4822957.5</v>
      </c>
      <c r="S26" s="60"/>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c r="AP26" s="556"/>
    </row>
    <row r="27" spans="1:42">
      <c r="A27" s="556" t="s">
        <v>279</v>
      </c>
      <c r="B27" s="88">
        <f>+bichvar!B27</f>
        <v>3159.4</v>
      </c>
      <c r="C27" s="88">
        <f>+bncvar!B27</f>
        <v>967287</v>
      </c>
      <c r="D27" s="88">
        <f>+bphvar!B27</f>
        <v>157311.20000000001</v>
      </c>
      <c r="E27" s="88">
        <f>+buhvar!B27</f>
        <v>911967</v>
      </c>
      <c r="F27" s="88">
        <f>+capitalbkvar!B27</f>
        <v>195472</v>
      </c>
      <c r="G27" s="88">
        <f>+promobkvar!B27</f>
        <v>398361</v>
      </c>
      <c r="H27" s="88">
        <f>+socabkvar!B27</f>
        <v>547332.80000000005</v>
      </c>
      <c r="I27" s="88">
        <f>+sogebkvar!B27</f>
        <v>2345280</v>
      </c>
      <c r="J27" s="88">
        <f>+unibkvar!B27</f>
        <v>1528320.2</v>
      </c>
      <c r="K27" s="90">
        <f>SUM(B27:J27)</f>
        <v>7054490.6000000006</v>
      </c>
      <c r="L27" s="303">
        <f>+'bhdvar  '!B27</f>
        <v>3725.8</v>
      </c>
      <c r="M27" s="88">
        <f>+sgbelvar!B27</f>
        <v>183096.8</v>
      </c>
      <c r="N27" s="117">
        <f>+L27+M27</f>
        <v>186822.59999999998</v>
      </c>
      <c r="O27" s="88">
        <f>+cbnavar!B27</f>
        <v>302496</v>
      </c>
      <c r="P27" s="88">
        <f>+scotiavar!B27</f>
        <v>488394</v>
      </c>
      <c r="Q27" s="117">
        <f>SUM(O27:P27)</f>
        <v>790890</v>
      </c>
      <c r="R27" s="91">
        <f>+K27+N27+Q27</f>
        <v>8032203.2000000002</v>
      </c>
      <c r="S27" s="60"/>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c r="AP27" s="556"/>
    </row>
    <row r="28" spans="1:42">
      <c r="A28" s="556" t="s">
        <v>280</v>
      </c>
      <c r="B28" s="221">
        <f>+bichvar!B28</f>
        <v>0</v>
      </c>
      <c r="C28" s="221">
        <f>+bncvar!B28</f>
        <v>134230</v>
      </c>
      <c r="D28" s="221">
        <f>+bphvar!B28</f>
        <v>85188.2</v>
      </c>
      <c r="E28" s="221">
        <f>+buhvar!B28</f>
        <v>610865</v>
      </c>
      <c r="F28" s="221">
        <f>+capitalbkvar!B28</f>
        <v>374864</v>
      </c>
      <c r="G28" s="221">
        <f>+promobkvar!B28</f>
        <v>537801</v>
      </c>
      <c r="H28" s="221">
        <f>+socabkvar!B28</f>
        <v>1337888.2</v>
      </c>
      <c r="I28" s="221">
        <f>+sogebkvar!B28</f>
        <v>1218135</v>
      </c>
      <c r="J28" s="1090">
        <f>+unibkvar!B28</f>
        <v>1013089.4</v>
      </c>
      <c r="K28" s="286">
        <f>SUM(B28:J28)</f>
        <v>5312060.8000000007</v>
      </c>
      <c r="L28" s="1132">
        <f>+'bhdvar  '!B28</f>
        <v>0</v>
      </c>
      <c r="M28" s="1090">
        <f>+sgbelvar!B28</f>
        <v>207787.3</v>
      </c>
      <c r="N28" s="117">
        <f>+L28+M28</f>
        <v>207787.3</v>
      </c>
      <c r="O28" s="221">
        <f>+cbnavar!B28</f>
        <v>758290</v>
      </c>
      <c r="P28" s="1090">
        <f>+scotiavar!B28</f>
        <v>227441</v>
      </c>
      <c r="Q28" s="286">
        <f>SUM(O28:P28)</f>
        <v>985731</v>
      </c>
      <c r="R28" s="1138">
        <f>+K28+N28+Q28</f>
        <v>6505579.1000000006</v>
      </c>
      <c r="S28" s="60"/>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row>
    <row r="29" spans="1:42">
      <c r="A29" s="556"/>
      <c r="B29" s="88">
        <f t="shared" ref="B29:N29" si="2">SUM(B26:B28)</f>
        <v>5346.3</v>
      </c>
      <c r="C29" s="88">
        <f t="shared" si="2"/>
        <v>1472739</v>
      </c>
      <c r="D29" s="88">
        <f t="shared" si="2"/>
        <v>684781.8</v>
      </c>
      <c r="E29" s="88">
        <f t="shared" si="2"/>
        <v>1956363</v>
      </c>
      <c r="F29" s="88">
        <f t="shared" si="2"/>
        <v>874223</v>
      </c>
      <c r="G29" s="88">
        <f t="shared" si="2"/>
        <v>1355039</v>
      </c>
      <c r="H29" s="88">
        <f t="shared" si="2"/>
        <v>2284054.7999999998</v>
      </c>
      <c r="I29" s="88">
        <f t="shared" si="2"/>
        <v>4638569</v>
      </c>
      <c r="J29" s="88">
        <f t="shared" si="2"/>
        <v>3371393</v>
      </c>
      <c r="K29" s="90">
        <f t="shared" si="2"/>
        <v>16642508.900000002</v>
      </c>
      <c r="L29" s="88">
        <f t="shared" si="2"/>
        <v>4276</v>
      </c>
      <c r="M29" s="88">
        <f t="shared" si="2"/>
        <v>464678.89999999997</v>
      </c>
      <c r="N29" s="1135">
        <f t="shared" si="2"/>
        <v>468954.89999999997</v>
      </c>
      <c r="O29" s="88">
        <f>SUM(O26:O28)</f>
        <v>1360488</v>
      </c>
      <c r="P29" s="88">
        <f>SUM(P26:P28)</f>
        <v>888788</v>
      </c>
      <c r="Q29" s="117">
        <f>SUM(Q26:Q28)</f>
        <v>2249276</v>
      </c>
      <c r="R29" s="91">
        <f>SUM(R26:R28)</f>
        <v>19360739.800000001</v>
      </c>
      <c r="S29" s="60"/>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row>
    <row r="30" spans="1:42" ht="7.9" customHeight="1">
      <c r="A30" s="556"/>
      <c r="B30" s="88"/>
      <c r="C30" s="100" t="s">
        <v>0</v>
      </c>
      <c r="D30" s="89" t="s">
        <v>0</v>
      </c>
      <c r="E30" s="88"/>
      <c r="F30" s="89" t="s">
        <v>0</v>
      </c>
      <c r="G30" s="89" t="s">
        <v>0</v>
      </c>
      <c r="H30" s="89" t="s">
        <v>0</v>
      </c>
      <c r="I30" s="88"/>
      <c r="J30" s="88"/>
      <c r="K30" s="90"/>
      <c r="L30" s="94"/>
      <c r="M30" s="88"/>
      <c r="N30" s="117"/>
      <c r="O30" s="88"/>
      <c r="P30" s="88" t="s">
        <v>0</v>
      </c>
      <c r="Q30" s="117"/>
      <c r="R30" s="91"/>
      <c r="S30" s="60"/>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c r="AP30" s="556"/>
    </row>
    <row r="31" spans="1:42">
      <c r="A31" s="556" t="s">
        <v>281</v>
      </c>
      <c r="B31" s="88"/>
      <c r="C31" s="100" t="s">
        <v>0</v>
      </c>
      <c r="D31" s="89" t="s">
        <v>0</v>
      </c>
      <c r="E31" s="88"/>
      <c r="F31" s="89" t="s">
        <v>0</v>
      </c>
      <c r="G31" s="89" t="s">
        <v>0</v>
      </c>
      <c r="H31" s="89" t="s">
        <v>0</v>
      </c>
      <c r="I31" s="88"/>
      <c r="J31" s="88"/>
      <c r="K31" s="90"/>
      <c r="L31" s="94"/>
      <c r="M31" s="88"/>
      <c r="N31" s="117"/>
      <c r="O31" s="88"/>
      <c r="P31" s="88" t="s">
        <v>0</v>
      </c>
      <c r="Q31" s="117"/>
      <c r="R31" s="91"/>
      <c r="S31" s="60"/>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c r="AP31" s="556"/>
    </row>
    <row r="32" spans="1:42">
      <c r="A32" s="556" t="s">
        <v>282</v>
      </c>
      <c r="B32" s="88">
        <f>+bichvar!B32</f>
        <v>0</v>
      </c>
      <c r="C32" s="88">
        <f>+bncvar!B32</f>
        <v>3000</v>
      </c>
      <c r="D32" s="88">
        <f>+bphvar!B32</f>
        <v>26000</v>
      </c>
      <c r="E32" s="88">
        <f>+buhvar!B32</f>
        <v>0</v>
      </c>
      <c r="F32" s="88">
        <f>+capitalbkvar!B32</f>
        <v>0</v>
      </c>
      <c r="G32" s="88">
        <f>+promobkvar!B32</f>
        <v>0</v>
      </c>
      <c r="H32" s="88">
        <f>+socabkvar!B32</f>
        <v>0</v>
      </c>
      <c r="I32" s="88">
        <f>+sogebkvar!B32</f>
        <v>0</v>
      </c>
      <c r="J32" s="88">
        <f>+unibkvar!B32</f>
        <v>0</v>
      </c>
      <c r="K32" s="90">
        <f>SUM(B32:J32)</f>
        <v>29000</v>
      </c>
      <c r="L32" s="303">
        <f>+'bhdvar  '!B32</f>
        <v>0</v>
      </c>
      <c r="M32" s="88">
        <f>+sgbelvar!B32</f>
        <v>0</v>
      </c>
      <c r="N32" s="117">
        <f>+L32+M32</f>
        <v>0</v>
      </c>
      <c r="O32" s="88">
        <f>+cbnavar!B32</f>
        <v>0</v>
      </c>
      <c r="P32" s="88">
        <f>+scotiavar!B32</f>
        <v>0</v>
      </c>
      <c r="Q32" s="117">
        <f>SUM(O32:P32)</f>
        <v>0</v>
      </c>
      <c r="R32" s="91">
        <f>+K32+N32+Q32</f>
        <v>29000</v>
      </c>
      <c r="S32" s="60"/>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c r="AP32" s="556"/>
    </row>
    <row r="33" spans="1:42">
      <c r="A33" s="556" t="s">
        <v>283</v>
      </c>
      <c r="B33" s="88">
        <f>+bichvar!B33</f>
        <v>0</v>
      </c>
      <c r="C33" s="88">
        <f>+bncvar!B33</f>
        <v>0</v>
      </c>
      <c r="D33" s="88">
        <f>+bphvar!B33</f>
        <v>0</v>
      </c>
      <c r="E33" s="88">
        <f>+buhvar!B33</f>
        <v>0</v>
      </c>
      <c r="F33" s="88">
        <f>+capitalbkvar!B33</f>
        <v>0</v>
      </c>
      <c r="G33" s="88">
        <f>+promobkvar!B33</f>
        <v>0</v>
      </c>
      <c r="H33" s="88">
        <f>+socabkvar!B33</f>
        <v>0</v>
      </c>
      <c r="I33" s="88">
        <f>+sogebkvar!B33</f>
        <v>0</v>
      </c>
      <c r="J33" s="88">
        <f>+unibkvar!B33</f>
        <v>0</v>
      </c>
      <c r="K33" s="90">
        <f>SUM(B33:J33)</f>
        <v>0</v>
      </c>
      <c r="L33" s="303">
        <f>+'bhdvar  '!B33</f>
        <v>0</v>
      </c>
      <c r="M33" s="88">
        <f>+sgbelvar!B33</f>
        <v>0</v>
      </c>
      <c r="N33" s="117">
        <f>+L33+M33</f>
        <v>0</v>
      </c>
      <c r="O33" s="88">
        <f>+cbnavar!B33</f>
        <v>0</v>
      </c>
      <c r="P33" s="88">
        <f>+scotiavar!B33</f>
        <v>0</v>
      </c>
      <c r="Q33" s="117">
        <f>SUM(O33:P33)</f>
        <v>0</v>
      </c>
      <c r="R33" s="91">
        <f>+K33+N33+Q33</f>
        <v>0</v>
      </c>
      <c r="S33" s="60"/>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c r="AP33" s="556"/>
    </row>
    <row r="34" spans="1:42" ht="17.25">
      <c r="A34" s="556" t="s">
        <v>284</v>
      </c>
      <c r="B34" s="221">
        <f>+bichvar!B34</f>
        <v>180.5</v>
      </c>
      <c r="C34" s="221">
        <f>+bncvar!B34</f>
        <v>362458</v>
      </c>
      <c r="D34" s="221">
        <f>+bphvar!B34</f>
        <v>38204.9</v>
      </c>
      <c r="E34" s="221">
        <f>+buhvar!B34</f>
        <v>108982</v>
      </c>
      <c r="F34" s="221">
        <f>+capitalbkvar!B34</f>
        <v>31418</v>
      </c>
      <c r="G34" s="221">
        <f>+promobkvar!B34</f>
        <v>45182</v>
      </c>
      <c r="H34" s="221">
        <f>+socabkvar!B34</f>
        <v>113607.6</v>
      </c>
      <c r="I34" s="221">
        <f>+sogebkvar!B34</f>
        <v>106544</v>
      </c>
      <c r="J34" s="1090">
        <f>+unibkvar!B34</f>
        <v>88075.8</v>
      </c>
      <c r="K34" s="286">
        <f>SUM(B34:J34)</f>
        <v>894652.8</v>
      </c>
      <c r="L34" s="1132">
        <f>+'bhdvar  '!B34</f>
        <v>188.5</v>
      </c>
      <c r="M34" s="1090">
        <f>+sgbelvar!B34</f>
        <v>9067.7000000000007</v>
      </c>
      <c r="N34" s="117">
        <f>+L34+M34</f>
        <v>9256.2000000000007</v>
      </c>
      <c r="O34" s="221">
        <f>+cbnavar!B34</f>
        <v>171902</v>
      </c>
      <c r="P34" s="1090">
        <f>+scotiavar!B34</f>
        <v>26588</v>
      </c>
      <c r="Q34" s="286">
        <f>SUM(O34:P34)</f>
        <v>198490</v>
      </c>
      <c r="R34" s="1138">
        <f>+K34+N34+Q34</f>
        <v>1102399</v>
      </c>
      <c r="S34" s="64"/>
      <c r="T34" s="561"/>
      <c r="U34" s="561"/>
      <c r="V34" s="561"/>
      <c r="W34" s="556"/>
      <c r="X34" s="556"/>
      <c r="Y34" s="556"/>
      <c r="Z34" s="556"/>
      <c r="AA34" s="556"/>
      <c r="AB34" s="556"/>
      <c r="AC34" s="556"/>
      <c r="AD34" s="556"/>
      <c r="AE34" s="556"/>
      <c r="AF34" s="556"/>
      <c r="AG34" s="556"/>
      <c r="AH34" s="556"/>
      <c r="AI34" s="556"/>
      <c r="AJ34" s="556"/>
      <c r="AK34" s="556"/>
      <c r="AL34" s="556"/>
      <c r="AM34" s="556"/>
      <c r="AN34" s="556"/>
      <c r="AO34" s="556"/>
      <c r="AP34" s="556"/>
    </row>
    <row r="35" spans="1:42">
      <c r="A35" s="556"/>
      <c r="B35" s="88">
        <f t="shared" ref="B35:N35" si="3">SUM(B32:B34)</f>
        <v>180.5</v>
      </c>
      <c r="C35" s="88">
        <f t="shared" si="3"/>
        <v>365458</v>
      </c>
      <c r="D35" s="88">
        <f t="shared" si="3"/>
        <v>64204.9</v>
      </c>
      <c r="E35" s="88">
        <f t="shared" si="3"/>
        <v>108982</v>
      </c>
      <c r="F35" s="88">
        <f t="shared" si="3"/>
        <v>31418</v>
      </c>
      <c r="G35" s="88">
        <f t="shared" si="3"/>
        <v>45182</v>
      </c>
      <c r="H35" s="88">
        <f t="shared" si="3"/>
        <v>113607.6</v>
      </c>
      <c r="I35" s="88">
        <f t="shared" si="3"/>
        <v>106544</v>
      </c>
      <c r="J35" s="88">
        <f t="shared" si="3"/>
        <v>88075.8</v>
      </c>
      <c r="K35" s="90">
        <f t="shared" si="3"/>
        <v>923652.8</v>
      </c>
      <c r="L35" s="88">
        <f t="shared" si="3"/>
        <v>188.5</v>
      </c>
      <c r="M35" s="88">
        <f t="shared" si="3"/>
        <v>9067.7000000000007</v>
      </c>
      <c r="N35" s="1135">
        <f t="shared" si="3"/>
        <v>9256.2000000000007</v>
      </c>
      <c r="O35" s="88">
        <f>SUM(O32:O34)</f>
        <v>171902</v>
      </c>
      <c r="P35" s="88">
        <f>SUM(P32:P34)</f>
        <v>26588</v>
      </c>
      <c r="Q35" s="117">
        <f>SUM(Q32:Q34)</f>
        <v>198490</v>
      </c>
      <c r="R35" s="91">
        <f>SUM(R32:R34)</f>
        <v>1131399</v>
      </c>
      <c r="S35" s="60"/>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c r="AP35" s="556"/>
    </row>
    <row r="36" spans="1:42" ht="7.15" customHeight="1">
      <c r="A36" s="556"/>
      <c r="B36" s="88"/>
      <c r="C36" s="100" t="s">
        <v>0</v>
      </c>
      <c r="D36" s="89" t="s">
        <v>0</v>
      </c>
      <c r="E36" s="88"/>
      <c r="F36" s="89" t="s">
        <v>0</v>
      </c>
      <c r="G36" s="89" t="s">
        <v>0</v>
      </c>
      <c r="H36" s="89" t="s">
        <v>0</v>
      </c>
      <c r="I36" s="88"/>
      <c r="J36" s="88"/>
      <c r="K36" s="90"/>
      <c r="L36" s="94"/>
      <c r="M36" s="88"/>
      <c r="N36" s="117"/>
      <c r="O36" s="88"/>
      <c r="P36" s="88" t="s">
        <v>0</v>
      </c>
      <c r="Q36" s="117"/>
      <c r="R36" s="91"/>
      <c r="S36" s="60"/>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c r="AP36" s="556"/>
    </row>
    <row r="37" spans="1:42">
      <c r="A37" s="556" t="s">
        <v>285</v>
      </c>
      <c r="B37" s="88"/>
      <c r="C37" s="100" t="s">
        <v>0</v>
      </c>
      <c r="D37" s="89" t="s">
        <v>0</v>
      </c>
      <c r="E37" s="88"/>
      <c r="F37" s="89" t="s">
        <v>0</v>
      </c>
      <c r="G37" s="89" t="s">
        <v>0</v>
      </c>
      <c r="H37" s="89" t="s">
        <v>0</v>
      </c>
      <c r="I37" s="88"/>
      <c r="J37" s="88"/>
      <c r="K37" s="90"/>
      <c r="L37" s="94"/>
      <c r="M37" s="88"/>
      <c r="N37" s="117"/>
      <c r="O37" s="88"/>
      <c r="P37" s="88" t="s">
        <v>0</v>
      </c>
      <c r="Q37" s="117"/>
      <c r="R37" s="91"/>
      <c r="S37" s="60"/>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c r="AP37" s="556"/>
    </row>
    <row r="38" spans="1:42">
      <c r="A38" s="556" t="s">
        <v>282</v>
      </c>
      <c r="B38" s="88">
        <f>+bichvar!B38</f>
        <v>0</v>
      </c>
      <c r="C38" s="88">
        <f>+bncvar!B38</f>
        <v>0</v>
      </c>
      <c r="D38" s="88">
        <f>+bphvar!B38</f>
        <v>0</v>
      </c>
      <c r="E38" s="88">
        <f>+buhvar!B38</f>
        <v>5671</v>
      </c>
      <c r="F38" s="88">
        <f>+capitalbkvar!B38</f>
        <v>0</v>
      </c>
      <c r="G38" s="88">
        <f>+promobkvar!B38</f>
        <v>1500</v>
      </c>
      <c r="H38" s="88">
        <f>+socabkvar!B38</f>
        <v>0</v>
      </c>
      <c r="I38" s="88">
        <f>+sogebkvar!B38</f>
        <v>143000</v>
      </c>
      <c r="J38" s="88">
        <f>+unibkvar!B38</f>
        <v>0</v>
      </c>
      <c r="K38" s="90">
        <f>SUM(B38:J38)</f>
        <v>150171</v>
      </c>
      <c r="L38" s="303">
        <f>+'bhdvar  '!B38</f>
        <v>0</v>
      </c>
      <c r="M38" s="88">
        <f>+sgbelvar!B38</f>
        <v>0</v>
      </c>
      <c r="N38" s="117">
        <f>+L38+M38</f>
        <v>0</v>
      </c>
      <c r="O38" s="88">
        <f>+cbnavar!B38</f>
        <v>0</v>
      </c>
      <c r="P38" s="88">
        <f>+scotiavar!B38</f>
        <v>0</v>
      </c>
      <c r="Q38" s="117">
        <f>SUM(O38:P38)</f>
        <v>0</v>
      </c>
      <c r="R38" s="91">
        <f>+K38+N38+Q38</f>
        <v>150171</v>
      </c>
      <c r="S38" s="60"/>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c r="AP38" s="556"/>
    </row>
    <row r="39" spans="1:42">
      <c r="A39" s="556" t="s">
        <v>286</v>
      </c>
      <c r="B39" s="88">
        <f>+bichvar!B39</f>
        <v>0</v>
      </c>
      <c r="C39" s="88">
        <f>+bncvar!B39</f>
        <v>0</v>
      </c>
      <c r="D39" s="88">
        <f>+bphvar!B39</f>
        <v>0</v>
      </c>
      <c r="E39" s="88">
        <f>+buhvar!B39</f>
        <v>0</v>
      </c>
      <c r="F39" s="88">
        <f>+capitalbkvar!B39</f>
        <v>0</v>
      </c>
      <c r="G39" s="88">
        <f>+promobkvar!B39</f>
        <v>0</v>
      </c>
      <c r="H39" s="88">
        <f>+socabkvar!B39</f>
        <v>0</v>
      </c>
      <c r="I39" s="88">
        <f>+sogebkvar!B39</f>
        <v>0</v>
      </c>
      <c r="J39" s="88">
        <f>+unibkvar!B39</f>
        <v>0</v>
      </c>
      <c r="K39" s="90">
        <f>SUM(B39:J39)</f>
        <v>0</v>
      </c>
      <c r="L39" s="303">
        <f>+'bhdvar  '!B39</f>
        <v>0</v>
      </c>
      <c r="M39" s="88">
        <f>+sgbelvar!B39</f>
        <v>0</v>
      </c>
      <c r="N39" s="117">
        <f>+L39+M39</f>
        <v>0</v>
      </c>
      <c r="O39" s="88">
        <f>+cbnavar!B39</f>
        <v>0</v>
      </c>
      <c r="P39" s="88">
        <f>+scotiavar!B39</f>
        <v>0</v>
      </c>
      <c r="Q39" s="117">
        <f>SUM(O39:P39)</f>
        <v>0</v>
      </c>
      <c r="R39" s="91">
        <f>+K39+N39+Q39</f>
        <v>0</v>
      </c>
      <c r="S39" s="60"/>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c r="AP39" s="556"/>
    </row>
    <row r="40" spans="1:42">
      <c r="A40" s="556" t="s">
        <v>284</v>
      </c>
      <c r="B40" s="221">
        <f>+bichvar!B40</f>
        <v>0</v>
      </c>
      <c r="C40" s="221">
        <f>+bncvar!B40</f>
        <v>6638</v>
      </c>
      <c r="D40" s="221">
        <f>+bphvar!B40</f>
        <v>18383.7</v>
      </c>
      <c r="E40" s="221">
        <f>+buhvar!B40</f>
        <v>36133</v>
      </c>
      <c r="F40" s="221">
        <f>+capitalbkvar!B40</f>
        <v>23116</v>
      </c>
      <c r="G40" s="221">
        <f>+promobkvar!B40</f>
        <v>37771</v>
      </c>
      <c r="H40" s="221">
        <f>+socabkvar!B40</f>
        <v>0</v>
      </c>
      <c r="I40" s="221">
        <f>+sogebkvar!B40</f>
        <v>71218</v>
      </c>
      <c r="J40" s="1090">
        <f>+unibkvar!B40</f>
        <v>41665.4</v>
      </c>
      <c r="K40" s="286">
        <f>SUM(B40:J40)</f>
        <v>234925.1</v>
      </c>
      <c r="L40" s="1132">
        <f>+'bhdvar  '!B40</f>
        <v>11276.7</v>
      </c>
      <c r="M40" s="1090">
        <f>+sgbelvar!B40</f>
        <v>16249</v>
      </c>
      <c r="N40" s="117">
        <f>+L40+M40</f>
        <v>27525.7</v>
      </c>
      <c r="O40" s="221">
        <f>+cbnavar!B40</f>
        <v>17175</v>
      </c>
      <c r="P40" s="1090">
        <f>+scotiavar!B40</f>
        <v>251</v>
      </c>
      <c r="Q40" s="286">
        <f>SUM(O40:P40)</f>
        <v>17426</v>
      </c>
      <c r="R40" s="1138">
        <f>+K40+N40+Q40</f>
        <v>279876.8</v>
      </c>
      <c r="S40" s="60"/>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row>
    <row r="41" spans="1:42">
      <c r="A41" s="556"/>
      <c r="B41" s="88">
        <f t="shared" ref="B41:N41" si="4">SUM(B38:B40)</f>
        <v>0</v>
      </c>
      <c r="C41" s="88">
        <f t="shared" si="4"/>
        <v>6638</v>
      </c>
      <c r="D41" s="88">
        <f t="shared" si="4"/>
        <v>18383.7</v>
      </c>
      <c r="E41" s="88">
        <f t="shared" si="4"/>
        <v>41804</v>
      </c>
      <c r="F41" s="88">
        <f t="shared" si="4"/>
        <v>23116</v>
      </c>
      <c r="G41" s="88">
        <f t="shared" si="4"/>
        <v>39271</v>
      </c>
      <c r="H41" s="88">
        <f t="shared" si="4"/>
        <v>0</v>
      </c>
      <c r="I41" s="88">
        <f t="shared" si="4"/>
        <v>214218</v>
      </c>
      <c r="J41" s="88">
        <f t="shared" si="4"/>
        <v>41665.4</v>
      </c>
      <c r="K41" s="90">
        <f t="shared" si="4"/>
        <v>385096.1</v>
      </c>
      <c r="L41" s="88">
        <f t="shared" si="4"/>
        <v>11276.7</v>
      </c>
      <c r="M41" s="88">
        <f t="shared" si="4"/>
        <v>16249</v>
      </c>
      <c r="N41" s="1134">
        <f t="shared" si="4"/>
        <v>27525.7</v>
      </c>
      <c r="O41" s="88">
        <f>SUM(O38:O40)</f>
        <v>17175</v>
      </c>
      <c r="P41" s="88">
        <f>SUM(P38:P40)</f>
        <v>251</v>
      </c>
      <c r="Q41" s="117">
        <f>SUM(Q38:Q40)</f>
        <v>17426</v>
      </c>
      <c r="R41" s="91">
        <f>SUM(R38:R40)</f>
        <v>430047.8</v>
      </c>
      <c r="S41" s="60"/>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row>
    <row r="42" spans="1:42" ht="8.4499999999999993" customHeight="1">
      <c r="A42" s="556"/>
      <c r="B42" s="88"/>
      <c r="C42" s="100" t="s">
        <v>0</v>
      </c>
      <c r="D42" s="89" t="s">
        <v>0</v>
      </c>
      <c r="E42" s="88"/>
      <c r="F42" s="89" t="s">
        <v>0</v>
      </c>
      <c r="G42" s="89" t="s">
        <v>0</v>
      </c>
      <c r="H42" s="89" t="s">
        <v>0</v>
      </c>
      <c r="I42" s="88"/>
      <c r="J42" s="88"/>
      <c r="K42" s="90"/>
      <c r="L42" s="94"/>
      <c r="M42" s="88"/>
      <c r="N42" s="117"/>
      <c r="O42" s="88"/>
      <c r="P42" s="88" t="s">
        <v>0</v>
      </c>
      <c r="Q42" s="117"/>
      <c r="R42" s="91"/>
      <c r="S42" s="60"/>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c r="AP42" s="556"/>
    </row>
    <row r="43" spans="1:42" ht="17.25">
      <c r="A43" s="556" t="s">
        <v>287</v>
      </c>
      <c r="B43" s="221">
        <f>+bichvar!B43</f>
        <v>0</v>
      </c>
      <c r="C43" s="221">
        <f>+bncvar!B43</f>
        <v>-77925</v>
      </c>
      <c r="D43" s="221">
        <f>+bphvar!B43</f>
        <v>3492.3</v>
      </c>
      <c r="E43" s="221">
        <f>+buhvar!B43</f>
        <v>2841</v>
      </c>
      <c r="F43" s="221">
        <f>+capitalbkvar!B43</f>
        <v>64482</v>
      </c>
      <c r="G43" s="221">
        <f>+promobkvar!B43</f>
        <v>33118</v>
      </c>
      <c r="H43" s="221">
        <f>+socabkvar!B43</f>
        <v>0</v>
      </c>
      <c r="I43" s="221">
        <f>+sogebkvar!B43</f>
        <v>81411</v>
      </c>
      <c r="J43" s="1090">
        <f>+unibkvar!B43</f>
        <v>40857.800000000003</v>
      </c>
      <c r="K43" s="286">
        <f>SUM(B43:J43)</f>
        <v>148277.1</v>
      </c>
      <c r="L43" s="1132">
        <f>+'bhdvar  '!B43</f>
        <v>0</v>
      </c>
      <c r="M43" s="1090">
        <f>+sgbelvar!B43</f>
        <v>1534.6</v>
      </c>
      <c r="N43" s="117">
        <f>+L43+M43</f>
        <v>1534.6</v>
      </c>
      <c r="O43" s="221">
        <f>+cbnavar!B43</f>
        <v>9864</v>
      </c>
      <c r="P43" s="1090">
        <f>+scotiavar!B43</f>
        <v>0</v>
      </c>
      <c r="Q43" s="286">
        <f>SUM(O43:P43)</f>
        <v>9864</v>
      </c>
      <c r="R43" s="1138">
        <f>+K43+N43+Q43</f>
        <v>159675.70000000001</v>
      </c>
      <c r="S43" s="64"/>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c r="AP43" s="556"/>
    </row>
    <row r="44" spans="1:42">
      <c r="A44" s="556"/>
      <c r="B44" s="88">
        <f t="shared" ref="B44:J44" si="5">+B29+B35+B41+B43</f>
        <v>5526.8</v>
      </c>
      <c r="C44" s="88">
        <f t="shared" si="5"/>
        <v>1766910</v>
      </c>
      <c r="D44" s="88">
        <f t="shared" si="5"/>
        <v>770862.70000000007</v>
      </c>
      <c r="E44" s="88">
        <f t="shared" si="5"/>
        <v>2109990</v>
      </c>
      <c r="F44" s="88">
        <f t="shared" si="5"/>
        <v>993239</v>
      </c>
      <c r="G44" s="88">
        <f t="shared" si="5"/>
        <v>1472610</v>
      </c>
      <c r="H44" s="88">
        <f t="shared" si="5"/>
        <v>2397662.4</v>
      </c>
      <c r="I44" s="88">
        <f t="shared" si="5"/>
        <v>5040742</v>
      </c>
      <c r="J44" s="88">
        <f t="shared" si="5"/>
        <v>3541991.9999999995</v>
      </c>
      <c r="K44" s="90">
        <f>SUM(B44:J44)</f>
        <v>18099534.899999999</v>
      </c>
      <c r="L44" s="88">
        <f>+L29+L35+L41+L43</f>
        <v>15741.2</v>
      </c>
      <c r="M44" s="88">
        <f>+M29+M35+M41+M43</f>
        <v>491530.19999999995</v>
      </c>
      <c r="N44" s="1134">
        <f>+N29+N35+N41+N43</f>
        <v>507271.39999999997</v>
      </c>
      <c r="O44" s="88">
        <f>+O29+O35+O41+O43</f>
        <v>1559429</v>
      </c>
      <c r="P44" s="88">
        <f>+P29+P35+P41+P43</f>
        <v>915627</v>
      </c>
      <c r="Q44" s="117">
        <f>SUM(O44:P44)</f>
        <v>2475056</v>
      </c>
      <c r="R44" s="91">
        <f>+K44+M44+Q44</f>
        <v>21066121.099999998</v>
      </c>
      <c r="S44" s="60"/>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c r="AP44" s="556"/>
    </row>
    <row r="45" spans="1:42" ht="15.6" customHeight="1">
      <c r="A45" s="556"/>
      <c r="B45" s="88"/>
      <c r="C45" s="100" t="s">
        <v>0</v>
      </c>
      <c r="D45" s="89" t="s">
        <v>0</v>
      </c>
      <c r="E45" s="88"/>
      <c r="F45" s="89" t="s">
        <v>0</v>
      </c>
      <c r="G45" s="89" t="s">
        <v>0</v>
      </c>
      <c r="H45" s="89" t="s">
        <v>0</v>
      </c>
      <c r="I45" s="88"/>
      <c r="J45" s="88"/>
      <c r="K45" s="90"/>
      <c r="L45" s="94"/>
      <c r="M45" s="88"/>
      <c r="N45" s="117"/>
      <c r="O45" s="88"/>
      <c r="P45" s="88" t="s">
        <v>0</v>
      </c>
      <c r="Q45" s="117"/>
      <c r="R45" s="91"/>
      <c r="S45" s="60"/>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c r="AP45" s="556"/>
    </row>
    <row r="46" spans="1:42">
      <c r="A46" s="562" t="s">
        <v>288</v>
      </c>
      <c r="B46" s="88"/>
      <c r="C46" s="100" t="s">
        <v>0</v>
      </c>
      <c r="D46" s="89" t="s">
        <v>0</v>
      </c>
      <c r="E46" s="88"/>
      <c r="F46" s="89" t="s">
        <v>0</v>
      </c>
      <c r="G46" s="89" t="s">
        <v>0</v>
      </c>
      <c r="H46" s="89" t="s">
        <v>0</v>
      </c>
      <c r="I46" s="88"/>
      <c r="J46" s="88"/>
      <c r="K46" s="90"/>
      <c r="L46" s="94"/>
      <c r="M46" s="88"/>
      <c r="N46" s="117"/>
      <c r="O46" s="88"/>
      <c r="P46" s="88" t="s">
        <v>0</v>
      </c>
      <c r="Q46" s="117"/>
      <c r="R46" s="91"/>
      <c r="S46" s="60"/>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c r="AP46" s="556"/>
    </row>
    <row r="47" spans="1:42">
      <c r="A47" s="556" t="s">
        <v>289</v>
      </c>
      <c r="B47" s="88">
        <f>+bichvar!B47</f>
        <v>5000</v>
      </c>
      <c r="C47" s="88">
        <f>+bncvar!B47</f>
        <v>25000</v>
      </c>
      <c r="D47" s="88">
        <f>+bphvar!B47</f>
        <v>5000</v>
      </c>
      <c r="E47" s="88">
        <f>+buhvar!B47</f>
        <v>36935</v>
      </c>
      <c r="F47" s="88">
        <f>+capitalbkvar!B47</f>
        <v>90000</v>
      </c>
      <c r="G47" s="88">
        <f>+promobkvar!B47</f>
        <v>43960</v>
      </c>
      <c r="H47" s="88">
        <f>+socabkvar!B47</f>
        <v>93083.4</v>
      </c>
      <c r="I47" s="88">
        <f>+sogebkvar!B47</f>
        <v>207935</v>
      </c>
      <c r="J47" s="88">
        <f>+unibkvar!B47</f>
        <v>100000</v>
      </c>
      <c r="K47" s="90">
        <f>SUM(B47:J47)</f>
        <v>606913.4</v>
      </c>
      <c r="L47" s="303">
        <f>+'bhdvar  '!B47</f>
        <v>11500</v>
      </c>
      <c r="M47" s="88">
        <f>+sgbelvar!B47</f>
        <v>20000</v>
      </c>
      <c r="N47" s="117">
        <f>+L47+M47</f>
        <v>31500</v>
      </c>
      <c r="O47" s="88">
        <f>+cbnavar!B47</f>
        <v>5000</v>
      </c>
      <c r="P47" s="88">
        <f>+scotiavar!B47</f>
        <v>35308</v>
      </c>
      <c r="Q47" s="117">
        <f>SUM(O47:P47)</f>
        <v>40308</v>
      </c>
      <c r="R47" s="91">
        <f>+K47+N47+Q47</f>
        <v>678721.4</v>
      </c>
      <c r="S47" s="60"/>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c r="AP47" s="556"/>
    </row>
    <row r="48" spans="1:42">
      <c r="A48" s="556" t="s">
        <v>290</v>
      </c>
      <c r="B48" s="88">
        <f>+bichvar!B48</f>
        <v>188.10000000000002</v>
      </c>
      <c r="C48" s="88">
        <f>+bncvar!B48</f>
        <v>10079</v>
      </c>
      <c r="D48" s="88">
        <f>+bphvar!B48</f>
        <v>1771.9</v>
      </c>
      <c r="E48" s="88">
        <f>+buhvar!B48</f>
        <v>1939</v>
      </c>
      <c r="F48" s="88">
        <f>+capitalbkvar!B48</f>
        <v>3652</v>
      </c>
      <c r="G48" s="88">
        <f>+promobkvar!B48</f>
        <v>6969</v>
      </c>
      <c r="H48" s="88">
        <f>+socabkvar!B48</f>
        <v>5168.7</v>
      </c>
      <c r="I48" s="88">
        <f>+sogebkvar!B48</f>
        <v>32581</v>
      </c>
      <c r="J48" s="88">
        <f>+unibkvar!B48</f>
        <v>17415.2</v>
      </c>
      <c r="K48" s="90">
        <f>SUM(B48:J48)</f>
        <v>79763.899999999994</v>
      </c>
      <c r="L48" s="303">
        <f>+'bhdvar  '!B48</f>
        <v>0</v>
      </c>
      <c r="M48" s="88">
        <f>+sgbelvar!B48</f>
        <v>3724.3</v>
      </c>
      <c r="N48" s="117">
        <f>+L48+M48</f>
        <v>3724.3</v>
      </c>
      <c r="O48" s="88">
        <f>+cbnavar!B48</f>
        <v>2500</v>
      </c>
      <c r="P48" s="88">
        <f>+scotiavar!B48</f>
        <v>2500</v>
      </c>
      <c r="Q48" s="117">
        <f>SUM(O48:P48)</f>
        <v>5000</v>
      </c>
      <c r="R48" s="91">
        <f>+K48+N48+Q48</f>
        <v>88488.2</v>
      </c>
      <c r="S48" s="60"/>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c r="AP48" s="556"/>
    </row>
    <row r="49" spans="1:42">
      <c r="A49" s="556" t="s">
        <v>291</v>
      </c>
      <c r="B49" s="88">
        <f>+bichvar!B49</f>
        <v>0</v>
      </c>
      <c r="C49" s="88">
        <f>+bncvar!B49</f>
        <v>0</v>
      </c>
      <c r="D49" s="88">
        <f>+bphvar!B49</f>
        <v>0</v>
      </c>
      <c r="E49" s="88">
        <f>+buhvar!B49</f>
        <v>12722</v>
      </c>
      <c r="F49" s="88">
        <f>+capitalbkvar!B49</f>
        <v>878</v>
      </c>
      <c r="G49" s="88">
        <f>+promobkvar!B49</f>
        <v>21551</v>
      </c>
      <c r="H49" s="88">
        <f>+socabkvar!B49</f>
        <v>68.400000000000006</v>
      </c>
      <c r="I49" s="88">
        <f>+sogebkvar!B49</f>
        <v>56105</v>
      </c>
      <c r="J49" s="88">
        <f>+unibkvar!B49</f>
        <v>11786.3</v>
      </c>
      <c r="K49" s="90">
        <f>SUM(B49:J49)</f>
        <v>103110.7</v>
      </c>
      <c r="L49" s="303">
        <f>+'bhdvar  '!B49</f>
        <v>805</v>
      </c>
      <c r="M49" s="88">
        <f>+sgbelvar!B49</f>
        <v>0</v>
      </c>
      <c r="N49" s="117">
        <f>+L49+M49</f>
        <v>805</v>
      </c>
      <c r="O49" s="88">
        <f>+cbnavar!B49</f>
        <v>10172</v>
      </c>
      <c r="P49" s="88">
        <f>+scotiavar!B49</f>
        <v>0</v>
      </c>
      <c r="Q49" s="117">
        <f>SUM(O49:P49)</f>
        <v>10172</v>
      </c>
      <c r="R49" s="91">
        <f>+K49+N49+Q49</f>
        <v>114087.7</v>
      </c>
      <c r="S49" s="60"/>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c r="AP49" s="556"/>
    </row>
    <row r="50" spans="1:42" ht="17.25">
      <c r="A50" s="556" t="s">
        <v>292</v>
      </c>
      <c r="B50" s="221">
        <f>+bichvar!B50</f>
        <v>601.5</v>
      </c>
      <c r="C50" s="221">
        <f>+bncvar!B50</f>
        <v>10745</v>
      </c>
      <c r="D50" s="221">
        <f>+bphvar!B50</f>
        <v>22715.1</v>
      </c>
      <c r="E50" s="221">
        <f>+buhvar!B50</f>
        <v>-46402</v>
      </c>
      <c r="F50" s="221">
        <f>+capitalbkvar!B50</f>
        <v>25294</v>
      </c>
      <c r="G50" s="221">
        <f>+promobkvar!B50</f>
        <v>22891</v>
      </c>
      <c r="H50" s="221">
        <f>+socabkvar!B50</f>
        <v>24634.799999999999</v>
      </c>
      <c r="I50" s="221">
        <f>+sogebkvar!B50</f>
        <v>63733</v>
      </c>
      <c r="J50" s="1090">
        <f>+unibkvar!B50</f>
        <v>70893.2</v>
      </c>
      <c r="K50" s="286">
        <f>SUM(B50:J50)</f>
        <v>195105.59999999998</v>
      </c>
      <c r="L50" s="1132">
        <f>+'bhdvar  '!B50</f>
        <v>115.4</v>
      </c>
      <c r="M50" s="1090">
        <f>+sgbelvar!B50</f>
        <v>19678.099999999999</v>
      </c>
      <c r="N50" s="117">
        <f>+L50+M50</f>
        <v>19793.5</v>
      </c>
      <c r="O50" s="221">
        <f>+cbnavar!B50</f>
        <v>29681</v>
      </c>
      <c r="P50" s="1090">
        <f>+scotiavar!B50</f>
        <v>4103</v>
      </c>
      <c r="Q50" s="286">
        <f>SUM(O50:P50)</f>
        <v>33784</v>
      </c>
      <c r="R50" s="1138">
        <f>+K50+N50+Q50</f>
        <v>248683.09999999998</v>
      </c>
      <c r="S50" s="60"/>
      <c r="T50" s="561"/>
      <c r="U50" s="561"/>
      <c r="V50" s="561"/>
      <c r="W50" s="556"/>
      <c r="X50" s="556"/>
      <c r="Y50" s="556"/>
      <c r="Z50" s="556"/>
      <c r="AA50" s="556"/>
      <c r="AB50" s="556"/>
      <c r="AC50" s="556"/>
      <c r="AD50" s="556"/>
      <c r="AE50" s="556"/>
      <c r="AF50" s="556"/>
      <c r="AG50" s="556"/>
      <c r="AH50" s="556"/>
      <c r="AI50" s="556"/>
      <c r="AJ50" s="556"/>
      <c r="AK50" s="556"/>
      <c r="AL50" s="556"/>
      <c r="AM50" s="556"/>
      <c r="AN50" s="556"/>
      <c r="AO50" s="556"/>
      <c r="AP50" s="556"/>
    </row>
    <row r="51" spans="1:42" ht="16.5" thickBot="1">
      <c r="A51" s="556" t="s">
        <v>275</v>
      </c>
      <c r="B51" s="99">
        <f t="shared" ref="B51:J51" si="6">SUM(B47:B50)</f>
        <v>5789.6</v>
      </c>
      <c r="C51" s="99">
        <f t="shared" si="6"/>
        <v>45824</v>
      </c>
      <c r="D51" s="99">
        <f t="shared" si="6"/>
        <v>29487</v>
      </c>
      <c r="E51" s="99">
        <f t="shared" si="6"/>
        <v>5194</v>
      </c>
      <c r="F51" s="99">
        <f t="shared" si="6"/>
        <v>119824</v>
      </c>
      <c r="G51" s="99">
        <f t="shared" si="6"/>
        <v>95371</v>
      </c>
      <c r="H51" s="99">
        <f t="shared" si="6"/>
        <v>122955.29999999999</v>
      </c>
      <c r="I51" s="99">
        <f t="shared" si="6"/>
        <v>360354</v>
      </c>
      <c r="J51" s="99">
        <f t="shared" si="6"/>
        <v>200094.7</v>
      </c>
      <c r="K51" s="97">
        <f>SUM(B51:J51)</f>
        <v>984893.59999999986</v>
      </c>
      <c r="L51" s="99">
        <f t="shared" ref="L51:R51" si="7">SUM(L47:L50)</f>
        <v>12420.4</v>
      </c>
      <c r="M51" s="99">
        <f t="shared" si="7"/>
        <v>43402.399999999994</v>
      </c>
      <c r="N51" s="1133">
        <f t="shared" si="7"/>
        <v>55822.8</v>
      </c>
      <c r="O51" s="99">
        <f t="shared" si="7"/>
        <v>47353</v>
      </c>
      <c r="P51" s="99">
        <f t="shared" si="7"/>
        <v>41911</v>
      </c>
      <c r="Q51" s="119">
        <f t="shared" si="7"/>
        <v>89264</v>
      </c>
      <c r="R51" s="96">
        <f t="shared" si="7"/>
        <v>1129980.3999999999</v>
      </c>
      <c r="S51" s="60"/>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c r="AP51" s="556"/>
    </row>
    <row r="52" spans="1:42">
      <c r="A52" s="556" t="s">
        <v>0</v>
      </c>
      <c r="B52" s="91">
        <f t="shared" ref="B52:N52" si="8">+B29+B35+B41+B43+B51</f>
        <v>11316.400000000001</v>
      </c>
      <c r="C52" s="91">
        <f t="shared" si="8"/>
        <v>1812734</v>
      </c>
      <c r="D52" s="91">
        <f t="shared" si="8"/>
        <v>800349.70000000007</v>
      </c>
      <c r="E52" s="91">
        <f t="shared" si="8"/>
        <v>2115184</v>
      </c>
      <c r="F52" s="91">
        <f t="shared" si="8"/>
        <v>1113063</v>
      </c>
      <c r="G52" s="91">
        <f t="shared" si="8"/>
        <v>1567981</v>
      </c>
      <c r="H52" s="91">
        <f t="shared" si="8"/>
        <v>2520617.6999999997</v>
      </c>
      <c r="I52" s="91">
        <f t="shared" si="8"/>
        <v>5401096</v>
      </c>
      <c r="J52" s="91">
        <f t="shared" si="8"/>
        <v>3742086.6999999997</v>
      </c>
      <c r="K52" s="90">
        <f t="shared" si="8"/>
        <v>19084428.500000007</v>
      </c>
      <c r="L52" s="91">
        <f t="shared" si="8"/>
        <v>28161.599999999999</v>
      </c>
      <c r="M52" s="91">
        <f t="shared" si="8"/>
        <v>534932.6</v>
      </c>
      <c r="N52" s="91">
        <f t="shared" si="8"/>
        <v>563094.19999999995</v>
      </c>
      <c r="O52" s="91">
        <f>+O29+O35+O41+O43+O51</f>
        <v>1606782</v>
      </c>
      <c r="P52" s="91">
        <f>+P29+P35+P41+P43+P51</f>
        <v>957538</v>
      </c>
      <c r="Q52" s="117">
        <f>+Q29+Q35+Q41+Q43+Q51</f>
        <v>2564320</v>
      </c>
      <c r="R52" s="91">
        <f>(+R29+R35+R41+R43+R51)</f>
        <v>22211842.699999999</v>
      </c>
      <c r="S52" s="60"/>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row>
    <row r="53" spans="1:42">
      <c r="A53" s="556"/>
      <c r="B53" s="60"/>
      <c r="C53" s="61"/>
      <c r="D53" s="61"/>
      <c r="E53" s="60"/>
      <c r="F53" s="61"/>
      <c r="G53" s="61"/>
      <c r="H53" s="61"/>
      <c r="I53" s="60"/>
      <c r="J53" s="60"/>
      <c r="K53" s="60"/>
      <c r="L53" s="60"/>
      <c r="M53" s="60"/>
      <c r="N53" s="1067"/>
      <c r="O53" s="60"/>
      <c r="P53" s="61"/>
      <c r="Q53" s="60"/>
      <c r="R53" s="60"/>
      <c r="S53" s="60"/>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row>
    <row r="54" spans="1:42">
      <c r="A54" s="556"/>
      <c r="B54" s="60"/>
      <c r="C54" s="61"/>
      <c r="D54" s="61"/>
      <c r="E54" s="60"/>
      <c r="F54" s="61"/>
      <c r="G54" s="61"/>
      <c r="H54" s="61"/>
      <c r="I54" s="60"/>
      <c r="J54" s="60"/>
      <c r="K54" s="60"/>
      <c r="L54" s="60"/>
      <c r="M54" s="60"/>
      <c r="N54" s="1067"/>
      <c r="O54" s="60"/>
      <c r="P54" s="61"/>
      <c r="Q54" s="60"/>
      <c r="R54" s="60"/>
      <c r="S54" s="60"/>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c r="AP54" s="556"/>
    </row>
    <row r="55" spans="1:42">
      <c r="A55" s="563" t="s">
        <v>293</v>
      </c>
      <c r="B55" s="555"/>
      <c r="C55" s="88" t="s">
        <v>0</v>
      </c>
      <c r="D55" s="555"/>
      <c r="E55" s="555"/>
      <c r="F55" s="555"/>
      <c r="G55" s="555"/>
      <c r="H55" s="555"/>
      <c r="I55" s="555"/>
      <c r="J55" s="555"/>
      <c r="K55" s="555"/>
      <c r="L55" s="555"/>
      <c r="M55" s="555"/>
      <c r="N55" s="1068"/>
      <c r="O55" s="555"/>
      <c r="P55" s="555"/>
      <c r="Q55" s="60"/>
      <c r="R55" s="60"/>
      <c r="S55" s="60"/>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c r="AP55" s="556"/>
    </row>
    <row r="56" spans="1:42">
      <c r="A56" s="555" t="s">
        <v>407</v>
      </c>
      <c r="B56" s="88">
        <f>+bichvar!B56</f>
        <v>0</v>
      </c>
      <c r="C56" s="88">
        <f>+bncvar!B56</f>
        <v>0</v>
      </c>
      <c r="D56" s="88">
        <f>+bphvar!B56</f>
        <v>0</v>
      </c>
      <c r="E56" s="88">
        <f>+buhvar!B56</f>
        <v>0</v>
      </c>
      <c r="F56" s="88">
        <f>+capitalbkvar!B56</f>
        <v>0</v>
      </c>
      <c r="G56" s="88">
        <f>+promobkvar!B56</f>
        <v>8755</v>
      </c>
      <c r="H56" s="88">
        <f>+socabkvar!B56</f>
        <v>0</v>
      </c>
      <c r="I56" s="88">
        <f>+sogebkvar!B56</f>
        <v>22364.3</v>
      </c>
      <c r="J56" s="88">
        <f>+unibkvar!B56</f>
        <v>4082.4</v>
      </c>
      <c r="K56" s="90">
        <f>SUM(B56:J56)</f>
        <v>35201.699999999997</v>
      </c>
      <c r="L56" s="303">
        <f>+'bhdvar  '!B56</f>
        <v>0</v>
      </c>
      <c r="M56" s="88">
        <f>+sgbelvar!B56</f>
        <v>0</v>
      </c>
      <c r="N56" s="117">
        <f>+L56+M56</f>
        <v>0</v>
      </c>
      <c r="O56" s="88">
        <f>+cbnavar!B56</f>
        <v>3975</v>
      </c>
      <c r="P56" s="88">
        <f>+scotiavar!B56</f>
        <v>0</v>
      </c>
      <c r="Q56" s="117">
        <f>SUM(O56:P56)</f>
        <v>3975</v>
      </c>
      <c r="R56" s="91">
        <f>+K56+N56+Q56</f>
        <v>39176.699999999997</v>
      </c>
      <c r="S56" s="60"/>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c r="AP56" s="556"/>
    </row>
    <row r="57" spans="1:42">
      <c r="A57" s="555" t="s">
        <v>408</v>
      </c>
      <c r="B57" s="88">
        <f>+bichvar!B57</f>
        <v>0</v>
      </c>
      <c r="C57" s="88">
        <f>+bncvar!B57</f>
        <v>0</v>
      </c>
      <c r="D57" s="88">
        <f>+bphvar!B57</f>
        <v>0</v>
      </c>
      <c r="E57" s="88">
        <f>+buhvar!B57</f>
        <v>0</v>
      </c>
      <c r="F57" s="88">
        <f>+capitalbkvar!B57</f>
        <v>0</v>
      </c>
      <c r="G57" s="88">
        <f>+promobkvar!B57</f>
        <v>45675</v>
      </c>
      <c r="H57" s="88">
        <f>+socabkvar!B57</f>
        <v>48625.1</v>
      </c>
      <c r="I57" s="88">
        <f>+sogebkvar!B57</f>
        <v>184666.1</v>
      </c>
      <c r="J57" s="88">
        <f>+unibkvar!B57</f>
        <v>180243.1</v>
      </c>
      <c r="K57" s="90">
        <f>SUM(B57:J57)</f>
        <v>459209.30000000005</v>
      </c>
      <c r="L57" s="303">
        <f>+'bhdvar  '!B57</f>
        <v>0</v>
      </c>
      <c r="M57" s="88">
        <f>+sgbelvar!B57</f>
        <v>0</v>
      </c>
      <c r="N57" s="117">
        <f>+L57+M57</f>
        <v>0</v>
      </c>
      <c r="O57" s="88">
        <f>+cbnavar!B57</f>
        <v>54527</v>
      </c>
      <c r="P57" s="88">
        <f>+scotiavar!B57</f>
        <v>0</v>
      </c>
      <c r="Q57" s="117">
        <f>SUM(O57:P57)</f>
        <v>54527</v>
      </c>
      <c r="R57" s="91">
        <f>+K57+N57+Q57</f>
        <v>513736.30000000005</v>
      </c>
      <c r="S57" s="60"/>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c r="AP57" s="556"/>
    </row>
    <row r="58" spans="1:42">
      <c r="A58" s="555" t="s">
        <v>409</v>
      </c>
      <c r="B58" s="88">
        <f>+bichvar!B58</f>
        <v>0</v>
      </c>
      <c r="C58" s="88">
        <f>+bncvar!B58</f>
        <v>0</v>
      </c>
      <c r="D58" s="88">
        <f>+bphvar!B58</f>
        <v>45620.1</v>
      </c>
      <c r="E58" s="88">
        <f>+buhvar!B58</f>
        <v>67451</v>
      </c>
      <c r="F58" s="88">
        <f>+capitalbkvar!B58</f>
        <v>35956</v>
      </c>
      <c r="G58" s="88">
        <f>+promobkvar!B58</f>
        <v>97125</v>
      </c>
      <c r="H58" s="88">
        <f>+socabkvar!B58</f>
        <v>77964.2</v>
      </c>
      <c r="I58" s="88">
        <f>+sogebkvar!B58</f>
        <v>82023.7</v>
      </c>
      <c r="J58" s="88">
        <f>+unibkvar!B58</f>
        <v>40723.1</v>
      </c>
      <c r="K58" s="90">
        <f>SUM(B58:J58)</f>
        <v>446863.1</v>
      </c>
      <c r="L58" s="303">
        <f>+'bhdvar  '!B58</f>
        <v>0</v>
      </c>
      <c r="M58" s="88">
        <f>+sgbelvar!B58</f>
        <v>79428.600000000006</v>
      </c>
      <c r="N58" s="117">
        <f>+L58+M58</f>
        <v>79428.600000000006</v>
      </c>
      <c r="O58" s="88">
        <f>+cbnavar!B58</f>
        <v>177576</v>
      </c>
      <c r="P58" s="88">
        <f>+scotiavar!B58</f>
        <v>11380</v>
      </c>
      <c r="Q58" s="117">
        <f>SUM(O58:P58)</f>
        <v>188956</v>
      </c>
      <c r="R58" s="91">
        <f>+K58+N58+Q58</f>
        <v>715247.7</v>
      </c>
      <c r="S58" s="60"/>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c r="AP58" s="556"/>
    </row>
    <row r="59" spans="1:42">
      <c r="B59" s="88"/>
      <c r="C59" s="88" t="s">
        <v>0</v>
      </c>
      <c r="D59" s="88"/>
      <c r="F59" s="89"/>
      <c r="G59" s="88"/>
      <c r="H59" s="88"/>
      <c r="I59" s="88"/>
      <c r="J59" s="88"/>
      <c r="K59" s="94"/>
      <c r="L59" s="94"/>
      <c r="M59" s="88"/>
      <c r="N59" s="1066"/>
      <c r="O59" s="88"/>
      <c r="P59" s="88"/>
      <c r="Q59" s="118"/>
      <c r="R59" s="91"/>
      <c r="S59" s="60"/>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row>
    <row r="60" spans="1:42">
      <c r="A60" s="882" t="s">
        <v>410</v>
      </c>
      <c r="B60" s="88">
        <f>+bichvar!B60</f>
        <v>3752.9</v>
      </c>
      <c r="C60" s="88">
        <f>+bncvar!B60</f>
        <v>463471</v>
      </c>
      <c r="D60" s="88">
        <f>+bphvar!B60</f>
        <v>351036.3</v>
      </c>
      <c r="E60" s="88">
        <f>+buhvar!B60</f>
        <v>785886</v>
      </c>
      <c r="F60" s="88">
        <f>+capitalbkvar!B60</f>
        <v>509125</v>
      </c>
      <c r="G60" s="88">
        <f>+promobkvar!B60</f>
        <v>832528</v>
      </c>
      <c r="H60" s="88">
        <f>+socabkvar!B60</f>
        <v>1516685.5</v>
      </c>
      <c r="I60" s="88">
        <f>+sogebkvar!B60</f>
        <v>1811936</v>
      </c>
      <c r="J60" s="88">
        <f>+unibkvar!B60</f>
        <v>1518202.6</v>
      </c>
      <c r="K60" s="90">
        <f>SUM(B60:J60)</f>
        <v>7792623.3000000007</v>
      </c>
      <c r="L60" s="303">
        <f>+'bhdvar  '!B60</f>
        <v>5550.3</v>
      </c>
      <c r="M60" s="88">
        <f>+sgbelvar!B60</f>
        <v>353363.6</v>
      </c>
      <c r="N60" s="117">
        <f>+L60+M60</f>
        <v>358913.89999999997</v>
      </c>
      <c r="O60" s="88">
        <f>+cbnavar!B60</f>
        <v>755842</v>
      </c>
      <c r="P60" s="88">
        <f>+scotiavar!B60</f>
        <v>518016</v>
      </c>
      <c r="Q60" s="117">
        <f>SUM(O60:P60)</f>
        <v>1273858</v>
      </c>
      <c r="R60" s="91">
        <f>+K60+N60+Q60</f>
        <v>9425395.2000000011</v>
      </c>
      <c r="S60" s="60"/>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c r="AP60" s="556"/>
    </row>
    <row r="61" spans="1:42">
      <c r="A61" s="564" t="s">
        <v>411</v>
      </c>
      <c r="B61" s="88">
        <f>+bichvar!B61</f>
        <v>0</v>
      </c>
      <c r="C61" s="88">
        <f>+bncvar!B61</f>
        <v>117546</v>
      </c>
      <c r="D61" s="88">
        <f>+bphvar!B61</f>
        <v>34123.5</v>
      </c>
      <c r="E61" s="88">
        <f>+buhvar!B61</f>
        <v>39216</v>
      </c>
      <c r="F61" s="88">
        <f>+capitalbkvar!B61</f>
        <v>7325</v>
      </c>
      <c r="G61" s="88">
        <f>+promobkvar!B61</f>
        <v>59649</v>
      </c>
      <c r="H61" s="88">
        <f>+socabkvar!B61</f>
        <v>32477.5</v>
      </c>
      <c r="I61" s="88">
        <f>+sogebkvar!B61</f>
        <v>81007</v>
      </c>
      <c r="J61" s="88">
        <f>+unibkvar!B61</f>
        <v>28303.599999999999</v>
      </c>
      <c r="K61" s="90">
        <f>SUM(B61:J61)</f>
        <v>399647.6</v>
      </c>
      <c r="L61" s="303">
        <f>+'bhdvar  '!B61</f>
        <v>83.3</v>
      </c>
      <c r="M61" s="88">
        <f>+sgbelvar!B61</f>
        <v>11733</v>
      </c>
      <c r="N61" s="117">
        <f>+L61+M61</f>
        <v>11816.3</v>
      </c>
      <c r="O61" s="88">
        <f>+cbnavar!B61</f>
        <v>26682</v>
      </c>
      <c r="P61" s="88">
        <f>+scotiavar!B61</f>
        <v>23226</v>
      </c>
      <c r="Q61" s="117">
        <f>SUM(O61:P61)</f>
        <v>49908</v>
      </c>
      <c r="R61" s="91">
        <f>+K61+N61+Q61</f>
        <v>461371.89999999997</v>
      </c>
      <c r="S61" s="60"/>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c r="AP61" s="556"/>
    </row>
    <row r="62" spans="1:42">
      <c r="A62" s="882" t="s">
        <v>412</v>
      </c>
      <c r="B62" s="88">
        <f>+bichvar!B62</f>
        <v>0</v>
      </c>
      <c r="C62" s="88">
        <f>+bncvar!B62</f>
        <v>191454</v>
      </c>
      <c r="D62" s="88">
        <f>+bphvar!B62</f>
        <v>81253.600000000006</v>
      </c>
      <c r="E62" s="88">
        <f>+buhvar!B62</f>
        <v>68389</v>
      </c>
      <c r="F62" s="88">
        <f>+capitalbkvar!B62</f>
        <v>7430</v>
      </c>
      <c r="G62" s="88">
        <f>+promobkvar!B62</f>
        <v>64582</v>
      </c>
      <c r="H62" s="88">
        <f>+socabkvar!B62</f>
        <v>76651</v>
      </c>
      <c r="I62" s="88">
        <f>+sogebkvar!B62</f>
        <v>148920.70000000001</v>
      </c>
      <c r="J62" s="88">
        <f>+unibkvar!B62</f>
        <v>16560.900000000001</v>
      </c>
      <c r="K62" s="90">
        <f>SUM(B62:J62)</f>
        <v>655241.20000000007</v>
      </c>
      <c r="L62" s="303">
        <f>+'bhdvar  '!B62</f>
        <v>0</v>
      </c>
      <c r="M62" s="88">
        <f>+sgbelvar!B62</f>
        <v>35020</v>
      </c>
      <c r="N62" s="117">
        <f>+L62+M62</f>
        <v>35020</v>
      </c>
      <c r="O62" s="88">
        <f>+cbnavar!B62</f>
        <v>35324</v>
      </c>
      <c r="P62" s="88">
        <f>+scotiavar!B62</f>
        <v>81224</v>
      </c>
      <c r="Q62" s="117">
        <f>SUM(O62:P62)</f>
        <v>116548</v>
      </c>
      <c r="R62" s="91">
        <f>+K62+N62+Q62</f>
        <v>806809.20000000007</v>
      </c>
      <c r="S62" s="60"/>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c r="AP62" s="556"/>
    </row>
    <row r="63" spans="1:42">
      <c r="B63" s="555"/>
      <c r="C63" s="555"/>
      <c r="D63" s="555"/>
      <c r="E63" s="555"/>
      <c r="F63" s="555"/>
      <c r="G63" s="555"/>
      <c r="H63" s="555"/>
      <c r="I63" s="555"/>
      <c r="J63" s="555"/>
      <c r="K63" s="555"/>
      <c r="L63" s="555"/>
      <c r="M63" s="555"/>
      <c r="N63" s="555"/>
      <c r="O63" s="555"/>
      <c r="P63" s="555"/>
      <c r="Q63" s="60"/>
      <c r="R63" s="60"/>
      <c r="S63" s="60"/>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c r="AP63" s="556"/>
    </row>
    <row r="64" spans="1:42">
      <c r="B64" s="555"/>
      <c r="C64" s="555"/>
      <c r="D64" s="555"/>
      <c r="E64" s="555"/>
      <c r="F64" s="555"/>
      <c r="G64" s="555"/>
      <c r="H64" s="555"/>
      <c r="I64" s="555"/>
      <c r="J64" s="555"/>
      <c r="K64" s="555"/>
      <c r="L64" s="555"/>
      <c r="M64" s="555"/>
      <c r="N64" s="555"/>
      <c r="O64" s="555"/>
      <c r="P64" s="555"/>
      <c r="Q64" s="60"/>
      <c r="R64" s="60"/>
      <c r="S64" s="60"/>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row>
    <row r="65" spans="1:42">
      <c r="B65" s="555"/>
      <c r="C65" s="555"/>
      <c r="D65" s="555"/>
      <c r="E65" s="555"/>
      <c r="F65" s="555"/>
      <c r="G65" s="555"/>
      <c r="H65" s="555"/>
      <c r="I65" s="555"/>
      <c r="J65" s="555"/>
      <c r="K65" s="555"/>
      <c r="L65" s="555"/>
      <c r="M65" s="555"/>
      <c r="N65" s="555"/>
      <c r="O65" s="555"/>
      <c r="P65" s="555"/>
      <c r="Q65" s="60"/>
      <c r="R65" s="60"/>
      <c r="S65" s="60"/>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row>
    <row r="66" spans="1:42">
      <c r="B66" s="555"/>
      <c r="C66" s="555"/>
      <c r="D66" s="555"/>
      <c r="E66" s="555"/>
      <c r="F66" s="555"/>
      <c r="G66" s="555"/>
      <c r="H66" s="555"/>
      <c r="I66" s="555"/>
      <c r="J66" s="555"/>
      <c r="K66" s="555"/>
      <c r="L66" s="555"/>
      <c r="M66" s="555"/>
      <c r="N66" s="555"/>
      <c r="O66" s="555"/>
      <c r="P66" s="555"/>
      <c r="Q66" s="60"/>
      <c r="R66" s="60"/>
      <c r="S66" s="60"/>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c r="AP66" s="556"/>
    </row>
    <row r="67" spans="1:42">
      <c r="B67" s="555"/>
      <c r="C67" s="555"/>
      <c r="D67" s="555"/>
      <c r="E67" s="555"/>
      <c r="F67" s="555"/>
      <c r="G67" s="555"/>
      <c r="H67" s="555"/>
      <c r="I67" s="555"/>
      <c r="J67" s="555"/>
      <c r="K67" s="555"/>
      <c r="L67" s="555"/>
      <c r="M67" s="555"/>
      <c r="N67" s="555"/>
      <c r="O67" s="555"/>
      <c r="P67" s="555"/>
      <c r="Q67" s="60"/>
      <c r="R67" s="60"/>
      <c r="S67" s="60"/>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c r="AP67" s="556"/>
    </row>
    <row r="68" spans="1:42">
      <c r="B68" s="16">
        <v>4294.1000000000004</v>
      </c>
      <c r="C68" s="12">
        <v>1383412.1</v>
      </c>
      <c r="D68" s="12">
        <v>350531.6</v>
      </c>
      <c r="E68" s="12">
        <v>1042144.1</v>
      </c>
      <c r="F68" s="12">
        <v>232377.04</v>
      </c>
      <c r="G68" s="12">
        <v>681729.2</v>
      </c>
      <c r="H68" s="12">
        <v>303485.09999999998</v>
      </c>
      <c r="I68" s="12">
        <v>1690133.5</v>
      </c>
      <c r="J68" s="12">
        <v>819036.5</v>
      </c>
      <c r="K68" s="90">
        <f>SUM(B68:J68)</f>
        <v>6507143.2400000002</v>
      </c>
      <c r="L68" s="94"/>
      <c r="M68" s="12">
        <v>267070.8</v>
      </c>
      <c r="O68" s="12">
        <v>372517.7</v>
      </c>
      <c r="P68" s="12">
        <v>596702.69999999995</v>
      </c>
      <c r="Q68" s="117">
        <f>SUM(O68:P68)</f>
        <v>969220.39999999991</v>
      </c>
      <c r="R68" s="91" t="e">
        <f>+K68+#REF!+Q68</f>
        <v>#REF!</v>
      </c>
      <c r="S68" s="60"/>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c r="AP68" s="556"/>
    </row>
    <row r="69" spans="1:42">
      <c r="A69" s="555" t="s">
        <v>413</v>
      </c>
      <c r="B69" s="12">
        <f>+'bichgdes&amp;$'!B29</f>
        <v>0</v>
      </c>
      <c r="C69" s="12">
        <f>+'bncgdes&amp;$ '!B29</f>
        <v>63845</v>
      </c>
      <c r="D69" s="12">
        <f>+'bphgdes&amp;$'!B29</f>
        <v>69658.7</v>
      </c>
      <c r="E69" s="12">
        <f>+'buhgdes&amp;$'!B29</f>
        <v>512195</v>
      </c>
      <c r="F69" s="12">
        <f>+'capitalbkgdes&amp;$'!B29</f>
        <v>339704</v>
      </c>
      <c r="G69" s="12">
        <f>+'promobkgdes&amp;$'!B29</f>
        <v>575210</v>
      </c>
      <c r="H69" s="12">
        <f>+'socabkgdes&amp;$ '!B29</f>
        <v>1037123.2000000001</v>
      </c>
      <c r="I69" s="12">
        <f>+'sogebkgdes&amp;$  '!B29</f>
        <v>1435058</v>
      </c>
      <c r="J69" s="12">
        <f>+'unibkgdes&amp;$'!B29</f>
        <v>1623639.9000000001</v>
      </c>
      <c r="K69" s="90">
        <f>SUM(B69:J69)</f>
        <v>5656433.7999999998</v>
      </c>
      <c r="L69" s="94"/>
      <c r="M69" s="12">
        <f>+'sgbelgdes&amp;$'!B29</f>
        <v>125932.3</v>
      </c>
      <c r="O69" s="12">
        <f>+'cbnagdes&amp;$'!B29</f>
        <v>636523</v>
      </c>
      <c r="P69" s="12">
        <f>+'scotiagdes&amp;$'!B29</f>
        <v>111867</v>
      </c>
      <c r="Q69" s="117">
        <f>SUM(O69:P69)</f>
        <v>748390</v>
      </c>
      <c r="R69" s="91" t="e">
        <f>+K69+#REF!+Q69</f>
        <v>#REF!</v>
      </c>
      <c r="S69" s="60"/>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c r="AP69" s="556"/>
    </row>
    <row r="70" spans="1:42">
      <c r="B70" s="555"/>
      <c r="C70" s="555"/>
      <c r="D70" s="555"/>
      <c r="E70" s="555"/>
      <c r="F70" s="555"/>
      <c r="G70" s="555"/>
      <c r="H70" s="555"/>
      <c r="I70" s="555"/>
      <c r="J70" s="555"/>
      <c r="K70" s="555"/>
      <c r="L70" s="555"/>
      <c r="M70" s="555"/>
      <c r="N70" s="555"/>
      <c r="O70" s="555"/>
      <c r="P70" s="555"/>
      <c r="Q70" s="60"/>
      <c r="R70" s="60"/>
      <c r="S70" s="60"/>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c r="AP70" s="556"/>
    </row>
    <row r="71" spans="1:42">
      <c r="B71" s="555"/>
      <c r="C71" s="555"/>
      <c r="D71" s="555"/>
      <c r="E71" s="555"/>
      <c r="F71" s="555"/>
      <c r="G71" s="555"/>
      <c r="H71" s="555"/>
      <c r="I71" s="555"/>
      <c r="J71" s="555"/>
      <c r="K71" s="555"/>
      <c r="L71" s="555"/>
      <c r="M71" s="555"/>
      <c r="N71" s="555"/>
      <c r="O71" s="555"/>
      <c r="P71" s="555"/>
      <c r="Q71" s="60"/>
      <c r="R71" s="60"/>
      <c r="S71" s="60"/>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c r="AP71" s="556"/>
    </row>
    <row r="72" spans="1:42">
      <c r="B72" s="555"/>
      <c r="C72" s="555"/>
      <c r="D72" s="555"/>
      <c r="E72" s="555"/>
      <c r="F72" s="555"/>
      <c r="G72" s="555"/>
      <c r="H72" s="555"/>
      <c r="I72" s="555"/>
      <c r="J72" s="555"/>
      <c r="K72" s="555"/>
      <c r="L72" s="555"/>
      <c r="M72" s="555"/>
      <c r="N72" s="555"/>
      <c r="O72" s="555"/>
      <c r="P72" s="555"/>
      <c r="Q72" s="60"/>
      <c r="R72" s="60"/>
      <c r="S72" s="60"/>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c r="AP72" s="556"/>
    </row>
    <row r="73" spans="1:42">
      <c r="B73" s="555"/>
      <c r="C73" s="555"/>
      <c r="D73" s="555"/>
      <c r="E73" s="555"/>
      <c r="F73" s="555"/>
      <c r="G73" s="555"/>
      <c r="H73" s="555"/>
      <c r="I73" s="555"/>
      <c r="J73" s="555"/>
      <c r="K73" s="555"/>
      <c r="L73" s="555"/>
      <c r="M73" s="555"/>
      <c r="N73" s="555"/>
      <c r="O73" s="555"/>
      <c r="P73" s="555"/>
      <c r="Q73" s="60"/>
      <c r="R73" s="60"/>
      <c r="S73" s="60"/>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c r="AP73" s="556"/>
    </row>
    <row r="74" spans="1:42">
      <c r="A74" s="554" t="s">
        <v>414</v>
      </c>
      <c r="B74" s="569"/>
      <c r="C74" s="569"/>
      <c r="D74" s="1155" t="s">
        <v>415</v>
      </c>
      <c r="E74" s="1155"/>
      <c r="H74" s="554" t="s">
        <v>416</v>
      </c>
      <c r="I74" s="554"/>
      <c r="K74" s="554" t="s">
        <v>417</v>
      </c>
      <c r="L74" s="569"/>
      <c r="M74" s="555"/>
      <c r="N74" s="555"/>
      <c r="O74" s="555"/>
      <c r="P74" s="555"/>
      <c r="Q74" s="60"/>
      <c r="R74" s="60"/>
      <c r="S74" s="60"/>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c r="AP74" s="556"/>
    </row>
    <row r="75" spans="1:42">
      <c r="A75" s="554"/>
      <c r="B75" s="569"/>
      <c r="C75" s="555"/>
      <c r="D75" s="555"/>
      <c r="H75" s="555"/>
      <c r="I75" s="555"/>
      <c r="K75" s="555"/>
      <c r="L75" s="555"/>
      <c r="M75" s="555"/>
      <c r="N75" s="555"/>
      <c r="O75" s="555"/>
      <c r="P75" s="555"/>
      <c r="Q75" s="60"/>
      <c r="R75" s="60"/>
      <c r="S75" s="60"/>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c r="AP75" s="556"/>
    </row>
    <row r="76" spans="1:42">
      <c r="A76" s="571" t="s">
        <v>105</v>
      </c>
      <c r="B76" s="570">
        <f>+sogebkvar!B15</f>
        <v>1784628</v>
      </c>
      <c r="C76" s="1154" t="s">
        <v>0</v>
      </c>
      <c r="D76" s="571" t="s">
        <v>105</v>
      </c>
      <c r="E76" s="12">
        <f>+sogebkvar!B17</f>
        <v>935000</v>
      </c>
      <c r="H76" s="571" t="s">
        <v>105</v>
      </c>
      <c r="I76" s="570">
        <f>+sogebkvar!B19</f>
        <v>1730929</v>
      </c>
      <c r="K76" s="571" t="s">
        <v>105</v>
      </c>
      <c r="L76" s="570">
        <f>+sogebkvar!B51</f>
        <v>360354</v>
      </c>
      <c r="M76" s="555"/>
      <c r="N76" s="555"/>
      <c r="O76" s="555"/>
      <c r="P76" s="555"/>
      <c r="Q76" s="60"/>
      <c r="R76" s="60"/>
      <c r="S76" s="60"/>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row>
    <row r="77" spans="1:42">
      <c r="A77" s="571" t="s">
        <v>106</v>
      </c>
      <c r="B77" s="570">
        <f>+unibkvar!B15</f>
        <v>1121302</v>
      </c>
      <c r="C77" s="1154" t="s">
        <v>0</v>
      </c>
      <c r="D77" s="571" t="s">
        <v>108</v>
      </c>
      <c r="E77" s="12">
        <f>+sogebkvar!B17</f>
        <v>935000</v>
      </c>
      <c r="H77" s="571" t="s">
        <v>106</v>
      </c>
      <c r="I77" s="570">
        <f>+unibkvar!B19</f>
        <v>1489899</v>
      </c>
      <c r="K77" s="571" t="s">
        <v>106</v>
      </c>
      <c r="L77" s="570">
        <f>+unibkvar!B51</f>
        <v>200094.7</v>
      </c>
      <c r="M77" s="555"/>
      <c r="N77" s="555"/>
      <c r="O77" s="555"/>
      <c r="P77" s="555"/>
      <c r="Q77" s="60"/>
      <c r="R77" s="60"/>
      <c r="S77" s="60"/>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row>
    <row r="78" spans="1:42">
      <c r="A78" s="571" t="s">
        <v>102</v>
      </c>
      <c r="B78" s="570">
        <f>+buhvar!B15</f>
        <v>788125</v>
      </c>
      <c r="C78" s="1154" t="s">
        <v>0</v>
      </c>
      <c r="D78" s="571" t="s">
        <v>100</v>
      </c>
      <c r="E78" s="12">
        <f>+bncvar!B17</f>
        <v>389000</v>
      </c>
      <c r="H78" s="571" t="s">
        <v>104</v>
      </c>
      <c r="I78" s="570">
        <f>+socabkvar!B19</f>
        <v>1484208</v>
      </c>
      <c r="K78" s="571" t="s">
        <v>104</v>
      </c>
      <c r="L78" s="570">
        <f>+socabkvar!B51</f>
        <v>122955.29999999999</v>
      </c>
      <c r="M78" s="555"/>
      <c r="N78" s="555"/>
      <c r="O78" s="555"/>
      <c r="P78" s="555"/>
      <c r="Q78" s="60"/>
      <c r="R78" s="60"/>
      <c r="S78" s="60"/>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c r="AP78" s="556"/>
    </row>
    <row r="79" spans="1:42">
      <c r="A79" s="571" t="s">
        <v>104</v>
      </c>
      <c r="B79" s="570">
        <f>+socabkvar!B15</f>
        <v>718944.5</v>
      </c>
      <c r="C79" s="1154" t="s">
        <v>0</v>
      </c>
      <c r="D79" s="571" t="s">
        <v>106</v>
      </c>
      <c r="E79" s="12">
        <f>+unibkvar!B17</f>
        <v>270000</v>
      </c>
      <c r="H79" s="571" t="s">
        <v>103</v>
      </c>
      <c r="I79" s="570">
        <f>+promobkvar!B19</f>
        <v>772879</v>
      </c>
      <c r="K79" s="571" t="s">
        <v>107</v>
      </c>
      <c r="L79" s="570">
        <f>+capitalbkvar!B51</f>
        <v>119824</v>
      </c>
      <c r="M79" s="555"/>
      <c r="N79" s="555"/>
      <c r="O79" s="555"/>
      <c r="P79" s="555"/>
      <c r="Q79" s="60"/>
      <c r="R79" s="60"/>
      <c r="S79" s="60"/>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c r="AP79" s="556"/>
    </row>
    <row r="80" spans="1:42">
      <c r="A80" s="571" t="s">
        <v>100</v>
      </c>
      <c r="B80" s="570">
        <f>+bncvar!B15</f>
        <v>676338</v>
      </c>
      <c r="C80" s="1154" t="s">
        <v>0</v>
      </c>
      <c r="D80" s="571" t="s">
        <v>101</v>
      </c>
      <c r="E80" s="12">
        <f>+bphvar!B17</f>
        <v>155000</v>
      </c>
      <c r="H80" s="571" t="s">
        <v>102</v>
      </c>
      <c r="I80" s="570">
        <f>+buhvar!B19</f>
        <v>746670</v>
      </c>
      <c r="K80" s="571" t="s">
        <v>103</v>
      </c>
      <c r="L80" s="570">
        <f>+promobkvar!B51</f>
        <v>95371</v>
      </c>
      <c r="M80" s="555"/>
      <c r="N80" s="555"/>
      <c r="O80" s="555"/>
      <c r="P80" s="555"/>
      <c r="Q80" s="60"/>
      <c r="R80" s="60"/>
      <c r="S80" s="60"/>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c r="AP80" s="556"/>
    </row>
    <row r="81" spans="1:42">
      <c r="A81" s="571" t="s">
        <v>103</v>
      </c>
      <c r="B81" s="570">
        <f>+promobkvar!B15</f>
        <v>501015</v>
      </c>
      <c r="C81" s="1154" t="s">
        <v>0</v>
      </c>
      <c r="D81" s="571" t="s">
        <v>102</v>
      </c>
      <c r="E81" s="12">
        <f>+buhvar!B17</f>
        <v>125000</v>
      </c>
      <c r="H81" s="571" t="s">
        <v>109</v>
      </c>
      <c r="I81" s="570">
        <f>+cbnavar!B19</f>
        <v>729160</v>
      </c>
      <c r="K81" s="571" t="s">
        <v>109</v>
      </c>
      <c r="L81" s="570">
        <f>+cbnavar!B51</f>
        <v>47353</v>
      </c>
      <c r="M81" s="555"/>
      <c r="N81" s="555"/>
      <c r="O81" s="555"/>
      <c r="P81" s="555"/>
      <c r="Q81" s="60"/>
      <c r="R81" s="60"/>
      <c r="S81" s="60"/>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row>
    <row r="82" spans="1:42">
      <c r="A82" s="571" t="s">
        <v>109</v>
      </c>
      <c r="B82" s="570">
        <f>+cbnavar!B15</f>
        <v>467086</v>
      </c>
      <c r="C82" s="1154" t="s">
        <v>0</v>
      </c>
      <c r="D82" s="571" t="s">
        <v>109</v>
      </c>
      <c r="E82" s="12">
        <f>+cbnavar!B17</f>
        <v>116970</v>
      </c>
      <c r="H82" s="571" t="s">
        <v>107</v>
      </c>
      <c r="I82" s="570">
        <f>+capitalbkvar!B19</f>
        <v>501800</v>
      </c>
      <c r="K82" s="571" t="s">
        <v>100</v>
      </c>
      <c r="L82" s="570">
        <f>+bncvar!B51</f>
        <v>45824</v>
      </c>
      <c r="M82" s="555"/>
      <c r="N82" s="555"/>
      <c r="O82" s="555"/>
      <c r="P82" s="555"/>
      <c r="Q82" s="60"/>
      <c r="R82" s="60"/>
      <c r="S82" s="60"/>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c r="AP82" s="556"/>
    </row>
    <row r="83" spans="1:42">
      <c r="A83" s="571" t="s">
        <v>110</v>
      </c>
      <c r="B83" s="570">
        <f>+scotiavar!B15</f>
        <v>417477</v>
      </c>
      <c r="C83" s="1154" t="s">
        <v>0</v>
      </c>
      <c r="D83" s="571" t="s">
        <v>103</v>
      </c>
      <c r="E83" s="12">
        <f>+promobkvar!B17</f>
        <v>90000</v>
      </c>
      <c r="H83" s="571" t="s">
        <v>110</v>
      </c>
      <c r="I83" s="570">
        <f>+scotiavar!B19</f>
        <v>494790</v>
      </c>
      <c r="K83" s="571" t="s">
        <v>108</v>
      </c>
      <c r="L83" s="570">
        <f>+sgbelvar!B51</f>
        <v>43402.399999999994</v>
      </c>
      <c r="M83" s="555"/>
      <c r="N83" s="555"/>
      <c r="O83" s="555"/>
      <c r="P83" s="555"/>
      <c r="Q83" s="60"/>
      <c r="R83" s="60"/>
      <c r="S83" s="60"/>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c r="AP83" s="556"/>
    </row>
    <row r="84" spans="1:42">
      <c r="A84" s="571" t="s">
        <v>101</v>
      </c>
      <c r="B84" s="570">
        <f>+bphvar!B15</f>
        <v>262351.89999999997</v>
      </c>
      <c r="C84" s="1154" t="s">
        <v>0</v>
      </c>
      <c r="D84" s="571" t="s">
        <v>107</v>
      </c>
      <c r="E84" s="12">
        <f>+capitalbkvar!B17</f>
        <v>80000</v>
      </c>
      <c r="H84" s="571" t="s">
        <v>100</v>
      </c>
      <c r="I84" s="570">
        <f>+bncvar!B19</f>
        <v>345925</v>
      </c>
      <c r="K84" s="571" t="s">
        <v>110</v>
      </c>
      <c r="L84" s="570">
        <f>+scotiavar!B51</f>
        <v>41911</v>
      </c>
      <c r="M84" s="555"/>
      <c r="N84" s="555"/>
      <c r="O84" s="555"/>
      <c r="P84" s="555"/>
      <c r="Q84" s="60"/>
      <c r="R84" s="60"/>
      <c r="S84" s="60"/>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c r="AP84" s="556"/>
    </row>
    <row r="85" spans="1:42">
      <c r="A85" s="571" t="s">
        <v>107</v>
      </c>
      <c r="B85" s="570">
        <f>+capitalbkvar!B15</f>
        <v>259286</v>
      </c>
      <c r="C85" s="1154" t="s">
        <v>0</v>
      </c>
      <c r="D85" s="571" t="s">
        <v>104</v>
      </c>
      <c r="E85" s="12">
        <f>+socabkvar!B17</f>
        <v>50000</v>
      </c>
      <c r="H85" s="571" t="s">
        <v>108</v>
      </c>
      <c r="I85" s="570">
        <f>+sgbelvar!B19</f>
        <v>341630.7</v>
      </c>
      <c r="K85" s="571" t="s">
        <v>101</v>
      </c>
      <c r="L85" s="570">
        <f>+bphvar!B51</f>
        <v>29487</v>
      </c>
      <c r="M85" s="555"/>
      <c r="N85" s="555"/>
      <c r="O85" s="555"/>
      <c r="P85" s="555"/>
      <c r="Q85" s="60"/>
      <c r="R85" s="60"/>
      <c r="S85" s="60"/>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row>
    <row r="86" spans="1:42">
      <c r="A86" s="571" t="s">
        <v>108</v>
      </c>
      <c r="B86" s="570">
        <f>+sgbelvar!B15</f>
        <v>93647.900000000009</v>
      </c>
      <c r="C86" s="1154" t="s">
        <v>0</v>
      </c>
      <c r="D86" s="571" t="s">
        <v>110</v>
      </c>
      <c r="E86" s="12">
        <f>+scotiavar!B17</f>
        <v>25000</v>
      </c>
      <c r="H86" s="571" t="s">
        <v>101</v>
      </c>
      <c r="I86" s="570">
        <f>+bphvar!B19</f>
        <v>316912.7</v>
      </c>
      <c r="K86" s="571" t="s">
        <v>127</v>
      </c>
      <c r="L86" s="570">
        <f>+'bhdvar  '!B51</f>
        <v>12420.4</v>
      </c>
      <c r="M86" s="555"/>
      <c r="N86" s="555"/>
      <c r="O86" s="555"/>
      <c r="P86" s="555"/>
      <c r="Q86" s="60"/>
      <c r="R86" s="60"/>
      <c r="S86" s="60"/>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c r="AP86" s="556"/>
    </row>
    <row r="87" spans="1:42">
      <c r="A87" s="571" t="s">
        <v>98</v>
      </c>
      <c r="B87" s="570">
        <f>+bichvar!B15</f>
        <v>6706.7</v>
      </c>
      <c r="C87" s="1154" t="s">
        <v>0</v>
      </c>
      <c r="D87" s="571" t="s">
        <v>127</v>
      </c>
      <c r="E87" s="12">
        <f>+'bhdvar  '!B17</f>
        <v>0</v>
      </c>
      <c r="H87" s="571" t="s">
        <v>127</v>
      </c>
      <c r="I87" s="570">
        <f>+'bhdvar  '!B19</f>
        <v>5467.1</v>
      </c>
      <c r="K87" s="571" t="s">
        <v>98</v>
      </c>
      <c r="L87" s="570">
        <f>+bichvar!B51</f>
        <v>5789.6</v>
      </c>
      <c r="M87" s="555"/>
      <c r="N87" s="555"/>
      <c r="O87" s="555"/>
      <c r="P87" s="555"/>
      <c r="Q87" s="60"/>
      <c r="R87" s="60"/>
      <c r="S87" s="60"/>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c r="AP87" s="556"/>
    </row>
    <row r="88" spans="1:42">
      <c r="A88" s="571" t="s">
        <v>127</v>
      </c>
      <c r="B88" s="570">
        <f>+'bhdvar  '!B15</f>
        <v>5160.7</v>
      </c>
      <c r="C88" s="1154" t="s">
        <v>0</v>
      </c>
      <c r="D88" s="571" t="s">
        <v>98</v>
      </c>
      <c r="E88" s="12">
        <f>+bichvar!B17</f>
        <v>0</v>
      </c>
      <c r="H88" s="571" t="s">
        <v>98</v>
      </c>
      <c r="I88" s="570">
        <f>+bichvar!B19</f>
        <v>3752.9</v>
      </c>
      <c r="K88" s="571" t="s">
        <v>102</v>
      </c>
      <c r="L88" s="570">
        <f>+buhvar!B51</f>
        <v>5194</v>
      </c>
      <c r="M88" s="555"/>
      <c r="N88" s="555"/>
      <c r="O88" s="555"/>
      <c r="P88" s="555"/>
      <c r="Q88" s="60"/>
      <c r="R88" s="60"/>
      <c r="S88" s="60"/>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row>
    <row r="89" spans="1:42">
      <c r="C89" s="1154" t="s">
        <v>0</v>
      </c>
      <c r="D89" s="555"/>
      <c r="H89" s="555"/>
      <c r="K89" s="555"/>
      <c r="L89" s="555"/>
      <c r="M89" s="555"/>
      <c r="N89" s="555"/>
      <c r="O89" s="555"/>
      <c r="P89" s="555"/>
      <c r="Q89" s="60"/>
      <c r="R89" s="60"/>
      <c r="S89" s="60"/>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row>
    <row r="90" spans="1:42">
      <c r="B90" s="555"/>
      <c r="C90" s="555"/>
      <c r="D90" s="555"/>
      <c r="E90" s="555"/>
      <c r="F90" s="555"/>
      <c r="G90" s="555"/>
      <c r="H90" s="555"/>
      <c r="I90" s="555"/>
      <c r="J90" s="555"/>
      <c r="K90" s="555"/>
      <c r="L90" s="555"/>
      <c r="M90" s="555"/>
      <c r="N90" s="555"/>
      <c r="O90" s="555"/>
      <c r="P90" s="555"/>
      <c r="Q90" s="60"/>
      <c r="R90" s="60"/>
      <c r="S90" s="60"/>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row>
    <row r="91" spans="1:42">
      <c r="B91" s="555"/>
      <c r="C91" s="555"/>
      <c r="D91" s="555"/>
      <c r="E91" s="555"/>
      <c r="F91" s="555"/>
      <c r="G91" s="555"/>
      <c r="H91" s="555"/>
      <c r="I91" s="555"/>
      <c r="J91" s="555"/>
      <c r="K91" s="555"/>
      <c r="L91" s="555"/>
      <c r="M91" s="555"/>
      <c r="N91" s="555"/>
      <c r="O91" s="555"/>
      <c r="P91" s="555"/>
      <c r="Q91" s="60"/>
      <c r="R91" s="60"/>
      <c r="S91" s="60"/>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row>
    <row r="92" spans="1:42">
      <c r="B92" s="555"/>
      <c r="C92" s="555"/>
      <c r="D92" s="555"/>
      <c r="E92" s="555"/>
      <c r="F92" s="555"/>
      <c r="G92" s="555"/>
      <c r="H92" s="555"/>
      <c r="I92" s="555"/>
      <c r="J92" s="555"/>
      <c r="K92" s="555"/>
      <c r="L92" s="555"/>
      <c r="M92" s="555"/>
      <c r="N92" s="555"/>
      <c r="O92" s="555"/>
      <c r="P92" s="555"/>
      <c r="Q92" s="60"/>
      <c r="R92" s="60"/>
      <c r="S92" s="60"/>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row>
    <row r="93" spans="1:42">
      <c r="B93" s="555"/>
      <c r="C93" s="555"/>
      <c r="D93" s="555"/>
      <c r="E93" s="555"/>
      <c r="F93" s="555"/>
      <c r="G93" s="555"/>
      <c r="H93" s="555"/>
      <c r="I93" s="555"/>
      <c r="J93" s="555"/>
      <c r="K93" s="555"/>
      <c r="L93" s="555"/>
      <c r="M93" s="555"/>
      <c r="N93" s="555"/>
      <c r="O93" s="555"/>
      <c r="P93" s="555"/>
      <c r="Q93" s="60"/>
      <c r="R93" s="60"/>
      <c r="S93" s="60"/>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row>
    <row r="94" spans="1:42">
      <c r="B94" s="555"/>
      <c r="C94" s="555"/>
      <c r="D94" s="555"/>
      <c r="E94" s="555"/>
      <c r="F94" s="555"/>
      <c r="G94" s="555"/>
      <c r="H94" s="555"/>
      <c r="I94" s="555"/>
      <c r="J94" s="555"/>
      <c r="K94" s="555"/>
      <c r="L94" s="555"/>
      <c r="M94" s="555"/>
      <c r="N94" s="555"/>
      <c r="O94" s="555"/>
      <c r="P94" s="555"/>
      <c r="Q94" s="60"/>
      <c r="R94" s="60"/>
      <c r="S94" s="60"/>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row>
    <row r="95" spans="1:42">
      <c r="B95" s="555"/>
      <c r="C95" s="555"/>
      <c r="D95" s="555"/>
      <c r="E95" s="555"/>
      <c r="F95" s="555"/>
      <c r="G95" s="555"/>
      <c r="H95" s="555"/>
      <c r="I95" s="555"/>
      <c r="J95" s="555"/>
      <c r="K95" s="555"/>
      <c r="L95" s="555"/>
      <c r="M95" s="555"/>
      <c r="N95" s="555"/>
      <c r="O95" s="555"/>
      <c r="P95" s="555"/>
      <c r="Q95" s="60"/>
      <c r="R95" s="60"/>
      <c r="S95" s="60"/>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row>
    <row r="96" spans="1:42">
      <c r="B96" s="555"/>
      <c r="C96" s="555"/>
      <c r="D96" s="555"/>
      <c r="E96" s="555"/>
      <c r="F96" s="555"/>
      <c r="G96" s="555"/>
      <c r="H96" s="555"/>
      <c r="I96" s="555"/>
      <c r="J96" s="555"/>
      <c r="K96" s="555"/>
      <c r="L96" s="555"/>
      <c r="M96" s="555"/>
      <c r="N96" s="555"/>
      <c r="O96" s="555"/>
      <c r="P96" s="555"/>
      <c r="Q96" s="60"/>
      <c r="R96" s="60"/>
      <c r="S96" s="60"/>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row>
    <row r="97" spans="2:42">
      <c r="B97" s="555"/>
      <c r="C97" s="555"/>
      <c r="D97" s="555"/>
      <c r="E97" s="555"/>
      <c r="F97" s="555"/>
      <c r="G97" s="555"/>
      <c r="H97" s="555"/>
      <c r="I97" s="555"/>
      <c r="J97" s="555"/>
      <c r="K97" s="555"/>
      <c r="L97" s="555"/>
      <c r="M97" s="555"/>
      <c r="N97" s="555"/>
      <c r="O97" s="555"/>
      <c r="P97" s="555"/>
      <c r="Q97" s="60"/>
      <c r="R97" s="60"/>
      <c r="S97" s="60"/>
      <c r="T97" s="556"/>
      <c r="U97" s="556"/>
      <c r="V97" s="556"/>
      <c r="W97" s="556"/>
      <c r="X97" s="556"/>
      <c r="Y97" s="556"/>
      <c r="Z97" s="556"/>
      <c r="AA97" s="556"/>
      <c r="AB97" s="556"/>
      <c r="AC97" s="556"/>
      <c r="AD97" s="556"/>
      <c r="AE97" s="556"/>
      <c r="AF97" s="556"/>
      <c r="AG97" s="556"/>
      <c r="AH97" s="556"/>
      <c r="AI97" s="556"/>
      <c r="AJ97" s="556"/>
      <c r="AK97" s="556"/>
      <c r="AL97" s="556"/>
      <c r="AM97" s="556"/>
      <c r="AN97" s="556"/>
      <c r="AO97" s="556"/>
      <c r="AP97" s="556"/>
    </row>
    <row r="98" spans="2:42">
      <c r="B98" s="555"/>
      <c r="C98" s="555"/>
      <c r="D98" s="555"/>
      <c r="E98" s="555"/>
      <c r="F98" s="555"/>
      <c r="G98" s="555"/>
      <c r="H98" s="555"/>
      <c r="I98" s="555"/>
      <c r="J98" s="555"/>
      <c r="K98" s="555"/>
      <c r="L98" s="555"/>
      <c r="M98" s="555"/>
      <c r="N98" s="555"/>
      <c r="O98" s="555"/>
      <c r="P98" s="555"/>
      <c r="Q98" s="60"/>
      <c r="R98" s="60"/>
      <c r="S98" s="60"/>
      <c r="T98" s="556"/>
      <c r="U98" s="556"/>
      <c r="V98" s="556"/>
      <c r="W98" s="556"/>
      <c r="X98" s="556"/>
      <c r="Y98" s="556"/>
      <c r="Z98" s="556"/>
      <c r="AA98" s="556"/>
      <c r="AB98" s="556"/>
      <c r="AC98" s="556"/>
      <c r="AD98" s="556"/>
      <c r="AE98" s="556"/>
      <c r="AF98" s="556"/>
      <c r="AG98" s="556"/>
      <c r="AH98" s="556"/>
      <c r="AI98" s="556"/>
      <c r="AJ98" s="556"/>
      <c r="AK98" s="556"/>
      <c r="AL98" s="556"/>
      <c r="AM98" s="556"/>
      <c r="AN98" s="556"/>
      <c r="AO98" s="556"/>
      <c r="AP98" s="556"/>
    </row>
    <row r="99" spans="2:42">
      <c r="B99" s="555"/>
      <c r="C99" s="555"/>
      <c r="D99" s="555"/>
      <c r="E99" s="555"/>
      <c r="F99" s="555"/>
      <c r="G99" s="555"/>
      <c r="H99" s="555"/>
      <c r="I99" s="555"/>
      <c r="J99" s="555"/>
      <c r="K99" s="555"/>
      <c r="L99" s="555"/>
      <c r="M99" s="555"/>
      <c r="N99" s="555"/>
      <c r="O99" s="555"/>
      <c r="P99" s="555"/>
      <c r="Q99" s="60"/>
      <c r="R99" s="60"/>
      <c r="S99" s="60"/>
      <c r="T99" s="556"/>
      <c r="U99" s="556"/>
      <c r="V99" s="556"/>
      <c r="W99" s="556"/>
      <c r="X99" s="556"/>
      <c r="Y99" s="556"/>
      <c r="Z99" s="556"/>
      <c r="AA99" s="556"/>
      <c r="AB99" s="556"/>
      <c r="AC99" s="556"/>
      <c r="AD99" s="556"/>
      <c r="AE99" s="556"/>
      <c r="AF99" s="556"/>
      <c r="AG99" s="556"/>
      <c r="AH99" s="556"/>
      <c r="AI99" s="556"/>
      <c r="AJ99" s="556"/>
      <c r="AK99" s="556"/>
      <c r="AL99" s="556"/>
      <c r="AM99" s="556"/>
      <c r="AN99" s="556"/>
      <c r="AO99" s="556"/>
      <c r="AP99" s="556"/>
    </row>
    <row r="100" spans="2:42">
      <c r="B100" s="555"/>
      <c r="C100" s="555"/>
      <c r="D100" s="555"/>
      <c r="E100" s="555"/>
      <c r="F100" s="555"/>
      <c r="G100" s="555"/>
      <c r="H100" s="555"/>
      <c r="I100" s="555"/>
      <c r="J100" s="555"/>
      <c r="K100" s="555"/>
      <c r="L100" s="555"/>
      <c r="M100" s="555"/>
      <c r="N100" s="555"/>
      <c r="O100" s="555"/>
      <c r="P100" s="555"/>
      <c r="Q100" s="60"/>
      <c r="R100" s="60"/>
      <c r="S100" s="60"/>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row>
    <row r="101" spans="2:42">
      <c r="B101" s="555"/>
      <c r="C101" s="555"/>
      <c r="D101" s="555"/>
      <c r="E101" s="555"/>
      <c r="F101" s="555"/>
      <c r="G101" s="555"/>
      <c r="H101" s="555"/>
      <c r="I101" s="555"/>
      <c r="J101" s="555"/>
      <c r="K101" s="555"/>
      <c r="L101" s="555"/>
      <c r="M101" s="555"/>
      <c r="N101" s="555"/>
      <c r="O101" s="555"/>
      <c r="P101" s="555"/>
      <c r="Q101" s="60"/>
      <c r="R101" s="60"/>
      <c r="S101" s="60"/>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row>
    <row r="102" spans="2:42">
      <c r="B102" s="555"/>
      <c r="C102" s="555"/>
      <c r="D102" s="555"/>
      <c r="E102" s="555"/>
      <c r="F102" s="555"/>
      <c r="G102" s="555"/>
      <c r="H102" s="555"/>
      <c r="I102" s="555"/>
      <c r="J102" s="555"/>
      <c r="K102" s="555"/>
      <c r="L102" s="555"/>
      <c r="M102" s="555"/>
      <c r="N102" s="555"/>
      <c r="O102" s="555"/>
      <c r="P102" s="555"/>
      <c r="Q102" s="60"/>
      <c r="R102" s="60"/>
      <c r="S102" s="60"/>
      <c r="T102" s="556"/>
      <c r="U102" s="556"/>
      <c r="V102" s="556"/>
      <c r="W102" s="556"/>
      <c r="X102" s="556"/>
      <c r="Y102" s="556"/>
      <c r="Z102" s="556"/>
      <c r="AA102" s="556"/>
      <c r="AB102" s="556"/>
      <c r="AC102" s="556"/>
      <c r="AD102" s="556"/>
      <c r="AE102" s="556"/>
      <c r="AF102" s="556"/>
      <c r="AG102" s="556"/>
      <c r="AH102" s="556"/>
      <c r="AI102" s="556"/>
      <c r="AJ102" s="556"/>
      <c r="AK102" s="556"/>
      <c r="AL102" s="556"/>
      <c r="AM102" s="556"/>
      <c r="AN102" s="556"/>
      <c r="AO102" s="556"/>
      <c r="AP102" s="556"/>
    </row>
    <row r="103" spans="2:42">
      <c r="B103" s="555"/>
      <c r="C103" s="555"/>
      <c r="D103" s="555"/>
      <c r="E103" s="555"/>
      <c r="F103" s="555"/>
      <c r="G103" s="555"/>
      <c r="H103" s="555"/>
      <c r="I103" s="555"/>
      <c r="J103" s="555"/>
      <c r="K103" s="555"/>
      <c r="L103" s="555"/>
      <c r="M103" s="555"/>
      <c r="N103" s="555"/>
      <c r="O103" s="555"/>
      <c r="P103" s="555"/>
      <c r="Q103" s="60"/>
      <c r="R103" s="60"/>
      <c r="S103" s="60"/>
      <c r="T103" s="556"/>
      <c r="U103" s="556"/>
      <c r="V103" s="556"/>
      <c r="W103" s="556"/>
      <c r="X103" s="556"/>
      <c r="Y103" s="556"/>
      <c r="Z103" s="556"/>
      <c r="AA103" s="556"/>
      <c r="AB103" s="556"/>
      <c r="AC103" s="556"/>
      <c r="AD103" s="556"/>
      <c r="AE103" s="556"/>
      <c r="AF103" s="556"/>
      <c r="AG103" s="556"/>
      <c r="AH103" s="556"/>
      <c r="AI103" s="556"/>
      <c r="AJ103" s="556"/>
      <c r="AK103" s="556"/>
      <c r="AL103" s="556"/>
      <c r="AM103" s="556"/>
      <c r="AN103" s="556"/>
      <c r="AO103" s="556"/>
      <c r="AP103" s="556"/>
    </row>
    <row r="104" spans="2:42">
      <c r="B104" s="555"/>
      <c r="C104" s="555"/>
      <c r="D104" s="555"/>
      <c r="E104" s="555"/>
      <c r="F104" s="555"/>
      <c r="G104" s="555"/>
      <c r="H104" s="555"/>
      <c r="I104" s="555"/>
      <c r="J104" s="555"/>
      <c r="K104" s="555"/>
      <c r="L104" s="555"/>
      <c r="M104" s="555"/>
      <c r="N104" s="555"/>
      <c r="O104" s="555"/>
      <c r="P104" s="555"/>
      <c r="Q104" s="60"/>
      <c r="R104" s="60"/>
      <c r="S104" s="60"/>
      <c r="T104" s="556"/>
      <c r="U104" s="556"/>
      <c r="V104" s="556"/>
      <c r="W104" s="556"/>
      <c r="X104" s="556"/>
      <c r="Y104" s="556"/>
      <c r="Z104" s="556"/>
      <c r="AA104" s="556"/>
      <c r="AB104" s="556"/>
      <c r="AC104" s="556"/>
      <c r="AD104" s="556"/>
      <c r="AE104" s="556"/>
      <c r="AF104" s="556"/>
      <c r="AG104" s="556"/>
      <c r="AH104" s="556"/>
      <c r="AI104" s="556"/>
      <c r="AJ104" s="556"/>
      <c r="AK104" s="556"/>
      <c r="AL104" s="556"/>
      <c r="AM104" s="556"/>
      <c r="AN104" s="556"/>
      <c r="AO104" s="556"/>
      <c r="AP104" s="556"/>
    </row>
    <row r="105" spans="2:42">
      <c r="B105" s="555"/>
      <c r="C105" s="555"/>
      <c r="D105" s="555"/>
      <c r="E105" s="555"/>
      <c r="F105" s="555"/>
      <c r="G105" s="555"/>
      <c r="H105" s="555"/>
      <c r="I105" s="555"/>
      <c r="J105" s="555"/>
      <c r="K105" s="555"/>
      <c r="L105" s="555"/>
      <c r="M105" s="555"/>
      <c r="N105" s="555"/>
      <c r="O105" s="555"/>
      <c r="P105" s="555"/>
      <c r="Q105" s="60"/>
      <c r="R105" s="60"/>
      <c r="S105" s="60"/>
      <c r="T105" s="556"/>
      <c r="U105" s="556"/>
      <c r="V105" s="556"/>
      <c r="W105" s="556"/>
      <c r="X105" s="556"/>
      <c r="Y105" s="556"/>
      <c r="Z105" s="556"/>
      <c r="AA105" s="556"/>
      <c r="AB105" s="556"/>
      <c r="AC105" s="556"/>
      <c r="AD105" s="556"/>
      <c r="AE105" s="556"/>
      <c r="AF105" s="556"/>
      <c r="AG105" s="556"/>
      <c r="AH105" s="556"/>
      <c r="AI105" s="556"/>
      <c r="AJ105" s="556"/>
      <c r="AK105" s="556"/>
      <c r="AL105" s="556"/>
      <c r="AM105" s="556"/>
      <c r="AN105" s="556"/>
      <c r="AO105" s="556"/>
      <c r="AP105" s="556"/>
    </row>
    <row r="106" spans="2:42">
      <c r="B106" s="555"/>
      <c r="C106" s="555"/>
      <c r="D106" s="555"/>
      <c r="E106" s="555"/>
      <c r="F106" s="555"/>
      <c r="G106" s="555"/>
      <c r="H106" s="555"/>
      <c r="I106" s="555"/>
      <c r="J106" s="555"/>
      <c r="K106" s="555"/>
      <c r="L106" s="555"/>
      <c r="M106" s="555"/>
      <c r="N106" s="555"/>
      <c r="O106" s="555"/>
      <c r="P106" s="555"/>
      <c r="Q106" s="60"/>
      <c r="R106" s="60"/>
      <c r="S106" s="60"/>
      <c r="T106" s="556"/>
      <c r="U106" s="556"/>
      <c r="V106" s="556"/>
      <c r="W106" s="556"/>
      <c r="X106" s="556"/>
      <c r="Y106" s="556"/>
      <c r="Z106" s="556"/>
      <c r="AA106" s="556"/>
      <c r="AB106" s="556"/>
      <c r="AC106" s="556"/>
      <c r="AD106" s="556"/>
      <c r="AE106" s="556"/>
      <c r="AF106" s="556"/>
      <c r="AG106" s="556"/>
      <c r="AH106" s="556"/>
      <c r="AI106" s="556"/>
      <c r="AJ106" s="556"/>
      <c r="AK106" s="556"/>
      <c r="AL106" s="556"/>
      <c r="AM106" s="556"/>
      <c r="AN106" s="556"/>
      <c r="AO106" s="556"/>
      <c r="AP106" s="556"/>
    </row>
    <row r="107" spans="2:42">
      <c r="B107" s="555"/>
      <c r="C107" s="555"/>
      <c r="D107" s="555"/>
      <c r="E107" s="555"/>
      <c r="F107" s="555"/>
      <c r="G107" s="555"/>
      <c r="H107" s="555"/>
      <c r="I107" s="555"/>
      <c r="J107" s="555"/>
      <c r="K107" s="555"/>
      <c r="L107" s="555"/>
      <c r="M107" s="555"/>
      <c r="N107" s="555"/>
      <c r="O107" s="555"/>
      <c r="P107" s="555"/>
      <c r="Q107" s="60"/>
      <c r="R107" s="60"/>
      <c r="S107" s="60"/>
      <c r="T107" s="556"/>
      <c r="U107" s="556"/>
      <c r="V107" s="556"/>
      <c r="W107" s="556"/>
      <c r="X107" s="556"/>
      <c r="Y107" s="556"/>
      <c r="Z107" s="556"/>
      <c r="AA107" s="556"/>
      <c r="AB107" s="556"/>
      <c r="AC107" s="556"/>
      <c r="AD107" s="556"/>
      <c r="AE107" s="556"/>
      <c r="AF107" s="556"/>
      <c r="AG107" s="556"/>
      <c r="AH107" s="556"/>
      <c r="AI107" s="556"/>
      <c r="AJ107" s="556"/>
      <c r="AK107" s="556"/>
      <c r="AL107" s="556"/>
      <c r="AM107" s="556"/>
      <c r="AN107" s="556"/>
      <c r="AO107" s="556"/>
      <c r="AP107" s="556"/>
    </row>
    <row r="108" spans="2:42">
      <c r="B108" s="555"/>
      <c r="C108" s="555"/>
      <c r="D108" s="555"/>
      <c r="E108" s="555"/>
      <c r="F108" s="555"/>
      <c r="G108" s="555"/>
      <c r="H108" s="555"/>
      <c r="I108" s="555"/>
      <c r="J108" s="555"/>
      <c r="K108" s="555"/>
      <c r="L108" s="555"/>
      <c r="M108" s="555"/>
      <c r="N108" s="555"/>
      <c r="O108" s="555"/>
      <c r="P108" s="555"/>
      <c r="Q108" s="60"/>
      <c r="R108" s="60"/>
      <c r="S108" s="60"/>
      <c r="T108" s="556"/>
      <c r="U108" s="556"/>
      <c r="V108" s="556"/>
      <c r="W108" s="556"/>
      <c r="X108" s="556"/>
      <c r="Y108" s="556"/>
      <c r="Z108" s="556"/>
      <c r="AA108" s="556"/>
      <c r="AB108" s="556"/>
      <c r="AC108" s="556"/>
      <c r="AD108" s="556"/>
      <c r="AE108" s="556"/>
      <c r="AF108" s="556"/>
      <c r="AG108" s="556"/>
      <c r="AH108" s="556"/>
      <c r="AI108" s="556"/>
      <c r="AJ108" s="556"/>
      <c r="AK108" s="556"/>
      <c r="AL108" s="556"/>
      <c r="AM108" s="556"/>
      <c r="AN108" s="556"/>
      <c r="AO108" s="556"/>
      <c r="AP108" s="556"/>
    </row>
    <row r="109" spans="2:42">
      <c r="B109" s="555"/>
      <c r="C109" s="555"/>
      <c r="D109" s="555"/>
      <c r="E109" s="555"/>
      <c r="F109" s="555"/>
      <c r="G109" s="555"/>
      <c r="H109" s="555"/>
      <c r="I109" s="555"/>
      <c r="J109" s="555"/>
      <c r="K109" s="555"/>
      <c r="L109" s="555"/>
      <c r="M109" s="555"/>
      <c r="N109" s="555"/>
      <c r="O109" s="555"/>
      <c r="P109" s="555"/>
      <c r="Q109" s="60"/>
      <c r="R109" s="60"/>
      <c r="S109" s="60"/>
      <c r="T109" s="556"/>
      <c r="U109" s="556"/>
      <c r="V109" s="556"/>
      <c r="W109" s="556"/>
      <c r="X109" s="556"/>
      <c r="Y109" s="556"/>
      <c r="Z109" s="556"/>
      <c r="AA109" s="556"/>
      <c r="AB109" s="556"/>
      <c r="AC109" s="556"/>
      <c r="AD109" s="556"/>
      <c r="AE109" s="556"/>
      <c r="AF109" s="556"/>
      <c r="AG109" s="556"/>
      <c r="AH109" s="556"/>
      <c r="AI109" s="556"/>
      <c r="AJ109" s="556"/>
      <c r="AK109" s="556"/>
      <c r="AL109" s="556"/>
      <c r="AM109" s="556"/>
      <c r="AN109" s="556"/>
      <c r="AO109" s="556"/>
      <c r="AP109" s="556"/>
    </row>
    <row r="110" spans="2:42">
      <c r="B110" s="555"/>
      <c r="C110" s="555"/>
      <c r="D110" s="555"/>
      <c r="E110" s="555"/>
      <c r="F110" s="555"/>
      <c r="G110" s="555"/>
      <c r="H110" s="555"/>
      <c r="I110" s="555"/>
      <c r="J110" s="555"/>
      <c r="K110" s="555"/>
      <c r="L110" s="555"/>
      <c r="M110" s="555"/>
      <c r="N110" s="555"/>
      <c r="O110" s="555"/>
      <c r="P110" s="555"/>
      <c r="Q110" s="60"/>
      <c r="R110" s="60"/>
      <c r="S110" s="60"/>
      <c r="T110" s="556"/>
      <c r="U110" s="556"/>
      <c r="V110" s="556"/>
      <c r="W110" s="556"/>
      <c r="X110" s="556"/>
      <c r="Y110" s="556"/>
      <c r="Z110" s="556"/>
      <c r="AA110" s="556"/>
      <c r="AB110" s="556"/>
      <c r="AC110" s="556"/>
      <c r="AD110" s="556"/>
      <c r="AE110" s="556"/>
      <c r="AF110" s="556"/>
      <c r="AG110" s="556"/>
      <c r="AH110" s="556"/>
      <c r="AI110" s="556"/>
      <c r="AJ110" s="556"/>
      <c r="AK110" s="556"/>
      <c r="AL110" s="556"/>
      <c r="AM110" s="556"/>
      <c r="AN110" s="556"/>
      <c r="AO110" s="556"/>
      <c r="AP110" s="556"/>
    </row>
    <row r="111" spans="2:42">
      <c r="B111" s="555"/>
      <c r="C111" s="555"/>
      <c r="D111" s="555"/>
      <c r="E111" s="555"/>
      <c r="F111" s="555"/>
      <c r="G111" s="555"/>
      <c r="H111" s="555"/>
      <c r="I111" s="555"/>
      <c r="J111" s="555"/>
      <c r="K111" s="555"/>
      <c r="L111" s="555"/>
      <c r="M111" s="555"/>
      <c r="N111" s="555"/>
      <c r="O111" s="555"/>
      <c r="P111" s="555"/>
      <c r="Q111" s="60"/>
      <c r="R111" s="60"/>
      <c r="S111" s="60"/>
      <c r="T111" s="556"/>
      <c r="U111" s="556"/>
      <c r="V111" s="556"/>
      <c r="W111" s="556"/>
      <c r="X111" s="556"/>
      <c r="Y111" s="556"/>
      <c r="Z111" s="556"/>
      <c r="AA111" s="556"/>
      <c r="AB111" s="556"/>
      <c r="AC111" s="556"/>
      <c r="AD111" s="556"/>
      <c r="AE111" s="556"/>
      <c r="AF111" s="556"/>
      <c r="AG111" s="556"/>
      <c r="AH111" s="556"/>
      <c r="AI111" s="556"/>
      <c r="AJ111" s="556"/>
      <c r="AK111" s="556"/>
      <c r="AL111" s="556"/>
      <c r="AM111" s="556"/>
      <c r="AN111" s="556"/>
      <c r="AO111" s="556"/>
      <c r="AP111" s="556"/>
    </row>
    <row r="112" spans="2:42">
      <c r="B112" s="555"/>
      <c r="C112" s="555"/>
      <c r="D112" s="555"/>
      <c r="E112" s="555"/>
      <c r="F112" s="555"/>
      <c r="G112" s="555"/>
      <c r="H112" s="555"/>
      <c r="I112" s="555"/>
      <c r="J112" s="555"/>
      <c r="K112" s="555"/>
      <c r="L112" s="555"/>
      <c r="M112" s="555"/>
      <c r="N112" s="555"/>
      <c r="O112" s="555"/>
      <c r="P112" s="555"/>
      <c r="Q112" s="60"/>
      <c r="R112" s="60"/>
      <c r="S112" s="60"/>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row>
    <row r="113" spans="2:42">
      <c r="B113" s="555"/>
      <c r="C113" s="555"/>
      <c r="D113" s="555"/>
      <c r="E113" s="555"/>
      <c r="F113" s="555"/>
      <c r="G113" s="555"/>
      <c r="H113" s="555"/>
      <c r="I113" s="555"/>
      <c r="J113" s="555"/>
      <c r="K113" s="555"/>
      <c r="L113" s="555"/>
      <c r="M113" s="555"/>
      <c r="N113" s="555"/>
      <c r="O113" s="555"/>
      <c r="P113" s="555"/>
      <c r="Q113" s="60"/>
      <c r="R113" s="60"/>
      <c r="S113" s="60"/>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row>
    <row r="114" spans="2:42">
      <c r="B114" s="555"/>
      <c r="C114" s="555"/>
      <c r="D114" s="555"/>
      <c r="E114" s="555"/>
      <c r="F114" s="555"/>
      <c r="G114" s="555"/>
      <c r="H114" s="555"/>
      <c r="I114" s="555"/>
      <c r="J114" s="555"/>
      <c r="K114" s="555"/>
      <c r="L114" s="555"/>
      <c r="M114" s="555"/>
      <c r="N114" s="555"/>
      <c r="O114" s="555"/>
      <c r="P114" s="555"/>
      <c r="Q114" s="60"/>
      <c r="R114" s="60"/>
      <c r="S114" s="60"/>
      <c r="T114" s="556"/>
      <c r="U114" s="556"/>
      <c r="V114" s="556"/>
      <c r="W114" s="556"/>
      <c r="X114" s="556"/>
      <c r="Y114" s="556"/>
      <c r="Z114" s="556"/>
      <c r="AA114" s="556"/>
      <c r="AB114" s="556"/>
      <c r="AC114" s="556"/>
      <c r="AD114" s="556"/>
      <c r="AE114" s="556"/>
      <c r="AF114" s="556"/>
      <c r="AG114" s="556"/>
      <c r="AH114" s="556"/>
      <c r="AI114" s="556"/>
      <c r="AJ114" s="556"/>
      <c r="AK114" s="556"/>
      <c r="AL114" s="556"/>
      <c r="AM114" s="556"/>
      <c r="AN114" s="556"/>
      <c r="AO114" s="556"/>
      <c r="AP114" s="556"/>
    </row>
    <row r="115" spans="2:42">
      <c r="B115" s="555"/>
      <c r="C115" s="555"/>
      <c r="D115" s="555"/>
      <c r="E115" s="555"/>
      <c r="F115" s="555"/>
      <c r="G115" s="555"/>
      <c r="H115" s="555"/>
      <c r="I115" s="555"/>
      <c r="J115" s="555"/>
      <c r="K115" s="555"/>
      <c r="L115" s="555"/>
      <c r="M115" s="555"/>
      <c r="N115" s="555"/>
      <c r="O115" s="555"/>
      <c r="P115" s="555"/>
      <c r="Q115" s="60"/>
      <c r="R115" s="60"/>
      <c r="S115" s="60"/>
      <c r="T115" s="556"/>
      <c r="U115" s="556"/>
      <c r="V115" s="556"/>
      <c r="W115" s="556"/>
      <c r="X115" s="556"/>
      <c r="Y115" s="556"/>
      <c r="Z115" s="556"/>
      <c r="AA115" s="556"/>
      <c r="AB115" s="556"/>
      <c r="AC115" s="556"/>
      <c r="AD115" s="556"/>
      <c r="AE115" s="556"/>
      <c r="AF115" s="556"/>
      <c r="AG115" s="556"/>
      <c r="AH115" s="556"/>
      <c r="AI115" s="556"/>
      <c r="AJ115" s="556"/>
      <c r="AK115" s="556"/>
      <c r="AL115" s="556"/>
      <c r="AM115" s="556"/>
      <c r="AN115" s="556"/>
      <c r="AO115" s="556"/>
      <c r="AP115" s="556"/>
    </row>
    <row r="116" spans="2:42">
      <c r="B116" s="555"/>
      <c r="C116" s="555"/>
      <c r="D116" s="555"/>
      <c r="E116" s="555"/>
      <c r="F116" s="555"/>
      <c r="G116" s="555"/>
      <c r="H116" s="555"/>
      <c r="I116" s="555"/>
      <c r="J116" s="555"/>
      <c r="K116" s="555"/>
      <c r="L116" s="555"/>
      <c r="M116" s="555"/>
      <c r="N116" s="555"/>
      <c r="O116" s="555"/>
      <c r="P116" s="555"/>
      <c r="Q116" s="60"/>
      <c r="R116" s="60"/>
      <c r="S116" s="60"/>
      <c r="T116" s="556"/>
      <c r="U116" s="556"/>
      <c r="V116" s="556"/>
      <c r="W116" s="556"/>
      <c r="X116" s="556"/>
      <c r="Y116" s="556"/>
      <c r="Z116" s="556"/>
      <c r="AA116" s="556"/>
      <c r="AB116" s="556"/>
      <c r="AC116" s="556"/>
      <c r="AD116" s="556"/>
      <c r="AE116" s="556"/>
      <c r="AF116" s="556"/>
      <c r="AG116" s="556"/>
      <c r="AH116" s="556"/>
      <c r="AI116" s="556"/>
      <c r="AJ116" s="556"/>
      <c r="AK116" s="556"/>
      <c r="AL116" s="556"/>
      <c r="AM116" s="556"/>
      <c r="AN116" s="556"/>
      <c r="AO116" s="556"/>
      <c r="AP116" s="556"/>
    </row>
    <row r="117" spans="2:42">
      <c r="B117" s="555"/>
      <c r="C117" s="555"/>
      <c r="D117" s="555"/>
      <c r="E117" s="555"/>
      <c r="F117" s="555"/>
      <c r="G117" s="555"/>
      <c r="H117" s="555"/>
      <c r="I117" s="555"/>
      <c r="J117" s="555"/>
      <c r="K117" s="555"/>
      <c r="L117" s="555"/>
      <c r="M117" s="555"/>
      <c r="N117" s="555"/>
      <c r="O117" s="555"/>
      <c r="P117" s="555"/>
      <c r="Q117" s="60"/>
      <c r="R117" s="60"/>
      <c r="S117" s="60"/>
      <c r="T117" s="556"/>
      <c r="U117" s="556"/>
      <c r="V117" s="556"/>
      <c r="W117" s="556"/>
      <c r="X117" s="556"/>
      <c r="Y117" s="556"/>
      <c r="Z117" s="556"/>
      <c r="AA117" s="556"/>
      <c r="AB117" s="556"/>
      <c r="AC117" s="556"/>
      <c r="AD117" s="556"/>
      <c r="AE117" s="556"/>
      <c r="AF117" s="556"/>
      <c r="AG117" s="556"/>
      <c r="AH117" s="556"/>
      <c r="AI117" s="556"/>
      <c r="AJ117" s="556"/>
      <c r="AK117" s="556"/>
      <c r="AL117" s="556"/>
      <c r="AM117" s="556"/>
      <c r="AN117" s="556"/>
      <c r="AO117" s="556"/>
      <c r="AP117" s="556"/>
    </row>
    <row r="118" spans="2:42">
      <c r="B118" s="555"/>
      <c r="C118" s="555"/>
      <c r="D118" s="555"/>
      <c r="E118" s="555"/>
      <c r="F118" s="555"/>
      <c r="G118" s="555"/>
      <c r="H118" s="555"/>
      <c r="I118" s="555"/>
      <c r="J118" s="555"/>
      <c r="K118" s="555"/>
      <c r="L118" s="555"/>
      <c r="M118" s="555"/>
      <c r="N118" s="555"/>
      <c r="O118" s="555"/>
      <c r="P118" s="555"/>
      <c r="Q118" s="60"/>
      <c r="R118" s="60"/>
      <c r="S118" s="60"/>
      <c r="T118" s="556"/>
      <c r="U118" s="556"/>
      <c r="V118" s="556"/>
      <c r="W118" s="556"/>
      <c r="X118" s="556"/>
      <c r="Y118" s="556"/>
      <c r="Z118" s="556"/>
      <c r="AA118" s="556"/>
      <c r="AB118" s="556"/>
      <c r="AC118" s="556"/>
      <c r="AD118" s="556"/>
      <c r="AE118" s="556"/>
      <c r="AF118" s="556"/>
      <c r="AG118" s="556"/>
      <c r="AH118" s="556"/>
      <c r="AI118" s="556"/>
      <c r="AJ118" s="556"/>
      <c r="AK118" s="556"/>
      <c r="AL118" s="556"/>
      <c r="AM118" s="556"/>
      <c r="AN118" s="556"/>
      <c r="AO118" s="556"/>
      <c r="AP118" s="556"/>
    </row>
    <row r="119" spans="2:42">
      <c r="B119" s="555"/>
      <c r="C119" s="555"/>
      <c r="D119" s="555"/>
      <c r="E119" s="555"/>
      <c r="F119" s="555"/>
      <c r="G119" s="555"/>
      <c r="H119" s="555"/>
      <c r="I119" s="555"/>
      <c r="J119" s="555"/>
      <c r="K119" s="555"/>
      <c r="L119" s="555"/>
      <c r="M119" s="555"/>
      <c r="N119" s="555"/>
      <c r="O119" s="555"/>
      <c r="P119" s="555"/>
      <c r="Q119" s="60"/>
      <c r="R119" s="60"/>
      <c r="S119" s="60"/>
      <c r="T119" s="556"/>
      <c r="U119" s="556"/>
      <c r="V119" s="556"/>
      <c r="W119" s="556"/>
      <c r="X119" s="556"/>
      <c r="Y119" s="556"/>
      <c r="Z119" s="556"/>
      <c r="AA119" s="556"/>
      <c r="AB119" s="556"/>
      <c r="AC119" s="556"/>
      <c r="AD119" s="556"/>
      <c r="AE119" s="556"/>
      <c r="AF119" s="556"/>
      <c r="AG119" s="556"/>
      <c r="AH119" s="556"/>
      <c r="AI119" s="556"/>
      <c r="AJ119" s="556"/>
      <c r="AK119" s="556"/>
      <c r="AL119" s="556"/>
      <c r="AM119" s="556"/>
      <c r="AN119" s="556"/>
      <c r="AO119" s="556"/>
      <c r="AP119" s="556"/>
    </row>
    <row r="120" spans="2:42">
      <c r="B120" s="555"/>
      <c r="C120" s="555"/>
      <c r="D120" s="555"/>
      <c r="E120" s="555"/>
      <c r="F120" s="555"/>
      <c r="G120" s="555"/>
      <c r="H120" s="555"/>
      <c r="I120" s="555"/>
      <c r="J120" s="555"/>
      <c r="K120" s="555"/>
      <c r="L120" s="555"/>
      <c r="M120" s="555"/>
      <c r="N120" s="555"/>
      <c r="O120" s="555"/>
      <c r="P120" s="555"/>
      <c r="Q120" s="60"/>
      <c r="R120" s="60"/>
      <c r="S120" s="60"/>
      <c r="T120" s="556"/>
      <c r="U120" s="556"/>
      <c r="V120" s="556"/>
      <c r="W120" s="556"/>
      <c r="X120" s="556"/>
      <c r="Y120" s="556"/>
      <c r="Z120" s="556"/>
      <c r="AA120" s="556"/>
      <c r="AB120" s="556"/>
      <c r="AC120" s="556"/>
      <c r="AD120" s="556"/>
      <c r="AE120" s="556"/>
      <c r="AF120" s="556"/>
      <c r="AG120" s="556"/>
      <c r="AH120" s="556"/>
      <c r="AI120" s="556"/>
      <c r="AJ120" s="556"/>
      <c r="AK120" s="556"/>
      <c r="AL120" s="556"/>
      <c r="AM120" s="556"/>
      <c r="AN120" s="556"/>
      <c r="AO120" s="556"/>
      <c r="AP120" s="556"/>
    </row>
    <row r="121" spans="2:42">
      <c r="B121" s="555"/>
      <c r="C121" s="555"/>
      <c r="D121" s="555"/>
      <c r="E121" s="555"/>
      <c r="F121" s="555"/>
      <c r="G121" s="555"/>
      <c r="H121" s="555"/>
      <c r="I121" s="555"/>
      <c r="J121" s="555"/>
      <c r="K121" s="555"/>
      <c r="L121" s="555"/>
      <c r="M121" s="555"/>
      <c r="N121" s="555"/>
      <c r="O121" s="555"/>
      <c r="P121" s="555"/>
      <c r="Q121" s="60"/>
      <c r="R121" s="60"/>
      <c r="S121" s="60"/>
      <c r="T121" s="556"/>
      <c r="U121" s="556"/>
      <c r="V121" s="556"/>
      <c r="W121" s="556"/>
      <c r="X121" s="556"/>
      <c r="Y121" s="556"/>
      <c r="Z121" s="556"/>
      <c r="AA121" s="556"/>
      <c r="AB121" s="556"/>
      <c r="AC121" s="556"/>
      <c r="AD121" s="556"/>
      <c r="AE121" s="556"/>
      <c r="AF121" s="556"/>
      <c r="AG121" s="556"/>
      <c r="AH121" s="556"/>
      <c r="AI121" s="556"/>
      <c r="AJ121" s="556"/>
      <c r="AK121" s="556"/>
      <c r="AL121" s="556"/>
      <c r="AM121" s="556"/>
      <c r="AN121" s="556"/>
      <c r="AO121" s="556"/>
      <c r="AP121" s="556"/>
    </row>
    <row r="122" spans="2:42">
      <c r="B122" s="555"/>
      <c r="C122" s="555"/>
      <c r="D122" s="555"/>
      <c r="E122" s="555"/>
      <c r="F122" s="555"/>
      <c r="G122" s="555"/>
      <c r="H122" s="555"/>
      <c r="I122" s="555"/>
      <c r="J122" s="555"/>
      <c r="K122" s="555"/>
      <c r="L122" s="555"/>
      <c r="M122" s="555"/>
      <c r="N122" s="555"/>
      <c r="O122" s="555"/>
      <c r="P122" s="555"/>
      <c r="Q122" s="60"/>
      <c r="R122" s="60"/>
      <c r="S122" s="60"/>
      <c r="T122" s="556"/>
      <c r="U122" s="556"/>
      <c r="V122" s="556"/>
      <c r="W122" s="556"/>
      <c r="X122" s="556"/>
      <c r="Y122" s="556"/>
      <c r="Z122" s="556"/>
      <c r="AA122" s="556"/>
      <c r="AB122" s="556"/>
      <c r="AC122" s="556"/>
      <c r="AD122" s="556"/>
      <c r="AE122" s="556"/>
      <c r="AF122" s="556"/>
      <c r="AG122" s="556"/>
      <c r="AH122" s="556"/>
      <c r="AI122" s="556"/>
      <c r="AJ122" s="556"/>
      <c r="AK122" s="556"/>
      <c r="AL122" s="556"/>
      <c r="AM122" s="556"/>
      <c r="AN122" s="556"/>
      <c r="AO122" s="556"/>
      <c r="AP122" s="556"/>
    </row>
    <row r="123" spans="2:42">
      <c r="B123" s="555"/>
      <c r="C123" s="555"/>
      <c r="D123" s="555"/>
      <c r="E123" s="555"/>
      <c r="F123" s="555"/>
      <c r="G123" s="555"/>
      <c r="H123" s="555"/>
      <c r="I123" s="555"/>
      <c r="J123" s="555"/>
      <c r="K123" s="555"/>
      <c r="L123" s="555"/>
      <c r="M123" s="555"/>
      <c r="N123" s="555"/>
      <c r="O123" s="555"/>
      <c r="P123" s="555"/>
      <c r="Q123" s="60"/>
      <c r="R123" s="60"/>
      <c r="S123" s="60"/>
      <c r="T123" s="556"/>
      <c r="U123" s="556"/>
      <c r="V123" s="556"/>
      <c r="W123" s="556"/>
      <c r="X123" s="556"/>
      <c r="Y123" s="556"/>
      <c r="Z123" s="556"/>
      <c r="AA123" s="556"/>
      <c r="AB123" s="556"/>
      <c r="AC123" s="556"/>
      <c r="AD123" s="556"/>
      <c r="AE123" s="556"/>
      <c r="AF123" s="556"/>
      <c r="AG123" s="556"/>
      <c r="AH123" s="556"/>
      <c r="AI123" s="556"/>
      <c r="AJ123" s="556"/>
      <c r="AK123" s="556"/>
      <c r="AL123" s="556"/>
      <c r="AM123" s="556"/>
      <c r="AN123" s="556"/>
      <c r="AO123" s="556"/>
      <c r="AP123" s="556"/>
    </row>
    <row r="124" spans="2:42">
      <c r="B124" s="555"/>
      <c r="C124" s="555"/>
      <c r="D124" s="555"/>
      <c r="E124" s="555"/>
      <c r="F124" s="555"/>
      <c r="G124" s="555"/>
      <c r="H124" s="555"/>
      <c r="I124" s="555"/>
      <c r="J124" s="555"/>
      <c r="K124" s="555"/>
      <c r="L124" s="555"/>
      <c r="M124" s="555"/>
      <c r="N124" s="555"/>
      <c r="O124" s="555"/>
      <c r="P124" s="555"/>
      <c r="Q124" s="60"/>
      <c r="R124" s="60"/>
      <c r="S124" s="60"/>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row>
    <row r="125" spans="2:42">
      <c r="B125" s="555"/>
      <c r="C125" s="555"/>
      <c r="D125" s="555"/>
      <c r="E125" s="555"/>
      <c r="F125" s="555"/>
      <c r="G125" s="555"/>
      <c r="H125" s="555"/>
      <c r="I125" s="555"/>
      <c r="J125" s="555"/>
      <c r="K125" s="555"/>
      <c r="L125" s="555"/>
      <c r="M125" s="555"/>
      <c r="N125" s="555"/>
      <c r="O125" s="555"/>
      <c r="P125" s="555"/>
      <c r="Q125" s="60"/>
      <c r="R125" s="60"/>
      <c r="S125" s="60"/>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row>
    <row r="126" spans="2:42">
      <c r="B126" s="555"/>
      <c r="C126" s="555"/>
      <c r="D126" s="555"/>
      <c r="E126" s="555"/>
      <c r="F126" s="555"/>
      <c r="G126" s="555"/>
      <c r="H126" s="555"/>
      <c r="I126" s="555"/>
      <c r="J126" s="555"/>
      <c r="K126" s="555"/>
      <c r="L126" s="555"/>
      <c r="M126" s="555"/>
      <c r="N126" s="555"/>
      <c r="O126" s="555"/>
      <c r="P126" s="555"/>
      <c r="Q126" s="60"/>
      <c r="R126" s="60"/>
      <c r="S126" s="60"/>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row>
    <row r="127" spans="2:42">
      <c r="B127" s="555"/>
      <c r="C127" s="555"/>
      <c r="D127" s="555"/>
      <c r="E127" s="555"/>
      <c r="F127" s="555"/>
      <c r="G127" s="555"/>
      <c r="H127" s="555"/>
      <c r="I127" s="555"/>
      <c r="J127" s="555"/>
      <c r="K127" s="555"/>
      <c r="L127" s="555"/>
      <c r="M127" s="555"/>
      <c r="N127" s="555"/>
      <c r="O127" s="555"/>
      <c r="P127" s="555"/>
      <c r="Q127" s="60"/>
      <c r="R127" s="60"/>
      <c r="S127" s="60"/>
      <c r="T127" s="556"/>
      <c r="U127" s="556"/>
      <c r="V127" s="556"/>
      <c r="W127" s="556"/>
      <c r="X127" s="556"/>
      <c r="Y127" s="556"/>
      <c r="Z127" s="556"/>
      <c r="AA127" s="556"/>
      <c r="AB127" s="556"/>
      <c r="AC127" s="556"/>
      <c r="AD127" s="556"/>
      <c r="AE127" s="556"/>
      <c r="AF127" s="556"/>
      <c r="AG127" s="556"/>
      <c r="AH127" s="556"/>
      <c r="AI127" s="556"/>
      <c r="AJ127" s="556"/>
      <c r="AK127" s="556"/>
      <c r="AL127" s="556"/>
      <c r="AM127" s="556"/>
      <c r="AN127" s="556"/>
      <c r="AO127" s="556"/>
      <c r="AP127" s="556"/>
    </row>
    <row r="128" spans="2:42">
      <c r="B128" s="555"/>
      <c r="C128" s="555"/>
      <c r="D128" s="555"/>
      <c r="E128" s="555"/>
      <c r="F128" s="555"/>
      <c r="G128" s="555"/>
      <c r="H128" s="555"/>
      <c r="I128" s="555"/>
      <c r="J128" s="555"/>
      <c r="K128" s="555"/>
      <c r="L128" s="555"/>
      <c r="M128" s="555"/>
      <c r="N128" s="555"/>
      <c r="O128" s="555"/>
      <c r="P128" s="555"/>
      <c r="Q128" s="60"/>
      <c r="R128" s="60"/>
      <c r="S128" s="60"/>
      <c r="T128" s="556"/>
      <c r="U128" s="556"/>
      <c r="V128" s="556"/>
      <c r="W128" s="556"/>
      <c r="X128" s="556"/>
      <c r="Y128" s="556"/>
      <c r="Z128" s="556"/>
      <c r="AA128" s="556"/>
      <c r="AB128" s="556"/>
      <c r="AC128" s="556"/>
      <c r="AD128" s="556"/>
      <c r="AE128" s="556"/>
      <c r="AF128" s="556"/>
      <c r="AG128" s="556"/>
      <c r="AH128" s="556"/>
      <c r="AI128" s="556"/>
      <c r="AJ128" s="556"/>
      <c r="AK128" s="556"/>
      <c r="AL128" s="556"/>
      <c r="AM128" s="556"/>
      <c r="AN128" s="556"/>
      <c r="AO128" s="556"/>
      <c r="AP128" s="556"/>
    </row>
    <row r="129" spans="1:42">
      <c r="B129" s="555"/>
      <c r="C129" s="555"/>
      <c r="D129" s="555"/>
      <c r="E129" s="555"/>
      <c r="F129" s="555"/>
      <c r="G129" s="555"/>
      <c r="H129" s="555"/>
      <c r="I129" s="555"/>
      <c r="J129" s="555"/>
      <c r="K129" s="555"/>
      <c r="L129" s="555"/>
      <c r="M129" s="555"/>
      <c r="N129" s="555"/>
      <c r="O129" s="555"/>
      <c r="P129" s="555"/>
      <c r="Q129" s="60"/>
      <c r="R129" s="60"/>
      <c r="S129" s="60"/>
      <c r="T129" s="556"/>
      <c r="U129" s="556"/>
      <c r="V129" s="556"/>
      <c r="W129" s="556"/>
      <c r="X129" s="556"/>
      <c r="Y129" s="556"/>
      <c r="Z129" s="556"/>
      <c r="AA129" s="556"/>
      <c r="AB129" s="556"/>
      <c r="AC129" s="556"/>
      <c r="AD129" s="556"/>
      <c r="AE129" s="556"/>
      <c r="AF129" s="556"/>
      <c r="AG129" s="556"/>
      <c r="AH129" s="556"/>
      <c r="AI129" s="556"/>
      <c r="AJ129" s="556"/>
      <c r="AK129" s="556"/>
      <c r="AL129" s="556"/>
      <c r="AM129" s="556"/>
      <c r="AN129" s="556"/>
      <c r="AO129" s="556"/>
      <c r="AP129" s="556"/>
    </row>
    <row r="130" spans="1:42">
      <c r="B130" s="555"/>
      <c r="C130" s="555"/>
      <c r="D130" s="555"/>
      <c r="E130" s="555"/>
      <c r="F130" s="555"/>
      <c r="G130" s="555"/>
      <c r="H130" s="555"/>
      <c r="I130" s="555"/>
      <c r="J130" s="555"/>
      <c r="K130" s="555"/>
      <c r="L130" s="555"/>
      <c r="M130" s="555"/>
      <c r="N130" s="555"/>
      <c r="O130" s="555"/>
      <c r="P130" s="555"/>
      <c r="Q130" s="60"/>
      <c r="R130" s="60"/>
      <c r="S130" s="60"/>
      <c r="T130" s="556"/>
      <c r="U130" s="556"/>
      <c r="V130" s="556"/>
      <c r="W130" s="556"/>
      <c r="X130" s="556"/>
      <c r="Y130" s="556"/>
      <c r="Z130" s="556"/>
      <c r="AA130" s="556"/>
      <c r="AB130" s="556"/>
      <c r="AC130" s="556"/>
      <c r="AD130" s="556"/>
      <c r="AE130" s="556"/>
      <c r="AF130" s="556"/>
      <c r="AG130" s="556"/>
      <c r="AH130" s="556"/>
      <c r="AI130" s="556"/>
      <c r="AJ130" s="556"/>
      <c r="AK130" s="556"/>
      <c r="AL130" s="556"/>
      <c r="AM130" s="556"/>
      <c r="AN130" s="556"/>
      <c r="AO130" s="556"/>
      <c r="AP130" s="556"/>
    </row>
    <row r="131" spans="1:42">
      <c r="B131" s="555"/>
      <c r="C131" s="555"/>
      <c r="D131" s="555"/>
      <c r="E131" s="555"/>
      <c r="F131" s="555"/>
      <c r="G131" s="555"/>
      <c r="H131" s="555"/>
      <c r="I131" s="555"/>
      <c r="J131" s="555"/>
      <c r="K131" s="555"/>
      <c r="L131" s="555"/>
      <c r="M131" s="555"/>
      <c r="N131" s="555"/>
      <c r="O131" s="555"/>
      <c r="P131" s="555"/>
      <c r="Q131" s="60"/>
      <c r="R131" s="60"/>
      <c r="S131" s="60"/>
      <c r="T131" s="556"/>
      <c r="U131" s="556"/>
      <c r="V131" s="556"/>
      <c r="W131" s="556"/>
      <c r="X131" s="556"/>
      <c r="Y131" s="556"/>
      <c r="Z131" s="556"/>
      <c r="AA131" s="556"/>
      <c r="AB131" s="556"/>
      <c r="AC131" s="556"/>
      <c r="AD131" s="556"/>
      <c r="AE131" s="556"/>
      <c r="AF131" s="556"/>
      <c r="AG131" s="556"/>
      <c r="AH131" s="556"/>
      <c r="AI131" s="556"/>
      <c r="AJ131" s="556"/>
      <c r="AK131" s="556"/>
      <c r="AL131" s="556"/>
      <c r="AM131" s="556"/>
      <c r="AN131" s="556"/>
      <c r="AO131" s="556"/>
      <c r="AP131" s="556"/>
    </row>
    <row r="132" spans="1:42">
      <c r="B132" s="555"/>
      <c r="C132" s="555"/>
      <c r="D132" s="555"/>
      <c r="E132" s="555"/>
      <c r="F132" s="555"/>
      <c r="G132" s="555"/>
      <c r="H132" s="555"/>
      <c r="I132" s="555"/>
      <c r="J132" s="555"/>
      <c r="K132" s="555"/>
      <c r="L132" s="555"/>
      <c r="M132" s="555"/>
      <c r="N132" s="555"/>
      <c r="O132" s="555"/>
      <c r="P132" s="555"/>
      <c r="Q132" s="60"/>
      <c r="R132" s="60"/>
      <c r="S132" s="60"/>
      <c r="T132" s="556"/>
      <c r="U132" s="556"/>
      <c r="V132" s="556"/>
      <c r="W132" s="556"/>
      <c r="X132" s="556"/>
      <c r="Y132" s="556"/>
      <c r="Z132" s="556"/>
      <c r="AA132" s="556"/>
      <c r="AB132" s="556"/>
      <c r="AC132" s="556"/>
      <c r="AD132" s="556"/>
      <c r="AE132" s="556"/>
      <c r="AF132" s="556"/>
      <c r="AG132" s="556"/>
      <c r="AH132" s="556"/>
      <c r="AI132" s="556"/>
      <c r="AJ132" s="556"/>
      <c r="AK132" s="556"/>
      <c r="AL132" s="556"/>
      <c r="AM132" s="556"/>
      <c r="AN132" s="556"/>
      <c r="AO132" s="556"/>
      <c r="AP132" s="556"/>
    </row>
    <row r="133" spans="1:42">
      <c r="B133" s="555"/>
      <c r="C133" s="555"/>
      <c r="D133" s="555"/>
      <c r="E133" s="555"/>
      <c r="F133" s="555"/>
      <c r="G133" s="555"/>
      <c r="H133" s="555"/>
      <c r="I133" s="555"/>
      <c r="J133" s="555"/>
      <c r="K133" s="555"/>
      <c r="L133" s="555"/>
      <c r="M133" s="555"/>
      <c r="N133" s="555"/>
      <c r="O133" s="555"/>
      <c r="P133" s="555"/>
      <c r="Q133" s="60"/>
      <c r="R133" s="60"/>
      <c r="S133" s="60"/>
      <c r="T133" s="556"/>
      <c r="U133" s="556"/>
      <c r="V133" s="556"/>
      <c r="W133" s="556"/>
      <c r="X133" s="556"/>
      <c r="Y133" s="556"/>
      <c r="Z133" s="556"/>
      <c r="AA133" s="556"/>
      <c r="AB133" s="556"/>
      <c r="AC133" s="556"/>
      <c r="AD133" s="556"/>
      <c r="AE133" s="556"/>
      <c r="AF133" s="556"/>
      <c r="AG133" s="556"/>
      <c r="AH133" s="556"/>
      <c r="AI133" s="556"/>
      <c r="AJ133" s="556"/>
      <c r="AK133" s="556"/>
      <c r="AL133" s="556"/>
      <c r="AM133" s="556"/>
      <c r="AN133" s="556"/>
      <c r="AO133" s="556"/>
      <c r="AP133" s="556"/>
    </row>
    <row r="134" spans="1:42">
      <c r="B134" s="555"/>
      <c r="C134" s="555"/>
      <c r="D134" s="555"/>
      <c r="E134" s="555"/>
      <c r="F134" s="555"/>
      <c r="G134" s="555"/>
      <c r="H134" s="555"/>
      <c r="I134" s="555"/>
      <c r="J134" s="555"/>
      <c r="K134" s="555"/>
      <c r="L134" s="555"/>
      <c r="M134" s="555"/>
      <c r="N134" s="555"/>
      <c r="O134" s="555"/>
      <c r="P134" s="555"/>
      <c r="Q134" s="60"/>
      <c r="R134" s="60"/>
      <c r="S134" s="60"/>
      <c r="T134" s="556"/>
      <c r="U134" s="556"/>
      <c r="V134" s="556"/>
      <c r="W134" s="556"/>
      <c r="X134" s="556"/>
      <c r="Y134" s="556"/>
      <c r="Z134" s="556"/>
      <c r="AA134" s="556"/>
      <c r="AB134" s="556"/>
      <c r="AC134" s="556"/>
      <c r="AD134" s="556"/>
      <c r="AE134" s="556"/>
      <c r="AF134" s="556"/>
      <c r="AG134" s="556"/>
      <c r="AH134" s="556"/>
      <c r="AI134" s="556"/>
      <c r="AJ134" s="556"/>
      <c r="AK134" s="556"/>
      <c r="AL134" s="556"/>
      <c r="AM134" s="556"/>
      <c r="AN134" s="556"/>
      <c r="AO134" s="556"/>
      <c r="AP134" s="556"/>
    </row>
    <row r="135" spans="1:42">
      <c r="B135" s="555"/>
      <c r="C135" s="555"/>
      <c r="D135" s="555"/>
      <c r="E135" s="555"/>
      <c r="F135" s="555"/>
      <c r="G135" s="555"/>
      <c r="H135" s="555"/>
      <c r="I135" s="555"/>
      <c r="J135" s="555"/>
      <c r="K135" s="555"/>
      <c r="L135" s="555"/>
      <c r="M135" s="555"/>
      <c r="N135" s="555"/>
      <c r="O135" s="555"/>
      <c r="P135" s="555"/>
      <c r="Q135" s="60"/>
      <c r="R135" s="60"/>
      <c r="S135" s="60"/>
      <c r="T135" s="556"/>
      <c r="U135" s="556"/>
      <c r="V135" s="556"/>
      <c r="W135" s="556"/>
      <c r="X135" s="556"/>
      <c r="Y135" s="556"/>
      <c r="Z135" s="556"/>
      <c r="AA135" s="556"/>
      <c r="AB135" s="556"/>
      <c r="AC135" s="556"/>
      <c r="AD135" s="556"/>
      <c r="AE135" s="556"/>
      <c r="AF135" s="556"/>
      <c r="AG135" s="556"/>
      <c r="AH135" s="556"/>
      <c r="AI135" s="556"/>
      <c r="AJ135" s="556"/>
      <c r="AK135" s="556"/>
      <c r="AL135" s="556"/>
      <c r="AM135" s="556"/>
      <c r="AN135" s="556"/>
      <c r="AO135" s="556"/>
      <c r="AP135" s="556"/>
    </row>
    <row r="136" spans="1:42">
      <c r="B136" s="555"/>
      <c r="C136" s="555"/>
      <c r="D136" s="555"/>
      <c r="E136" s="555"/>
      <c r="F136" s="555"/>
      <c r="G136" s="555"/>
      <c r="H136" s="555"/>
      <c r="I136" s="555"/>
      <c r="J136" s="555"/>
      <c r="K136" s="555"/>
      <c r="L136" s="555"/>
      <c r="M136" s="555"/>
      <c r="N136" s="555"/>
      <c r="O136" s="555"/>
      <c r="P136" s="555"/>
      <c r="Q136" s="60"/>
      <c r="R136" s="60"/>
      <c r="S136" s="60"/>
      <c r="T136" s="556"/>
      <c r="U136" s="556"/>
      <c r="V136" s="556"/>
      <c r="W136" s="556"/>
      <c r="X136" s="556"/>
      <c r="Y136" s="556"/>
      <c r="Z136" s="556"/>
      <c r="AA136" s="556"/>
      <c r="AB136" s="556"/>
      <c r="AC136" s="556"/>
      <c r="AD136" s="556"/>
      <c r="AE136" s="556"/>
      <c r="AF136" s="556"/>
      <c r="AG136" s="556"/>
      <c r="AH136" s="556"/>
      <c r="AI136" s="556"/>
      <c r="AJ136" s="556"/>
      <c r="AK136" s="556"/>
      <c r="AL136" s="556"/>
      <c r="AM136" s="556"/>
      <c r="AN136" s="556"/>
      <c r="AO136" s="556"/>
      <c r="AP136" s="556"/>
    </row>
    <row r="137" spans="1:42">
      <c r="B137" s="555"/>
      <c r="C137" s="555"/>
      <c r="D137" s="555"/>
      <c r="E137" s="555"/>
      <c r="F137" s="555"/>
      <c r="G137" s="555"/>
      <c r="H137" s="555"/>
      <c r="I137" s="555"/>
      <c r="J137" s="555"/>
      <c r="K137" s="555"/>
      <c r="L137" s="555"/>
      <c r="M137" s="555"/>
      <c r="N137" s="555"/>
      <c r="O137" s="555"/>
      <c r="P137" s="555"/>
      <c r="Q137" s="60"/>
      <c r="R137" s="60"/>
      <c r="S137" s="60"/>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row>
    <row r="138" spans="1:42">
      <c r="B138" s="555"/>
      <c r="C138" s="555"/>
      <c r="D138" s="555"/>
      <c r="E138" s="555"/>
      <c r="F138" s="555"/>
      <c r="G138" s="555"/>
      <c r="H138" s="555"/>
      <c r="I138" s="555"/>
      <c r="J138" s="555"/>
      <c r="K138" s="555"/>
      <c r="L138" s="555"/>
      <c r="M138" s="555"/>
      <c r="N138" s="555"/>
      <c r="O138" s="555"/>
      <c r="P138" s="555"/>
      <c r="Q138" s="60"/>
      <c r="R138" s="60"/>
      <c r="S138" s="60"/>
      <c r="T138" s="556"/>
      <c r="U138" s="556"/>
      <c r="V138" s="556"/>
      <c r="W138" s="556"/>
      <c r="X138" s="556"/>
      <c r="Y138" s="556"/>
      <c r="Z138" s="556"/>
      <c r="AA138" s="556"/>
      <c r="AB138" s="556"/>
      <c r="AC138" s="556"/>
      <c r="AD138" s="556"/>
      <c r="AE138" s="556"/>
      <c r="AF138" s="556"/>
      <c r="AG138" s="556"/>
      <c r="AH138" s="556"/>
      <c r="AI138" s="556"/>
      <c r="AJ138" s="556"/>
      <c r="AK138" s="556"/>
      <c r="AL138" s="556"/>
      <c r="AM138" s="556"/>
      <c r="AN138" s="556"/>
      <c r="AO138" s="556"/>
      <c r="AP138" s="556"/>
    </row>
    <row r="139" spans="1:42">
      <c r="B139" s="555"/>
      <c r="C139" s="555"/>
      <c r="D139" s="555"/>
      <c r="E139" s="555"/>
      <c r="F139" s="555"/>
      <c r="G139" s="555"/>
      <c r="H139" s="555"/>
      <c r="I139" s="555"/>
      <c r="J139" s="555"/>
      <c r="K139" s="555"/>
      <c r="L139" s="555"/>
      <c r="M139" s="555"/>
      <c r="N139" s="555"/>
      <c r="O139" s="555"/>
      <c r="P139" s="555"/>
      <c r="Q139" s="60"/>
      <c r="R139" s="60"/>
      <c r="S139" s="60"/>
      <c r="T139" s="556"/>
      <c r="U139" s="556"/>
      <c r="V139" s="556"/>
      <c r="W139" s="556"/>
      <c r="X139" s="556"/>
      <c r="Y139" s="556"/>
      <c r="Z139" s="556"/>
      <c r="AA139" s="556"/>
      <c r="AB139" s="556"/>
      <c r="AC139" s="556"/>
      <c r="AD139" s="556"/>
      <c r="AE139" s="556"/>
      <c r="AF139" s="556"/>
      <c r="AG139" s="556"/>
      <c r="AH139" s="556"/>
      <c r="AI139" s="556"/>
      <c r="AJ139" s="556"/>
      <c r="AK139" s="556"/>
      <c r="AL139" s="556"/>
      <c r="AM139" s="556"/>
      <c r="AN139" s="556"/>
      <c r="AO139" s="556"/>
      <c r="AP139" s="556"/>
    </row>
    <row r="140" spans="1:42">
      <c r="A140" s="556"/>
      <c r="B140" s="60"/>
      <c r="C140" s="60"/>
      <c r="D140" s="61"/>
      <c r="E140" s="60"/>
      <c r="F140" s="60"/>
      <c r="G140" s="60"/>
      <c r="H140" s="61"/>
      <c r="I140" s="60"/>
      <c r="J140" s="60"/>
      <c r="K140" s="60"/>
      <c r="L140" s="60"/>
      <c r="M140" s="60"/>
      <c r="N140" s="60"/>
      <c r="O140" s="60"/>
      <c r="P140" s="61"/>
      <c r="Q140" s="60"/>
      <c r="R140" s="60"/>
      <c r="S140" s="60"/>
      <c r="T140" s="556"/>
      <c r="U140" s="556"/>
      <c r="V140" s="556"/>
      <c r="W140" s="556"/>
      <c r="X140" s="556"/>
      <c r="Y140" s="556"/>
      <c r="Z140" s="556"/>
      <c r="AA140" s="556"/>
      <c r="AB140" s="556"/>
      <c r="AC140" s="556"/>
      <c r="AD140" s="556"/>
      <c r="AE140" s="556"/>
      <c r="AF140" s="556"/>
      <c r="AG140" s="556"/>
      <c r="AH140" s="556"/>
      <c r="AI140" s="556"/>
      <c r="AJ140" s="556"/>
      <c r="AK140" s="556"/>
      <c r="AL140" s="556"/>
      <c r="AM140" s="556"/>
      <c r="AN140" s="556"/>
      <c r="AO140" s="556"/>
      <c r="AP140" s="556"/>
    </row>
    <row r="141" spans="1:42">
      <c r="A141" s="556" t="s">
        <v>374</v>
      </c>
      <c r="B141" s="65">
        <v>0</v>
      </c>
      <c r="C141" s="65"/>
      <c r="D141" s="67"/>
      <c r="E141" s="65"/>
      <c r="F141" s="65"/>
      <c r="G141" s="65"/>
      <c r="H141" s="67"/>
      <c r="I141" s="65"/>
      <c r="J141" s="65"/>
      <c r="K141" s="65"/>
      <c r="L141" s="65"/>
      <c r="M141" s="65"/>
      <c r="N141" s="65"/>
      <c r="O141" s="60"/>
      <c r="P141" s="67"/>
      <c r="Q141" s="60"/>
      <c r="R141" s="60"/>
      <c r="S141" s="60"/>
      <c r="T141" s="556"/>
      <c r="U141" s="556"/>
      <c r="V141" s="556"/>
      <c r="W141" s="556"/>
      <c r="X141" s="556"/>
      <c r="Y141" s="556"/>
      <c r="Z141" s="556"/>
      <c r="AA141" s="556"/>
      <c r="AB141" s="556"/>
      <c r="AC141" s="556"/>
      <c r="AD141" s="556"/>
      <c r="AE141" s="556"/>
      <c r="AF141" s="556"/>
      <c r="AG141" s="556"/>
      <c r="AH141" s="556"/>
      <c r="AI141" s="556"/>
      <c r="AJ141" s="556"/>
      <c r="AK141" s="556"/>
      <c r="AL141" s="556"/>
      <c r="AM141" s="556"/>
      <c r="AN141" s="556"/>
      <c r="AO141" s="556"/>
      <c r="AP141" s="556"/>
    </row>
    <row r="142" spans="1:42">
      <c r="A142" s="556"/>
      <c r="B142" s="60"/>
      <c r="C142" s="60"/>
      <c r="D142" s="61"/>
      <c r="E142" s="60"/>
      <c r="F142" s="60"/>
      <c r="G142" s="60"/>
      <c r="H142" s="61"/>
      <c r="I142" s="60"/>
      <c r="J142" s="60"/>
      <c r="K142" s="60"/>
      <c r="L142" s="60"/>
      <c r="M142" s="60"/>
      <c r="N142" s="60"/>
      <c r="O142" s="60"/>
      <c r="P142" s="61"/>
      <c r="Q142" s="60"/>
      <c r="R142" s="60"/>
      <c r="S142" s="60"/>
      <c r="T142" s="556"/>
      <c r="U142" s="556"/>
      <c r="V142" s="556"/>
      <c r="W142" s="556"/>
      <c r="X142" s="556"/>
      <c r="Y142" s="556"/>
      <c r="Z142" s="556"/>
      <c r="AA142" s="556"/>
      <c r="AB142" s="556"/>
      <c r="AC142" s="556"/>
      <c r="AD142" s="556"/>
      <c r="AE142" s="556"/>
      <c r="AF142" s="556"/>
      <c r="AG142" s="556"/>
      <c r="AH142" s="556"/>
      <c r="AI142" s="556"/>
      <c r="AJ142" s="556"/>
      <c r="AK142" s="556"/>
      <c r="AL142" s="556"/>
      <c r="AM142" s="556"/>
      <c r="AN142" s="556"/>
      <c r="AO142" s="556"/>
      <c r="AP142" s="556"/>
    </row>
    <row r="143" spans="1:42">
      <c r="A143" s="556" t="s">
        <v>375</v>
      </c>
      <c r="B143" s="65">
        <v>0</v>
      </c>
      <c r="C143" s="65"/>
      <c r="D143" s="67"/>
      <c r="E143" s="65"/>
      <c r="F143" s="65"/>
      <c r="G143" s="65"/>
      <c r="H143" s="67"/>
      <c r="I143" s="65"/>
      <c r="J143" s="65"/>
      <c r="K143" s="65"/>
      <c r="L143" s="65"/>
      <c r="M143" s="65"/>
      <c r="N143" s="65"/>
      <c r="O143" s="60"/>
      <c r="P143" s="67"/>
      <c r="Q143" s="60"/>
      <c r="R143" s="60"/>
      <c r="S143" s="60"/>
      <c r="T143" s="556"/>
      <c r="U143" s="556"/>
      <c r="V143" s="556"/>
      <c r="W143" s="556"/>
      <c r="X143" s="556"/>
      <c r="Y143" s="556"/>
      <c r="Z143" s="556"/>
      <c r="AA143" s="556"/>
      <c r="AB143" s="556"/>
      <c r="AC143" s="556"/>
      <c r="AD143" s="556"/>
      <c r="AE143" s="556"/>
      <c r="AF143" s="556"/>
      <c r="AG143" s="556"/>
      <c r="AH143" s="556"/>
      <c r="AI143" s="556"/>
      <c r="AJ143" s="556"/>
      <c r="AK143" s="556"/>
      <c r="AL143" s="556"/>
      <c r="AM143" s="556"/>
      <c r="AN143" s="556"/>
      <c r="AO143" s="556"/>
      <c r="AP143" s="556"/>
    </row>
    <row r="144" spans="1:42">
      <c r="A144" s="556"/>
      <c r="B144" s="60"/>
      <c r="C144" s="60"/>
      <c r="D144" s="61"/>
      <c r="E144" s="60"/>
      <c r="F144" s="60"/>
      <c r="G144" s="60"/>
      <c r="H144" s="61"/>
      <c r="I144" s="60"/>
      <c r="J144" s="60"/>
      <c r="K144" s="60"/>
      <c r="L144" s="60"/>
      <c r="M144" s="60"/>
      <c r="N144" s="60"/>
      <c r="O144" s="60"/>
      <c r="P144" s="61"/>
      <c r="Q144" s="60"/>
      <c r="R144" s="60"/>
      <c r="S144" s="60"/>
      <c r="T144" s="556"/>
      <c r="U144" s="556"/>
      <c r="V144" s="556"/>
      <c r="W144" s="556"/>
      <c r="X144" s="556"/>
      <c r="Y144" s="556"/>
      <c r="Z144" s="556"/>
      <c r="AA144" s="556"/>
      <c r="AB144" s="556"/>
      <c r="AC144" s="556"/>
      <c r="AD144" s="556"/>
      <c r="AE144" s="556"/>
      <c r="AF144" s="556"/>
      <c r="AG144" s="556"/>
      <c r="AH144" s="556"/>
      <c r="AI144" s="556"/>
      <c r="AJ144" s="556"/>
      <c r="AK144" s="556"/>
      <c r="AL144" s="556"/>
      <c r="AM144" s="556"/>
      <c r="AN144" s="556"/>
      <c r="AO144" s="556"/>
      <c r="AP144" s="556"/>
    </row>
    <row r="145" spans="1:42">
      <c r="A145" s="556" t="s">
        <v>376</v>
      </c>
      <c r="B145" s="65">
        <f>+B148+B149+B150</f>
        <v>0</v>
      </c>
      <c r="C145" s="65"/>
      <c r="D145" s="67"/>
      <c r="E145" s="65"/>
      <c r="F145" s="65"/>
      <c r="G145" s="65"/>
      <c r="H145" s="67"/>
      <c r="I145" s="65"/>
      <c r="J145" s="65"/>
      <c r="K145" s="65"/>
      <c r="L145" s="65"/>
      <c r="M145" s="65"/>
      <c r="N145" s="65"/>
      <c r="O145" s="60"/>
      <c r="P145" s="67"/>
      <c r="Q145" s="60"/>
      <c r="R145" s="60"/>
      <c r="S145" s="60"/>
      <c r="T145" s="556"/>
      <c r="U145" s="556"/>
      <c r="V145" s="556"/>
      <c r="W145" s="556"/>
      <c r="X145" s="556"/>
      <c r="Y145" s="556"/>
      <c r="Z145" s="556"/>
      <c r="AA145" s="556"/>
      <c r="AB145" s="556"/>
      <c r="AC145" s="556"/>
      <c r="AD145" s="556"/>
      <c r="AE145" s="556"/>
      <c r="AF145" s="556"/>
      <c r="AG145" s="556"/>
      <c r="AH145" s="556"/>
      <c r="AI145" s="556"/>
      <c r="AJ145" s="556"/>
      <c r="AK145" s="556"/>
      <c r="AL145" s="556"/>
      <c r="AM145" s="556"/>
      <c r="AN145" s="556"/>
      <c r="AO145" s="556"/>
      <c r="AP145" s="556"/>
    </row>
    <row r="146" spans="1:42">
      <c r="A146" s="556" t="s">
        <v>377</v>
      </c>
      <c r="B146" s="60">
        <v>0</v>
      </c>
      <c r="C146" s="60"/>
      <c r="D146" s="61"/>
      <c r="E146" s="60"/>
      <c r="F146" s="60"/>
      <c r="G146" s="60"/>
      <c r="H146" s="61"/>
      <c r="I146" s="60"/>
      <c r="J146" s="60"/>
      <c r="K146" s="60"/>
      <c r="L146" s="60"/>
      <c r="M146" s="60"/>
      <c r="N146" s="60"/>
      <c r="O146" s="60"/>
      <c r="P146" s="61"/>
      <c r="Q146" s="60"/>
      <c r="R146" s="60"/>
      <c r="S146" s="60"/>
      <c r="T146" s="556"/>
      <c r="U146" s="556"/>
      <c r="V146" s="556"/>
      <c r="W146" s="556"/>
      <c r="X146" s="556"/>
      <c r="Y146" s="556"/>
      <c r="Z146" s="556"/>
      <c r="AA146" s="556"/>
      <c r="AB146" s="556"/>
      <c r="AC146" s="556"/>
      <c r="AD146" s="556"/>
      <c r="AE146" s="556"/>
      <c r="AF146" s="556"/>
      <c r="AG146" s="556"/>
      <c r="AH146" s="556"/>
      <c r="AI146" s="556"/>
      <c r="AJ146" s="556"/>
      <c r="AK146" s="556"/>
      <c r="AL146" s="556"/>
      <c r="AM146" s="556"/>
      <c r="AN146" s="556"/>
      <c r="AO146" s="556"/>
      <c r="AP146" s="556"/>
    </row>
    <row r="147" spans="1:42">
      <c r="A147" s="556" t="s">
        <v>378</v>
      </c>
      <c r="B147" s="60">
        <v>0</v>
      </c>
      <c r="C147" s="60"/>
      <c r="D147" s="61"/>
      <c r="E147" s="60"/>
      <c r="F147" s="60"/>
      <c r="G147" s="60"/>
      <c r="H147" s="61"/>
      <c r="I147" s="60"/>
      <c r="J147" s="60"/>
      <c r="K147" s="60"/>
      <c r="L147" s="60"/>
      <c r="M147" s="60"/>
      <c r="N147" s="60"/>
      <c r="O147" s="60"/>
      <c r="P147" s="61"/>
      <c r="Q147" s="60"/>
      <c r="R147" s="60"/>
      <c r="S147" s="60"/>
      <c r="T147" s="556"/>
      <c r="U147" s="556"/>
      <c r="V147" s="556"/>
      <c r="W147" s="556"/>
      <c r="X147" s="556"/>
      <c r="Y147" s="556"/>
      <c r="Z147" s="556"/>
      <c r="AA147" s="556"/>
      <c r="AB147" s="556"/>
      <c r="AC147" s="556"/>
      <c r="AD147" s="556"/>
      <c r="AE147" s="556"/>
      <c r="AF147" s="556"/>
      <c r="AG147" s="556"/>
      <c r="AH147" s="556"/>
      <c r="AI147" s="556"/>
      <c r="AJ147" s="556"/>
      <c r="AK147" s="556"/>
      <c r="AL147" s="556"/>
      <c r="AM147" s="556"/>
      <c r="AN147" s="556"/>
      <c r="AO147" s="556"/>
      <c r="AP147" s="556"/>
    </row>
    <row r="148" spans="1:42">
      <c r="A148" s="556" t="s">
        <v>289</v>
      </c>
      <c r="B148" s="65">
        <f>+B146+B147</f>
        <v>0</v>
      </c>
      <c r="C148" s="60"/>
      <c r="D148" s="61"/>
      <c r="E148" s="60"/>
      <c r="F148" s="60"/>
      <c r="G148" s="60"/>
      <c r="H148" s="61"/>
      <c r="I148" s="60"/>
      <c r="J148" s="60"/>
      <c r="K148" s="60"/>
      <c r="L148" s="60"/>
      <c r="M148" s="60"/>
      <c r="N148" s="60"/>
      <c r="O148" s="60"/>
      <c r="P148" s="61"/>
      <c r="Q148" s="60"/>
      <c r="R148" s="60"/>
      <c r="S148" s="60"/>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row>
    <row r="149" spans="1:42">
      <c r="A149" s="556" t="s">
        <v>379</v>
      </c>
      <c r="B149" s="60">
        <v>0</v>
      </c>
      <c r="C149" s="60"/>
      <c r="D149" s="61"/>
      <c r="E149" s="60"/>
      <c r="F149" s="60"/>
      <c r="G149" s="60"/>
      <c r="H149" s="61"/>
      <c r="I149" s="60"/>
      <c r="J149" s="60"/>
      <c r="K149" s="60"/>
      <c r="L149" s="60"/>
      <c r="M149" s="60"/>
      <c r="N149" s="60"/>
      <c r="O149" s="60"/>
      <c r="P149" s="61"/>
      <c r="Q149" s="60"/>
      <c r="R149" s="60"/>
      <c r="S149" s="60"/>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row>
    <row r="150" spans="1:42">
      <c r="A150" s="556" t="s">
        <v>380</v>
      </c>
      <c r="B150" s="60">
        <v>0</v>
      </c>
      <c r="C150" s="60"/>
      <c r="D150" s="61"/>
      <c r="E150" s="60"/>
      <c r="F150" s="60"/>
      <c r="G150" s="60"/>
      <c r="H150" s="61"/>
      <c r="I150" s="60"/>
      <c r="J150" s="60"/>
      <c r="K150" s="60"/>
      <c r="L150" s="60"/>
      <c r="M150" s="60"/>
      <c r="N150" s="60"/>
      <c r="O150" s="60"/>
      <c r="P150" s="61"/>
      <c r="Q150" s="60"/>
      <c r="R150" s="60"/>
      <c r="S150" s="60"/>
      <c r="T150" s="556"/>
      <c r="U150" s="556"/>
      <c r="V150" s="556"/>
      <c r="W150" s="556"/>
      <c r="X150" s="556"/>
      <c r="Y150" s="556"/>
      <c r="Z150" s="556"/>
      <c r="AA150" s="556"/>
      <c r="AB150" s="556"/>
      <c r="AC150" s="556"/>
      <c r="AD150" s="556"/>
      <c r="AE150" s="556"/>
      <c r="AF150" s="556"/>
      <c r="AG150" s="556"/>
      <c r="AH150" s="556"/>
      <c r="AI150" s="556"/>
      <c r="AJ150" s="556"/>
      <c r="AK150" s="556"/>
      <c r="AL150" s="556"/>
      <c r="AM150" s="556"/>
      <c r="AN150" s="556"/>
      <c r="AO150" s="556"/>
      <c r="AP150" s="556"/>
    </row>
    <row r="151" spans="1:42">
      <c r="A151" s="556"/>
      <c r="B151" s="60"/>
      <c r="C151" s="60"/>
      <c r="D151" s="61"/>
      <c r="E151" s="60"/>
      <c r="F151" s="60"/>
      <c r="G151" s="60"/>
      <c r="H151" s="61"/>
      <c r="I151" s="60"/>
      <c r="J151" s="60"/>
      <c r="K151" s="60"/>
      <c r="L151" s="60"/>
      <c r="M151" s="60"/>
      <c r="N151" s="60"/>
      <c r="O151" s="60"/>
      <c r="P151" s="61"/>
      <c r="Q151" s="60"/>
      <c r="R151" s="60"/>
      <c r="S151" s="60"/>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row>
    <row r="152" spans="1:42">
      <c r="A152" s="556" t="s">
        <v>381</v>
      </c>
      <c r="B152" s="65">
        <f>SUM(B153:B154)</f>
        <v>0</v>
      </c>
      <c r="C152" s="65"/>
      <c r="D152" s="67"/>
      <c r="E152" s="65"/>
      <c r="F152" s="65"/>
      <c r="G152" s="65"/>
      <c r="H152" s="67"/>
      <c r="I152" s="65"/>
      <c r="J152" s="65"/>
      <c r="K152" s="65"/>
      <c r="L152" s="65"/>
      <c r="M152" s="65"/>
      <c r="N152" s="65"/>
      <c r="O152" s="60"/>
      <c r="P152" s="67"/>
      <c r="Q152" s="60"/>
      <c r="R152" s="60"/>
      <c r="S152" s="60"/>
      <c r="T152" s="556"/>
      <c r="U152" s="556"/>
      <c r="V152" s="556"/>
      <c r="W152" s="556"/>
      <c r="X152" s="556"/>
      <c r="Y152" s="556"/>
      <c r="Z152" s="556"/>
      <c r="AA152" s="556"/>
      <c r="AB152" s="556"/>
      <c r="AC152" s="556"/>
      <c r="AD152" s="556"/>
      <c r="AE152" s="556"/>
      <c r="AF152" s="556"/>
      <c r="AG152" s="556"/>
      <c r="AH152" s="556"/>
      <c r="AI152" s="556"/>
      <c r="AJ152" s="556"/>
      <c r="AK152" s="556"/>
      <c r="AL152" s="556"/>
      <c r="AM152" s="556"/>
      <c r="AN152" s="556"/>
      <c r="AO152" s="556"/>
      <c r="AP152" s="556"/>
    </row>
    <row r="153" spans="1:42">
      <c r="A153" s="556" t="s">
        <v>382</v>
      </c>
      <c r="B153" s="60">
        <v>0</v>
      </c>
      <c r="C153" s="60"/>
      <c r="D153" s="61"/>
      <c r="E153" s="60"/>
      <c r="F153" s="60"/>
      <c r="G153" s="60"/>
      <c r="H153" s="61"/>
      <c r="I153" s="60"/>
      <c r="J153" s="60"/>
      <c r="K153" s="60"/>
      <c r="L153" s="60"/>
      <c r="M153" s="60"/>
      <c r="N153" s="60"/>
      <c r="O153" s="60"/>
      <c r="P153" s="61"/>
      <c r="Q153" s="60"/>
      <c r="R153" s="60"/>
      <c r="S153" s="60"/>
      <c r="T153" s="556"/>
      <c r="U153" s="556"/>
      <c r="V153" s="556"/>
      <c r="W153" s="556"/>
      <c r="X153" s="556"/>
      <c r="Y153" s="556"/>
      <c r="Z153" s="556"/>
      <c r="AA153" s="556"/>
      <c r="AB153" s="556"/>
      <c r="AC153" s="556"/>
      <c r="AD153" s="556"/>
      <c r="AE153" s="556"/>
      <c r="AF153" s="556"/>
      <c r="AG153" s="556"/>
      <c r="AH153" s="556"/>
      <c r="AI153" s="556"/>
      <c r="AJ153" s="556"/>
      <c r="AK153" s="556"/>
      <c r="AL153" s="556"/>
      <c r="AM153" s="556"/>
      <c r="AN153" s="556"/>
      <c r="AO153" s="556"/>
      <c r="AP153" s="556"/>
    </row>
    <row r="154" spans="1:42">
      <c r="A154" s="556" t="s">
        <v>383</v>
      </c>
      <c r="B154" s="60">
        <v>0</v>
      </c>
      <c r="C154" s="60"/>
      <c r="D154" s="61"/>
      <c r="E154" s="60"/>
      <c r="F154" s="60"/>
      <c r="G154" s="60"/>
      <c r="H154" s="61"/>
      <c r="I154" s="60"/>
      <c r="J154" s="60"/>
      <c r="K154" s="60"/>
      <c r="L154" s="60"/>
      <c r="M154" s="60"/>
      <c r="N154" s="60"/>
      <c r="O154" s="60"/>
      <c r="P154" s="61"/>
      <c r="Q154" s="60"/>
      <c r="R154" s="60"/>
      <c r="S154" s="60"/>
      <c r="T154" s="556"/>
      <c r="U154" s="556"/>
      <c r="V154" s="556"/>
      <c r="W154" s="556"/>
      <c r="X154" s="556"/>
      <c r="Y154" s="556"/>
      <c r="Z154" s="556"/>
      <c r="AA154" s="556"/>
      <c r="AB154" s="556"/>
      <c r="AC154" s="556"/>
      <c r="AD154" s="556"/>
      <c r="AE154" s="556"/>
      <c r="AF154" s="556"/>
      <c r="AG154" s="556"/>
      <c r="AH154" s="556"/>
      <c r="AI154" s="556"/>
      <c r="AJ154" s="556"/>
      <c r="AK154" s="556"/>
      <c r="AL154" s="556"/>
      <c r="AM154" s="556"/>
      <c r="AN154" s="556"/>
      <c r="AO154" s="556"/>
      <c r="AP154" s="556"/>
    </row>
    <row r="155" spans="1:42">
      <c r="A155" s="556"/>
      <c r="B155" s="60"/>
      <c r="C155" s="60"/>
      <c r="D155" s="61"/>
      <c r="E155" s="60"/>
      <c r="F155" s="60"/>
      <c r="G155" s="60"/>
      <c r="H155" s="61"/>
      <c r="I155" s="60"/>
      <c r="J155" s="60"/>
      <c r="K155" s="60"/>
      <c r="L155" s="60"/>
      <c r="M155" s="60"/>
      <c r="N155" s="60"/>
      <c r="O155" s="60"/>
      <c r="P155" s="61"/>
      <c r="Q155" s="60"/>
      <c r="R155" s="60"/>
      <c r="S155" s="60"/>
      <c r="T155" s="556"/>
      <c r="U155" s="556"/>
      <c r="V155" s="556"/>
      <c r="W155" s="556"/>
      <c r="X155" s="556"/>
      <c r="Y155" s="556"/>
      <c r="Z155" s="556"/>
      <c r="AA155" s="556"/>
      <c r="AB155" s="556"/>
      <c r="AC155" s="556"/>
      <c r="AD155" s="556"/>
      <c r="AE155" s="556"/>
      <c r="AF155" s="556"/>
      <c r="AG155" s="556"/>
      <c r="AH155" s="556"/>
      <c r="AI155" s="556"/>
      <c r="AJ155" s="556"/>
      <c r="AK155" s="556"/>
      <c r="AL155" s="556"/>
      <c r="AM155" s="556"/>
      <c r="AN155" s="556"/>
      <c r="AO155" s="556"/>
      <c r="AP155" s="556"/>
    </row>
    <row r="156" spans="1:42">
      <c r="A156" s="556" t="s">
        <v>384</v>
      </c>
      <c r="B156" s="65">
        <f>+B107+B111+B113+B115+B130+B139+B141+B143+B145+B152</f>
        <v>0</v>
      </c>
      <c r="C156" s="65">
        <f>+C107+C111+C113+C115+C130+C139+C141+C143+C145+C152</f>
        <v>0</v>
      </c>
      <c r="D156" s="67">
        <f>+D107+D111+D113+D115+D130+D139+D141+D143+D145+D152</f>
        <v>0</v>
      </c>
      <c r="E156" s="65">
        <f>+E107+E111+E113+E115+E130+E139+E141+E143+E145+E152</f>
        <v>0</v>
      </c>
      <c r="F156" s="65"/>
      <c r="G156" s="65">
        <f>+G107+G111+G113+G115+G130+G139+G141+G143+G145+G152</f>
        <v>0</v>
      </c>
      <c r="H156" s="67">
        <f>+H107+H111+H113+H115+H130+H139+H141+H143+H145+H152</f>
        <v>0</v>
      </c>
      <c r="I156" s="65">
        <f>+I107+I111+I113+I115+I130+I139+I141+I143+I145+I152</f>
        <v>0</v>
      </c>
      <c r="J156" s="65"/>
      <c r="K156" s="65"/>
      <c r="L156" s="65"/>
      <c r="M156" s="65">
        <f>+M107+M111+M113+M115+M130+M139+M141+M143+M145+M152</f>
        <v>0</v>
      </c>
      <c r="N156" s="65"/>
      <c r="O156" s="60"/>
      <c r="P156" s="67">
        <f>+P107+P111+P113+P115+P130+P139+P141+P143+P145+P152</f>
        <v>0</v>
      </c>
      <c r="Q156" s="60"/>
      <c r="R156" s="60"/>
      <c r="S156" s="60"/>
      <c r="T156" s="556"/>
      <c r="U156" s="556"/>
      <c r="V156" s="556"/>
      <c r="W156" s="556"/>
      <c r="X156" s="556"/>
      <c r="Y156" s="556"/>
      <c r="Z156" s="556"/>
      <c r="AA156" s="556"/>
      <c r="AB156" s="556"/>
      <c r="AC156" s="556"/>
      <c r="AD156" s="556"/>
      <c r="AE156" s="556"/>
      <c r="AF156" s="556"/>
      <c r="AG156" s="556"/>
      <c r="AH156" s="556"/>
      <c r="AI156" s="556"/>
      <c r="AJ156" s="556"/>
      <c r="AK156" s="556"/>
      <c r="AL156" s="556"/>
      <c r="AM156" s="556"/>
      <c r="AN156" s="556"/>
      <c r="AO156" s="556"/>
      <c r="AP156" s="556"/>
    </row>
    <row r="157" spans="1:42">
      <c r="A157" s="556"/>
      <c r="B157" s="60"/>
      <c r="C157" s="60"/>
      <c r="D157" s="61"/>
      <c r="E157" s="60"/>
      <c r="F157" s="60"/>
      <c r="G157" s="60"/>
      <c r="H157" s="61"/>
      <c r="I157" s="60"/>
      <c r="J157" s="60"/>
      <c r="K157" s="60"/>
      <c r="L157" s="60"/>
      <c r="M157" s="60"/>
      <c r="N157" s="60"/>
      <c r="O157" s="60"/>
      <c r="P157" s="61"/>
      <c r="Q157" s="60"/>
      <c r="R157" s="60"/>
      <c r="S157" s="60"/>
      <c r="T157" s="556"/>
      <c r="U157" s="556"/>
      <c r="V157" s="556"/>
      <c r="W157" s="556"/>
      <c r="X157" s="556"/>
      <c r="Y157" s="556"/>
      <c r="Z157" s="556"/>
      <c r="AA157" s="556"/>
      <c r="AB157" s="556"/>
      <c r="AC157" s="556"/>
      <c r="AD157" s="556"/>
      <c r="AE157" s="556"/>
      <c r="AF157" s="556"/>
      <c r="AG157" s="556"/>
      <c r="AH157" s="556"/>
      <c r="AI157" s="556"/>
      <c r="AJ157" s="556"/>
      <c r="AK157" s="556"/>
      <c r="AL157" s="556"/>
      <c r="AM157" s="556"/>
      <c r="AN157" s="556"/>
      <c r="AO157" s="556"/>
      <c r="AP157" s="556"/>
    </row>
    <row r="158" spans="1:42">
      <c r="A158" s="556"/>
      <c r="B158" s="60"/>
      <c r="C158" s="60"/>
      <c r="D158" s="61"/>
      <c r="E158" s="60"/>
      <c r="F158" s="60"/>
      <c r="G158" s="60"/>
      <c r="H158" s="61"/>
      <c r="I158" s="60"/>
      <c r="J158" s="60"/>
      <c r="K158" s="60"/>
      <c r="L158" s="60"/>
      <c r="M158" s="60"/>
      <c r="N158" s="60"/>
      <c r="O158" s="60"/>
      <c r="P158" s="61"/>
      <c r="Q158" s="60"/>
      <c r="R158" s="60"/>
      <c r="S158" s="60"/>
      <c r="T158" s="556"/>
      <c r="U158" s="556"/>
      <c r="V158" s="556"/>
      <c r="W158" s="556"/>
      <c r="X158" s="556"/>
      <c r="Y158" s="556"/>
      <c r="Z158" s="556"/>
      <c r="AA158" s="556"/>
      <c r="AB158" s="556"/>
      <c r="AC158" s="556"/>
      <c r="AD158" s="556"/>
      <c r="AE158" s="556"/>
      <c r="AF158" s="556"/>
      <c r="AG158" s="556"/>
      <c r="AH158" s="556"/>
      <c r="AI158" s="556"/>
      <c r="AJ158" s="556"/>
      <c r="AK158" s="556"/>
      <c r="AL158" s="556"/>
      <c r="AM158" s="556"/>
      <c r="AN158" s="556"/>
      <c r="AO158" s="556"/>
      <c r="AP158" s="556"/>
    </row>
    <row r="159" spans="1:42">
      <c r="A159" s="556"/>
      <c r="B159" s="60"/>
      <c r="C159" s="60"/>
      <c r="D159" s="61"/>
      <c r="E159" s="60"/>
      <c r="F159" s="60"/>
      <c r="G159" s="60"/>
      <c r="H159" s="61"/>
      <c r="I159" s="60"/>
      <c r="J159" s="60"/>
      <c r="K159" s="60"/>
      <c r="L159" s="60"/>
      <c r="M159" s="60"/>
      <c r="N159" s="60"/>
      <c r="O159" s="60"/>
      <c r="P159" s="61"/>
      <c r="Q159" s="60"/>
      <c r="R159" s="60"/>
      <c r="S159" s="60"/>
      <c r="T159" s="556"/>
      <c r="U159" s="556"/>
      <c r="V159" s="556"/>
      <c r="W159" s="556"/>
      <c r="X159" s="556"/>
      <c r="Y159" s="556"/>
      <c r="Z159" s="556"/>
      <c r="AA159" s="556"/>
      <c r="AB159" s="556"/>
      <c r="AC159" s="556"/>
      <c r="AD159" s="556"/>
      <c r="AE159" s="556"/>
      <c r="AF159" s="556"/>
      <c r="AG159" s="556"/>
      <c r="AH159" s="556"/>
      <c r="AI159" s="556"/>
      <c r="AJ159" s="556"/>
      <c r="AK159" s="556"/>
      <c r="AL159" s="556"/>
      <c r="AM159" s="556"/>
      <c r="AN159" s="556"/>
      <c r="AO159" s="556"/>
      <c r="AP159" s="556"/>
    </row>
    <row r="160" spans="1:42">
      <c r="A160" s="556"/>
      <c r="B160" s="60"/>
      <c r="C160" s="60"/>
      <c r="D160" s="61"/>
      <c r="E160" s="60"/>
      <c r="F160" s="60"/>
      <c r="G160" s="60"/>
      <c r="H160" s="61"/>
      <c r="I160" s="60"/>
      <c r="J160" s="60"/>
      <c r="K160" s="60"/>
      <c r="L160" s="60"/>
      <c r="M160" s="60"/>
      <c r="N160" s="60"/>
      <c r="O160" s="60"/>
      <c r="P160" s="61"/>
      <c r="Q160" s="60"/>
      <c r="R160" s="60"/>
      <c r="S160" s="60"/>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row>
    <row r="161" spans="1:42">
      <c r="A161" s="556"/>
      <c r="B161" s="60"/>
      <c r="C161" s="60"/>
      <c r="D161" s="61"/>
      <c r="E161" s="60"/>
      <c r="F161" s="60"/>
      <c r="G161" s="60"/>
      <c r="H161" s="61"/>
      <c r="I161" s="60"/>
      <c r="J161" s="60"/>
      <c r="K161" s="60"/>
      <c r="L161" s="60"/>
      <c r="M161" s="60"/>
      <c r="N161" s="60"/>
      <c r="O161" s="60"/>
      <c r="P161" s="61"/>
      <c r="Q161" s="60"/>
      <c r="R161" s="60"/>
      <c r="S161" s="60"/>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row>
    <row r="162" spans="1:42">
      <c r="A162" s="556"/>
      <c r="B162" s="60"/>
      <c r="C162" s="60"/>
      <c r="D162" s="61"/>
      <c r="E162" s="60"/>
      <c r="F162" s="60"/>
      <c r="G162" s="60"/>
      <c r="H162" s="61"/>
      <c r="I162" s="60"/>
      <c r="J162" s="60"/>
      <c r="K162" s="60"/>
      <c r="L162" s="60"/>
      <c r="M162" s="60"/>
      <c r="N162" s="60"/>
      <c r="O162" s="60"/>
      <c r="P162" s="61"/>
      <c r="Q162" s="60"/>
      <c r="R162" s="60"/>
      <c r="S162" s="60"/>
      <c r="T162" s="556"/>
      <c r="U162" s="556"/>
      <c r="V162" s="556"/>
      <c r="W162" s="556"/>
      <c r="X162" s="556"/>
      <c r="Y162" s="556"/>
      <c r="Z162" s="556"/>
      <c r="AA162" s="556"/>
      <c r="AB162" s="556"/>
      <c r="AC162" s="556"/>
      <c r="AD162" s="556"/>
      <c r="AE162" s="556"/>
      <c r="AF162" s="556"/>
      <c r="AG162" s="556"/>
      <c r="AH162" s="556"/>
      <c r="AI162" s="556"/>
      <c r="AJ162" s="556"/>
      <c r="AK162" s="556"/>
      <c r="AL162" s="556"/>
      <c r="AM162" s="556"/>
      <c r="AN162" s="556"/>
      <c r="AO162" s="556"/>
      <c r="AP162" s="556"/>
    </row>
    <row r="163" spans="1:42">
      <c r="A163" s="556"/>
      <c r="B163" s="60"/>
      <c r="C163" s="60"/>
      <c r="D163" s="61"/>
      <c r="E163" s="60"/>
      <c r="F163" s="60"/>
      <c r="G163" s="60"/>
      <c r="H163" s="61"/>
      <c r="I163" s="60"/>
      <c r="J163" s="60"/>
      <c r="K163" s="60"/>
      <c r="L163" s="60"/>
      <c r="M163" s="60"/>
      <c r="N163" s="60"/>
      <c r="O163" s="60"/>
      <c r="P163" s="61"/>
      <c r="Q163" s="60"/>
      <c r="R163" s="60"/>
      <c r="S163" s="60"/>
      <c r="T163" s="556"/>
      <c r="U163" s="556"/>
      <c r="V163" s="556"/>
      <c r="W163" s="556"/>
      <c r="X163" s="556"/>
      <c r="Y163" s="556"/>
      <c r="Z163" s="556"/>
      <c r="AA163" s="556"/>
      <c r="AB163" s="556"/>
      <c r="AC163" s="556"/>
      <c r="AD163" s="556"/>
      <c r="AE163" s="556"/>
      <c r="AF163" s="556"/>
      <c r="AG163" s="556"/>
      <c r="AH163" s="556"/>
      <c r="AI163" s="556"/>
      <c r="AJ163" s="556"/>
      <c r="AK163" s="556"/>
      <c r="AL163" s="556"/>
      <c r="AM163" s="556"/>
      <c r="AN163" s="556"/>
      <c r="AO163" s="556"/>
      <c r="AP163" s="556"/>
    </row>
    <row r="164" spans="1:42">
      <c r="A164" s="556"/>
      <c r="B164" s="60"/>
      <c r="C164" s="60"/>
      <c r="D164" s="61"/>
      <c r="E164" s="60"/>
      <c r="F164" s="60"/>
      <c r="G164" s="60"/>
      <c r="H164" s="61"/>
      <c r="I164" s="60"/>
      <c r="J164" s="60"/>
      <c r="K164" s="60"/>
      <c r="L164" s="60"/>
      <c r="M164" s="60"/>
      <c r="N164" s="60"/>
      <c r="O164" s="60"/>
      <c r="P164" s="61"/>
      <c r="Q164" s="60"/>
      <c r="R164" s="60"/>
      <c r="S164" s="60"/>
      <c r="T164" s="556"/>
      <c r="U164" s="556"/>
      <c r="V164" s="556"/>
      <c r="W164" s="556"/>
      <c r="X164" s="556"/>
      <c r="Y164" s="556"/>
      <c r="Z164" s="556"/>
      <c r="AA164" s="556"/>
      <c r="AB164" s="556"/>
      <c r="AC164" s="556"/>
      <c r="AD164" s="556"/>
      <c r="AE164" s="556"/>
      <c r="AF164" s="556"/>
      <c r="AG164" s="556"/>
      <c r="AH164" s="556"/>
      <c r="AI164" s="556"/>
      <c r="AJ164" s="556"/>
      <c r="AK164" s="556"/>
      <c r="AL164" s="556"/>
      <c r="AM164" s="556"/>
      <c r="AN164" s="556"/>
      <c r="AO164" s="556"/>
      <c r="AP164" s="556"/>
    </row>
    <row r="165" spans="1:42">
      <c r="A165" s="556"/>
      <c r="B165" s="60"/>
      <c r="C165" s="60"/>
      <c r="D165" s="61"/>
      <c r="E165" s="60"/>
      <c r="F165" s="60"/>
      <c r="G165" s="60"/>
      <c r="H165" s="61"/>
      <c r="I165" s="60"/>
      <c r="J165" s="60"/>
      <c r="K165" s="60"/>
      <c r="L165" s="60"/>
      <c r="M165" s="60"/>
      <c r="N165" s="60"/>
      <c r="O165" s="60"/>
      <c r="P165" s="61"/>
      <c r="Q165" s="60"/>
      <c r="R165" s="60"/>
      <c r="S165" s="60"/>
      <c r="T165" s="556"/>
      <c r="U165" s="556"/>
      <c r="V165" s="556"/>
      <c r="W165" s="556"/>
      <c r="X165" s="556"/>
      <c r="Y165" s="556"/>
      <c r="Z165" s="556"/>
      <c r="AA165" s="556"/>
      <c r="AB165" s="556"/>
      <c r="AC165" s="556"/>
      <c r="AD165" s="556"/>
      <c r="AE165" s="556"/>
      <c r="AF165" s="556"/>
      <c r="AG165" s="556"/>
      <c r="AH165" s="556"/>
      <c r="AI165" s="556"/>
      <c r="AJ165" s="556"/>
      <c r="AK165" s="556"/>
      <c r="AL165" s="556"/>
      <c r="AM165" s="556"/>
      <c r="AN165" s="556"/>
      <c r="AO165" s="556"/>
      <c r="AP165" s="556"/>
    </row>
    <row r="166" spans="1:42">
      <c r="A166" s="556"/>
      <c r="B166" s="60"/>
      <c r="C166" s="60"/>
      <c r="D166" s="61"/>
      <c r="E166" s="60"/>
      <c r="F166" s="60"/>
      <c r="G166" s="60"/>
      <c r="H166" s="61"/>
      <c r="I166" s="60"/>
      <c r="J166" s="60"/>
      <c r="K166" s="60"/>
      <c r="L166" s="60"/>
      <c r="M166" s="60"/>
      <c r="N166" s="60"/>
      <c r="O166" s="60"/>
      <c r="P166" s="61"/>
      <c r="Q166" s="60"/>
      <c r="R166" s="60"/>
      <c r="S166" s="60"/>
      <c r="T166" s="556"/>
      <c r="U166" s="556"/>
      <c r="V166" s="556"/>
      <c r="W166" s="556"/>
      <c r="X166" s="556"/>
      <c r="Y166" s="556"/>
      <c r="Z166" s="556"/>
      <c r="AA166" s="556"/>
      <c r="AB166" s="556"/>
      <c r="AC166" s="556"/>
      <c r="AD166" s="556"/>
      <c r="AE166" s="556"/>
      <c r="AF166" s="556"/>
      <c r="AG166" s="556"/>
      <c r="AH166" s="556"/>
      <c r="AI166" s="556"/>
      <c r="AJ166" s="556"/>
      <c r="AK166" s="556"/>
      <c r="AL166" s="556"/>
      <c r="AM166" s="556"/>
      <c r="AN166" s="556"/>
      <c r="AO166" s="556"/>
      <c r="AP166" s="556"/>
    </row>
    <row r="167" spans="1:42">
      <c r="A167" s="556"/>
      <c r="B167" s="60"/>
      <c r="C167" s="60"/>
      <c r="D167" s="61"/>
      <c r="E167" s="60"/>
      <c r="F167" s="60"/>
      <c r="G167" s="60"/>
      <c r="H167" s="61"/>
      <c r="I167" s="60"/>
      <c r="J167" s="60"/>
      <c r="K167" s="60"/>
      <c r="L167" s="60"/>
      <c r="M167" s="60"/>
      <c r="N167" s="60"/>
      <c r="O167" s="60"/>
      <c r="P167" s="61"/>
      <c r="Q167" s="60"/>
      <c r="R167" s="60"/>
      <c r="S167" s="60"/>
      <c r="T167" s="556"/>
      <c r="U167" s="556"/>
      <c r="V167" s="556"/>
      <c r="W167" s="556"/>
      <c r="X167" s="556"/>
      <c r="Y167" s="556"/>
      <c r="Z167" s="556"/>
      <c r="AA167" s="556"/>
      <c r="AB167" s="556"/>
      <c r="AC167" s="556"/>
      <c r="AD167" s="556"/>
      <c r="AE167" s="556"/>
      <c r="AF167" s="556"/>
      <c r="AG167" s="556"/>
      <c r="AH167" s="556"/>
      <c r="AI167" s="556"/>
      <c r="AJ167" s="556"/>
      <c r="AK167" s="556"/>
      <c r="AL167" s="556"/>
      <c r="AM167" s="556"/>
      <c r="AN167" s="556"/>
      <c r="AO167" s="556"/>
      <c r="AP167" s="556"/>
    </row>
    <row r="168" spans="1:42">
      <c r="A168" s="556"/>
      <c r="B168" s="60"/>
      <c r="C168" s="60"/>
      <c r="D168" s="61"/>
      <c r="E168" s="60"/>
      <c r="F168" s="60"/>
      <c r="G168" s="60"/>
      <c r="H168" s="61"/>
      <c r="I168" s="60"/>
      <c r="J168" s="60"/>
      <c r="K168" s="60"/>
      <c r="L168" s="60"/>
      <c r="M168" s="60"/>
      <c r="N168" s="60"/>
      <c r="O168" s="60"/>
      <c r="P168" s="61"/>
      <c r="Q168" s="60"/>
      <c r="R168" s="60"/>
      <c r="S168" s="60"/>
      <c r="T168" s="556"/>
      <c r="U168" s="556"/>
      <c r="V168" s="556"/>
      <c r="W168" s="556"/>
      <c r="X168" s="556"/>
      <c r="Y168" s="556"/>
      <c r="Z168" s="556"/>
      <c r="AA168" s="556"/>
      <c r="AB168" s="556"/>
      <c r="AC168" s="556"/>
      <c r="AD168" s="556"/>
      <c r="AE168" s="556"/>
      <c r="AF168" s="556"/>
      <c r="AG168" s="556"/>
      <c r="AH168" s="556"/>
      <c r="AI168" s="556"/>
      <c r="AJ168" s="556"/>
      <c r="AK168" s="556"/>
      <c r="AL168" s="556"/>
      <c r="AM168" s="556"/>
      <c r="AN168" s="556"/>
      <c r="AO168" s="556"/>
      <c r="AP168" s="556"/>
    </row>
    <row r="169" spans="1:42">
      <c r="A169" s="556"/>
      <c r="B169" s="60"/>
      <c r="C169" s="60"/>
      <c r="D169" s="61"/>
      <c r="E169" s="60"/>
      <c r="F169" s="60"/>
      <c r="G169" s="60"/>
      <c r="H169" s="61"/>
      <c r="I169" s="60"/>
      <c r="J169" s="60"/>
      <c r="K169" s="60"/>
      <c r="L169" s="60"/>
      <c r="M169" s="60"/>
      <c r="N169" s="60"/>
      <c r="O169" s="60"/>
      <c r="P169" s="61"/>
      <c r="Q169" s="60"/>
      <c r="R169" s="60"/>
      <c r="S169" s="60"/>
      <c r="T169" s="556"/>
      <c r="U169" s="556"/>
      <c r="V169" s="556"/>
      <c r="W169" s="556"/>
      <c r="X169" s="556"/>
      <c r="Y169" s="556"/>
      <c r="Z169" s="556"/>
      <c r="AA169" s="556"/>
      <c r="AB169" s="556"/>
      <c r="AC169" s="556"/>
      <c r="AD169" s="556"/>
      <c r="AE169" s="556"/>
      <c r="AF169" s="556"/>
      <c r="AG169" s="556"/>
      <c r="AH169" s="556"/>
      <c r="AI169" s="556"/>
      <c r="AJ169" s="556"/>
      <c r="AK169" s="556"/>
      <c r="AL169" s="556"/>
      <c r="AM169" s="556"/>
      <c r="AN169" s="556"/>
      <c r="AO169" s="556"/>
      <c r="AP169" s="556"/>
    </row>
    <row r="170" spans="1:42">
      <c r="A170" s="556"/>
      <c r="B170" s="60"/>
      <c r="C170" s="60"/>
      <c r="D170" s="61"/>
      <c r="E170" s="60"/>
      <c r="F170" s="60"/>
      <c r="G170" s="60"/>
      <c r="H170" s="61"/>
      <c r="I170" s="60"/>
      <c r="J170" s="60"/>
      <c r="K170" s="60"/>
      <c r="L170" s="60"/>
      <c r="M170" s="60"/>
      <c r="N170" s="60"/>
      <c r="O170" s="60"/>
      <c r="P170" s="61"/>
      <c r="Q170" s="60"/>
      <c r="R170" s="60"/>
      <c r="S170" s="60"/>
      <c r="T170" s="556"/>
      <c r="U170" s="556"/>
      <c r="V170" s="556"/>
      <c r="W170" s="556"/>
      <c r="X170" s="556"/>
      <c r="Y170" s="556"/>
      <c r="Z170" s="556"/>
      <c r="AA170" s="556"/>
      <c r="AB170" s="556"/>
      <c r="AC170" s="556"/>
      <c r="AD170" s="556"/>
      <c r="AE170" s="556"/>
      <c r="AF170" s="556"/>
      <c r="AG170" s="556"/>
      <c r="AH170" s="556"/>
      <c r="AI170" s="556"/>
      <c r="AJ170" s="556"/>
      <c r="AK170" s="556"/>
      <c r="AL170" s="556"/>
      <c r="AM170" s="556"/>
      <c r="AN170" s="556"/>
      <c r="AO170" s="556"/>
      <c r="AP170" s="556"/>
    </row>
    <row r="171" spans="1:42">
      <c r="A171" s="556"/>
      <c r="B171" s="60"/>
      <c r="C171" s="60"/>
      <c r="D171" s="61"/>
      <c r="E171" s="60"/>
      <c r="F171" s="60"/>
      <c r="G171" s="60"/>
      <c r="H171" s="61"/>
      <c r="I171" s="60"/>
      <c r="J171" s="60"/>
      <c r="K171" s="60"/>
      <c r="L171" s="60"/>
      <c r="M171" s="60"/>
      <c r="N171" s="60"/>
      <c r="O171" s="60"/>
      <c r="P171" s="61"/>
      <c r="Q171" s="60"/>
      <c r="R171" s="60"/>
      <c r="S171" s="60"/>
      <c r="T171" s="556"/>
      <c r="U171" s="556"/>
      <c r="V171" s="556"/>
      <c r="W171" s="556"/>
      <c r="X171" s="556"/>
      <c r="Y171" s="556"/>
      <c r="Z171" s="556"/>
      <c r="AA171" s="556"/>
      <c r="AB171" s="556"/>
      <c r="AC171" s="556"/>
      <c r="AD171" s="556"/>
      <c r="AE171" s="556"/>
      <c r="AF171" s="556"/>
      <c r="AG171" s="556"/>
      <c r="AH171" s="556"/>
      <c r="AI171" s="556"/>
      <c r="AJ171" s="556"/>
      <c r="AK171" s="556"/>
      <c r="AL171" s="556"/>
      <c r="AM171" s="556"/>
      <c r="AN171" s="556"/>
      <c r="AO171" s="556"/>
      <c r="AP171" s="556"/>
    </row>
    <row r="172" spans="1:42">
      <c r="A172" s="556"/>
      <c r="B172" s="60"/>
      <c r="C172" s="60"/>
      <c r="D172" s="61"/>
      <c r="E172" s="60"/>
      <c r="F172" s="60"/>
      <c r="G172" s="60"/>
      <c r="H172" s="61"/>
      <c r="I172" s="60"/>
      <c r="J172" s="60"/>
      <c r="K172" s="60"/>
      <c r="L172" s="60"/>
      <c r="M172" s="60"/>
      <c r="N172" s="60"/>
      <c r="O172" s="60"/>
      <c r="P172" s="61"/>
      <c r="Q172" s="60"/>
      <c r="R172" s="60"/>
      <c r="S172" s="60"/>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row>
    <row r="173" spans="1:42">
      <c r="A173" s="556"/>
      <c r="B173" s="60"/>
      <c r="C173" s="60"/>
      <c r="D173" s="61"/>
      <c r="E173" s="60"/>
      <c r="F173" s="60"/>
      <c r="G173" s="60"/>
      <c r="H173" s="61"/>
      <c r="I173" s="60"/>
      <c r="J173" s="60"/>
      <c r="K173" s="60"/>
      <c r="L173" s="60"/>
      <c r="M173" s="60"/>
      <c r="N173" s="60"/>
      <c r="O173" s="60"/>
      <c r="P173" s="61"/>
      <c r="Q173" s="60"/>
      <c r="R173" s="60"/>
      <c r="S173" s="60"/>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row>
    <row r="174" spans="1:42">
      <c r="A174" s="556"/>
      <c r="B174" s="60"/>
      <c r="C174" s="60"/>
      <c r="D174" s="61"/>
      <c r="E174" s="60"/>
      <c r="F174" s="60"/>
      <c r="G174" s="60"/>
      <c r="H174" s="61"/>
      <c r="I174" s="60"/>
      <c r="J174" s="60"/>
      <c r="K174" s="60"/>
      <c r="L174" s="60"/>
      <c r="M174" s="60"/>
      <c r="N174" s="60"/>
      <c r="O174" s="60"/>
      <c r="P174" s="61"/>
      <c r="Q174" s="60"/>
      <c r="R174" s="60"/>
      <c r="S174" s="60"/>
      <c r="T174" s="556"/>
      <c r="U174" s="556"/>
      <c r="V174" s="556"/>
      <c r="W174" s="556"/>
      <c r="X174" s="556"/>
      <c r="Y174" s="556"/>
      <c r="Z174" s="556"/>
      <c r="AA174" s="556"/>
      <c r="AB174" s="556"/>
      <c r="AC174" s="556"/>
      <c r="AD174" s="556"/>
      <c r="AE174" s="556"/>
      <c r="AF174" s="556"/>
      <c r="AG174" s="556"/>
      <c r="AH174" s="556"/>
      <c r="AI174" s="556"/>
      <c r="AJ174" s="556"/>
      <c r="AK174" s="556"/>
      <c r="AL174" s="556"/>
      <c r="AM174" s="556"/>
      <c r="AN174" s="556"/>
      <c r="AO174" s="556"/>
      <c r="AP174" s="556"/>
    </row>
    <row r="175" spans="1:42">
      <c r="A175" s="556"/>
      <c r="B175" s="60"/>
      <c r="C175" s="60"/>
      <c r="D175" s="61"/>
      <c r="E175" s="60"/>
      <c r="F175" s="60"/>
      <c r="G175" s="60"/>
      <c r="H175" s="61"/>
      <c r="I175" s="60"/>
      <c r="J175" s="60"/>
      <c r="K175" s="60"/>
      <c r="L175" s="60"/>
      <c r="M175" s="60"/>
      <c r="N175" s="60"/>
      <c r="O175" s="60"/>
      <c r="P175" s="61"/>
      <c r="Q175" s="60"/>
      <c r="R175" s="60"/>
      <c r="S175" s="60"/>
      <c r="T175" s="556"/>
      <c r="U175" s="556"/>
      <c r="V175" s="556"/>
      <c r="W175" s="556"/>
      <c r="X175" s="556"/>
      <c r="Y175" s="556"/>
      <c r="Z175" s="556"/>
      <c r="AA175" s="556"/>
      <c r="AB175" s="556"/>
      <c r="AC175" s="556"/>
      <c r="AD175" s="556"/>
      <c r="AE175" s="556"/>
      <c r="AF175" s="556"/>
      <c r="AG175" s="556"/>
      <c r="AH175" s="556"/>
      <c r="AI175" s="556"/>
      <c r="AJ175" s="556"/>
      <c r="AK175" s="556"/>
      <c r="AL175" s="556"/>
      <c r="AM175" s="556"/>
      <c r="AN175" s="556"/>
      <c r="AO175" s="556"/>
      <c r="AP175" s="556"/>
    </row>
    <row r="176" spans="1:42">
      <c r="A176" s="556"/>
      <c r="B176" s="60"/>
      <c r="C176" s="60"/>
      <c r="D176" s="61"/>
      <c r="E176" s="60"/>
      <c r="F176" s="60"/>
      <c r="G176" s="60"/>
      <c r="H176" s="61"/>
      <c r="I176" s="60"/>
      <c r="J176" s="60"/>
      <c r="K176" s="60"/>
      <c r="L176" s="60"/>
      <c r="M176" s="60"/>
      <c r="N176" s="60"/>
      <c r="O176" s="60"/>
      <c r="P176" s="61"/>
      <c r="Q176" s="60"/>
      <c r="R176" s="60"/>
      <c r="S176" s="60"/>
      <c r="T176" s="556"/>
      <c r="U176" s="556"/>
      <c r="V176" s="556"/>
      <c r="W176" s="556"/>
      <c r="X176" s="556"/>
      <c r="Y176" s="556"/>
      <c r="Z176" s="556"/>
      <c r="AA176" s="556"/>
      <c r="AB176" s="556"/>
      <c r="AC176" s="556"/>
      <c r="AD176" s="556"/>
      <c r="AE176" s="556"/>
      <c r="AF176" s="556"/>
      <c r="AG176" s="556"/>
      <c r="AH176" s="556"/>
      <c r="AI176" s="556"/>
      <c r="AJ176" s="556"/>
      <c r="AK176" s="556"/>
      <c r="AL176" s="556"/>
      <c r="AM176" s="556"/>
      <c r="AN176" s="556"/>
      <c r="AO176" s="556"/>
      <c r="AP176" s="556"/>
    </row>
    <row r="177" spans="1:42">
      <c r="A177" s="556"/>
      <c r="B177" s="60"/>
      <c r="C177" s="60"/>
      <c r="D177" s="61"/>
      <c r="E177" s="60"/>
      <c r="F177" s="60"/>
      <c r="G177" s="60"/>
      <c r="H177" s="61"/>
      <c r="I177" s="60"/>
      <c r="J177" s="60"/>
      <c r="K177" s="60"/>
      <c r="L177" s="60"/>
      <c r="M177" s="60"/>
      <c r="N177" s="60"/>
      <c r="O177" s="60"/>
      <c r="P177" s="61"/>
      <c r="Q177" s="60"/>
      <c r="R177" s="60"/>
      <c r="S177" s="60"/>
      <c r="T177" s="556"/>
      <c r="U177" s="556"/>
      <c r="V177" s="556"/>
      <c r="W177" s="556"/>
      <c r="X177" s="556"/>
      <c r="Y177" s="556"/>
      <c r="Z177" s="556"/>
      <c r="AA177" s="556"/>
      <c r="AB177" s="556"/>
      <c r="AC177" s="556"/>
      <c r="AD177" s="556"/>
      <c r="AE177" s="556"/>
      <c r="AF177" s="556"/>
      <c r="AG177" s="556"/>
      <c r="AH177" s="556"/>
      <c r="AI177" s="556"/>
      <c r="AJ177" s="556"/>
      <c r="AK177" s="556"/>
      <c r="AL177" s="556"/>
      <c r="AM177" s="556"/>
      <c r="AN177" s="556"/>
      <c r="AO177" s="556"/>
      <c r="AP177" s="556"/>
    </row>
    <row r="178" spans="1:42">
      <c r="A178" s="556"/>
      <c r="B178" s="60"/>
      <c r="C178" s="60"/>
      <c r="D178" s="61"/>
      <c r="E178" s="60"/>
      <c r="F178" s="60"/>
      <c r="G178" s="60"/>
      <c r="H178" s="61"/>
      <c r="I178" s="60"/>
      <c r="J178" s="60"/>
      <c r="K178" s="60"/>
      <c r="L178" s="60"/>
      <c r="M178" s="60"/>
      <c r="N178" s="60"/>
      <c r="O178" s="60"/>
      <c r="P178" s="61"/>
      <c r="Q178" s="60"/>
      <c r="R178" s="60"/>
      <c r="S178" s="60"/>
      <c r="T178" s="556"/>
      <c r="U178" s="556"/>
      <c r="V178" s="556"/>
      <c r="W178" s="556"/>
      <c r="X178" s="556"/>
      <c r="Y178" s="556"/>
      <c r="Z178" s="556"/>
      <c r="AA178" s="556"/>
      <c r="AB178" s="556"/>
      <c r="AC178" s="556"/>
      <c r="AD178" s="556"/>
      <c r="AE178" s="556"/>
      <c r="AF178" s="556"/>
      <c r="AG178" s="556"/>
      <c r="AH178" s="556"/>
      <c r="AI178" s="556"/>
      <c r="AJ178" s="556"/>
      <c r="AK178" s="556"/>
      <c r="AL178" s="556"/>
      <c r="AM178" s="556"/>
      <c r="AN178" s="556"/>
      <c r="AO178" s="556"/>
      <c r="AP178" s="556"/>
    </row>
    <row r="179" spans="1:42">
      <c r="A179" s="556"/>
      <c r="B179" s="60"/>
      <c r="C179" s="60"/>
      <c r="D179" s="61"/>
      <c r="E179" s="60"/>
      <c r="F179" s="60"/>
      <c r="G179" s="60"/>
      <c r="H179" s="61"/>
      <c r="I179" s="60"/>
      <c r="J179" s="60"/>
      <c r="K179" s="60"/>
      <c r="L179" s="60"/>
      <c r="M179" s="60"/>
      <c r="N179" s="60"/>
      <c r="O179" s="60"/>
      <c r="P179" s="61"/>
      <c r="Q179" s="60"/>
      <c r="R179" s="60"/>
      <c r="S179" s="60"/>
      <c r="T179" s="556"/>
      <c r="U179" s="556"/>
      <c r="V179" s="556"/>
      <c r="W179" s="556"/>
      <c r="X179" s="556"/>
      <c r="Y179" s="556"/>
      <c r="Z179" s="556"/>
      <c r="AA179" s="556"/>
      <c r="AB179" s="556"/>
      <c r="AC179" s="556"/>
      <c r="AD179" s="556"/>
      <c r="AE179" s="556"/>
      <c r="AF179" s="556"/>
      <c r="AG179" s="556"/>
      <c r="AH179" s="556"/>
      <c r="AI179" s="556"/>
      <c r="AJ179" s="556"/>
      <c r="AK179" s="556"/>
      <c r="AL179" s="556"/>
      <c r="AM179" s="556"/>
      <c r="AN179" s="556"/>
      <c r="AO179" s="556"/>
      <c r="AP179" s="556"/>
    </row>
    <row r="180" spans="1:42">
      <c r="A180" s="556"/>
      <c r="B180" s="60"/>
      <c r="C180" s="60"/>
      <c r="D180" s="61"/>
      <c r="E180" s="60"/>
      <c r="F180" s="60"/>
      <c r="G180" s="60"/>
      <c r="H180" s="61"/>
      <c r="I180" s="60"/>
      <c r="J180" s="60"/>
      <c r="K180" s="60"/>
      <c r="L180" s="60"/>
      <c r="M180" s="60"/>
      <c r="N180" s="60"/>
      <c r="O180" s="60"/>
      <c r="P180" s="61"/>
      <c r="Q180" s="60"/>
      <c r="R180" s="60"/>
      <c r="S180" s="60"/>
      <c r="T180" s="556"/>
      <c r="U180" s="556"/>
      <c r="V180" s="556"/>
      <c r="W180" s="556"/>
      <c r="X180" s="556"/>
      <c r="Y180" s="556"/>
      <c r="Z180" s="556"/>
      <c r="AA180" s="556"/>
      <c r="AB180" s="556"/>
      <c r="AC180" s="556"/>
      <c r="AD180" s="556"/>
      <c r="AE180" s="556"/>
      <c r="AF180" s="556"/>
      <c r="AG180" s="556"/>
      <c r="AH180" s="556"/>
      <c r="AI180" s="556"/>
      <c r="AJ180" s="556"/>
      <c r="AK180" s="556"/>
      <c r="AL180" s="556"/>
      <c r="AM180" s="556"/>
      <c r="AN180" s="556"/>
      <c r="AO180" s="556"/>
      <c r="AP180" s="556"/>
    </row>
    <row r="181" spans="1:42">
      <c r="A181" s="556"/>
      <c r="B181" s="60"/>
      <c r="C181" s="60"/>
      <c r="D181" s="61"/>
      <c r="E181" s="60"/>
      <c r="F181" s="60"/>
      <c r="G181" s="60"/>
      <c r="H181" s="61"/>
      <c r="I181" s="60"/>
      <c r="J181" s="60"/>
      <c r="K181" s="60"/>
      <c r="L181" s="60"/>
      <c r="M181" s="60"/>
      <c r="N181" s="60"/>
      <c r="O181" s="60"/>
      <c r="P181" s="61"/>
      <c r="Q181" s="60"/>
      <c r="R181" s="60"/>
      <c r="S181" s="60"/>
      <c r="T181" s="556"/>
      <c r="U181" s="556"/>
      <c r="V181" s="556"/>
      <c r="W181" s="556"/>
      <c r="X181" s="556"/>
      <c r="Y181" s="556"/>
      <c r="Z181" s="556"/>
      <c r="AA181" s="556"/>
      <c r="AB181" s="556"/>
      <c r="AC181" s="556"/>
      <c r="AD181" s="556"/>
      <c r="AE181" s="556"/>
      <c r="AF181" s="556"/>
      <c r="AG181" s="556"/>
      <c r="AH181" s="556"/>
      <c r="AI181" s="556"/>
      <c r="AJ181" s="556"/>
      <c r="AK181" s="556"/>
      <c r="AL181" s="556"/>
      <c r="AM181" s="556"/>
      <c r="AN181" s="556"/>
      <c r="AO181" s="556"/>
      <c r="AP181" s="556"/>
    </row>
    <row r="182" spans="1:42">
      <c r="A182" s="556"/>
      <c r="B182" s="60"/>
      <c r="C182" s="60"/>
      <c r="D182" s="61"/>
      <c r="E182" s="60"/>
      <c r="F182" s="60"/>
      <c r="G182" s="60"/>
      <c r="H182" s="61"/>
      <c r="I182" s="60"/>
      <c r="J182" s="60"/>
      <c r="K182" s="60"/>
      <c r="L182" s="60"/>
      <c r="M182" s="60"/>
      <c r="N182" s="60"/>
      <c r="O182" s="60"/>
      <c r="P182" s="61"/>
      <c r="Q182" s="60"/>
      <c r="R182" s="60"/>
      <c r="S182" s="60"/>
      <c r="T182" s="556"/>
      <c r="U182" s="556"/>
      <c r="V182" s="556"/>
      <c r="W182" s="556"/>
      <c r="X182" s="556"/>
      <c r="Y182" s="556"/>
      <c r="Z182" s="556"/>
      <c r="AA182" s="556"/>
      <c r="AB182" s="556"/>
      <c r="AC182" s="556"/>
      <c r="AD182" s="556"/>
      <c r="AE182" s="556"/>
      <c r="AF182" s="556"/>
      <c r="AG182" s="556"/>
      <c r="AH182" s="556"/>
      <c r="AI182" s="556"/>
      <c r="AJ182" s="556"/>
      <c r="AK182" s="556"/>
      <c r="AL182" s="556"/>
      <c r="AM182" s="556"/>
      <c r="AN182" s="556"/>
      <c r="AO182" s="556"/>
      <c r="AP182" s="556"/>
    </row>
    <row r="183" spans="1:42">
      <c r="A183" s="556"/>
      <c r="B183" s="60"/>
      <c r="C183" s="60"/>
      <c r="D183" s="61"/>
      <c r="E183" s="60"/>
      <c r="F183" s="60"/>
      <c r="G183" s="60"/>
      <c r="H183" s="61"/>
      <c r="I183" s="60"/>
      <c r="J183" s="60"/>
      <c r="K183" s="60"/>
      <c r="L183" s="60"/>
      <c r="M183" s="60"/>
      <c r="N183" s="60"/>
      <c r="O183" s="60"/>
      <c r="P183" s="61"/>
      <c r="Q183" s="60"/>
      <c r="R183" s="60"/>
      <c r="S183" s="60"/>
      <c r="T183" s="556"/>
      <c r="U183" s="556"/>
      <c r="V183" s="556"/>
      <c r="W183" s="556"/>
      <c r="X183" s="556"/>
      <c r="Y183" s="556"/>
      <c r="Z183" s="556"/>
      <c r="AA183" s="556"/>
      <c r="AB183" s="556"/>
      <c r="AC183" s="556"/>
      <c r="AD183" s="556"/>
      <c r="AE183" s="556"/>
      <c r="AF183" s="556"/>
      <c r="AG183" s="556"/>
      <c r="AH183" s="556"/>
      <c r="AI183" s="556"/>
      <c r="AJ183" s="556"/>
      <c r="AK183" s="556"/>
      <c r="AL183" s="556"/>
      <c r="AM183" s="556"/>
      <c r="AN183" s="556"/>
      <c r="AO183" s="556"/>
      <c r="AP183" s="556"/>
    </row>
    <row r="184" spans="1:42">
      <c r="A184" s="556"/>
      <c r="B184" s="60"/>
      <c r="C184" s="60"/>
      <c r="D184" s="61"/>
      <c r="E184" s="60"/>
      <c r="F184" s="60"/>
      <c r="G184" s="60"/>
      <c r="H184" s="61"/>
      <c r="I184" s="60"/>
      <c r="J184" s="60"/>
      <c r="K184" s="60"/>
      <c r="L184" s="60"/>
      <c r="M184" s="60"/>
      <c r="N184" s="60"/>
      <c r="O184" s="60"/>
      <c r="P184" s="61"/>
      <c r="Q184" s="60"/>
      <c r="R184" s="60"/>
      <c r="S184" s="60"/>
      <c r="T184" s="556"/>
      <c r="U184" s="556"/>
      <c r="V184" s="556"/>
      <c r="W184" s="556"/>
      <c r="X184" s="556"/>
      <c r="Y184" s="556"/>
      <c r="Z184" s="556"/>
      <c r="AA184" s="556"/>
      <c r="AB184" s="556"/>
      <c r="AC184" s="556"/>
      <c r="AD184" s="556"/>
      <c r="AE184" s="556"/>
      <c r="AF184" s="556"/>
      <c r="AG184" s="556"/>
      <c r="AH184" s="556"/>
      <c r="AI184" s="556"/>
      <c r="AJ184" s="556"/>
      <c r="AK184" s="556"/>
      <c r="AL184" s="556"/>
      <c r="AM184" s="556"/>
      <c r="AN184" s="556"/>
      <c r="AO184" s="556"/>
      <c r="AP184" s="556"/>
    </row>
    <row r="185" spans="1:42">
      <c r="A185" s="556"/>
      <c r="B185" s="60"/>
      <c r="C185" s="60"/>
      <c r="D185" s="61"/>
      <c r="E185" s="60"/>
      <c r="F185" s="60"/>
      <c r="G185" s="60"/>
      <c r="H185" s="61"/>
      <c r="I185" s="60"/>
      <c r="J185" s="60"/>
      <c r="K185" s="60"/>
      <c r="L185" s="60"/>
      <c r="M185" s="60"/>
      <c r="N185" s="60"/>
      <c r="O185" s="60"/>
      <c r="P185" s="61"/>
      <c r="Q185" s="60"/>
      <c r="R185" s="60"/>
      <c r="S185" s="60"/>
      <c r="T185" s="556"/>
      <c r="U185" s="556"/>
      <c r="V185" s="556"/>
      <c r="W185" s="556"/>
      <c r="X185" s="556"/>
      <c r="Y185" s="556"/>
      <c r="Z185" s="556"/>
      <c r="AA185" s="556"/>
      <c r="AB185" s="556"/>
      <c r="AC185" s="556"/>
      <c r="AD185" s="556"/>
      <c r="AE185" s="556"/>
      <c r="AF185" s="556"/>
      <c r="AG185" s="556"/>
      <c r="AH185" s="556"/>
      <c r="AI185" s="556"/>
      <c r="AJ185" s="556"/>
      <c r="AK185" s="556"/>
      <c r="AL185" s="556"/>
      <c r="AM185" s="556"/>
      <c r="AN185" s="556"/>
      <c r="AO185" s="556"/>
      <c r="AP185" s="556"/>
    </row>
    <row r="186" spans="1:42">
      <c r="A186" s="556"/>
      <c r="B186" s="60"/>
      <c r="C186" s="60"/>
      <c r="D186" s="61"/>
      <c r="E186" s="60"/>
      <c r="F186" s="60"/>
      <c r="G186" s="60"/>
      <c r="H186" s="61"/>
      <c r="I186" s="60"/>
      <c r="J186" s="60"/>
      <c r="K186" s="60"/>
      <c r="L186" s="60"/>
      <c r="M186" s="60"/>
      <c r="N186" s="60"/>
      <c r="O186" s="60"/>
      <c r="P186" s="61"/>
      <c r="Q186" s="60"/>
      <c r="R186" s="60"/>
      <c r="S186" s="60"/>
      <c r="T186" s="556"/>
      <c r="U186" s="556"/>
      <c r="V186" s="556"/>
      <c r="W186" s="556"/>
      <c r="X186" s="556"/>
      <c r="Y186" s="556"/>
      <c r="Z186" s="556"/>
      <c r="AA186" s="556"/>
      <c r="AB186" s="556"/>
      <c r="AC186" s="556"/>
      <c r="AD186" s="556"/>
      <c r="AE186" s="556"/>
      <c r="AF186" s="556"/>
      <c r="AG186" s="556"/>
      <c r="AH186" s="556"/>
      <c r="AI186" s="556"/>
      <c r="AJ186" s="556"/>
      <c r="AK186" s="556"/>
      <c r="AL186" s="556"/>
      <c r="AM186" s="556"/>
      <c r="AN186" s="556"/>
      <c r="AO186" s="556"/>
      <c r="AP186" s="556"/>
    </row>
    <row r="187" spans="1:42">
      <c r="A187" s="556"/>
      <c r="B187" s="60"/>
      <c r="C187" s="60"/>
      <c r="D187" s="61"/>
      <c r="E187" s="60"/>
      <c r="F187" s="60"/>
      <c r="G187" s="60"/>
      <c r="H187" s="61"/>
      <c r="I187" s="60"/>
      <c r="J187" s="60"/>
      <c r="K187" s="60"/>
      <c r="L187" s="60"/>
      <c r="M187" s="60"/>
      <c r="N187" s="60"/>
      <c r="O187" s="60"/>
      <c r="P187" s="61"/>
      <c r="Q187" s="60"/>
      <c r="R187" s="60"/>
      <c r="S187" s="60"/>
      <c r="T187" s="556"/>
      <c r="U187" s="556"/>
      <c r="V187" s="556"/>
      <c r="W187" s="556"/>
      <c r="X187" s="556"/>
      <c r="Y187" s="556"/>
      <c r="Z187" s="556"/>
      <c r="AA187" s="556"/>
      <c r="AB187" s="556"/>
      <c r="AC187" s="556"/>
      <c r="AD187" s="556"/>
      <c r="AE187" s="556"/>
      <c r="AF187" s="556"/>
      <c r="AG187" s="556"/>
      <c r="AH187" s="556"/>
      <c r="AI187" s="556"/>
      <c r="AJ187" s="556"/>
      <c r="AK187" s="556"/>
      <c r="AL187" s="556"/>
      <c r="AM187" s="556"/>
      <c r="AN187" s="556"/>
      <c r="AO187" s="556"/>
      <c r="AP187" s="556"/>
    </row>
    <row r="188" spans="1:42">
      <c r="A188" s="556"/>
      <c r="B188" s="60"/>
      <c r="C188" s="60"/>
      <c r="D188" s="61"/>
      <c r="E188" s="60"/>
      <c r="F188" s="60"/>
      <c r="G188" s="60"/>
      <c r="H188" s="61"/>
      <c r="I188" s="60"/>
      <c r="J188" s="60"/>
      <c r="K188" s="60"/>
      <c r="L188" s="60"/>
      <c r="M188" s="60"/>
      <c r="N188" s="60"/>
      <c r="O188" s="60"/>
      <c r="P188" s="61"/>
      <c r="Q188" s="60"/>
      <c r="R188" s="60"/>
      <c r="S188" s="60"/>
      <c r="T188" s="556"/>
      <c r="U188" s="556"/>
      <c r="V188" s="556"/>
      <c r="W188" s="556"/>
      <c r="X188" s="556"/>
      <c r="Y188" s="556"/>
      <c r="Z188" s="556"/>
      <c r="AA188" s="556"/>
      <c r="AB188" s="556"/>
      <c r="AC188" s="556"/>
      <c r="AD188" s="556"/>
      <c r="AE188" s="556"/>
      <c r="AF188" s="556"/>
      <c r="AG188" s="556"/>
      <c r="AH188" s="556"/>
      <c r="AI188" s="556"/>
      <c r="AJ188" s="556"/>
      <c r="AK188" s="556"/>
      <c r="AL188" s="556"/>
      <c r="AM188" s="556"/>
      <c r="AN188" s="556"/>
      <c r="AO188" s="556"/>
      <c r="AP188" s="556"/>
    </row>
  </sheetData>
  <pageMargins left="0.2" right="0.21" top="0.68" bottom="0.45" header="0.5" footer="0.23"/>
  <pageSetup scale="47" orientation="landscape" r:id="rId1"/>
  <headerFooter alignWithMargins="0">
    <oddFooter>&amp;R&amp;16&amp;P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183"/>
  <sheetViews>
    <sheetView workbookViewId="0"/>
  </sheetViews>
  <sheetFormatPr defaultRowHeight="15.75"/>
  <cols>
    <col min="1" max="1" width="29.75" customWidth="1"/>
    <col min="2" max="2" width="13.625" style="12" customWidth="1"/>
    <col min="3" max="4" width="13.75" style="13" customWidth="1"/>
    <col min="5" max="6" width="13.75" style="12" customWidth="1"/>
    <col min="7" max="7" width="13.75" style="13" customWidth="1"/>
    <col min="8" max="9" width="13.75" style="12" customWidth="1"/>
    <col min="10" max="10" width="13.75" style="13" customWidth="1"/>
    <col min="11" max="13" width="13.75" style="12" customWidth="1"/>
    <col min="14" max="14" width="13.625" style="13" customWidth="1"/>
    <col min="15" max="15" width="13.75" style="12" customWidth="1"/>
    <col min="16" max="16" width="13.75" style="13" customWidth="1"/>
    <col min="17" max="17" width="13.75" style="12" customWidth="1"/>
    <col min="18" max="18" width="13.75" style="13" customWidth="1"/>
    <col min="19" max="20" width="13.75" style="12" customWidth="1"/>
    <col min="21" max="21" width="14.375" style="12" customWidth="1"/>
    <col min="22" max="26" width="14.375" customWidth="1"/>
    <col min="27" max="256" width="11" customWidth="1"/>
  </cols>
  <sheetData>
    <row r="1" spans="1:44">
      <c r="A1" s="114" t="s">
        <v>163</v>
      </c>
      <c r="B1" s="37"/>
      <c r="C1" s="38"/>
      <c r="D1" s="38"/>
      <c r="E1" s="37"/>
      <c r="F1" s="37"/>
      <c r="G1" s="38"/>
      <c r="H1" s="37"/>
      <c r="I1" s="37"/>
      <c r="J1" s="38"/>
      <c r="K1" s="37"/>
      <c r="L1" s="37"/>
      <c r="M1" s="37"/>
      <c r="N1" s="38"/>
      <c r="O1" s="37"/>
      <c r="P1" s="38"/>
      <c r="Q1" s="37"/>
      <c r="R1" s="38"/>
      <c r="S1" s="37"/>
    </row>
    <row r="2" spans="1:44">
      <c r="A2" s="114" t="s">
        <v>360</v>
      </c>
      <c r="B2" s="37"/>
      <c r="C2" s="38"/>
      <c r="D2" s="38"/>
      <c r="E2" s="37"/>
      <c r="F2" s="37"/>
      <c r="G2" s="38"/>
      <c r="H2" s="37"/>
      <c r="I2" s="37"/>
      <c r="J2" s="38"/>
      <c r="K2" s="37"/>
      <c r="L2" s="37"/>
      <c r="M2" s="37"/>
      <c r="N2" s="38"/>
      <c r="O2" s="37"/>
      <c r="P2" s="38"/>
      <c r="Q2" s="37"/>
      <c r="R2" s="38"/>
      <c r="S2" s="37"/>
    </row>
    <row r="3" spans="1:44">
      <c r="A3" s="114" t="s">
        <v>418</v>
      </c>
      <c r="B3" s="37"/>
      <c r="C3" s="38"/>
      <c r="D3" s="38"/>
      <c r="E3" s="37"/>
      <c r="F3" s="37"/>
      <c r="G3" s="38"/>
      <c r="H3" s="37"/>
      <c r="I3" s="37"/>
      <c r="J3" s="38"/>
      <c r="K3" s="37"/>
      <c r="L3" s="37"/>
      <c r="M3" s="37"/>
      <c r="N3" s="38"/>
      <c r="O3" s="37"/>
      <c r="P3" s="38"/>
      <c r="Q3" s="37"/>
      <c r="R3" s="38"/>
      <c r="S3" s="37"/>
    </row>
    <row r="4" spans="1:44">
      <c r="A4" s="114" t="s">
        <v>404</v>
      </c>
      <c r="B4" s="37"/>
      <c r="C4" s="38"/>
      <c r="D4" s="38"/>
      <c r="E4" s="37"/>
      <c r="F4" s="37"/>
      <c r="G4" s="38"/>
      <c r="H4" s="37"/>
      <c r="I4" s="37"/>
      <c r="J4" s="38"/>
      <c r="K4" s="37"/>
      <c r="L4" s="37"/>
      <c r="M4" s="37"/>
      <c r="N4" s="38"/>
      <c r="O4" s="37"/>
      <c r="P4" s="38"/>
      <c r="Q4" s="37"/>
      <c r="R4" s="38"/>
      <c r="S4" s="37"/>
    </row>
    <row r="5" spans="1:44">
      <c r="A5" s="114" t="s">
        <v>179</v>
      </c>
      <c r="B5" s="37"/>
      <c r="C5" s="38"/>
      <c r="D5" s="38"/>
      <c r="E5" s="37"/>
      <c r="F5" s="37"/>
      <c r="G5" s="38"/>
      <c r="H5" s="37"/>
      <c r="I5" s="37"/>
      <c r="J5" s="38"/>
      <c r="K5" s="37"/>
      <c r="L5" s="37"/>
      <c r="M5" s="37"/>
      <c r="N5" s="38"/>
      <c r="O5" s="37"/>
      <c r="P5" s="38"/>
      <c r="Q5" s="37"/>
      <c r="R5" s="38"/>
      <c r="S5" s="37"/>
    </row>
    <row r="6" spans="1:44">
      <c r="A6" s="1"/>
      <c r="B6" s="60"/>
      <c r="C6" s="61"/>
      <c r="D6" s="61"/>
      <c r="E6" s="60"/>
      <c r="F6" s="60"/>
      <c r="G6" s="61"/>
      <c r="H6" s="60"/>
      <c r="I6" s="60"/>
      <c r="J6" s="61"/>
      <c r="K6" s="60"/>
      <c r="L6" s="60"/>
      <c r="M6" s="60"/>
      <c r="N6" s="61"/>
      <c r="O6" s="60"/>
      <c r="P6" s="61"/>
      <c r="Q6" s="60"/>
      <c r="R6" s="61"/>
      <c r="S6" s="60"/>
      <c r="T6" s="60"/>
      <c r="U6" s="60"/>
      <c r="V6" s="1"/>
      <c r="W6" s="1"/>
      <c r="X6" s="1"/>
      <c r="Y6" s="1"/>
      <c r="Z6" s="1"/>
      <c r="AA6" s="1"/>
      <c r="AB6" s="1"/>
      <c r="AC6" s="1"/>
      <c r="AD6" s="1"/>
      <c r="AE6" s="1"/>
      <c r="AF6" s="1"/>
      <c r="AG6" s="1"/>
      <c r="AH6" s="1"/>
      <c r="AI6" s="1"/>
      <c r="AJ6" s="1"/>
      <c r="AK6" s="1"/>
      <c r="AL6" s="1"/>
      <c r="AM6" s="1"/>
      <c r="AN6" s="1"/>
      <c r="AO6" s="1"/>
      <c r="AP6" s="1"/>
      <c r="AQ6" s="1"/>
      <c r="AR6" s="1"/>
    </row>
    <row r="7" spans="1:44">
      <c r="A7" s="1"/>
      <c r="B7" s="306" t="s">
        <v>98</v>
      </c>
      <c r="C7" s="307" t="s">
        <v>100</v>
      </c>
      <c r="D7" s="307" t="s">
        <v>101</v>
      </c>
      <c r="E7" s="306" t="s">
        <v>102</v>
      </c>
      <c r="F7" s="307" t="s">
        <v>107</v>
      </c>
      <c r="G7" s="307" t="s">
        <v>103</v>
      </c>
      <c r="H7" s="307" t="s">
        <v>104</v>
      </c>
      <c r="I7" s="306" t="s">
        <v>105</v>
      </c>
      <c r="J7" s="306" t="s">
        <v>361</v>
      </c>
      <c r="K7" s="308" t="s">
        <v>362</v>
      </c>
      <c r="L7" s="1122" t="s">
        <v>250</v>
      </c>
      <c r="M7" s="306" t="s">
        <v>108</v>
      </c>
      <c r="N7" s="308" t="s">
        <v>362</v>
      </c>
      <c r="O7" s="306" t="s">
        <v>109</v>
      </c>
      <c r="P7" s="307" t="s">
        <v>110</v>
      </c>
      <c r="Q7" s="308" t="s">
        <v>362</v>
      </c>
      <c r="R7" s="308" t="s">
        <v>111</v>
      </c>
      <c r="S7"/>
      <c r="T7"/>
      <c r="U7" s="60"/>
      <c r="V7" s="1"/>
      <c r="W7" s="1"/>
      <c r="X7" s="1"/>
      <c r="Y7" s="1"/>
      <c r="Z7" s="1"/>
      <c r="AA7" s="1"/>
      <c r="AB7" s="1"/>
      <c r="AC7" s="1"/>
      <c r="AD7" s="1"/>
      <c r="AE7" s="1"/>
      <c r="AF7" s="1"/>
      <c r="AG7" s="1"/>
      <c r="AH7" s="1"/>
      <c r="AI7" s="1"/>
      <c r="AJ7" s="1"/>
      <c r="AK7" s="1"/>
      <c r="AL7" s="1"/>
      <c r="AM7" s="1"/>
      <c r="AN7" s="1"/>
      <c r="AO7" s="1"/>
      <c r="AP7" s="1"/>
      <c r="AQ7" s="1"/>
      <c r="AR7" s="1"/>
    </row>
    <row r="8" spans="1:44">
      <c r="A8" s="183" t="s">
        <v>243</v>
      </c>
      <c r="B8" s="1"/>
      <c r="C8" s="1"/>
      <c r="D8" s="1"/>
      <c r="E8" s="1"/>
      <c r="F8" s="1"/>
      <c r="G8" s="1"/>
      <c r="H8" s="1"/>
      <c r="I8" s="1"/>
      <c r="J8" s="1"/>
      <c r="K8" s="153"/>
      <c r="L8" s="1123"/>
      <c r="M8" s="1"/>
      <c r="N8" s="1071"/>
      <c r="O8" s="1"/>
      <c r="P8" s="1"/>
      <c r="Q8" s="153"/>
      <c r="R8" s="202"/>
      <c r="S8"/>
      <c r="T8"/>
      <c r="U8" s="62"/>
      <c r="V8" s="63"/>
      <c r="W8" s="63"/>
      <c r="X8" s="63"/>
      <c r="Y8" s="1"/>
      <c r="Z8" s="1"/>
      <c r="AA8" s="1"/>
      <c r="AB8" s="1"/>
      <c r="AC8" s="1"/>
      <c r="AD8" s="1"/>
      <c r="AE8" s="1"/>
      <c r="AF8" s="1"/>
      <c r="AG8" s="1"/>
      <c r="AH8" s="1"/>
      <c r="AI8" s="1"/>
      <c r="AJ8" s="1"/>
      <c r="AK8" s="1"/>
      <c r="AL8" s="1"/>
      <c r="AM8" s="1"/>
      <c r="AN8" s="1"/>
      <c r="AO8" s="1"/>
      <c r="AP8" s="1"/>
      <c r="AQ8" s="1"/>
      <c r="AR8" s="1"/>
    </row>
    <row r="9" spans="1:44">
      <c r="A9" s="1" t="s">
        <v>264</v>
      </c>
      <c r="B9" s="60"/>
      <c r="C9" s="61"/>
      <c r="D9" s="61"/>
      <c r="E9" s="1"/>
      <c r="F9" s="61"/>
      <c r="G9" s="61"/>
      <c r="H9" s="61"/>
      <c r="I9" s="60"/>
      <c r="J9" s="60"/>
      <c r="K9" s="190"/>
      <c r="L9" s="86"/>
      <c r="M9" s="60"/>
      <c r="N9" s="1071"/>
      <c r="O9" s="60"/>
      <c r="P9" s="61"/>
      <c r="Q9" s="190"/>
      <c r="R9" s="190"/>
      <c r="S9"/>
      <c r="T9"/>
      <c r="U9" s="60"/>
      <c r="V9" s="1"/>
      <c r="W9" s="1"/>
      <c r="X9" s="1"/>
      <c r="Y9" s="1"/>
      <c r="Z9" s="1"/>
      <c r="AA9" s="1"/>
      <c r="AB9" s="1"/>
      <c r="AC9" s="1"/>
      <c r="AD9" s="1"/>
      <c r="AE9" s="1"/>
      <c r="AF9" s="1"/>
      <c r="AG9" s="1"/>
      <c r="AH9" s="1"/>
      <c r="AI9" s="1"/>
      <c r="AJ9" s="1"/>
      <c r="AK9" s="1"/>
      <c r="AL9" s="1"/>
      <c r="AM9" s="1"/>
      <c r="AN9" s="1"/>
      <c r="AO9" s="1"/>
      <c r="AP9" s="1"/>
      <c r="AQ9" s="1"/>
      <c r="AR9" s="1"/>
    </row>
    <row r="10" spans="1:44">
      <c r="A10" s="1" t="s">
        <v>265</v>
      </c>
      <c r="B10" s="88">
        <f>+'bichgdes&amp;$'!C10</f>
        <v>384.1</v>
      </c>
      <c r="C10" s="88">
        <f>+'bncgdes&amp;$ '!C10</f>
        <v>174704</v>
      </c>
      <c r="D10" s="88">
        <f>+'bphgdes&amp;$'!C10</f>
        <v>38235.9</v>
      </c>
      <c r="E10" s="88">
        <f>+'buhgdes&amp;$'!C10</f>
        <v>140407</v>
      </c>
      <c r="F10" s="88">
        <f>+'capitalbkgdes&amp;$'!C10</f>
        <v>29416</v>
      </c>
      <c r="G10" s="88">
        <f>+'promobkgdes&amp;$'!C10</f>
        <v>44833</v>
      </c>
      <c r="H10" s="88">
        <f>+'socabkgdes&amp;$ '!C10</f>
        <v>36234.1</v>
      </c>
      <c r="I10" s="88">
        <f>+'sogebkgdes&amp;$  '!C10</f>
        <v>121534</v>
      </c>
      <c r="J10" s="88">
        <f>+'unibkgdes&amp;$'!C10</f>
        <v>136244.79999999999</v>
      </c>
      <c r="K10" s="191">
        <f>SUM(B10:J10)</f>
        <v>721992.89999999991</v>
      </c>
      <c r="L10" s="94">
        <f>+'bhdgdes&amp;$'!C10</f>
        <v>52.2</v>
      </c>
      <c r="M10" s="88">
        <f>+'sgbelgdes&amp;$'!C10</f>
        <v>6578.3</v>
      </c>
      <c r="N10" s="1072">
        <f>+L10+M10</f>
        <v>6630.5</v>
      </c>
      <c r="O10" s="88">
        <f>+'cbnagdes&amp;$'!C10</f>
        <v>19339</v>
      </c>
      <c r="P10" s="88">
        <f>+'scotiagdes&amp;$'!C10</f>
        <v>24272</v>
      </c>
      <c r="Q10" s="197">
        <f>SUM(O10:P10)</f>
        <v>43611</v>
      </c>
      <c r="R10" s="191">
        <f>+K10+N10+Q10</f>
        <v>772234.39999999991</v>
      </c>
      <c r="S10"/>
      <c r="T10"/>
      <c r="U10" s="60"/>
      <c r="V10" s="1"/>
      <c r="W10" s="1"/>
      <c r="X10" s="1"/>
      <c r="Y10" s="1"/>
      <c r="Z10" s="1"/>
      <c r="AA10" s="1"/>
      <c r="AB10" s="1"/>
      <c r="AC10" s="1"/>
      <c r="AD10" s="1"/>
      <c r="AE10" s="1"/>
      <c r="AF10" s="1"/>
      <c r="AG10" s="1"/>
      <c r="AH10" s="1"/>
      <c r="AI10" s="1"/>
      <c r="AJ10" s="1"/>
      <c r="AK10" s="1"/>
      <c r="AL10" s="1"/>
      <c r="AM10" s="1"/>
      <c r="AN10" s="1"/>
      <c r="AO10" s="1"/>
      <c r="AP10" s="1"/>
      <c r="AQ10" s="1"/>
      <c r="AR10" s="1"/>
    </row>
    <row r="11" spans="1:44">
      <c r="A11" s="1" t="s">
        <v>266</v>
      </c>
      <c r="B11" s="88">
        <f>+'bichgdes&amp;$'!C11</f>
        <v>4060.5</v>
      </c>
      <c r="C11" s="88">
        <f>+'bncgdes&amp;$ '!C11</f>
        <v>335318</v>
      </c>
      <c r="D11" s="88">
        <f>+'bphgdes&amp;$'!C11</f>
        <v>154127.70000000001</v>
      </c>
      <c r="E11" s="88">
        <f>+'buhgdes&amp;$'!C11</f>
        <v>189359</v>
      </c>
      <c r="F11" s="88">
        <f>+'capitalbkgdes&amp;$'!C11</f>
        <v>98824</v>
      </c>
      <c r="G11" s="88">
        <f>+'promobkgdes&amp;$'!C11</f>
        <v>242680</v>
      </c>
      <c r="H11" s="88">
        <f>+'socabkgdes&amp;$ '!C11</f>
        <v>451597.8</v>
      </c>
      <c r="I11" s="88">
        <f>+'sogebkgdes&amp;$  '!C11</f>
        <v>955691</v>
      </c>
      <c r="J11" s="88">
        <f>+'unibkgdes&amp;$'!C11</f>
        <v>534955.19999999995</v>
      </c>
      <c r="K11" s="191">
        <f>SUM(B11:J11)</f>
        <v>2966613.2</v>
      </c>
      <c r="L11" s="94">
        <f>+'bhdgdes&amp;$'!C11</f>
        <v>620.5</v>
      </c>
      <c r="M11" s="88">
        <f>+'sgbelgdes&amp;$'!C11</f>
        <v>66286.600000000006</v>
      </c>
      <c r="N11" s="1072">
        <f>+L11+M11</f>
        <v>66907.100000000006</v>
      </c>
      <c r="O11" s="88">
        <f>+'cbnagdes&amp;$'!C11</f>
        <v>307390</v>
      </c>
      <c r="P11" s="88">
        <f>+'scotiagdes&amp;$'!C11</f>
        <v>231029</v>
      </c>
      <c r="Q11" s="197">
        <f>SUM(O11:P11)</f>
        <v>538419</v>
      </c>
      <c r="R11" s="191">
        <f>+K11+N11+Q11</f>
        <v>3571939.3000000003</v>
      </c>
      <c r="S11"/>
      <c r="T11"/>
      <c r="U11" s="60"/>
      <c r="V11" s="1"/>
      <c r="W11" s="1"/>
      <c r="X11" s="1"/>
      <c r="Y11" s="1"/>
      <c r="Z11" s="1"/>
      <c r="AA11" s="1"/>
      <c r="AB11" s="1"/>
      <c r="AC11" s="1"/>
      <c r="AD11" s="1"/>
      <c r="AE11" s="1"/>
      <c r="AF11" s="1"/>
      <c r="AG11" s="1"/>
      <c r="AH11" s="1"/>
      <c r="AI11" s="1"/>
      <c r="AJ11" s="1"/>
      <c r="AK11" s="1"/>
      <c r="AL11" s="1"/>
      <c r="AM11" s="1"/>
      <c r="AN11" s="1"/>
      <c r="AO11" s="1"/>
      <c r="AP11" s="1"/>
      <c r="AQ11" s="1"/>
      <c r="AR11" s="1"/>
    </row>
    <row r="12" spans="1:44">
      <c r="A12" s="1" t="s">
        <v>267</v>
      </c>
      <c r="B12" s="88">
        <f>+'bichgdes&amp;$'!C12</f>
        <v>0</v>
      </c>
      <c r="C12" s="88">
        <f>+'bncgdes&amp;$ '!C12</f>
        <v>0</v>
      </c>
      <c r="D12" s="88">
        <f>+'bphgdes&amp;$'!C12</f>
        <v>0</v>
      </c>
      <c r="E12" s="88">
        <f>+'buhgdes&amp;$'!C12</f>
        <v>-28</v>
      </c>
      <c r="F12" s="88">
        <f>+'capitalbkgdes&amp;$'!C12</f>
        <v>0</v>
      </c>
      <c r="G12" s="88">
        <f>+'promobkgdes&amp;$'!C12</f>
        <v>0</v>
      </c>
      <c r="H12" s="88">
        <f>+'socabkgdes&amp;$ '!C12</f>
        <v>0</v>
      </c>
      <c r="I12" s="88">
        <f>+'sogebkgdes&amp;$  '!C12</f>
        <v>0</v>
      </c>
      <c r="J12" s="88">
        <f>+'unibkgdes&amp;$'!C12</f>
        <v>0</v>
      </c>
      <c r="K12" s="191">
        <f>SUM(B12:J12)</f>
        <v>-28</v>
      </c>
      <c r="L12" s="94">
        <f>+'bhdgdes&amp;$'!C12</f>
        <v>0</v>
      </c>
      <c r="M12" s="88">
        <f>+'sgbelgdes&amp;$'!C12</f>
        <v>0</v>
      </c>
      <c r="N12" s="1072">
        <f>+L12+M12</f>
        <v>0</v>
      </c>
      <c r="O12" s="88">
        <f>+'cbnagdes&amp;$'!C12</f>
        <v>0</v>
      </c>
      <c r="P12" s="88">
        <f>+'scotiagdes&amp;$'!C12</f>
        <v>0</v>
      </c>
      <c r="Q12" s="197">
        <f>SUM(O12:P12)</f>
        <v>0</v>
      </c>
      <c r="R12" s="191">
        <f>+K12+N12+Q12</f>
        <v>-28</v>
      </c>
      <c r="S12"/>
      <c r="T12"/>
      <c r="U12" s="60"/>
      <c r="V12" s="1"/>
      <c r="W12" s="1"/>
      <c r="X12" s="1"/>
      <c r="Y12" s="1"/>
      <c r="Z12" s="1"/>
      <c r="AA12" s="1"/>
      <c r="AB12" s="1"/>
      <c r="AC12" s="1"/>
      <c r="AD12" s="1"/>
      <c r="AE12" s="1"/>
      <c r="AF12" s="1"/>
      <c r="AG12" s="1"/>
      <c r="AH12" s="1"/>
      <c r="AI12" s="1"/>
      <c r="AJ12" s="1"/>
      <c r="AK12" s="1"/>
      <c r="AL12" s="1"/>
      <c r="AM12" s="1"/>
      <c r="AN12" s="1"/>
      <c r="AO12" s="1"/>
      <c r="AP12" s="1"/>
      <c r="AQ12" s="1"/>
      <c r="AR12" s="1"/>
    </row>
    <row r="13" spans="1:44">
      <c r="A13" s="1" t="s">
        <v>268</v>
      </c>
      <c r="B13" s="88">
        <f>+'bichgdes&amp;$'!C13</f>
        <v>1500</v>
      </c>
      <c r="C13" s="88">
        <f>+'bncgdes&amp;$ '!C13</f>
        <v>0</v>
      </c>
      <c r="D13" s="88">
        <f>+'bphgdes&amp;$'!C13</f>
        <v>0</v>
      </c>
      <c r="E13" s="88">
        <f>+'buhgdes&amp;$'!C13</f>
        <v>175541</v>
      </c>
      <c r="F13" s="88">
        <f>+'capitalbkgdes&amp;$'!C13</f>
        <v>479</v>
      </c>
      <c r="G13" s="88">
        <f>+'promobkgdes&amp;$'!C13</f>
        <v>0</v>
      </c>
      <c r="H13" s="88">
        <f>+'socabkgdes&amp;$ '!C13</f>
        <v>2781.6</v>
      </c>
      <c r="I13" s="88">
        <f>+'sogebkgdes&amp;$  '!C13</f>
        <v>0</v>
      </c>
      <c r="J13" s="88">
        <f>+'unibkgdes&amp;$'!C13</f>
        <v>4405.8</v>
      </c>
      <c r="K13" s="191">
        <f>SUM(B13:J13)</f>
        <v>184707.4</v>
      </c>
      <c r="L13" s="94">
        <f>+'bhdgdes&amp;$'!C13</f>
        <v>359.7</v>
      </c>
      <c r="M13" s="88">
        <f>+'sgbelgdes&amp;$'!C13</f>
        <v>359.7</v>
      </c>
      <c r="N13" s="1072">
        <f>+L13+M13</f>
        <v>719.4</v>
      </c>
      <c r="O13" s="88">
        <f>+'cbnagdes&amp;$'!C13</f>
        <v>0</v>
      </c>
      <c r="P13" s="88">
        <f>+'scotiagdes&amp;$'!C13</f>
        <v>0</v>
      </c>
      <c r="Q13" s="197">
        <f>SUM(O13:P13)</f>
        <v>0</v>
      </c>
      <c r="R13" s="191">
        <f>+K13+N13+Q13</f>
        <v>185426.8</v>
      </c>
      <c r="S13"/>
      <c r="T13"/>
      <c r="U13" s="60"/>
      <c r="V13" s="1"/>
      <c r="W13" s="1"/>
      <c r="X13" s="1"/>
      <c r="Y13" s="1"/>
      <c r="Z13" s="1"/>
      <c r="AA13" s="1"/>
      <c r="AB13" s="1"/>
      <c r="AC13" s="1"/>
      <c r="AD13" s="1"/>
      <c r="AE13" s="1"/>
      <c r="AF13" s="1"/>
      <c r="AG13" s="1"/>
      <c r="AH13" s="1"/>
      <c r="AI13" s="1"/>
      <c r="AJ13" s="1"/>
      <c r="AK13" s="1"/>
      <c r="AL13" s="1"/>
      <c r="AM13" s="1"/>
      <c r="AN13" s="1"/>
      <c r="AO13" s="1"/>
      <c r="AP13" s="1"/>
      <c r="AQ13" s="1"/>
      <c r="AR13" s="1"/>
    </row>
    <row r="14" spans="1:44">
      <c r="A14" s="1" t="s">
        <v>269</v>
      </c>
      <c r="B14" s="221">
        <f>+'bichgdes&amp;$'!C14</f>
        <v>313.7</v>
      </c>
      <c r="C14" s="221">
        <f>+'bncgdes&amp;$ '!C14</f>
        <v>16644</v>
      </c>
      <c r="D14" s="221">
        <f>+'bphgdes&amp;$'!C14</f>
        <v>4947</v>
      </c>
      <c r="E14" s="221">
        <f>+'buhgdes&amp;$'!C14</f>
        <v>10778</v>
      </c>
      <c r="F14" s="221">
        <f>+'capitalbkgdes&amp;$'!C14</f>
        <v>44912</v>
      </c>
      <c r="G14" s="221">
        <f>+'promobkgdes&amp;$'!C14</f>
        <v>24358</v>
      </c>
      <c r="H14" s="221">
        <f>+'socabkgdes&amp;$ '!C14</f>
        <v>32248.7</v>
      </c>
      <c r="I14" s="221">
        <f>+'sogebkgdes&amp;$  '!C14</f>
        <v>60053</v>
      </c>
      <c r="J14" s="221">
        <f>+'unibkgdes&amp;$'!C14</f>
        <v>53454.3</v>
      </c>
      <c r="K14" s="300">
        <f>SUM(B14:J14)</f>
        <v>247708.7</v>
      </c>
      <c r="L14" s="1131">
        <f>+'bhdgdes&amp;$'!C14</f>
        <v>0</v>
      </c>
      <c r="M14" s="221">
        <f>+'sgbelgdes&amp;$'!C14</f>
        <v>3922.6</v>
      </c>
      <c r="N14" s="1074">
        <f>+L14+M14</f>
        <v>3922.6</v>
      </c>
      <c r="O14" s="221">
        <f>+'cbnagdes&amp;$'!C14</f>
        <v>26570</v>
      </c>
      <c r="P14" s="221">
        <f>+'scotiagdes&amp;$'!C14</f>
        <v>6908</v>
      </c>
      <c r="Q14" s="309">
        <f>SUM(O14:P14)</f>
        <v>33478</v>
      </c>
      <c r="R14" s="300">
        <f>+K14+N14+Q14</f>
        <v>285109.30000000005</v>
      </c>
      <c r="S14"/>
      <c r="T14"/>
      <c r="U14" s="60"/>
      <c r="V14" s="1"/>
      <c r="W14" s="1"/>
      <c r="X14" s="1"/>
      <c r="Y14" s="1"/>
      <c r="Z14" s="1"/>
      <c r="AA14" s="1"/>
      <c r="AB14" s="1"/>
      <c r="AC14" s="1"/>
      <c r="AD14" s="1"/>
      <c r="AE14" s="1"/>
      <c r="AF14" s="1"/>
      <c r="AG14" s="1"/>
      <c r="AH14" s="1"/>
      <c r="AI14" s="1"/>
      <c r="AJ14" s="1"/>
      <c r="AK14" s="1"/>
      <c r="AL14" s="1"/>
      <c r="AM14" s="1"/>
      <c r="AN14" s="1"/>
      <c r="AO14" s="1"/>
      <c r="AP14" s="1"/>
      <c r="AQ14" s="1"/>
      <c r="AR14" s="1"/>
    </row>
    <row r="15" spans="1:44" ht="15.6" customHeight="1">
      <c r="A15" s="1"/>
      <c r="B15" s="88">
        <f t="shared" ref="B15:K15" si="0">SUM(B10:B14)</f>
        <v>6258.3</v>
      </c>
      <c r="C15" s="88">
        <f t="shared" si="0"/>
        <v>526666</v>
      </c>
      <c r="D15" s="88">
        <f t="shared" si="0"/>
        <v>197310.6</v>
      </c>
      <c r="E15" s="88">
        <f t="shared" si="0"/>
        <v>516057</v>
      </c>
      <c r="F15" s="143">
        <f>SUM(F10:F14)</f>
        <v>173631</v>
      </c>
      <c r="G15" s="88">
        <f t="shared" si="0"/>
        <v>311871</v>
      </c>
      <c r="H15" s="88">
        <f t="shared" si="0"/>
        <v>522862.19999999995</v>
      </c>
      <c r="I15" s="88">
        <f t="shared" si="0"/>
        <v>1137278</v>
      </c>
      <c r="J15" s="88">
        <f t="shared" si="0"/>
        <v>729060.10000000009</v>
      </c>
      <c r="K15" s="191">
        <f t="shared" si="0"/>
        <v>4120994.2</v>
      </c>
      <c r="L15" s="94"/>
      <c r="M15" s="88">
        <f>SUM(M10:M14)</f>
        <v>77147.200000000012</v>
      </c>
      <c r="N15" s="1072">
        <f>+M15</f>
        <v>77147.200000000012</v>
      </c>
      <c r="O15" s="88">
        <f>SUM(O10:O14)</f>
        <v>353299</v>
      </c>
      <c r="P15" s="88">
        <f>SUM(P10:P14)</f>
        <v>262209</v>
      </c>
      <c r="Q15" s="197">
        <f>SUM(Q10:Q14)</f>
        <v>615508</v>
      </c>
      <c r="R15" s="191">
        <f>SUM(R10:R14)</f>
        <v>4814681.8</v>
      </c>
      <c r="S15"/>
      <c r="T15"/>
      <c r="U15" s="60"/>
      <c r="V15" s="1"/>
      <c r="W15" s="1"/>
      <c r="X15" s="1"/>
      <c r="Y15" s="1"/>
      <c r="Z15" s="1"/>
      <c r="AA15" s="1"/>
      <c r="AB15" s="1"/>
      <c r="AC15" s="1"/>
      <c r="AD15" s="1"/>
      <c r="AE15" s="1"/>
      <c r="AF15" s="1"/>
      <c r="AG15" s="1"/>
      <c r="AH15" s="1"/>
      <c r="AI15" s="1"/>
      <c r="AJ15" s="1"/>
      <c r="AK15" s="1"/>
      <c r="AL15" s="1"/>
      <c r="AM15" s="1"/>
      <c r="AN15" s="1"/>
      <c r="AO15" s="1"/>
      <c r="AP15" s="1"/>
      <c r="AQ15" s="1"/>
      <c r="AR15" s="1"/>
    </row>
    <row r="16" spans="1:44" ht="7.9" customHeight="1">
      <c r="A16" s="1"/>
      <c r="B16" s="88"/>
      <c r="C16" s="100" t="s">
        <v>0</v>
      </c>
      <c r="D16" s="89" t="s">
        <v>0</v>
      </c>
      <c r="E16" s="88"/>
      <c r="F16" s="88" t="s">
        <v>0</v>
      </c>
      <c r="G16" s="89" t="s">
        <v>0</v>
      </c>
      <c r="H16" s="89" t="s">
        <v>0</v>
      </c>
      <c r="I16" s="88"/>
      <c r="J16" s="88"/>
      <c r="K16" s="191"/>
      <c r="L16" s="94"/>
      <c r="M16" s="88"/>
      <c r="N16" s="1064"/>
      <c r="O16" s="88"/>
      <c r="P16" s="88" t="s">
        <v>0</v>
      </c>
      <c r="Q16" s="197"/>
      <c r="R16" s="191"/>
      <c r="S16"/>
      <c r="T16"/>
      <c r="U16" s="60"/>
      <c r="V16" s="1"/>
      <c r="W16" s="1"/>
      <c r="X16" s="1"/>
      <c r="Y16" s="1"/>
      <c r="Z16" s="1"/>
      <c r="AA16" s="1"/>
      <c r="AB16" s="1"/>
      <c r="AC16" s="1"/>
      <c r="AD16" s="1"/>
      <c r="AE16" s="1"/>
      <c r="AF16" s="1"/>
      <c r="AG16" s="1"/>
      <c r="AH16" s="1"/>
      <c r="AI16" s="1"/>
      <c r="AJ16" s="1"/>
      <c r="AK16" s="1"/>
      <c r="AL16" s="1"/>
      <c r="AM16" s="1"/>
      <c r="AN16" s="1"/>
      <c r="AO16" s="1"/>
      <c r="AP16" s="1"/>
      <c r="AQ16" s="1"/>
      <c r="AR16" s="1"/>
    </row>
    <row r="17" spans="1:44" ht="15.6" customHeight="1">
      <c r="A17" s="1" t="s">
        <v>270</v>
      </c>
      <c r="B17" s="88">
        <f>+'bichgdes&amp;$'!C17</f>
        <v>0</v>
      </c>
      <c r="C17" s="88">
        <f>+'bncgdes&amp;$ '!C17</f>
        <v>389000</v>
      </c>
      <c r="D17" s="88">
        <f>+'bphgdes&amp;$'!C17</f>
        <v>155000</v>
      </c>
      <c r="E17" s="88">
        <f>+'buhgdes&amp;$'!C17</f>
        <v>125000</v>
      </c>
      <c r="F17" s="88">
        <f>+'capitalbkgdes&amp;$'!C17</f>
        <v>80000</v>
      </c>
      <c r="G17" s="88">
        <f>+'promobkgdes&amp;$'!C17</f>
        <v>90000</v>
      </c>
      <c r="H17" s="88">
        <f>+'socabkgdes&amp;$ '!C17</f>
        <v>50000</v>
      </c>
      <c r="I17" s="88">
        <f>+'sogebkgdes&amp;$  '!C17</f>
        <v>935000</v>
      </c>
      <c r="J17" s="88">
        <f>+'unibkgdes&amp;$'!C17</f>
        <v>270000</v>
      </c>
      <c r="K17" s="191">
        <f>SUM(B17:J17)</f>
        <v>2094000</v>
      </c>
      <c r="L17" s="94">
        <f>+'bhdgdes&amp;$'!C17</f>
        <v>0</v>
      </c>
      <c r="M17" s="88">
        <f>+'sgbelgdes&amp;$'!C17</f>
        <v>46000</v>
      </c>
      <c r="N17" s="1072">
        <f>+L17+M17</f>
        <v>46000</v>
      </c>
      <c r="O17" s="88">
        <f>+'cbnagdes&amp;$'!C17</f>
        <v>116970</v>
      </c>
      <c r="P17" s="88">
        <f>+'scotiagdes&amp;$'!C17</f>
        <v>25000</v>
      </c>
      <c r="Q17" s="197">
        <f>SUM(O17:P17)</f>
        <v>141970</v>
      </c>
      <c r="R17" s="191">
        <f>+K17+N17+Q17</f>
        <v>2281970</v>
      </c>
      <c r="S17"/>
      <c r="T17"/>
      <c r="U17" s="60"/>
      <c r="V17" s="1"/>
      <c r="W17" s="1"/>
      <c r="X17" s="1"/>
      <c r="Y17" s="1"/>
      <c r="Z17" s="1"/>
      <c r="AA17" s="1"/>
      <c r="AB17" s="1"/>
      <c r="AC17" s="1"/>
      <c r="AD17" s="1"/>
      <c r="AE17" s="1"/>
      <c r="AF17" s="1"/>
      <c r="AG17" s="1"/>
      <c r="AH17" s="1"/>
      <c r="AI17" s="1"/>
      <c r="AJ17" s="1"/>
      <c r="AK17" s="1"/>
      <c r="AL17" s="1"/>
      <c r="AM17" s="1"/>
      <c r="AN17" s="1"/>
      <c r="AO17" s="1"/>
      <c r="AP17" s="1"/>
      <c r="AQ17" s="1"/>
      <c r="AR17" s="1"/>
    </row>
    <row r="18" spans="1:44">
      <c r="A18" s="1" t="s">
        <v>271</v>
      </c>
      <c r="B18" s="88">
        <f>+'bichgdes&amp;$'!C18</f>
        <v>0</v>
      </c>
      <c r="C18" s="88">
        <f>+'bncgdes&amp;$ '!C18</f>
        <v>188819</v>
      </c>
      <c r="D18" s="88">
        <f>+'bphgdes&amp;$'!C18</f>
        <v>17511.099999999999</v>
      </c>
      <c r="E18" s="88">
        <f>+'buhgdes&amp;$'!C18</f>
        <v>50340</v>
      </c>
      <c r="F18" s="88">
        <f>+'capitalbkgdes&amp;$'!C18</f>
        <v>5190</v>
      </c>
      <c r="G18" s="88">
        <f>+'promobkgdes&amp;$'!C18</f>
        <v>19324</v>
      </c>
      <c r="H18" s="88">
        <f>+'socabkgdes&amp;$ '!C18</f>
        <v>4139.1000000000004</v>
      </c>
      <c r="I18" s="88">
        <f>+'sogebkgdes&amp;$  '!C18</f>
        <v>238235</v>
      </c>
      <c r="J18" s="88">
        <f>+'unibkgdes&amp;$'!C18</f>
        <v>111026</v>
      </c>
      <c r="K18" s="191">
        <f>SUM(B18:J18)</f>
        <v>634584.19999999995</v>
      </c>
      <c r="L18" s="94">
        <f>+'bhdgdes&amp;$'!C18</f>
        <v>2153.8000000000002</v>
      </c>
      <c r="M18" s="88">
        <f>+'sgbelgdes&amp;$'!C18</f>
        <v>9314.9</v>
      </c>
      <c r="N18" s="1072">
        <f>+L18+M18</f>
        <v>11468.7</v>
      </c>
      <c r="O18" s="88">
        <f>+'cbnagdes&amp;$'!C18</f>
        <v>0</v>
      </c>
      <c r="P18" s="88">
        <f>+'scotiagdes&amp;$'!C18</f>
        <v>0</v>
      </c>
      <c r="Q18" s="197">
        <f>SUM(O18:P18)</f>
        <v>0</v>
      </c>
      <c r="R18" s="191">
        <f>+K18+N18+Q18</f>
        <v>646052.89999999991</v>
      </c>
      <c r="S18"/>
      <c r="T18"/>
      <c r="U18" s="60"/>
      <c r="V18" s="1"/>
      <c r="W18" s="1"/>
      <c r="X18" s="1"/>
      <c r="Y18" s="1"/>
      <c r="Z18" s="1"/>
      <c r="AA18" s="1"/>
      <c r="AB18" s="1"/>
      <c r="AC18" s="1"/>
      <c r="AD18" s="1"/>
      <c r="AE18" s="1"/>
      <c r="AF18" s="1"/>
      <c r="AG18" s="1"/>
      <c r="AH18" s="1"/>
      <c r="AI18" s="1"/>
      <c r="AJ18" s="1"/>
      <c r="AK18" s="1"/>
      <c r="AL18" s="1"/>
      <c r="AM18" s="1"/>
      <c r="AN18" s="1"/>
      <c r="AO18" s="1"/>
      <c r="AP18" s="1"/>
      <c r="AQ18" s="1"/>
      <c r="AR18" s="1"/>
    </row>
    <row r="19" spans="1:44">
      <c r="A19" s="1" t="s">
        <v>406</v>
      </c>
      <c r="B19" s="88">
        <f>+'bichgdes&amp;$'!C19</f>
        <v>3752.9</v>
      </c>
      <c r="C19" s="88">
        <f>+'bncgdes&amp;$ '!C19</f>
        <v>336773</v>
      </c>
      <c r="D19" s="88">
        <f>+'bphgdes&amp;$'!C19</f>
        <v>290258.3</v>
      </c>
      <c r="E19" s="88">
        <f>+'buhgdes&amp;$'!C19</f>
        <v>548525</v>
      </c>
      <c r="F19" s="88">
        <f>+'capitalbkgdes&amp;$'!C19</f>
        <v>335580</v>
      </c>
      <c r="G19" s="88">
        <f>+'promobkgdes&amp;$'!C19</f>
        <v>350234</v>
      </c>
      <c r="H19" s="88">
        <f>+'socabkgdes&amp;$ '!C19</f>
        <v>734974.5</v>
      </c>
      <c r="I19" s="88">
        <f>+'sogebkgdes&amp;$  '!C19</f>
        <v>923940</v>
      </c>
      <c r="J19" s="88">
        <f>+'unibkgdes&amp;$'!C19</f>
        <v>747788.6</v>
      </c>
      <c r="K19" s="191">
        <f>SUM(B19:J19)</f>
        <v>4271826.3</v>
      </c>
      <c r="L19" s="94">
        <f>+'bhdgdes&amp;$'!C19</f>
        <v>5467.1</v>
      </c>
      <c r="M19" s="88">
        <f>+'sgbelgdes&amp;$'!C19</f>
        <v>231226</v>
      </c>
      <c r="N19" s="1072">
        <f>+L19+M19</f>
        <v>236693.1</v>
      </c>
      <c r="O19" s="88">
        <f>+'cbnagdes&amp;$'!C19</f>
        <v>269492</v>
      </c>
      <c r="P19" s="88">
        <f>+'scotiagdes&amp;$'!C19</f>
        <v>494644</v>
      </c>
      <c r="Q19" s="197">
        <f>SUM(O19:P19)</f>
        <v>764136</v>
      </c>
      <c r="R19" s="191">
        <f>+K19+N19+Q19</f>
        <v>5272655.3999999994</v>
      </c>
      <c r="S19"/>
      <c r="T19"/>
      <c r="U19" s="60"/>
      <c r="V19" s="1"/>
      <c r="W19" s="1"/>
      <c r="X19" s="1"/>
      <c r="Y19" s="1"/>
      <c r="Z19" s="1"/>
      <c r="AA19" s="1"/>
      <c r="AB19" s="1"/>
      <c r="AC19" s="1"/>
      <c r="AD19" s="1"/>
      <c r="AE19" s="1"/>
      <c r="AF19" s="1"/>
      <c r="AG19" s="1"/>
      <c r="AH19" s="1"/>
      <c r="AI19" s="1"/>
      <c r="AJ19" s="1"/>
      <c r="AK19" s="1"/>
      <c r="AL19" s="1"/>
      <c r="AM19" s="1"/>
      <c r="AN19" s="1"/>
      <c r="AO19" s="1"/>
      <c r="AP19" s="1"/>
      <c r="AQ19" s="1"/>
      <c r="AR19" s="1"/>
    </row>
    <row r="20" spans="1:44">
      <c r="A20" s="1" t="s">
        <v>273</v>
      </c>
      <c r="B20" s="88">
        <f>+'bichgdes&amp;$'!C20</f>
        <v>176.7</v>
      </c>
      <c r="C20" s="88">
        <f>+'bncgdes&amp;$ '!C20</f>
        <v>149576</v>
      </c>
      <c r="D20" s="88">
        <f>+'bphgdes&amp;$'!C20</f>
        <v>32763.1</v>
      </c>
      <c r="E20" s="88">
        <f>+'buhgdes&amp;$'!C20</f>
        <v>230086</v>
      </c>
      <c r="F20" s="88">
        <f>+'capitalbkgdes&amp;$'!C20</f>
        <v>73605</v>
      </c>
      <c r="G20" s="88">
        <f>+'promobkgdes&amp;$'!C20</f>
        <v>114146</v>
      </c>
      <c r="H20" s="88">
        <f>+'socabkgdes&amp;$ '!C20</f>
        <v>72823.399999999994</v>
      </c>
      <c r="I20" s="88">
        <f>+'sogebkgdes&amp;$  '!C20</f>
        <v>456305</v>
      </c>
      <c r="J20" s="88">
        <f>+'unibkgdes&amp;$'!C20</f>
        <v>139126.29999999999</v>
      </c>
      <c r="K20" s="191">
        <f>SUM(B20:J20)</f>
        <v>1268607.5000000002</v>
      </c>
      <c r="L20" s="94">
        <f>+'bhdgdes&amp;$'!C20</f>
        <v>14449.5</v>
      </c>
      <c r="M20" s="88">
        <f>+'sgbelgdes&amp;$'!C20</f>
        <v>26211.7</v>
      </c>
      <c r="N20" s="1072">
        <f>+L20+M20</f>
        <v>40661.199999999997</v>
      </c>
      <c r="O20" s="88">
        <f>+'cbnagdes&amp;$'!C20</f>
        <v>25365</v>
      </c>
      <c r="P20" s="88">
        <f>+'scotiagdes&amp;$'!C20</f>
        <v>14572</v>
      </c>
      <c r="Q20" s="197">
        <f>SUM(O20:P20)</f>
        <v>39937</v>
      </c>
      <c r="R20" s="191">
        <f>+K20+N20+Q20</f>
        <v>1349205.7000000002</v>
      </c>
      <c r="S20"/>
      <c r="T20"/>
      <c r="U20" s="60"/>
      <c r="V20" s="1"/>
      <c r="W20" s="1"/>
      <c r="X20" s="1"/>
      <c r="Y20" s="1"/>
      <c r="Z20" s="1"/>
      <c r="AA20" s="1"/>
      <c r="AB20" s="1"/>
      <c r="AC20" s="1"/>
      <c r="AD20" s="1"/>
      <c r="AE20" s="1"/>
      <c r="AF20" s="1"/>
      <c r="AG20" s="1"/>
      <c r="AH20" s="1"/>
      <c r="AI20" s="1"/>
      <c r="AJ20" s="1"/>
      <c r="AK20" s="1"/>
      <c r="AL20" s="1"/>
      <c r="AM20" s="1"/>
      <c r="AN20" s="1"/>
      <c r="AO20" s="1"/>
      <c r="AP20" s="1"/>
      <c r="AQ20" s="1"/>
      <c r="AR20" s="1"/>
    </row>
    <row r="21" spans="1:44">
      <c r="A21" s="1" t="s">
        <v>274</v>
      </c>
      <c r="B21" s="221">
        <f>+'bichgdes&amp;$'!C21</f>
        <v>680.1</v>
      </c>
      <c r="C21" s="221">
        <f>+'bncgdes&amp;$ '!C21</f>
        <v>54198</v>
      </c>
      <c r="D21" s="221">
        <f>+'bphgdes&amp;$'!C21</f>
        <v>13577.1</v>
      </c>
      <c r="E21" s="221">
        <f>+'buhgdes&amp;$'!C21</f>
        <v>65593</v>
      </c>
      <c r="F21" s="221">
        <f>+'capitalbkgdes&amp;$'!C21</f>
        <v>50630</v>
      </c>
      <c r="G21" s="221">
        <f>+'promobkgdes&amp;$'!C21</f>
        <v>33943</v>
      </c>
      <c r="H21" s="221">
        <f>+'socabkgdes&amp;$ '!C21</f>
        <v>68979.3</v>
      </c>
      <c r="I21" s="221">
        <f>+'sogebkgdes&amp;$  '!C21</f>
        <v>99182</v>
      </c>
      <c r="J21" s="221">
        <f>+'unibkgdes&amp;$'!C21</f>
        <v>50284.3</v>
      </c>
      <c r="K21" s="300">
        <f>SUM(B21:J21)</f>
        <v>437066.8</v>
      </c>
      <c r="L21" s="1131">
        <f>+'bhdgdes&amp;$'!C21</f>
        <v>110.7</v>
      </c>
      <c r="M21" s="221">
        <f>+'sgbelgdes&amp;$'!C21</f>
        <v>7020.6</v>
      </c>
      <c r="N21" s="1074">
        <f>+L21+M21</f>
        <v>7131.3</v>
      </c>
      <c r="O21" s="221">
        <f>+'cbnagdes&amp;$'!C21</f>
        <v>5556</v>
      </c>
      <c r="P21" s="221">
        <f>+'scotiagdes&amp;$'!C21</f>
        <v>8900</v>
      </c>
      <c r="Q21" s="300">
        <f>SUM(O21:P21)</f>
        <v>14456</v>
      </c>
      <c r="R21" s="300">
        <f>+K21+N21+Q21</f>
        <v>458654.1</v>
      </c>
      <c r="S21"/>
      <c r="T21"/>
      <c r="U21" s="60"/>
      <c r="V21" s="1"/>
      <c r="W21" s="1"/>
      <c r="X21" s="1"/>
      <c r="Y21" s="1"/>
      <c r="Z21" s="1"/>
      <c r="AA21" s="1"/>
      <c r="AB21" s="1"/>
      <c r="AC21" s="1"/>
      <c r="AD21" s="1"/>
      <c r="AE21" s="1"/>
      <c r="AF21" s="1"/>
      <c r="AG21" s="1"/>
      <c r="AH21" s="1"/>
      <c r="AI21" s="1"/>
      <c r="AJ21" s="1"/>
      <c r="AK21" s="1"/>
      <c r="AL21" s="1"/>
      <c r="AM21" s="1"/>
      <c r="AN21" s="1"/>
      <c r="AO21" s="1"/>
      <c r="AP21" s="1"/>
      <c r="AQ21" s="1"/>
      <c r="AR21" s="1"/>
    </row>
    <row r="22" spans="1:44">
      <c r="A22" s="1" t="s">
        <v>275</v>
      </c>
      <c r="B22" s="91">
        <f t="shared" ref="B22:K22" si="1">SUM(B15:B21)</f>
        <v>10868.000000000002</v>
      </c>
      <c r="C22" s="91">
        <f t="shared" si="1"/>
        <v>1645032</v>
      </c>
      <c r="D22" s="91">
        <f t="shared" si="1"/>
        <v>706420.2</v>
      </c>
      <c r="E22" s="91">
        <f t="shared" si="1"/>
        <v>1535601</v>
      </c>
      <c r="F22" s="4">
        <f>SUM(F15:F21)</f>
        <v>718636</v>
      </c>
      <c r="G22" s="91">
        <f t="shared" si="1"/>
        <v>919518</v>
      </c>
      <c r="H22" s="91">
        <f t="shared" si="1"/>
        <v>1453778.4999999998</v>
      </c>
      <c r="I22" s="91">
        <f t="shared" si="1"/>
        <v>3789940</v>
      </c>
      <c r="J22" s="91">
        <f t="shared" si="1"/>
        <v>2047285.3000000003</v>
      </c>
      <c r="K22" s="191">
        <f t="shared" si="1"/>
        <v>12827079</v>
      </c>
      <c r="L22" s="94"/>
      <c r="M22" s="91">
        <f>SUM(M15:M21)</f>
        <v>396920.39999999997</v>
      </c>
      <c r="N22" s="1072">
        <f>+M22</f>
        <v>396920.39999999997</v>
      </c>
      <c r="O22" s="4">
        <f>SUM(O15:O21)</f>
        <v>770682</v>
      </c>
      <c r="P22" s="4">
        <f>SUM(P15:P21)</f>
        <v>805325</v>
      </c>
      <c r="Q22" s="203">
        <f>SUM(Q15:Q21)</f>
        <v>1576007</v>
      </c>
      <c r="R22" s="191">
        <f>SUM(R15:R21)</f>
        <v>14823219.899999997</v>
      </c>
      <c r="S22"/>
      <c r="T22"/>
      <c r="U22" s="60"/>
      <c r="V22" s="1"/>
      <c r="W22" s="1"/>
      <c r="X22" s="1"/>
      <c r="Y22" s="1"/>
      <c r="Z22" s="1"/>
      <c r="AA22" s="1"/>
      <c r="AB22" s="1"/>
      <c r="AC22" s="1"/>
      <c r="AD22" s="1"/>
      <c r="AE22" s="1"/>
      <c r="AF22" s="1"/>
      <c r="AG22" s="1"/>
      <c r="AH22" s="1"/>
      <c r="AI22" s="1"/>
      <c r="AJ22" s="1"/>
      <c r="AK22" s="1"/>
      <c r="AL22" s="1"/>
      <c r="AM22" s="1"/>
      <c r="AN22" s="1"/>
      <c r="AO22" s="1"/>
      <c r="AP22" s="1"/>
      <c r="AQ22" s="1"/>
      <c r="AR22" s="1"/>
    </row>
    <row r="23" spans="1:44" ht="15.6" customHeight="1">
      <c r="A23" s="1"/>
      <c r="B23" s="88"/>
      <c r="C23" s="100" t="s">
        <v>0</v>
      </c>
      <c r="D23" s="89" t="s">
        <v>0</v>
      </c>
      <c r="E23" s="88"/>
      <c r="F23" s="88" t="s">
        <v>0</v>
      </c>
      <c r="G23" s="89" t="s">
        <v>0</v>
      </c>
      <c r="H23" s="89" t="s">
        <v>0</v>
      </c>
      <c r="I23" s="88"/>
      <c r="J23" s="88"/>
      <c r="K23" s="94"/>
      <c r="L23" s="94"/>
      <c r="M23" s="88"/>
      <c r="N23" s="1073"/>
      <c r="O23" s="88"/>
      <c r="P23" s="88" t="s">
        <v>0</v>
      </c>
      <c r="Q23" s="118"/>
      <c r="R23" s="94"/>
      <c r="S23"/>
      <c r="T23"/>
      <c r="U23" s="60"/>
      <c r="V23" s="1"/>
      <c r="W23" s="1"/>
      <c r="X23" s="1"/>
      <c r="Y23" s="1"/>
      <c r="Z23" s="1"/>
      <c r="AA23" s="1"/>
      <c r="AB23" s="1"/>
      <c r="AC23" s="1"/>
      <c r="AD23" s="1"/>
      <c r="AE23" s="1"/>
      <c r="AF23" s="1"/>
      <c r="AG23" s="1"/>
      <c r="AH23" s="1"/>
      <c r="AI23" s="1"/>
      <c r="AJ23" s="1"/>
      <c r="AK23" s="1"/>
      <c r="AL23" s="1"/>
      <c r="AM23" s="1"/>
      <c r="AN23" s="1"/>
      <c r="AO23" s="1"/>
      <c r="AP23" s="1"/>
      <c r="AQ23" s="1"/>
      <c r="AR23" s="1"/>
    </row>
    <row r="24" spans="1:44">
      <c r="A24" s="2" t="s">
        <v>276</v>
      </c>
      <c r="B24" s="88"/>
      <c r="C24" s="100" t="s">
        <v>0</v>
      </c>
      <c r="D24" s="89" t="s">
        <v>0</v>
      </c>
      <c r="E24" s="88"/>
      <c r="F24" s="88" t="s">
        <v>0</v>
      </c>
      <c r="G24" s="89" t="s">
        <v>0</v>
      </c>
      <c r="H24" s="89" t="s">
        <v>0</v>
      </c>
      <c r="I24" s="88"/>
      <c r="J24" s="88"/>
      <c r="K24" s="94"/>
      <c r="L24" s="94"/>
      <c r="M24" s="88"/>
      <c r="N24" s="1073"/>
      <c r="O24" s="88"/>
      <c r="P24" s="88" t="s">
        <v>0</v>
      </c>
      <c r="Q24" s="118"/>
      <c r="R24" s="94"/>
      <c r="S24"/>
      <c r="T24"/>
      <c r="U24" s="60"/>
      <c r="V24" s="1"/>
      <c r="W24" s="1"/>
      <c r="X24" s="1"/>
      <c r="Y24" s="1"/>
      <c r="Z24" s="1"/>
      <c r="AA24" s="1"/>
      <c r="AB24" s="1"/>
      <c r="AC24" s="1"/>
      <c r="AD24" s="1"/>
      <c r="AE24" s="1"/>
      <c r="AF24" s="1"/>
      <c r="AG24" s="1"/>
      <c r="AH24" s="1"/>
      <c r="AI24" s="1"/>
      <c r="AJ24" s="1"/>
      <c r="AK24" s="1"/>
      <c r="AL24" s="1"/>
      <c r="AM24" s="1"/>
      <c r="AN24" s="1"/>
      <c r="AO24" s="1"/>
      <c r="AP24" s="1"/>
      <c r="AQ24" s="1"/>
      <c r="AR24" s="1"/>
    </row>
    <row r="25" spans="1:44">
      <c r="A25" s="1" t="s">
        <v>277</v>
      </c>
      <c r="B25" s="88"/>
      <c r="C25" s="100" t="s">
        <v>0</v>
      </c>
      <c r="D25" s="89" t="s">
        <v>0</v>
      </c>
      <c r="E25" s="88"/>
      <c r="F25" s="88" t="s">
        <v>0</v>
      </c>
      <c r="G25" s="89" t="s">
        <v>0</v>
      </c>
      <c r="H25" s="89" t="s">
        <v>0</v>
      </c>
      <c r="I25" s="88"/>
      <c r="J25" s="88"/>
      <c r="K25" s="94"/>
      <c r="L25" s="94"/>
      <c r="M25" s="88"/>
      <c r="N25" s="1073"/>
      <c r="O25" s="88"/>
      <c r="P25" s="88" t="s">
        <v>0</v>
      </c>
      <c r="Q25" s="118"/>
      <c r="R25" s="94"/>
      <c r="S25"/>
      <c r="T25"/>
      <c r="U25" s="60"/>
      <c r="V25" s="1"/>
      <c r="W25" s="1"/>
      <c r="X25" s="1"/>
      <c r="Y25" s="1"/>
      <c r="Z25" s="1"/>
      <c r="AA25" s="1"/>
      <c r="AB25" s="1"/>
      <c r="AC25" s="1"/>
      <c r="AD25" s="1"/>
      <c r="AE25" s="1"/>
      <c r="AF25" s="1"/>
      <c r="AG25" s="1"/>
      <c r="AH25" s="1"/>
      <c r="AI25" s="1"/>
      <c r="AJ25" s="1"/>
      <c r="AK25" s="1"/>
      <c r="AL25" s="1"/>
      <c r="AM25" s="1"/>
      <c r="AN25" s="1"/>
      <c r="AO25" s="1"/>
      <c r="AP25" s="1"/>
      <c r="AQ25" s="1"/>
      <c r="AR25" s="1"/>
    </row>
    <row r="26" spans="1:44">
      <c r="A26" s="1" t="s">
        <v>278</v>
      </c>
      <c r="B26" s="88">
        <f>+'bichgdes&amp;$'!C26</f>
        <v>2186.9</v>
      </c>
      <c r="C26" s="88">
        <f>+'bncgdes&amp;$ '!C26</f>
        <v>350675</v>
      </c>
      <c r="D26" s="88">
        <f>+'bphgdes&amp;$'!C26</f>
        <v>409172.3</v>
      </c>
      <c r="E26" s="88">
        <f>+'buhgdes&amp;$'!C26</f>
        <v>330640</v>
      </c>
      <c r="F26" s="88">
        <f>+'capitalbkgdes&amp;$'!C26</f>
        <v>208019</v>
      </c>
      <c r="G26" s="88">
        <f>+'promobkgdes&amp;$'!C26</f>
        <v>216628</v>
      </c>
      <c r="H26" s="88">
        <f>+'socabkgdes&amp;$ '!C26</f>
        <v>215629.6</v>
      </c>
      <c r="I26" s="88">
        <f>+'sogebkgdes&amp;$  '!C26</f>
        <v>730723</v>
      </c>
      <c r="J26" s="88">
        <f>+'unibkgdes&amp;$'!C26</f>
        <v>490907.5</v>
      </c>
      <c r="K26" s="191">
        <f>SUM(B26:J26)</f>
        <v>2954581.3</v>
      </c>
      <c r="L26" s="94">
        <f>+'bhdgdes&amp;$'!C26</f>
        <v>503.5</v>
      </c>
      <c r="M26" s="88">
        <f>+'sgbelgdes&amp;$'!C26</f>
        <v>56849.2</v>
      </c>
      <c r="N26" s="1072">
        <f>+L26+M26</f>
        <v>57352.7</v>
      </c>
      <c r="O26" s="88">
        <f>+'cbnagdes&amp;$'!C26</f>
        <v>140173</v>
      </c>
      <c r="P26" s="88">
        <f>+'scotiagdes&amp;$'!C26</f>
        <v>126071</v>
      </c>
      <c r="Q26" s="197">
        <f>SUM(O26:P26)</f>
        <v>266244</v>
      </c>
      <c r="R26" s="191">
        <f>+K26+N26+Q26</f>
        <v>3278178</v>
      </c>
      <c r="S26"/>
      <c r="T26"/>
      <c r="U26" s="60"/>
      <c r="V26" s="1"/>
      <c r="W26" s="1"/>
      <c r="X26" s="1"/>
      <c r="Y26" s="1"/>
      <c r="Z26" s="1"/>
      <c r="AA26" s="1"/>
      <c r="AB26" s="1"/>
      <c r="AC26" s="1"/>
      <c r="AD26" s="1"/>
      <c r="AE26" s="1"/>
      <c r="AF26" s="1"/>
      <c r="AG26" s="1"/>
      <c r="AH26" s="1"/>
      <c r="AI26" s="1"/>
      <c r="AJ26" s="1"/>
      <c r="AK26" s="1"/>
      <c r="AL26" s="1"/>
      <c r="AM26" s="1"/>
      <c r="AN26" s="1"/>
      <c r="AO26" s="1"/>
      <c r="AP26" s="1"/>
      <c r="AQ26" s="1"/>
      <c r="AR26" s="1"/>
    </row>
    <row r="27" spans="1:44">
      <c r="A27" s="1" t="s">
        <v>279</v>
      </c>
      <c r="B27" s="88">
        <f>+'bichgdes&amp;$'!C27</f>
        <v>3159.4</v>
      </c>
      <c r="C27" s="88">
        <f>+'bncgdes&amp;$ '!C27</f>
        <v>927849</v>
      </c>
      <c r="D27" s="88">
        <f>+'bphgdes&amp;$'!C27</f>
        <v>140788.1</v>
      </c>
      <c r="E27" s="88">
        <f>+'buhgdes&amp;$'!C27</f>
        <v>690873</v>
      </c>
      <c r="F27" s="88">
        <f>+'capitalbkgdes&amp;$'!C27</f>
        <v>131588</v>
      </c>
      <c r="G27" s="88">
        <f>+'promobkgdes&amp;$'!C27</f>
        <v>252978</v>
      </c>
      <c r="H27" s="88">
        <f>+'socabkgdes&amp;$ '!C27</f>
        <v>302798.59999999998</v>
      </c>
      <c r="I27" s="88">
        <f>+'sogebkgdes&amp;$  '!C27</f>
        <v>1760949</v>
      </c>
      <c r="J27" s="88">
        <f>+'unibkgdes&amp;$'!C27</f>
        <v>752619.4</v>
      </c>
      <c r="K27" s="191">
        <f>SUM(B27:J27)</f>
        <v>4963602.5</v>
      </c>
      <c r="L27" s="94">
        <f>+'bhdgdes&amp;$'!C27</f>
        <v>1003.8</v>
      </c>
      <c r="M27" s="88">
        <f>+'sgbelgdes&amp;$'!C27</f>
        <v>155974.70000000001</v>
      </c>
      <c r="N27" s="1072">
        <f>+L27+M27</f>
        <v>156978.5</v>
      </c>
      <c r="O27" s="88">
        <f>+'cbnagdes&amp;$'!C27</f>
        <v>157241</v>
      </c>
      <c r="P27" s="88">
        <f>+'scotiagdes&amp;$'!C27</f>
        <v>431353</v>
      </c>
      <c r="Q27" s="197">
        <f>SUM(O27:P27)</f>
        <v>588594</v>
      </c>
      <c r="R27" s="191">
        <f>+K27+N27+Q27</f>
        <v>5709175</v>
      </c>
      <c r="S27"/>
      <c r="T27"/>
      <c r="U27" s="60"/>
      <c r="V27" s="1"/>
      <c r="W27" s="1"/>
      <c r="X27" s="1"/>
      <c r="Y27" s="1"/>
      <c r="Z27" s="1"/>
      <c r="AA27" s="1"/>
      <c r="AB27" s="1"/>
      <c r="AC27" s="1"/>
      <c r="AD27" s="1"/>
      <c r="AE27" s="1"/>
      <c r="AF27" s="1"/>
      <c r="AG27" s="1"/>
      <c r="AH27" s="1"/>
      <c r="AI27" s="1"/>
      <c r="AJ27" s="1"/>
      <c r="AK27" s="1"/>
      <c r="AL27" s="1"/>
      <c r="AM27" s="1"/>
      <c r="AN27" s="1"/>
      <c r="AO27" s="1"/>
      <c r="AP27" s="1"/>
      <c r="AQ27" s="1"/>
      <c r="AR27" s="1"/>
    </row>
    <row r="28" spans="1:44">
      <c r="A28" s="1" t="s">
        <v>280</v>
      </c>
      <c r="B28" s="221">
        <f>+'bichgdes&amp;$'!C28</f>
        <v>0</v>
      </c>
      <c r="C28" s="221">
        <f>+'bncgdes&amp;$ '!C28</f>
        <v>130370</v>
      </c>
      <c r="D28" s="221">
        <f>+'bphgdes&amp;$'!C28</f>
        <v>65162.7</v>
      </c>
      <c r="E28" s="221">
        <f>+'buhgdes&amp;$'!C28</f>
        <v>422655</v>
      </c>
      <c r="F28" s="221">
        <f>+'capitalbkgdes&amp;$'!C28</f>
        <v>194912</v>
      </c>
      <c r="G28" s="221">
        <f>+'promobkgdes&amp;$'!C28</f>
        <v>310223</v>
      </c>
      <c r="H28" s="221">
        <f>+'socabkgdes&amp;$ '!C28</f>
        <v>728503.4</v>
      </c>
      <c r="I28" s="221">
        <f>+'sogebkgdes&amp;$  '!C28</f>
        <v>711839</v>
      </c>
      <c r="J28" s="221">
        <f>+'unibkgdes&amp;$'!C28</f>
        <v>504226.2</v>
      </c>
      <c r="K28" s="300">
        <f>SUM(B28:J28)</f>
        <v>3067891.3000000003</v>
      </c>
      <c r="L28" s="1131">
        <f>+'bhdgdes&amp;$'!C28</f>
        <v>0</v>
      </c>
      <c r="M28" s="221">
        <f>+'sgbelgdes&amp;$'!C28</f>
        <v>125922.7</v>
      </c>
      <c r="N28" s="1074">
        <f>+L28+M28</f>
        <v>125922.7</v>
      </c>
      <c r="O28" s="221">
        <f>+'cbnagdes&amp;$'!C28</f>
        <v>426551</v>
      </c>
      <c r="P28" s="221">
        <f>+'scotiagdes&amp;$'!C28</f>
        <v>219497</v>
      </c>
      <c r="Q28" s="300">
        <f>SUM(O28:P28)</f>
        <v>646048</v>
      </c>
      <c r="R28" s="300">
        <f>+K28+N28+Q28</f>
        <v>3839862.0000000005</v>
      </c>
      <c r="S28"/>
      <c r="T28"/>
      <c r="U28" s="60"/>
      <c r="V28" s="1"/>
      <c r="W28" s="1"/>
      <c r="X28" s="1"/>
      <c r="Y28" s="1"/>
      <c r="Z28" s="1"/>
      <c r="AA28" s="1"/>
      <c r="AB28" s="1"/>
      <c r="AC28" s="1"/>
      <c r="AD28" s="1"/>
      <c r="AE28" s="1"/>
      <c r="AF28" s="1"/>
      <c r="AG28" s="1"/>
      <c r="AH28" s="1"/>
      <c r="AI28" s="1"/>
      <c r="AJ28" s="1"/>
      <c r="AK28" s="1"/>
      <c r="AL28" s="1"/>
      <c r="AM28" s="1"/>
      <c r="AN28" s="1"/>
      <c r="AO28" s="1"/>
      <c r="AP28" s="1"/>
      <c r="AQ28" s="1"/>
      <c r="AR28" s="1"/>
    </row>
    <row r="29" spans="1:44">
      <c r="A29" s="1"/>
      <c r="B29" s="88">
        <f t="shared" ref="B29:K29" si="2">SUM(B26:B28)</f>
        <v>5346.3</v>
      </c>
      <c r="C29" s="88">
        <f t="shared" si="2"/>
        <v>1408894</v>
      </c>
      <c r="D29" s="88">
        <f t="shared" si="2"/>
        <v>615123.1</v>
      </c>
      <c r="E29" s="88">
        <f t="shared" si="2"/>
        <v>1444168</v>
      </c>
      <c r="F29" s="88">
        <f>SUM(F26:F28)</f>
        <v>534519</v>
      </c>
      <c r="G29" s="88">
        <f t="shared" si="2"/>
        <v>779829</v>
      </c>
      <c r="H29" s="88">
        <f t="shared" si="2"/>
        <v>1246931.6000000001</v>
      </c>
      <c r="I29" s="88">
        <f t="shared" si="2"/>
        <v>3203511</v>
      </c>
      <c r="J29" s="88">
        <f t="shared" si="2"/>
        <v>1747753.0999999999</v>
      </c>
      <c r="K29" s="191">
        <f t="shared" si="2"/>
        <v>10986075.1</v>
      </c>
      <c r="L29" s="94"/>
      <c r="M29" s="88">
        <f>SUM(M26:M28)</f>
        <v>338746.60000000003</v>
      </c>
      <c r="N29" s="1072">
        <f>+M29</f>
        <v>338746.60000000003</v>
      </c>
      <c r="O29" s="88">
        <f>SUM(O26:O28)</f>
        <v>723965</v>
      </c>
      <c r="P29" s="88">
        <f>SUM(P26:P28)</f>
        <v>776921</v>
      </c>
      <c r="Q29" s="197">
        <f>SUM(Q26:Q28)</f>
        <v>1500886</v>
      </c>
      <c r="R29" s="191">
        <f>SUM(R26:R28)</f>
        <v>12827215</v>
      </c>
      <c r="S29"/>
      <c r="T29"/>
      <c r="U29" s="60"/>
      <c r="V29" s="1"/>
      <c r="W29" s="1"/>
      <c r="X29" s="1"/>
      <c r="Y29" s="1"/>
      <c r="Z29" s="1"/>
      <c r="AA29" s="1"/>
      <c r="AB29" s="1"/>
      <c r="AC29" s="1"/>
      <c r="AD29" s="1"/>
      <c r="AE29" s="1"/>
      <c r="AF29" s="1"/>
      <c r="AG29" s="1"/>
      <c r="AH29" s="1"/>
      <c r="AI29" s="1"/>
      <c r="AJ29" s="1"/>
      <c r="AK29" s="1"/>
      <c r="AL29" s="1"/>
      <c r="AM29" s="1"/>
      <c r="AN29" s="1"/>
      <c r="AO29" s="1"/>
      <c r="AP29" s="1"/>
      <c r="AQ29" s="1"/>
      <c r="AR29" s="1"/>
    </row>
    <row r="30" spans="1:44" ht="7.9" customHeight="1">
      <c r="A30" s="1"/>
      <c r="B30" s="88"/>
      <c r="C30" s="100" t="s">
        <v>0</v>
      </c>
      <c r="D30" s="89" t="s">
        <v>0</v>
      </c>
      <c r="E30" s="88"/>
      <c r="F30" s="88" t="s">
        <v>0</v>
      </c>
      <c r="G30" s="89" t="s">
        <v>0</v>
      </c>
      <c r="H30" s="89" t="s">
        <v>0</v>
      </c>
      <c r="I30" s="88"/>
      <c r="J30" s="88"/>
      <c r="K30" s="191"/>
      <c r="L30" s="94"/>
      <c r="M30" s="88"/>
      <c r="N30" s="1064"/>
      <c r="O30" s="88"/>
      <c r="P30" s="88" t="s">
        <v>0</v>
      </c>
      <c r="Q30" s="197"/>
      <c r="R30" s="191"/>
      <c r="S30"/>
      <c r="T30"/>
      <c r="U30" s="60"/>
      <c r="V30" s="1"/>
      <c r="W30" s="1"/>
      <c r="X30" s="1"/>
      <c r="Y30" s="1"/>
      <c r="Z30" s="1"/>
      <c r="AA30" s="1"/>
      <c r="AB30" s="1"/>
      <c r="AC30" s="1"/>
      <c r="AD30" s="1"/>
      <c r="AE30" s="1"/>
      <c r="AF30" s="1"/>
      <c r="AG30" s="1"/>
      <c r="AH30" s="1"/>
      <c r="AI30" s="1"/>
      <c r="AJ30" s="1"/>
      <c r="AK30" s="1"/>
      <c r="AL30" s="1"/>
      <c r="AM30" s="1"/>
      <c r="AN30" s="1"/>
      <c r="AO30" s="1"/>
      <c r="AP30" s="1"/>
      <c r="AQ30" s="1"/>
      <c r="AR30" s="1"/>
    </row>
    <row r="31" spans="1:44">
      <c r="A31" s="1" t="s">
        <v>281</v>
      </c>
      <c r="B31" s="88"/>
      <c r="C31" s="100" t="s">
        <v>0</v>
      </c>
      <c r="D31" s="89" t="s">
        <v>0</v>
      </c>
      <c r="E31" s="88"/>
      <c r="F31" s="88" t="s">
        <v>0</v>
      </c>
      <c r="G31" s="89" t="s">
        <v>0</v>
      </c>
      <c r="H31" s="89" t="s">
        <v>0</v>
      </c>
      <c r="I31" s="88"/>
      <c r="J31" s="88"/>
      <c r="K31" s="191"/>
      <c r="L31" s="94"/>
      <c r="M31" s="88"/>
      <c r="N31" s="1064"/>
      <c r="O31" s="88"/>
      <c r="P31" s="88" t="s">
        <v>0</v>
      </c>
      <c r="Q31" s="197"/>
      <c r="R31" s="191"/>
      <c r="S31"/>
      <c r="T31"/>
      <c r="U31" s="60"/>
      <c r="V31" s="1"/>
      <c r="W31" s="1"/>
      <c r="X31" s="1"/>
      <c r="Y31" s="1"/>
      <c r="Z31" s="1"/>
      <c r="AA31" s="1"/>
      <c r="AB31" s="1"/>
      <c r="AC31" s="1"/>
      <c r="AD31" s="1"/>
      <c r="AE31" s="1"/>
      <c r="AF31" s="1"/>
      <c r="AG31" s="1"/>
      <c r="AH31" s="1"/>
      <c r="AI31" s="1"/>
      <c r="AJ31" s="1"/>
      <c r="AK31" s="1"/>
      <c r="AL31" s="1"/>
      <c r="AM31" s="1"/>
      <c r="AN31" s="1"/>
      <c r="AO31" s="1"/>
      <c r="AP31" s="1"/>
      <c r="AQ31" s="1"/>
      <c r="AR31" s="1"/>
    </row>
    <row r="32" spans="1:44">
      <c r="A32" s="1" t="s">
        <v>282</v>
      </c>
      <c r="B32" s="88">
        <f>+'bichgdes&amp;$'!C32</f>
        <v>0</v>
      </c>
      <c r="C32" s="88">
        <f>+'bncgdes&amp;$ '!C32</f>
        <v>3000</v>
      </c>
      <c r="D32" s="88">
        <f>+'bphgdes&amp;$'!C32</f>
        <v>26000</v>
      </c>
      <c r="E32" s="88">
        <f>+'buhgdes&amp;$'!C32</f>
        <v>0</v>
      </c>
      <c r="F32" s="88">
        <f>+'capitalbkgdes&amp;$'!C32</f>
        <v>0</v>
      </c>
      <c r="G32" s="88">
        <f>+'promobkgdes&amp;$'!C32</f>
        <v>0</v>
      </c>
      <c r="H32" s="88">
        <f>+'socabkgdes&amp;$ '!C32</f>
        <v>0</v>
      </c>
      <c r="I32" s="88">
        <f>+'sogebkgdes&amp;$  '!C32</f>
        <v>0</v>
      </c>
      <c r="J32" s="88">
        <f>+'unibkgdes&amp;$'!C32</f>
        <v>0</v>
      </c>
      <c r="K32" s="191">
        <f>SUM(B32:J32)</f>
        <v>29000</v>
      </c>
      <c r="L32" s="94">
        <f>+'bhdgdes&amp;$'!C32</f>
        <v>0</v>
      </c>
      <c r="M32" s="88">
        <f>+'sgbelgdes&amp;$'!C32</f>
        <v>0</v>
      </c>
      <c r="N32" s="1072">
        <f>+L32+M32</f>
        <v>0</v>
      </c>
      <c r="O32" s="88">
        <f>+'cbnagdes&amp;$'!C32</f>
        <v>0</v>
      </c>
      <c r="P32" s="88">
        <f>+'scotiagdes&amp;$'!C32</f>
        <v>0</v>
      </c>
      <c r="Q32" s="197">
        <f>SUM(O32:P32)</f>
        <v>0</v>
      </c>
      <c r="R32" s="191">
        <f>+K32+N32+Q32</f>
        <v>29000</v>
      </c>
      <c r="S32"/>
      <c r="T32"/>
      <c r="U32" s="60"/>
      <c r="V32" s="1"/>
      <c r="W32" s="1"/>
      <c r="X32" s="1"/>
      <c r="Y32" s="1"/>
      <c r="Z32" s="1"/>
      <c r="AA32" s="1"/>
      <c r="AB32" s="1"/>
      <c r="AC32" s="1"/>
      <c r="AD32" s="1"/>
      <c r="AE32" s="1"/>
      <c r="AF32" s="1"/>
      <c r="AG32" s="1"/>
      <c r="AH32" s="1"/>
      <c r="AI32" s="1"/>
      <c r="AJ32" s="1"/>
      <c r="AK32" s="1"/>
      <c r="AL32" s="1"/>
      <c r="AM32" s="1"/>
      <c r="AN32" s="1"/>
      <c r="AO32" s="1"/>
      <c r="AP32" s="1"/>
      <c r="AQ32" s="1"/>
      <c r="AR32" s="1"/>
    </row>
    <row r="33" spans="1:44">
      <c r="A33" s="1" t="s">
        <v>283</v>
      </c>
      <c r="B33" s="88">
        <f>+'bichgdes&amp;$'!C33</f>
        <v>0</v>
      </c>
      <c r="C33" s="88">
        <f>+'bncgdes&amp;$ '!C33</f>
        <v>0</v>
      </c>
      <c r="D33" s="88">
        <f>+'bphgdes&amp;$'!C33</f>
        <v>0</v>
      </c>
      <c r="E33" s="88">
        <f>+'buhgdes&amp;$'!C33</f>
        <v>0</v>
      </c>
      <c r="F33" s="88">
        <f>+'capitalbkgdes&amp;$'!C33</f>
        <v>0</v>
      </c>
      <c r="G33" s="88">
        <f>+'promobkgdes&amp;$'!C33</f>
        <v>0</v>
      </c>
      <c r="H33" s="88">
        <f>+'socabkgdes&amp;$ '!C33</f>
        <v>0</v>
      </c>
      <c r="I33" s="88">
        <f>+'sogebkgdes&amp;$  '!C33</f>
        <v>0</v>
      </c>
      <c r="J33" s="88">
        <f>+'unibkgdes&amp;$'!C33</f>
        <v>0</v>
      </c>
      <c r="K33" s="191">
        <f>SUM(B33:J33)</f>
        <v>0</v>
      </c>
      <c r="L33" s="94">
        <f>+'bhdgdes&amp;$'!C33</f>
        <v>0</v>
      </c>
      <c r="M33" s="88">
        <f>+'sgbelgdes&amp;$'!C33</f>
        <v>0</v>
      </c>
      <c r="N33" s="1072">
        <f>+L33+M33</f>
        <v>0</v>
      </c>
      <c r="O33" s="88">
        <f>+'cbnagdes&amp;$'!C33</f>
        <v>0</v>
      </c>
      <c r="P33" s="88">
        <f>+'scotiagdes&amp;$'!C33</f>
        <v>0</v>
      </c>
      <c r="Q33" s="197">
        <f>SUM(O33:P33)</f>
        <v>0</v>
      </c>
      <c r="R33" s="191">
        <f>+K33+N33+Q33</f>
        <v>0</v>
      </c>
      <c r="S33"/>
      <c r="T33"/>
      <c r="U33" s="60"/>
      <c r="V33" s="1"/>
      <c r="W33" s="1"/>
      <c r="X33" s="1"/>
      <c r="Y33" s="1"/>
      <c r="Z33" s="1"/>
      <c r="AA33" s="1"/>
      <c r="AB33" s="1"/>
      <c r="AC33" s="1"/>
      <c r="AD33" s="1"/>
      <c r="AE33" s="1"/>
      <c r="AF33" s="1"/>
      <c r="AG33" s="1"/>
      <c r="AH33" s="1"/>
      <c r="AI33" s="1"/>
      <c r="AJ33" s="1"/>
      <c r="AK33" s="1"/>
      <c r="AL33" s="1"/>
      <c r="AM33" s="1"/>
      <c r="AN33" s="1"/>
      <c r="AO33" s="1"/>
      <c r="AP33" s="1"/>
      <c r="AQ33" s="1"/>
      <c r="AR33" s="1"/>
    </row>
    <row r="34" spans="1:44" ht="17.25">
      <c r="A34" s="1" t="s">
        <v>284</v>
      </c>
      <c r="B34" s="221">
        <f>+'bichgdes&amp;$'!C34</f>
        <v>180.5</v>
      </c>
      <c r="C34" s="221">
        <f>+'bncgdes&amp;$ '!C34</f>
        <v>331357</v>
      </c>
      <c r="D34" s="221">
        <f>+'bphgdes&amp;$'!C34</f>
        <v>18216.2</v>
      </c>
      <c r="E34" s="221">
        <f>+'buhgdes&amp;$'!C34</f>
        <v>89365</v>
      </c>
      <c r="F34" s="221">
        <f>+'capitalbkgdes&amp;$'!C34</f>
        <v>17875</v>
      </c>
      <c r="G34" s="221">
        <f>+'promobkgdes&amp;$'!C34</f>
        <v>27902</v>
      </c>
      <c r="H34" s="221">
        <f>+'socabkgdes&amp;$ '!C34</f>
        <v>92812.2</v>
      </c>
      <c r="I34" s="221">
        <f>+'sogebkgdes&amp;$  '!C34</f>
        <v>75022</v>
      </c>
      <c r="J34" s="221">
        <f>+'unibkgdes&amp;$'!C34</f>
        <v>68691.899999999994</v>
      </c>
      <c r="K34" s="300">
        <f>SUM(B34:J34)</f>
        <v>721421.8</v>
      </c>
      <c r="L34" s="1131">
        <f>+'bhdgdes&amp;$'!C34</f>
        <v>19.8</v>
      </c>
      <c r="M34" s="221">
        <f>+'sgbelgdes&amp;$'!C34</f>
        <v>8633.7999999999993</v>
      </c>
      <c r="N34" s="1074">
        <f>+L34+M34</f>
        <v>8653.5999999999985</v>
      </c>
      <c r="O34" s="221">
        <f>+'cbnagdes&amp;$'!C34</f>
        <v>68854</v>
      </c>
      <c r="P34" s="221">
        <f>+'scotiagdes&amp;$'!C34</f>
        <v>16777</v>
      </c>
      <c r="Q34" s="300">
        <f>SUM(O34:P34)</f>
        <v>85631</v>
      </c>
      <c r="R34" s="300">
        <f>+K34+N34+Q34</f>
        <v>815706.4</v>
      </c>
      <c r="S34"/>
      <c r="T34"/>
      <c r="U34" s="64"/>
      <c r="V34" s="66"/>
      <c r="W34" s="66"/>
      <c r="X34" s="66"/>
      <c r="Y34" s="1"/>
      <c r="Z34" s="1"/>
      <c r="AA34" s="1"/>
      <c r="AB34" s="1"/>
      <c r="AC34" s="1"/>
      <c r="AD34" s="1"/>
      <c r="AE34" s="1"/>
      <c r="AF34" s="1"/>
      <c r="AG34" s="1"/>
      <c r="AH34" s="1"/>
      <c r="AI34" s="1"/>
      <c r="AJ34" s="1"/>
      <c r="AK34" s="1"/>
      <c r="AL34" s="1"/>
      <c r="AM34" s="1"/>
      <c r="AN34" s="1"/>
      <c r="AO34" s="1"/>
      <c r="AP34" s="1"/>
      <c r="AQ34" s="1"/>
      <c r="AR34" s="1"/>
    </row>
    <row r="35" spans="1:44">
      <c r="A35" s="1"/>
      <c r="B35" s="88">
        <f t="shared" ref="B35:K35" si="3">SUM(B32:B34)</f>
        <v>180.5</v>
      </c>
      <c r="C35" s="88">
        <f t="shared" si="3"/>
        <v>334357</v>
      </c>
      <c r="D35" s="88">
        <f t="shared" si="3"/>
        <v>44216.2</v>
      </c>
      <c r="E35" s="88">
        <f t="shared" si="3"/>
        <v>89365</v>
      </c>
      <c r="F35" s="88">
        <f>SUM(F32:F34)</f>
        <v>17875</v>
      </c>
      <c r="G35" s="88">
        <f t="shared" si="3"/>
        <v>27902</v>
      </c>
      <c r="H35" s="88">
        <f t="shared" si="3"/>
        <v>92812.2</v>
      </c>
      <c r="I35" s="88">
        <f t="shared" si="3"/>
        <v>75022</v>
      </c>
      <c r="J35" s="88">
        <f t="shared" si="3"/>
        <v>68691.899999999994</v>
      </c>
      <c r="K35" s="191">
        <f t="shared" si="3"/>
        <v>750421.8</v>
      </c>
      <c r="L35" s="94"/>
      <c r="M35" s="88">
        <f>SUM(M32:M34)</f>
        <v>8633.7999999999993</v>
      </c>
      <c r="N35" s="1072">
        <f>+M35</f>
        <v>8633.7999999999993</v>
      </c>
      <c r="O35" s="88">
        <f>SUM(O32:O34)</f>
        <v>68854</v>
      </c>
      <c r="P35" s="88">
        <f>SUM(P32:P34)</f>
        <v>16777</v>
      </c>
      <c r="Q35" s="197">
        <f>SUM(Q32:Q34)</f>
        <v>85631</v>
      </c>
      <c r="R35" s="191">
        <f>SUM(R32:R34)</f>
        <v>844706.4</v>
      </c>
      <c r="S35"/>
      <c r="T35"/>
      <c r="U35" s="60"/>
      <c r="V35" s="1"/>
      <c r="W35" s="1"/>
      <c r="X35" s="1"/>
      <c r="Y35" s="1"/>
      <c r="Z35" s="1"/>
      <c r="AA35" s="1"/>
      <c r="AB35" s="1"/>
      <c r="AC35" s="1"/>
      <c r="AD35" s="1"/>
      <c r="AE35" s="1"/>
      <c r="AF35" s="1"/>
      <c r="AG35" s="1"/>
      <c r="AH35" s="1"/>
      <c r="AI35" s="1"/>
      <c r="AJ35" s="1"/>
      <c r="AK35" s="1"/>
      <c r="AL35" s="1"/>
      <c r="AM35" s="1"/>
      <c r="AN35" s="1"/>
      <c r="AO35" s="1"/>
      <c r="AP35" s="1"/>
      <c r="AQ35" s="1"/>
      <c r="AR35" s="1"/>
    </row>
    <row r="36" spans="1:44" ht="7.15" customHeight="1">
      <c r="A36" s="1"/>
      <c r="B36" s="88"/>
      <c r="C36" s="100" t="s">
        <v>0</v>
      </c>
      <c r="D36" s="89" t="s">
        <v>0</v>
      </c>
      <c r="E36" s="88"/>
      <c r="F36" s="88" t="s">
        <v>0</v>
      </c>
      <c r="G36" s="89" t="s">
        <v>0</v>
      </c>
      <c r="H36" s="89" t="s">
        <v>0</v>
      </c>
      <c r="I36" s="88"/>
      <c r="J36" s="88"/>
      <c r="K36" s="191"/>
      <c r="L36" s="94"/>
      <c r="M36" s="88"/>
      <c r="N36" s="1064"/>
      <c r="O36" s="88"/>
      <c r="P36" s="88" t="s">
        <v>0</v>
      </c>
      <c r="Q36" s="197"/>
      <c r="R36" s="191"/>
      <c r="S36"/>
      <c r="T36"/>
      <c r="U36" s="60"/>
      <c r="V36" s="1"/>
      <c r="W36" s="1"/>
      <c r="X36" s="1"/>
      <c r="Y36" s="1"/>
      <c r="Z36" s="1"/>
      <c r="AA36" s="1"/>
      <c r="AB36" s="1"/>
      <c r="AC36" s="1"/>
      <c r="AD36" s="1"/>
      <c r="AE36" s="1"/>
      <c r="AF36" s="1"/>
      <c r="AG36" s="1"/>
      <c r="AH36" s="1"/>
      <c r="AI36" s="1"/>
      <c r="AJ36" s="1"/>
      <c r="AK36" s="1"/>
      <c r="AL36" s="1"/>
      <c r="AM36" s="1"/>
      <c r="AN36" s="1"/>
      <c r="AO36" s="1"/>
      <c r="AP36" s="1"/>
      <c r="AQ36" s="1"/>
      <c r="AR36" s="1"/>
    </row>
    <row r="37" spans="1:44">
      <c r="A37" s="1" t="s">
        <v>285</v>
      </c>
      <c r="B37" s="88"/>
      <c r="C37" s="100" t="s">
        <v>0</v>
      </c>
      <c r="D37" s="89" t="s">
        <v>0</v>
      </c>
      <c r="E37" s="88"/>
      <c r="F37" s="88" t="s">
        <v>0</v>
      </c>
      <c r="G37" s="89" t="s">
        <v>0</v>
      </c>
      <c r="H37" s="89" t="s">
        <v>0</v>
      </c>
      <c r="I37" s="88"/>
      <c r="J37" s="88"/>
      <c r="K37" s="191"/>
      <c r="L37" s="94"/>
      <c r="M37" s="88"/>
      <c r="N37" s="1064"/>
      <c r="O37" s="88"/>
      <c r="P37" s="88" t="s">
        <v>0</v>
      </c>
      <c r="Q37" s="197"/>
      <c r="R37" s="191"/>
      <c r="S37"/>
      <c r="T37"/>
      <c r="U37" s="60"/>
      <c r="V37" s="1"/>
      <c r="W37" s="1"/>
      <c r="X37" s="1"/>
      <c r="Y37" s="1"/>
      <c r="Z37" s="1"/>
      <c r="AA37" s="1"/>
      <c r="AB37" s="1"/>
      <c r="AC37" s="1"/>
      <c r="AD37" s="1"/>
      <c r="AE37" s="1"/>
      <c r="AF37" s="1"/>
      <c r="AG37" s="1"/>
      <c r="AH37" s="1"/>
      <c r="AI37" s="1"/>
      <c r="AJ37" s="1"/>
      <c r="AK37" s="1"/>
      <c r="AL37" s="1"/>
      <c r="AM37" s="1"/>
      <c r="AN37" s="1"/>
      <c r="AO37" s="1"/>
      <c r="AP37" s="1"/>
      <c r="AQ37" s="1"/>
      <c r="AR37" s="1"/>
    </row>
    <row r="38" spans="1:44">
      <c r="A38" s="1" t="s">
        <v>282</v>
      </c>
      <c r="B38" s="88">
        <f>+'bichgdes&amp;$'!C38</f>
        <v>0</v>
      </c>
      <c r="C38" s="88">
        <f>+'bncgdes&amp;$ '!C38</f>
        <v>0</v>
      </c>
      <c r="D38" s="88">
        <f>+'bphgdes&amp;$'!C38</f>
        <v>0</v>
      </c>
      <c r="E38" s="88">
        <f>+'buhgdes&amp;$'!C38</f>
        <v>2868</v>
      </c>
      <c r="F38" s="88">
        <f>+'capitalbkgdes&amp;$'!C38</f>
        <v>0</v>
      </c>
      <c r="G38" s="88">
        <f>+'promobkgdes&amp;$'!C38</f>
        <v>1500</v>
      </c>
      <c r="H38" s="88">
        <f>+'socabkgdes&amp;$ '!C38</f>
        <v>0</v>
      </c>
      <c r="I38" s="88">
        <f>+'sogebkgdes&amp;$  '!C38</f>
        <v>143000</v>
      </c>
      <c r="J38" s="88">
        <f>+'unibkgdes&amp;$'!C38</f>
        <v>0</v>
      </c>
      <c r="K38" s="191">
        <f>SUM(B38:J38)</f>
        <v>147368</v>
      </c>
      <c r="L38" s="94">
        <f>+'bhdgdes&amp;$'!C38</f>
        <v>0</v>
      </c>
      <c r="M38" s="88">
        <f>+'sgbelgdes&amp;$'!C38</f>
        <v>0</v>
      </c>
      <c r="N38" s="1072">
        <f>+L38+M38</f>
        <v>0</v>
      </c>
      <c r="O38" s="88">
        <f>+'cbnagdes&amp;$'!C38</f>
        <v>0</v>
      </c>
      <c r="P38" s="88">
        <f>+'scotiagdes&amp;$'!C38</f>
        <v>0</v>
      </c>
      <c r="Q38" s="197">
        <f>SUM(O38:P38)</f>
        <v>0</v>
      </c>
      <c r="R38" s="191">
        <f>+K38+N38+Q38</f>
        <v>147368</v>
      </c>
      <c r="S38"/>
      <c r="T38"/>
      <c r="U38" s="60"/>
      <c r="V38" s="1"/>
      <c r="W38" s="1"/>
      <c r="X38" s="1"/>
      <c r="Y38" s="1"/>
      <c r="Z38" s="1"/>
      <c r="AA38" s="1"/>
      <c r="AB38" s="1"/>
      <c r="AC38" s="1"/>
      <c r="AD38" s="1"/>
      <c r="AE38" s="1"/>
      <c r="AF38" s="1"/>
      <c r="AG38" s="1"/>
      <c r="AH38" s="1"/>
      <c r="AI38" s="1"/>
      <c r="AJ38" s="1"/>
      <c r="AK38" s="1"/>
      <c r="AL38" s="1"/>
      <c r="AM38" s="1"/>
      <c r="AN38" s="1"/>
      <c r="AO38" s="1"/>
      <c r="AP38" s="1"/>
      <c r="AQ38" s="1"/>
      <c r="AR38" s="1"/>
    </row>
    <row r="39" spans="1:44">
      <c r="A39" s="1" t="s">
        <v>286</v>
      </c>
      <c r="B39" s="88">
        <f>+'bichgdes&amp;$'!C39</f>
        <v>0</v>
      </c>
      <c r="C39" s="88">
        <f>+'bncgdes&amp;$ '!C39</f>
        <v>0</v>
      </c>
      <c r="D39" s="88">
        <f>+'bphgdes&amp;$'!C39</f>
        <v>0</v>
      </c>
      <c r="E39" s="88">
        <f>+'buhgdes&amp;$'!C39</f>
        <v>0</v>
      </c>
      <c r="F39" s="88">
        <f>+'capitalbkgdes&amp;$'!C39</f>
        <v>0</v>
      </c>
      <c r="G39" s="88">
        <f>+'promobkgdes&amp;$'!C39</f>
        <v>0</v>
      </c>
      <c r="H39" s="88">
        <f>+'socabkgdes&amp;$ '!C39</f>
        <v>0</v>
      </c>
      <c r="I39" s="88">
        <f>+'sogebkgdes&amp;$  '!C39</f>
        <v>0</v>
      </c>
      <c r="J39" s="88">
        <f>+'unibkgdes&amp;$'!C39</f>
        <v>0</v>
      </c>
      <c r="K39" s="191">
        <f>SUM(B39:J39)</f>
        <v>0</v>
      </c>
      <c r="L39" s="94">
        <f>+'bhdgdes&amp;$'!C39</f>
        <v>0</v>
      </c>
      <c r="M39" s="88">
        <f>+'sgbelgdes&amp;$'!C39</f>
        <v>0</v>
      </c>
      <c r="N39" s="1072">
        <f>+L39+M39</f>
        <v>0</v>
      </c>
      <c r="O39" s="88">
        <f>+'cbnagdes&amp;$'!C39</f>
        <v>0</v>
      </c>
      <c r="P39" s="88">
        <f>+'scotiagdes&amp;$'!C39</f>
        <v>0</v>
      </c>
      <c r="Q39" s="197">
        <f>SUM(O39:P39)</f>
        <v>0</v>
      </c>
      <c r="R39" s="191">
        <f>+K39+N39+Q39</f>
        <v>0</v>
      </c>
      <c r="S39"/>
      <c r="T39"/>
      <c r="U39" s="60"/>
      <c r="V39" s="1"/>
      <c r="W39" s="1"/>
      <c r="X39" s="1"/>
      <c r="Y39" s="1"/>
      <c r="Z39" s="1"/>
      <c r="AA39" s="1"/>
      <c r="AB39" s="1"/>
      <c r="AC39" s="1"/>
      <c r="AD39" s="1"/>
      <c r="AE39" s="1"/>
      <c r="AF39" s="1"/>
      <c r="AG39" s="1"/>
      <c r="AH39" s="1"/>
      <c r="AI39" s="1"/>
      <c r="AJ39" s="1"/>
      <c r="AK39" s="1"/>
      <c r="AL39" s="1"/>
      <c r="AM39" s="1"/>
      <c r="AN39" s="1"/>
      <c r="AO39" s="1"/>
      <c r="AP39" s="1"/>
      <c r="AQ39" s="1"/>
      <c r="AR39" s="1"/>
    </row>
    <row r="40" spans="1:44" ht="17.25">
      <c r="A40" s="1" t="s">
        <v>284</v>
      </c>
      <c r="B40" s="221">
        <f>+'bichgdes&amp;$'!C40</f>
        <v>0</v>
      </c>
      <c r="C40" s="221">
        <f>+'bncgdes&amp;$ '!C40</f>
        <v>6638</v>
      </c>
      <c r="D40" s="221">
        <f>+'bphgdes&amp;$'!C40</f>
        <v>14624.4</v>
      </c>
      <c r="E40" s="221">
        <f>+'buhgdes&amp;$'!C40</f>
        <v>11078</v>
      </c>
      <c r="F40" s="221">
        <f>+'capitalbkgdes&amp;$'!C40</f>
        <v>23116</v>
      </c>
      <c r="G40" s="221">
        <f>+'promobkgdes&amp;$'!C40</f>
        <v>35403</v>
      </c>
      <c r="H40" s="221">
        <f>+'socabkgdes&amp;$ '!C40</f>
        <v>0</v>
      </c>
      <c r="I40" s="221">
        <f>+'sogebkgdes&amp;$  '!C40</f>
        <v>32224</v>
      </c>
      <c r="J40" s="221">
        <f>+'unibkgdes&amp;$'!C40</f>
        <v>24513.7</v>
      </c>
      <c r="K40" s="300">
        <f>SUM(B40:J40)</f>
        <v>147597.1</v>
      </c>
      <c r="L40" s="1131">
        <f>+'bhdgdes&amp;$'!C40</f>
        <v>11276.7</v>
      </c>
      <c r="M40" s="221">
        <f>+'sgbelgdes&amp;$'!C40</f>
        <v>16249</v>
      </c>
      <c r="N40" s="1074">
        <f>+L40+M40</f>
        <v>27525.7</v>
      </c>
      <c r="O40" s="221">
        <f>+'cbnagdes&amp;$'!C40</f>
        <v>17164</v>
      </c>
      <c r="P40" s="221">
        <f>+'scotiagdes&amp;$'!C40</f>
        <v>251</v>
      </c>
      <c r="Q40" s="300">
        <f>SUM(O40:P40)</f>
        <v>17415</v>
      </c>
      <c r="R40" s="300">
        <f>+K40+N40+Q40</f>
        <v>192537.80000000002</v>
      </c>
      <c r="S40"/>
      <c r="T40"/>
      <c r="U40" s="64"/>
      <c r="V40" s="1"/>
      <c r="W40" s="1"/>
      <c r="X40" s="1"/>
      <c r="Y40" s="1"/>
      <c r="Z40" s="1"/>
      <c r="AA40" s="1"/>
      <c r="AB40" s="1"/>
      <c r="AC40" s="1"/>
      <c r="AD40" s="1"/>
      <c r="AE40" s="1"/>
      <c r="AF40" s="1"/>
      <c r="AG40" s="1"/>
      <c r="AH40" s="1"/>
      <c r="AI40" s="1"/>
      <c r="AJ40" s="1"/>
      <c r="AK40" s="1"/>
      <c r="AL40" s="1"/>
      <c r="AM40" s="1"/>
      <c r="AN40" s="1"/>
      <c r="AO40" s="1"/>
      <c r="AP40" s="1"/>
      <c r="AQ40" s="1"/>
      <c r="AR40" s="1"/>
    </row>
    <row r="41" spans="1:44">
      <c r="A41" s="1"/>
      <c r="B41" s="88">
        <f t="shared" ref="B41:K41" si="4">SUM(B38:B40)</f>
        <v>0</v>
      </c>
      <c r="C41" s="88">
        <f t="shared" si="4"/>
        <v>6638</v>
      </c>
      <c r="D41" s="88">
        <f t="shared" si="4"/>
        <v>14624.4</v>
      </c>
      <c r="E41" s="88">
        <f t="shared" si="4"/>
        <v>13946</v>
      </c>
      <c r="F41" s="88">
        <f>SUM(F38:F40)</f>
        <v>23116</v>
      </c>
      <c r="G41" s="88">
        <f t="shared" si="4"/>
        <v>36903</v>
      </c>
      <c r="H41" s="88">
        <f t="shared" si="4"/>
        <v>0</v>
      </c>
      <c r="I41" s="88">
        <f t="shared" si="4"/>
        <v>175224</v>
      </c>
      <c r="J41" s="88">
        <f t="shared" si="4"/>
        <v>24513.7</v>
      </c>
      <c r="K41" s="191">
        <f t="shared" si="4"/>
        <v>294965.09999999998</v>
      </c>
      <c r="L41" s="94"/>
      <c r="M41" s="88">
        <f>SUM(M38:M40)</f>
        <v>16249</v>
      </c>
      <c r="N41" s="1072">
        <f>+M41</f>
        <v>16249</v>
      </c>
      <c r="O41" s="88">
        <f>SUM(O38:O40)</f>
        <v>17164</v>
      </c>
      <c r="P41" s="88">
        <f>SUM(P38:P40)</f>
        <v>251</v>
      </c>
      <c r="Q41" s="197">
        <f>SUM(Q38:Q40)</f>
        <v>17415</v>
      </c>
      <c r="R41" s="191">
        <f>SUM(R38:R40)</f>
        <v>339905.80000000005</v>
      </c>
      <c r="S41"/>
      <c r="T41"/>
      <c r="U41" s="60"/>
      <c r="V41" s="1"/>
      <c r="W41" s="1"/>
      <c r="X41" s="1"/>
      <c r="Y41" s="1"/>
      <c r="Z41" s="1"/>
      <c r="AA41" s="1"/>
      <c r="AB41" s="1"/>
      <c r="AC41" s="1"/>
      <c r="AD41" s="1"/>
      <c r="AE41" s="1"/>
      <c r="AF41" s="1"/>
      <c r="AG41" s="1"/>
      <c r="AH41" s="1"/>
      <c r="AI41" s="1"/>
      <c r="AJ41" s="1"/>
      <c r="AK41" s="1"/>
      <c r="AL41" s="1"/>
      <c r="AM41" s="1"/>
      <c r="AN41" s="1"/>
      <c r="AO41" s="1"/>
      <c r="AP41" s="1"/>
      <c r="AQ41" s="1"/>
      <c r="AR41" s="1"/>
    </row>
    <row r="42" spans="1:44" ht="8.4499999999999993" customHeight="1">
      <c r="A42" s="1"/>
      <c r="B42" s="88"/>
      <c r="C42" s="100" t="s">
        <v>0</v>
      </c>
      <c r="D42" s="89" t="s">
        <v>0</v>
      </c>
      <c r="E42" s="88"/>
      <c r="F42" s="88" t="s">
        <v>0</v>
      </c>
      <c r="G42" s="89" t="s">
        <v>0</v>
      </c>
      <c r="H42" s="89" t="s">
        <v>0</v>
      </c>
      <c r="I42" s="88"/>
      <c r="J42" s="88"/>
      <c r="K42" s="191"/>
      <c r="L42" s="94"/>
      <c r="M42" s="88"/>
      <c r="N42" s="1064"/>
      <c r="O42" s="88"/>
      <c r="P42" s="88" t="s">
        <v>0</v>
      </c>
      <c r="Q42" s="197"/>
      <c r="R42" s="191"/>
      <c r="S42"/>
      <c r="T42"/>
      <c r="U42" s="60"/>
      <c r="V42" s="1"/>
      <c r="W42" s="1"/>
      <c r="X42" s="1"/>
      <c r="Y42" s="1"/>
      <c r="Z42" s="1"/>
      <c r="AA42" s="1"/>
      <c r="AB42" s="1"/>
      <c r="AC42" s="1"/>
      <c r="AD42" s="1"/>
      <c r="AE42" s="1"/>
      <c r="AF42" s="1"/>
      <c r="AG42" s="1"/>
      <c r="AH42" s="1"/>
      <c r="AI42" s="1"/>
      <c r="AJ42" s="1"/>
      <c r="AK42" s="1"/>
      <c r="AL42" s="1"/>
      <c r="AM42" s="1"/>
      <c r="AN42" s="1"/>
      <c r="AO42" s="1"/>
      <c r="AP42" s="1"/>
      <c r="AQ42" s="1"/>
      <c r="AR42" s="1"/>
    </row>
    <row r="43" spans="1:44">
      <c r="A43" s="1" t="s">
        <v>287</v>
      </c>
      <c r="B43" s="221">
        <f>+'bichgdes&amp;$'!C43</f>
        <v>0</v>
      </c>
      <c r="C43" s="221">
        <f>+'bncgdes&amp;$ '!C43</f>
        <v>-75700</v>
      </c>
      <c r="D43" s="221">
        <f>+'bphgdes&amp;$'!C43</f>
        <v>3492.3</v>
      </c>
      <c r="E43" s="221">
        <f>+'buhgdes&amp;$'!C43</f>
        <v>2841</v>
      </c>
      <c r="F43" s="221">
        <f>+'capitalbkgdes&amp;$'!C43</f>
        <v>1797</v>
      </c>
      <c r="G43" s="221">
        <f>+'promobkgdes&amp;$'!C43</f>
        <v>1270</v>
      </c>
      <c r="H43" s="221">
        <f>+'socabkgdes&amp;$ '!C43</f>
        <v>0</v>
      </c>
      <c r="I43" s="221">
        <f>+'sogebkgdes&amp;$  '!C43</f>
        <v>22685</v>
      </c>
      <c r="J43" s="221">
        <f>+'unibkgdes&amp;$'!C43</f>
        <v>8993.4</v>
      </c>
      <c r="K43" s="300">
        <f>SUM(B43:J43)</f>
        <v>-34621.299999999996</v>
      </c>
      <c r="L43" s="1131">
        <f>+'bhdgdes&amp;$'!C43</f>
        <v>0</v>
      </c>
      <c r="M43" s="221">
        <f>+'sgbelgdes&amp;$'!C43</f>
        <v>1534.6</v>
      </c>
      <c r="N43" s="1074">
        <f>+L43+M43</f>
        <v>1534.6</v>
      </c>
      <c r="O43" s="221">
        <f>+'cbnagdes&amp;$'!C43</f>
        <v>0</v>
      </c>
      <c r="P43" s="221">
        <f>+'scotiagdes&amp;$'!C43</f>
        <v>0</v>
      </c>
      <c r="Q43" s="300">
        <f>SUM(O43:P43)</f>
        <v>0</v>
      </c>
      <c r="R43" s="300">
        <f>+K43+N43+Q43</f>
        <v>-33086.699999999997</v>
      </c>
      <c r="S43"/>
      <c r="T43"/>
      <c r="U43" s="60"/>
      <c r="V43" s="1"/>
      <c r="W43" s="1"/>
      <c r="X43" s="1"/>
      <c r="Y43" s="1"/>
      <c r="Z43" s="1"/>
      <c r="AA43" s="1"/>
      <c r="AB43" s="1"/>
      <c r="AC43" s="1"/>
      <c r="AD43" s="1"/>
      <c r="AE43" s="1"/>
      <c r="AF43" s="1"/>
      <c r="AG43" s="1"/>
      <c r="AH43" s="1"/>
      <c r="AI43" s="1"/>
      <c r="AJ43" s="1"/>
      <c r="AK43" s="1"/>
      <c r="AL43" s="1"/>
      <c r="AM43" s="1"/>
      <c r="AN43" s="1"/>
      <c r="AO43" s="1"/>
      <c r="AP43" s="1"/>
      <c r="AQ43" s="1"/>
      <c r="AR43" s="1"/>
    </row>
    <row r="44" spans="1:44">
      <c r="A44" s="1"/>
      <c r="B44" s="88">
        <f t="shared" ref="B44:J44" si="5">+B29+B35+B41+B43</f>
        <v>5526.8</v>
      </c>
      <c r="C44" s="88">
        <f t="shared" si="5"/>
        <v>1674189</v>
      </c>
      <c r="D44" s="88">
        <f t="shared" si="5"/>
        <v>677456</v>
      </c>
      <c r="E44" s="88">
        <f t="shared" si="5"/>
        <v>1550320</v>
      </c>
      <c r="F44" s="88">
        <f>+F29+F35+F41+F43</f>
        <v>577307</v>
      </c>
      <c r="G44" s="88">
        <f t="shared" si="5"/>
        <v>845904</v>
      </c>
      <c r="H44" s="88">
        <f t="shared" si="5"/>
        <v>1339743.8</v>
      </c>
      <c r="I44" s="88">
        <f t="shared" si="5"/>
        <v>3476442</v>
      </c>
      <c r="J44" s="88">
        <f t="shared" si="5"/>
        <v>1849952.0999999996</v>
      </c>
      <c r="K44" s="191">
        <f>SUM(B44:J44)</f>
        <v>11996840.699999999</v>
      </c>
      <c r="L44" s="88">
        <f>+L29+L35+L41+L43</f>
        <v>0</v>
      </c>
      <c r="M44" s="88">
        <f>+M29+M35+M41+M43</f>
        <v>365164</v>
      </c>
      <c r="N44" s="1130">
        <f>+N29+N35+N41+N43</f>
        <v>365164</v>
      </c>
      <c r="O44" s="88">
        <f>+O29+O35+O41+O43</f>
        <v>809983</v>
      </c>
      <c r="P44" s="88">
        <f>+P29+P35+P41+P43</f>
        <v>793949</v>
      </c>
      <c r="Q44" s="197">
        <f>SUM(O44:P44)</f>
        <v>1603932</v>
      </c>
      <c r="R44" s="191">
        <f>+K44+N44+Q44</f>
        <v>13965936.699999999</v>
      </c>
      <c r="S44"/>
      <c r="T44"/>
      <c r="U44" s="60"/>
      <c r="V44" s="1"/>
      <c r="W44" s="1"/>
      <c r="X44" s="1"/>
      <c r="Y44" s="1"/>
      <c r="Z44" s="1"/>
      <c r="AA44" s="1"/>
      <c r="AB44" s="1"/>
      <c r="AC44" s="1"/>
      <c r="AD44" s="1"/>
      <c r="AE44" s="1"/>
      <c r="AF44" s="1"/>
      <c r="AG44" s="1"/>
      <c r="AH44" s="1"/>
      <c r="AI44" s="1"/>
      <c r="AJ44" s="1"/>
      <c r="AK44" s="1"/>
      <c r="AL44" s="1"/>
      <c r="AM44" s="1"/>
      <c r="AN44" s="1"/>
      <c r="AO44" s="1"/>
      <c r="AP44" s="1"/>
      <c r="AQ44" s="1"/>
      <c r="AR44" s="1"/>
    </row>
    <row r="45" spans="1:44" ht="14.45" customHeight="1">
      <c r="A45" s="1"/>
      <c r="B45" s="88"/>
      <c r="C45" s="100" t="s">
        <v>0</v>
      </c>
      <c r="D45" s="89" t="s">
        <v>0</v>
      </c>
      <c r="E45" s="88"/>
      <c r="F45" s="88" t="s">
        <v>0</v>
      </c>
      <c r="G45" s="89" t="s">
        <v>0</v>
      </c>
      <c r="H45" s="89" t="s">
        <v>0</v>
      </c>
      <c r="I45" s="88"/>
      <c r="J45" s="88"/>
      <c r="K45" s="191" t="s">
        <v>0</v>
      </c>
      <c r="L45" s="94"/>
      <c r="M45" s="88"/>
      <c r="N45" s="1064"/>
      <c r="O45" s="88"/>
      <c r="P45" s="88" t="s">
        <v>0</v>
      </c>
      <c r="Q45" s="197"/>
      <c r="R45" s="191"/>
      <c r="S45"/>
      <c r="T45"/>
      <c r="U45" s="60"/>
      <c r="V45" s="1"/>
      <c r="W45" s="1"/>
      <c r="X45" s="1"/>
      <c r="Y45" s="1"/>
      <c r="Z45" s="1"/>
      <c r="AA45" s="1"/>
      <c r="AB45" s="1"/>
      <c r="AC45" s="1"/>
      <c r="AD45" s="1"/>
      <c r="AE45" s="1"/>
      <c r="AF45" s="1"/>
      <c r="AG45" s="1"/>
      <c r="AH45" s="1"/>
      <c r="AI45" s="1"/>
      <c r="AJ45" s="1"/>
      <c r="AK45" s="1"/>
      <c r="AL45" s="1"/>
      <c r="AM45" s="1"/>
      <c r="AN45" s="1"/>
      <c r="AO45" s="1"/>
      <c r="AP45" s="1"/>
      <c r="AQ45" s="1"/>
      <c r="AR45" s="1"/>
    </row>
    <row r="46" spans="1:44">
      <c r="A46" s="183" t="s">
        <v>288</v>
      </c>
      <c r="B46" s="88"/>
      <c r="C46" s="100" t="s">
        <v>0</v>
      </c>
      <c r="D46" s="89" t="s">
        <v>0</v>
      </c>
      <c r="E46" s="88"/>
      <c r="F46" s="88" t="s">
        <v>0</v>
      </c>
      <c r="G46" s="89" t="s">
        <v>0</v>
      </c>
      <c r="H46" s="89" t="s">
        <v>0</v>
      </c>
      <c r="I46" s="88"/>
      <c r="J46" s="88"/>
      <c r="K46" s="191"/>
      <c r="L46" s="94"/>
      <c r="M46" s="88"/>
      <c r="N46" s="1064"/>
      <c r="O46" s="88"/>
      <c r="P46" s="88" t="s">
        <v>0</v>
      </c>
      <c r="Q46" s="197"/>
      <c r="R46" s="191"/>
      <c r="S46"/>
      <c r="T46"/>
      <c r="U46" s="60"/>
      <c r="V46" s="1"/>
      <c r="W46" s="1"/>
      <c r="X46" s="1"/>
      <c r="Y46" s="1"/>
      <c r="Z46" s="1"/>
      <c r="AA46" s="1"/>
      <c r="AB46" s="1"/>
      <c r="AC46" s="1"/>
      <c r="AD46" s="1"/>
      <c r="AE46" s="1"/>
      <c r="AF46" s="1"/>
      <c r="AG46" s="1"/>
      <c r="AH46" s="1"/>
      <c r="AI46" s="1"/>
      <c r="AJ46" s="1"/>
      <c r="AK46" s="1"/>
      <c r="AL46" s="1"/>
      <c r="AM46" s="1"/>
      <c r="AN46" s="1"/>
      <c r="AO46" s="1"/>
      <c r="AP46" s="1"/>
      <c r="AQ46" s="1"/>
      <c r="AR46" s="1"/>
    </row>
    <row r="47" spans="1:44">
      <c r="A47" s="1" t="s">
        <v>289</v>
      </c>
      <c r="B47" s="88">
        <f>+'bichgdes&amp;$'!C47</f>
        <v>5000</v>
      </c>
      <c r="C47" s="88">
        <f>+'bncgdes&amp;$ '!C47</f>
        <v>25000</v>
      </c>
      <c r="D47" s="88">
        <f>+'bphgdes&amp;$'!C47</f>
        <v>5000</v>
      </c>
      <c r="E47" s="88">
        <f>+'buhgdes&amp;$'!C47</f>
        <v>36935</v>
      </c>
      <c r="F47" s="88">
        <f>+'capitalbkgdes&amp;$'!C47</f>
        <v>90000</v>
      </c>
      <c r="G47" s="88">
        <f>+'promobkgdes&amp;$'!C47</f>
        <v>43960</v>
      </c>
      <c r="H47" s="88">
        <f>+'socabkgdes&amp;$ '!C47</f>
        <v>93083.4</v>
      </c>
      <c r="I47" s="88">
        <f>+'sogebkgdes&amp;$  '!C47</f>
        <v>207935</v>
      </c>
      <c r="J47" s="88">
        <f>+'unibkgdes&amp;$'!C47</f>
        <v>100000</v>
      </c>
      <c r="K47" s="191">
        <f>SUM(B47:J47)</f>
        <v>606913.4</v>
      </c>
      <c r="L47" s="94">
        <f>+'bhdgdes&amp;$'!C47</f>
        <v>11500</v>
      </c>
      <c r="M47" s="88">
        <f>+'sgbelgdes&amp;$'!C47</f>
        <v>20000</v>
      </c>
      <c r="N47" s="1072">
        <f>+L47+M47</f>
        <v>31500</v>
      </c>
      <c r="O47" s="88">
        <f>+'cbnagdes&amp;$'!C47</f>
        <v>5000</v>
      </c>
      <c r="P47" s="88">
        <f>+'scotiagdes&amp;$'!C47</f>
        <v>35308</v>
      </c>
      <c r="Q47" s="197">
        <f>SUM(O47:P47)</f>
        <v>40308</v>
      </c>
      <c r="R47" s="191">
        <f>+K47+N47+Q47</f>
        <v>678721.4</v>
      </c>
      <c r="S47"/>
      <c r="T47"/>
      <c r="U47" s="60"/>
      <c r="V47" s="1"/>
      <c r="W47" s="1"/>
      <c r="X47" s="1"/>
      <c r="Y47" s="1"/>
      <c r="Z47" s="1"/>
      <c r="AA47" s="1"/>
      <c r="AB47" s="1"/>
      <c r="AC47" s="1"/>
      <c r="AD47" s="1"/>
      <c r="AE47" s="1"/>
      <c r="AF47" s="1"/>
      <c r="AG47" s="1"/>
      <c r="AH47" s="1"/>
      <c r="AI47" s="1"/>
      <c r="AJ47" s="1"/>
      <c r="AK47" s="1"/>
      <c r="AL47" s="1"/>
      <c r="AM47" s="1"/>
      <c r="AN47" s="1"/>
      <c r="AO47" s="1"/>
      <c r="AP47" s="1"/>
      <c r="AQ47" s="1"/>
      <c r="AR47" s="1"/>
    </row>
    <row r="48" spans="1:44">
      <c r="A48" s="1" t="s">
        <v>290</v>
      </c>
      <c r="B48" s="88">
        <f>+'bichgdes&amp;$'!C48</f>
        <v>188.1</v>
      </c>
      <c r="C48" s="88">
        <f>+'bncgdes&amp;$ '!C48</f>
        <v>10079</v>
      </c>
      <c r="D48" s="88">
        <f>+'bphgdes&amp;$'!C48</f>
        <v>1771.9</v>
      </c>
      <c r="E48" s="88">
        <f>+'buhgdes&amp;$'!C48</f>
        <v>1939</v>
      </c>
      <c r="F48" s="88">
        <f>+'capitalbkgdes&amp;$'!C48</f>
        <v>3652</v>
      </c>
      <c r="G48" s="88">
        <f>+'promobkgdes&amp;$'!C48</f>
        <v>6969</v>
      </c>
      <c r="H48" s="88">
        <f>+'socabkgdes&amp;$ '!C48</f>
        <v>5168.7</v>
      </c>
      <c r="I48" s="88">
        <f>+'sogebkgdes&amp;$  '!C48</f>
        <v>32581</v>
      </c>
      <c r="J48" s="88">
        <f>+'unibkgdes&amp;$'!C48</f>
        <v>17415.2</v>
      </c>
      <c r="K48" s="191">
        <f>SUM(B48:J48)</f>
        <v>79763.899999999994</v>
      </c>
      <c r="L48" s="94">
        <f>+'bhdgdes&amp;$'!C48</f>
        <v>0</v>
      </c>
      <c r="M48" s="88">
        <f>+'sgbelgdes&amp;$'!C48</f>
        <v>3724.3</v>
      </c>
      <c r="N48" s="1072">
        <f>+L48+M48</f>
        <v>3724.3</v>
      </c>
      <c r="O48" s="88">
        <f>+'cbnagdes&amp;$'!C48</f>
        <v>2500</v>
      </c>
      <c r="P48" s="88">
        <f>+'scotiagdes&amp;$'!C48</f>
        <v>2500</v>
      </c>
      <c r="Q48" s="197">
        <f>SUM(O48:P48)</f>
        <v>5000</v>
      </c>
      <c r="R48" s="191">
        <f>+K48+N48+Q48</f>
        <v>88488.2</v>
      </c>
      <c r="S48"/>
      <c r="T48"/>
      <c r="U48" s="60"/>
      <c r="V48" s="1"/>
      <c r="W48" s="1"/>
      <c r="X48" s="1"/>
      <c r="Y48" s="1"/>
      <c r="Z48" s="1"/>
      <c r="AA48" s="1"/>
      <c r="AB48" s="1"/>
      <c r="AC48" s="1"/>
      <c r="AD48" s="1"/>
      <c r="AE48" s="1"/>
      <c r="AF48" s="1"/>
      <c r="AG48" s="1"/>
      <c r="AH48" s="1"/>
      <c r="AI48" s="1"/>
      <c r="AJ48" s="1"/>
      <c r="AK48" s="1"/>
      <c r="AL48" s="1"/>
      <c r="AM48" s="1"/>
      <c r="AN48" s="1"/>
      <c r="AO48" s="1"/>
      <c r="AP48" s="1"/>
      <c r="AQ48" s="1"/>
      <c r="AR48" s="1"/>
    </row>
    <row r="49" spans="1:44">
      <c r="A49" s="1" t="s">
        <v>302</v>
      </c>
      <c r="B49" s="88">
        <f>+'bichgdes&amp;$'!C49</f>
        <v>0</v>
      </c>
      <c r="C49" s="88">
        <f>+'bncgdes&amp;$ '!C49</f>
        <v>0</v>
      </c>
      <c r="D49" s="88">
        <f>+'bphgdes&amp;$'!C49</f>
        <v>0</v>
      </c>
      <c r="E49" s="88">
        <f>+'buhgdes&amp;$'!C49</f>
        <v>12722</v>
      </c>
      <c r="F49" s="88">
        <f>+'capitalbkgdes&amp;$'!C49</f>
        <v>878</v>
      </c>
      <c r="G49" s="88">
        <f>+'promobkgdes&amp;$'!C49</f>
        <v>21551</v>
      </c>
      <c r="H49" s="88">
        <f>+'socabkgdes&amp;$ '!C49</f>
        <v>68.400000000000006</v>
      </c>
      <c r="I49" s="88">
        <f>+'sogebkgdes&amp;$  '!C49</f>
        <v>56105</v>
      </c>
      <c r="J49" s="88">
        <f>+'unibkgdes&amp;$'!C49</f>
        <v>11786.3</v>
      </c>
      <c r="K49" s="191">
        <f>SUM(B49:J49)</f>
        <v>103110.7</v>
      </c>
      <c r="L49" s="94">
        <f>+'bhdgdes&amp;$'!C49</f>
        <v>805</v>
      </c>
      <c r="M49" s="88">
        <f>+'sgbelgdes&amp;$'!C49</f>
        <v>0</v>
      </c>
      <c r="N49" s="1072">
        <f>+L49+M49</f>
        <v>805</v>
      </c>
      <c r="O49" s="88">
        <f>+'cbnagdes&amp;$'!C49</f>
        <v>10172</v>
      </c>
      <c r="P49" s="88">
        <f>+'scotiagdes&amp;$'!C49</f>
        <v>0</v>
      </c>
      <c r="Q49" s="197">
        <f>SUM(O49:P49)</f>
        <v>10172</v>
      </c>
      <c r="R49" s="191">
        <f>+K49+N49+Q49</f>
        <v>114087.7</v>
      </c>
      <c r="S49"/>
      <c r="T49"/>
      <c r="U49" s="60"/>
      <c r="V49" s="1"/>
      <c r="W49" s="1"/>
      <c r="X49" s="1"/>
      <c r="Y49" s="1"/>
      <c r="Z49" s="1"/>
      <c r="AA49" s="1"/>
      <c r="AB49" s="1"/>
      <c r="AC49" s="1"/>
      <c r="AD49" s="1"/>
      <c r="AE49" s="1"/>
      <c r="AF49" s="1"/>
      <c r="AG49" s="1"/>
      <c r="AH49" s="1"/>
      <c r="AI49" s="1"/>
      <c r="AJ49" s="1"/>
      <c r="AK49" s="1"/>
      <c r="AL49" s="1"/>
      <c r="AM49" s="1"/>
      <c r="AN49" s="1"/>
      <c r="AO49" s="1"/>
      <c r="AP49" s="1"/>
      <c r="AQ49" s="1"/>
      <c r="AR49" s="1"/>
    </row>
    <row r="50" spans="1:44" ht="17.25">
      <c r="A50" s="1" t="s">
        <v>292</v>
      </c>
      <c r="B50" s="221">
        <f>+'bichgdes&amp;$'!C50</f>
        <v>601.5</v>
      </c>
      <c r="C50" s="221">
        <f>+'bncgdes&amp;$ '!C50</f>
        <v>10745</v>
      </c>
      <c r="D50" s="221">
        <f>+'bphgdes&amp;$'!C50</f>
        <v>22715.1</v>
      </c>
      <c r="E50" s="221">
        <f>+'buhgdes&amp;$'!C50</f>
        <v>-46402</v>
      </c>
      <c r="F50" s="221">
        <f>+'capitalbkgdes&amp;$'!C50</f>
        <v>25294</v>
      </c>
      <c r="G50" s="221">
        <f>+'promobkgdes&amp;$'!C50</f>
        <v>22891</v>
      </c>
      <c r="H50" s="221">
        <f>+'socabkgdes&amp;$ '!C50</f>
        <v>24634.799999999999</v>
      </c>
      <c r="I50" s="221">
        <f>+'sogebkgdes&amp;$  '!C50</f>
        <v>63733</v>
      </c>
      <c r="J50" s="221">
        <f>+'unibkgdes&amp;$'!C50</f>
        <v>70893.2</v>
      </c>
      <c r="K50" s="300">
        <f>SUM(B50:J50)</f>
        <v>195105.59999999998</v>
      </c>
      <c r="L50" s="1131">
        <f>+'bhdgdes&amp;$'!C50</f>
        <v>115.4</v>
      </c>
      <c r="M50" s="221">
        <f>+'sgbelgdes&amp;$'!C50</f>
        <v>19678.099999999999</v>
      </c>
      <c r="N50" s="1074">
        <f>+L50+M50</f>
        <v>19793.5</v>
      </c>
      <c r="O50" s="221">
        <f>+'cbnagdes&amp;$'!C50</f>
        <v>29681</v>
      </c>
      <c r="P50" s="221">
        <f>+'scotiagdes&amp;$'!C50</f>
        <v>4103</v>
      </c>
      <c r="Q50" s="300">
        <f>SUM(O50:P50)</f>
        <v>33784</v>
      </c>
      <c r="R50" s="300">
        <f>+K50+N50+Q50</f>
        <v>248683.09999999998</v>
      </c>
      <c r="S50"/>
      <c r="T50"/>
      <c r="U50" s="60"/>
      <c r="V50" s="66"/>
      <c r="W50" s="66"/>
      <c r="X50" s="66"/>
      <c r="Y50" s="1"/>
      <c r="Z50" s="1"/>
      <c r="AA50" s="1"/>
      <c r="AB50" s="1"/>
      <c r="AC50" s="1"/>
      <c r="AD50" s="1"/>
      <c r="AE50" s="1"/>
      <c r="AF50" s="1"/>
      <c r="AG50" s="1"/>
      <c r="AH50" s="1"/>
      <c r="AI50" s="1"/>
      <c r="AJ50" s="1"/>
      <c r="AK50" s="1"/>
      <c r="AL50" s="1"/>
      <c r="AM50" s="1"/>
      <c r="AN50" s="1"/>
      <c r="AO50" s="1"/>
      <c r="AP50" s="1"/>
      <c r="AQ50" s="1"/>
      <c r="AR50" s="1"/>
    </row>
    <row r="51" spans="1:44" ht="16.5" thickBot="1">
      <c r="A51" s="1" t="s">
        <v>275</v>
      </c>
      <c r="B51" s="99">
        <f t="shared" ref="B51:K51" si="6">SUM(B47:B50)</f>
        <v>5789.6</v>
      </c>
      <c r="C51" s="99">
        <f t="shared" si="6"/>
        <v>45824</v>
      </c>
      <c r="D51" s="99">
        <f t="shared" si="6"/>
        <v>29487</v>
      </c>
      <c r="E51" s="99">
        <f t="shared" si="6"/>
        <v>5194</v>
      </c>
      <c r="F51" s="99">
        <f>SUM(F47:F50)</f>
        <v>119824</v>
      </c>
      <c r="G51" s="99">
        <f t="shared" si="6"/>
        <v>95371</v>
      </c>
      <c r="H51" s="99">
        <f t="shared" si="6"/>
        <v>122955.29999999999</v>
      </c>
      <c r="I51" s="99">
        <f t="shared" si="6"/>
        <v>360354</v>
      </c>
      <c r="J51" s="99">
        <f t="shared" si="6"/>
        <v>200094.7</v>
      </c>
      <c r="K51" s="192">
        <f t="shared" si="6"/>
        <v>984893.6</v>
      </c>
      <c r="L51" s="99">
        <f t="shared" ref="L51:R51" si="7">SUM(L47:L50)</f>
        <v>12420.4</v>
      </c>
      <c r="M51" s="99">
        <f t="shared" si="7"/>
        <v>43402.399999999994</v>
      </c>
      <c r="N51" s="1129">
        <f t="shared" si="7"/>
        <v>55822.8</v>
      </c>
      <c r="O51" s="99">
        <f t="shared" si="7"/>
        <v>47353</v>
      </c>
      <c r="P51" s="99">
        <f t="shared" si="7"/>
        <v>41911</v>
      </c>
      <c r="Q51" s="198">
        <f t="shared" si="7"/>
        <v>89264</v>
      </c>
      <c r="R51" s="192">
        <f t="shared" si="7"/>
        <v>1129980.3999999999</v>
      </c>
      <c r="S51"/>
      <c r="T51"/>
      <c r="U51" s="60"/>
      <c r="V51" s="1"/>
      <c r="W51" s="1"/>
      <c r="X51" s="1"/>
      <c r="Y51" s="1"/>
      <c r="Z51" s="1"/>
      <c r="AA51" s="1"/>
      <c r="AB51" s="1"/>
      <c r="AC51" s="1"/>
      <c r="AD51" s="1"/>
      <c r="AE51" s="1"/>
      <c r="AF51" s="1"/>
      <c r="AG51" s="1"/>
      <c r="AH51" s="1"/>
      <c r="AI51" s="1"/>
      <c r="AJ51" s="1"/>
      <c r="AK51" s="1"/>
      <c r="AL51" s="1"/>
      <c r="AM51" s="1"/>
      <c r="AN51" s="1"/>
      <c r="AO51" s="1"/>
      <c r="AP51" s="1"/>
      <c r="AQ51" s="1"/>
      <c r="AR51" s="1"/>
    </row>
    <row r="52" spans="1:44">
      <c r="A52" s="1" t="s">
        <v>0</v>
      </c>
      <c r="B52" s="91">
        <f t="shared" ref="B52:K52" si="8">+B29+B35+B41+B43+B51</f>
        <v>11316.400000000001</v>
      </c>
      <c r="C52" s="91">
        <f t="shared" si="8"/>
        <v>1720013</v>
      </c>
      <c r="D52" s="91">
        <f t="shared" si="8"/>
        <v>706943</v>
      </c>
      <c r="E52" s="91">
        <f t="shared" si="8"/>
        <v>1555514</v>
      </c>
      <c r="F52" s="91">
        <f>+F29+F35+F41+F43+F51</f>
        <v>697131</v>
      </c>
      <c r="G52" s="91">
        <f t="shared" si="8"/>
        <v>941275</v>
      </c>
      <c r="H52" s="91">
        <f t="shared" si="8"/>
        <v>1462699.1</v>
      </c>
      <c r="I52" s="91">
        <f t="shared" si="8"/>
        <v>3836796</v>
      </c>
      <c r="J52" s="91">
        <f t="shared" si="8"/>
        <v>2050046.7999999996</v>
      </c>
      <c r="K52" s="191">
        <f t="shared" si="8"/>
        <v>12981734.299999999</v>
      </c>
      <c r="L52" s="91">
        <f t="shared" ref="L52:R52" si="9">+L29+L35+L41+L43+L51</f>
        <v>12420.4</v>
      </c>
      <c r="M52" s="91">
        <f t="shared" si="9"/>
        <v>408566.4</v>
      </c>
      <c r="N52" s="1125">
        <f t="shared" si="9"/>
        <v>420986.8</v>
      </c>
      <c r="O52" s="91">
        <f t="shared" si="9"/>
        <v>857336</v>
      </c>
      <c r="P52" s="91">
        <f t="shared" si="9"/>
        <v>835860</v>
      </c>
      <c r="Q52" s="197">
        <f t="shared" si="9"/>
        <v>1693196</v>
      </c>
      <c r="R52" s="191">
        <f t="shared" si="9"/>
        <v>15108720.900000002</v>
      </c>
      <c r="S52"/>
      <c r="T52"/>
      <c r="U52" s="60"/>
      <c r="V52" s="1"/>
      <c r="W52" s="1"/>
      <c r="X52" s="1"/>
      <c r="Y52" s="1"/>
      <c r="Z52" s="1"/>
      <c r="AA52" s="1"/>
      <c r="AB52" s="1"/>
      <c r="AC52" s="1"/>
      <c r="AD52" s="1"/>
      <c r="AE52" s="1"/>
      <c r="AF52" s="1"/>
      <c r="AG52" s="1"/>
      <c r="AH52" s="1"/>
      <c r="AI52" s="1"/>
      <c r="AJ52" s="1"/>
      <c r="AK52" s="1"/>
      <c r="AL52" s="1"/>
      <c r="AM52" s="1"/>
      <c r="AN52" s="1"/>
      <c r="AO52" s="1"/>
      <c r="AP52" s="1"/>
      <c r="AQ52" s="1"/>
      <c r="AR52" s="1"/>
    </row>
    <row r="53" spans="1:44">
      <c r="A53" s="1"/>
      <c r="B53" s="60"/>
      <c r="C53" s="61"/>
      <c r="D53" s="61"/>
      <c r="E53" s="60"/>
      <c r="F53" s="60"/>
      <c r="G53" s="61"/>
      <c r="H53" s="61"/>
      <c r="I53" s="60"/>
      <c r="J53" s="60"/>
      <c r="K53" s="86"/>
      <c r="L53" s="86"/>
      <c r="M53" s="60"/>
      <c r="N53" s="313"/>
      <c r="O53" s="60"/>
      <c r="P53" s="61"/>
      <c r="Q53" s="312"/>
      <c r="R53" s="86"/>
      <c r="S53"/>
      <c r="T53"/>
      <c r="U53" s="60"/>
      <c r="V53" s="1"/>
      <c r="W53" s="1"/>
      <c r="X53" s="1"/>
      <c r="Y53" s="1"/>
      <c r="Z53" s="1"/>
      <c r="AA53" s="1"/>
      <c r="AB53" s="1"/>
      <c r="AC53" s="1"/>
      <c r="AD53" s="1"/>
      <c r="AE53" s="1"/>
      <c r="AF53" s="1"/>
      <c r="AG53" s="1"/>
      <c r="AH53" s="1"/>
      <c r="AI53" s="1"/>
      <c r="AJ53" s="1"/>
      <c r="AK53" s="1"/>
      <c r="AL53" s="1"/>
      <c r="AM53" s="1"/>
      <c r="AN53" s="1"/>
      <c r="AO53" s="1"/>
      <c r="AP53" s="1"/>
      <c r="AQ53" s="1"/>
      <c r="AR53" s="1"/>
    </row>
    <row r="54" spans="1:44">
      <c r="A54" s="1"/>
      <c r="B54" s="60"/>
      <c r="C54" s="61"/>
      <c r="D54" s="61"/>
      <c r="E54" s="60"/>
      <c r="F54" s="60"/>
      <c r="G54" s="61"/>
      <c r="H54" s="61"/>
      <c r="I54" s="60"/>
      <c r="J54" s="60"/>
      <c r="K54" s="86"/>
      <c r="L54" s="86"/>
      <c r="M54" s="60"/>
      <c r="N54" s="313"/>
      <c r="O54" s="60"/>
      <c r="P54" s="61"/>
      <c r="Q54" s="312"/>
      <c r="R54" s="86"/>
      <c r="S54"/>
      <c r="T54"/>
      <c r="U54" s="60"/>
      <c r="V54" s="1"/>
      <c r="W54" s="1"/>
      <c r="X54" s="1"/>
      <c r="Y54" s="1"/>
      <c r="Z54" s="1"/>
      <c r="AA54" s="1"/>
      <c r="AB54" s="1"/>
      <c r="AC54" s="1"/>
      <c r="AD54" s="1"/>
      <c r="AE54" s="1"/>
      <c r="AF54" s="1"/>
      <c r="AG54" s="1"/>
      <c r="AH54" s="1"/>
      <c r="AI54" s="1"/>
      <c r="AJ54" s="1"/>
      <c r="AK54" s="1"/>
      <c r="AL54" s="1"/>
      <c r="AM54" s="1"/>
      <c r="AN54" s="1"/>
      <c r="AO54" s="1"/>
      <c r="AP54" s="1"/>
      <c r="AQ54" s="1"/>
      <c r="AR54" s="1"/>
    </row>
    <row r="55" spans="1:44">
      <c r="B55"/>
      <c r="C55"/>
      <c r="D55"/>
      <c r="E55"/>
      <c r="F55"/>
      <c r="G55"/>
      <c r="H55"/>
      <c r="I55"/>
      <c r="J55"/>
      <c r="K55" s="311"/>
      <c r="L55" s="311"/>
      <c r="M55"/>
      <c r="N55" s="311"/>
      <c r="O55"/>
      <c r="P55"/>
      <c r="Q55" s="86"/>
      <c r="R55" s="86"/>
      <c r="S55"/>
      <c r="T55"/>
      <c r="U55" s="60"/>
      <c r="V55" s="1"/>
      <c r="W55" s="1"/>
      <c r="X55" s="1"/>
      <c r="Y55" s="1"/>
      <c r="Z55" s="1"/>
      <c r="AA55" s="1"/>
      <c r="AB55" s="1"/>
      <c r="AC55" s="1"/>
      <c r="AD55" s="1"/>
      <c r="AE55" s="1"/>
      <c r="AF55" s="1"/>
      <c r="AG55" s="1"/>
      <c r="AH55" s="1"/>
      <c r="AI55" s="1"/>
      <c r="AJ55" s="1"/>
      <c r="AK55" s="1"/>
      <c r="AL55" s="1"/>
      <c r="AM55" s="1"/>
      <c r="AN55" s="1"/>
      <c r="AO55" s="1"/>
      <c r="AP55" s="1"/>
      <c r="AQ55" s="1"/>
      <c r="AR55" s="1"/>
    </row>
    <row r="56" spans="1:44" ht="18.75">
      <c r="A56" s="122" t="s">
        <v>0</v>
      </c>
      <c r="B56" s="88" t="s">
        <v>0</v>
      </c>
      <c r="C56" s="88" t="s">
        <v>0</v>
      </c>
      <c r="D56" s="88" t="s">
        <v>0</v>
      </c>
      <c r="E56" s="88" t="s">
        <v>0</v>
      </c>
      <c r="F56" s="88"/>
      <c r="G56" s="88" t="s">
        <v>0</v>
      </c>
      <c r="H56" s="88" t="s">
        <v>0</v>
      </c>
      <c r="I56" s="88" t="s">
        <v>0</v>
      </c>
      <c r="J56" s="88" t="s">
        <v>0</v>
      </c>
      <c r="K56" s="94" t="s">
        <v>0</v>
      </c>
      <c r="L56" s="94"/>
      <c r="M56" s="88" t="s">
        <v>0</v>
      </c>
      <c r="N56" s="310" t="s">
        <v>0</v>
      </c>
      <c r="O56" s="88" t="s">
        <v>0</v>
      </c>
      <c r="P56" s="88" t="s">
        <v>0</v>
      </c>
      <c r="Q56" s="303" t="s">
        <v>0</v>
      </c>
      <c r="R56" s="94" t="s">
        <v>0</v>
      </c>
      <c r="S56"/>
      <c r="T56"/>
      <c r="U56" s="60" t="s">
        <v>0</v>
      </c>
      <c r="V56" s="1" t="s">
        <v>0</v>
      </c>
      <c r="W56" s="1" t="s">
        <v>0</v>
      </c>
      <c r="X56" s="1" t="s">
        <v>0</v>
      </c>
      <c r="Y56" s="1"/>
      <c r="Z56" s="1"/>
      <c r="AA56" s="1"/>
      <c r="AB56" s="1"/>
      <c r="AC56" s="1"/>
      <c r="AD56" s="1"/>
      <c r="AE56" s="1"/>
      <c r="AF56" s="1"/>
      <c r="AG56" s="1"/>
      <c r="AH56" s="1"/>
      <c r="AI56" s="1"/>
      <c r="AJ56" s="1"/>
      <c r="AK56" s="1"/>
      <c r="AL56" s="1"/>
      <c r="AM56" s="1"/>
      <c r="AN56" s="1"/>
      <c r="AO56" s="1"/>
      <c r="AP56" s="1"/>
      <c r="AQ56" s="1"/>
      <c r="AR56" s="1"/>
    </row>
    <row r="57" spans="1:44">
      <c r="B57"/>
      <c r="C57"/>
      <c r="D57"/>
      <c r="E57"/>
      <c r="F57"/>
      <c r="G57"/>
      <c r="H57"/>
      <c r="I57"/>
      <c r="J57"/>
      <c r="K57"/>
      <c r="L57"/>
      <c r="M57"/>
      <c r="N57"/>
      <c r="O57"/>
      <c r="P57"/>
      <c r="Q57"/>
      <c r="R57"/>
      <c r="S57"/>
      <c r="T57"/>
      <c r="U57"/>
    </row>
    <row r="58" spans="1:44">
      <c r="B58"/>
      <c r="C58"/>
      <c r="D58"/>
      <c r="E58"/>
      <c r="F58"/>
      <c r="G58"/>
      <c r="H58"/>
      <c r="I58"/>
      <c r="J58"/>
      <c r="K58"/>
      <c r="L58"/>
      <c r="M58"/>
      <c r="N58"/>
      <c r="O58"/>
      <c r="P58"/>
      <c r="Q58"/>
      <c r="R58"/>
      <c r="S58"/>
      <c r="T58"/>
      <c r="U58"/>
    </row>
    <row r="59" spans="1:44">
      <c r="B59"/>
      <c r="C59"/>
      <c r="D59"/>
      <c r="E59"/>
      <c r="F59"/>
      <c r="G59"/>
      <c r="H59"/>
      <c r="I59"/>
      <c r="J59"/>
      <c r="K59"/>
      <c r="L59"/>
      <c r="M59"/>
      <c r="N59"/>
      <c r="O59"/>
      <c r="P59"/>
      <c r="Q59"/>
      <c r="R59"/>
      <c r="S59" s="60"/>
      <c r="T59" s="60"/>
      <c r="U59" s="60"/>
      <c r="V59" s="1"/>
      <c r="W59" s="1"/>
      <c r="X59" s="1"/>
      <c r="Y59" s="1"/>
      <c r="Z59" s="1"/>
      <c r="AA59" s="1"/>
      <c r="AB59" s="1"/>
      <c r="AC59" s="1"/>
      <c r="AD59" s="1"/>
      <c r="AE59" s="1"/>
      <c r="AF59" s="1"/>
      <c r="AG59" s="1"/>
      <c r="AH59" s="1"/>
      <c r="AI59" s="1"/>
      <c r="AJ59" s="1"/>
      <c r="AK59" s="1"/>
      <c r="AL59" s="1"/>
      <c r="AM59" s="1"/>
      <c r="AN59" s="1"/>
      <c r="AO59" s="1"/>
      <c r="AP59" s="1"/>
      <c r="AQ59" s="1"/>
      <c r="AR59" s="1"/>
    </row>
    <row r="60" spans="1:44">
      <c r="B60"/>
      <c r="C60"/>
      <c r="D60"/>
      <c r="E60"/>
      <c r="F60"/>
      <c r="G60"/>
      <c r="H60"/>
      <c r="I60"/>
      <c r="J60"/>
      <c r="K60"/>
      <c r="L60"/>
      <c r="M60"/>
      <c r="N60"/>
      <c r="O60"/>
      <c r="P60"/>
      <c r="Q60"/>
      <c r="R60"/>
      <c r="S60" s="60"/>
      <c r="T60" s="60"/>
      <c r="U60" s="60"/>
      <c r="V60" s="1"/>
      <c r="W60" s="1"/>
      <c r="X60" s="1"/>
      <c r="Y60" s="1"/>
      <c r="Z60" s="1"/>
      <c r="AA60" s="1"/>
      <c r="AB60" s="1"/>
      <c r="AC60" s="1"/>
      <c r="AD60" s="1"/>
      <c r="AE60" s="1"/>
      <c r="AF60" s="1"/>
      <c r="AG60" s="1"/>
      <c r="AH60" s="1"/>
      <c r="AI60" s="1"/>
      <c r="AJ60" s="1"/>
      <c r="AK60" s="1"/>
      <c r="AL60" s="1"/>
      <c r="AM60" s="1"/>
      <c r="AN60" s="1"/>
      <c r="AO60" s="1"/>
      <c r="AP60" s="1"/>
      <c r="AQ60" s="1"/>
      <c r="AR60" s="1"/>
    </row>
    <row r="61" spans="1:44">
      <c r="B61"/>
      <c r="C61"/>
      <c r="D61"/>
      <c r="E61"/>
      <c r="F61"/>
      <c r="G61"/>
      <c r="H61"/>
      <c r="I61"/>
      <c r="J61"/>
      <c r="K61"/>
      <c r="L61"/>
      <c r="M61"/>
      <c r="N61"/>
      <c r="O61"/>
      <c r="P61"/>
      <c r="Q61"/>
      <c r="R61"/>
      <c r="S61" s="60"/>
      <c r="T61" s="60"/>
      <c r="U61" s="60"/>
      <c r="V61" s="1"/>
      <c r="W61" s="1"/>
      <c r="X61" s="1"/>
      <c r="Y61" s="1"/>
      <c r="Z61" s="1"/>
      <c r="AA61" s="1"/>
      <c r="AB61" s="1"/>
      <c r="AC61" s="1"/>
      <c r="AD61" s="1"/>
      <c r="AE61" s="1"/>
      <c r="AF61" s="1"/>
      <c r="AG61" s="1"/>
      <c r="AH61" s="1"/>
      <c r="AI61" s="1"/>
      <c r="AJ61" s="1"/>
      <c r="AK61" s="1"/>
      <c r="AL61" s="1"/>
      <c r="AM61" s="1"/>
      <c r="AN61" s="1"/>
      <c r="AO61" s="1"/>
      <c r="AP61" s="1"/>
      <c r="AQ61" s="1"/>
      <c r="AR61" s="1"/>
    </row>
    <row r="62" spans="1:44">
      <c r="B62"/>
      <c r="C62"/>
      <c r="D62"/>
      <c r="E62"/>
      <c r="F62"/>
      <c r="G62"/>
      <c r="H62"/>
      <c r="I62"/>
      <c r="J62"/>
      <c r="K62"/>
      <c r="L62"/>
      <c r="M62"/>
      <c r="N62"/>
      <c r="O62"/>
      <c r="P62"/>
      <c r="Q62"/>
      <c r="R62"/>
      <c r="S62" s="60"/>
      <c r="T62" s="60"/>
      <c r="U62" s="60"/>
      <c r="V62" s="1"/>
      <c r="W62" s="1"/>
      <c r="X62" s="1"/>
      <c r="Y62" s="1"/>
      <c r="Z62" s="1"/>
      <c r="AA62" s="1"/>
      <c r="AB62" s="1"/>
      <c r="AC62" s="1"/>
      <c r="AD62" s="1"/>
      <c r="AE62" s="1"/>
      <c r="AF62" s="1"/>
      <c r="AG62" s="1"/>
      <c r="AH62" s="1"/>
      <c r="AI62" s="1"/>
      <c r="AJ62" s="1"/>
      <c r="AK62" s="1"/>
      <c r="AL62" s="1"/>
      <c r="AM62" s="1"/>
      <c r="AN62" s="1"/>
      <c r="AO62" s="1"/>
      <c r="AP62" s="1"/>
      <c r="AQ62" s="1"/>
      <c r="AR62" s="1"/>
    </row>
    <row r="63" spans="1:44">
      <c r="B63"/>
      <c r="C63"/>
      <c r="D63"/>
      <c r="E63"/>
      <c r="F63"/>
      <c r="G63"/>
      <c r="H63"/>
      <c r="I63"/>
      <c r="J63"/>
      <c r="K63"/>
      <c r="L63"/>
      <c r="M63"/>
      <c r="N63"/>
      <c r="O63"/>
      <c r="P63"/>
      <c r="Q63"/>
      <c r="R63"/>
      <c r="S63" s="60"/>
      <c r="T63" s="60"/>
      <c r="U63" s="60"/>
      <c r="V63" s="1"/>
      <c r="W63" s="1"/>
      <c r="X63" s="1"/>
      <c r="Y63" s="1"/>
      <c r="Z63" s="1"/>
      <c r="AA63" s="1"/>
      <c r="AB63" s="1"/>
      <c r="AC63" s="1"/>
      <c r="AD63" s="1"/>
      <c r="AE63" s="1"/>
      <c r="AF63" s="1"/>
      <c r="AG63" s="1"/>
      <c r="AH63" s="1"/>
      <c r="AI63" s="1"/>
      <c r="AJ63" s="1"/>
      <c r="AK63" s="1"/>
      <c r="AL63" s="1"/>
      <c r="AM63" s="1"/>
      <c r="AN63" s="1"/>
      <c r="AO63" s="1"/>
      <c r="AP63" s="1"/>
      <c r="AQ63" s="1"/>
      <c r="AR63" s="1"/>
    </row>
    <row r="64" spans="1:44">
      <c r="B64"/>
      <c r="C64"/>
      <c r="D64"/>
      <c r="E64"/>
      <c r="F64"/>
      <c r="G64"/>
      <c r="H64"/>
      <c r="I64"/>
      <c r="J64"/>
      <c r="K64"/>
      <c r="L64"/>
      <c r="M64"/>
      <c r="N64"/>
      <c r="O64"/>
      <c r="P64"/>
      <c r="Q64"/>
      <c r="R64"/>
      <c r="S64" s="60"/>
      <c r="T64" s="60"/>
      <c r="U64" s="60"/>
      <c r="V64" s="1"/>
      <c r="W64" s="1"/>
      <c r="X64" s="1"/>
      <c r="Y64" s="1"/>
      <c r="Z64" s="1"/>
      <c r="AA64" s="1"/>
      <c r="AB64" s="1"/>
      <c r="AC64" s="1"/>
      <c r="AD64" s="1"/>
      <c r="AE64" s="1"/>
      <c r="AF64" s="1"/>
      <c r="AG64" s="1"/>
      <c r="AH64" s="1"/>
      <c r="AI64" s="1"/>
      <c r="AJ64" s="1"/>
      <c r="AK64" s="1"/>
      <c r="AL64" s="1"/>
      <c r="AM64" s="1"/>
      <c r="AN64" s="1"/>
      <c r="AO64" s="1"/>
      <c r="AP64" s="1"/>
      <c r="AQ64" s="1"/>
      <c r="AR64" s="1"/>
    </row>
    <row r="65" spans="2:44">
      <c r="B65"/>
      <c r="C65"/>
      <c r="D65"/>
      <c r="E65"/>
      <c r="F65"/>
      <c r="G65"/>
      <c r="H65"/>
      <c r="I65"/>
      <c r="J65"/>
      <c r="K65"/>
      <c r="L65"/>
      <c r="M65"/>
      <c r="N65"/>
      <c r="O65"/>
      <c r="P65"/>
      <c r="Q65"/>
      <c r="R65"/>
      <c r="S65" s="60"/>
      <c r="T65" s="60"/>
      <c r="U65" s="60"/>
      <c r="V65" s="1"/>
      <c r="W65" s="1"/>
      <c r="X65" s="1"/>
      <c r="Y65" s="1"/>
      <c r="Z65" s="1"/>
      <c r="AA65" s="1"/>
      <c r="AB65" s="1"/>
      <c r="AC65" s="1"/>
      <c r="AD65" s="1"/>
      <c r="AE65" s="1"/>
      <c r="AF65" s="1"/>
      <c r="AG65" s="1"/>
      <c r="AH65" s="1"/>
      <c r="AI65" s="1"/>
      <c r="AJ65" s="1"/>
      <c r="AK65" s="1"/>
      <c r="AL65" s="1"/>
      <c r="AM65" s="1"/>
      <c r="AN65" s="1"/>
      <c r="AO65" s="1"/>
      <c r="AP65" s="1"/>
      <c r="AQ65" s="1"/>
      <c r="AR65" s="1"/>
    </row>
    <row r="66" spans="2:44">
      <c r="B66"/>
      <c r="C66"/>
      <c r="D66"/>
      <c r="E66"/>
      <c r="F66"/>
      <c r="G66"/>
      <c r="H66"/>
      <c r="I66"/>
      <c r="J66"/>
      <c r="K66"/>
      <c r="L66"/>
      <c r="M66"/>
      <c r="N66"/>
      <c r="O66"/>
      <c r="P66"/>
      <c r="Q66"/>
      <c r="R66"/>
      <c r="S66" s="60"/>
      <c r="T66" s="60"/>
      <c r="U66" s="60"/>
      <c r="V66" s="1"/>
      <c r="W66" s="1"/>
      <c r="X66" s="1"/>
      <c r="Y66" s="1"/>
      <c r="Z66" s="1"/>
      <c r="AA66" s="1"/>
      <c r="AB66" s="1"/>
      <c r="AC66" s="1"/>
      <c r="AD66" s="1"/>
      <c r="AE66" s="1"/>
      <c r="AF66" s="1"/>
      <c r="AG66" s="1"/>
      <c r="AH66" s="1"/>
      <c r="AI66" s="1"/>
      <c r="AJ66" s="1"/>
      <c r="AK66" s="1"/>
      <c r="AL66" s="1"/>
      <c r="AM66" s="1"/>
      <c r="AN66" s="1"/>
      <c r="AO66" s="1"/>
      <c r="AP66" s="1"/>
      <c r="AQ66" s="1"/>
      <c r="AR66" s="1"/>
    </row>
    <row r="67" spans="2:44">
      <c r="B67"/>
      <c r="C67"/>
      <c r="D67"/>
      <c r="E67"/>
      <c r="F67"/>
      <c r="G67"/>
      <c r="H67"/>
      <c r="I67"/>
      <c r="J67"/>
      <c r="K67"/>
      <c r="L67"/>
      <c r="M67"/>
      <c r="N67"/>
      <c r="O67"/>
      <c r="P67"/>
      <c r="Q67"/>
      <c r="R67"/>
      <c r="S67" s="60"/>
      <c r="T67" s="60"/>
      <c r="U67" s="60"/>
      <c r="V67" s="1"/>
      <c r="W67" s="1"/>
      <c r="X67" s="1"/>
      <c r="Y67" s="1"/>
      <c r="Z67" s="1"/>
      <c r="AA67" s="1"/>
      <c r="AB67" s="1"/>
      <c r="AC67" s="1"/>
      <c r="AD67" s="1"/>
      <c r="AE67" s="1"/>
      <c r="AF67" s="1"/>
      <c r="AG67" s="1"/>
      <c r="AH67" s="1"/>
      <c r="AI67" s="1"/>
      <c r="AJ67" s="1"/>
      <c r="AK67" s="1"/>
      <c r="AL67" s="1"/>
      <c r="AM67" s="1"/>
      <c r="AN67" s="1"/>
      <c r="AO67" s="1"/>
      <c r="AP67" s="1"/>
      <c r="AQ67" s="1"/>
      <c r="AR67" s="1"/>
    </row>
    <row r="68" spans="2:44">
      <c r="B68"/>
      <c r="C68"/>
      <c r="D68"/>
      <c r="E68"/>
      <c r="F68"/>
      <c r="G68"/>
      <c r="H68"/>
      <c r="I68"/>
      <c r="J68"/>
      <c r="K68"/>
      <c r="L68"/>
      <c r="M68"/>
      <c r="N68"/>
      <c r="O68"/>
      <c r="P68"/>
      <c r="Q68"/>
      <c r="R68"/>
      <c r="S68" s="60"/>
      <c r="T68" s="60"/>
      <c r="U68" s="60"/>
      <c r="V68" s="1"/>
      <c r="W68" s="1"/>
      <c r="X68" s="1"/>
      <c r="Y68" s="1"/>
      <c r="Z68" s="1"/>
      <c r="AA68" s="1"/>
      <c r="AB68" s="1"/>
      <c r="AC68" s="1"/>
      <c r="AD68" s="1"/>
      <c r="AE68" s="1"/>
      <c r="AF68" s="1"/>
      <c r="AG68" s="1"/>
      <c r="AH68" s="1"/>
      <c r="AI68" s="1"/>
      <c r="AJ68" s="1"/>
      <c r="AK68" s="1"/>
      <c r="AL68" s="1"/>
      <c r="AM68" s="1"/>
      <c r="AN68" s="1"/>
      <c r="AO68" s="1"/>
      <c r="AP68" s="1"/>
      <c r="AQ68" s="1"/>
      <c r="AR68" s="1"/>
    </row>
    <row r="69" spans="2:44">
      <c r="B69"/>
      <c r="C69"/>
      <c r="D69"/>
      <c r="E69"/>
      <c r="F69"/>
      <c r="G69"/>
      <c r="H69"/>
      <c r="I69"/>
      <c r="J69"/>
      <c r="K69"/>
      <c r="L69"/>
      <c r="M69"/>
      <c r="N69"/>
      <c r="O69"/>
      <c r="P69"/>
      <c r="Q69"/>
      <c r="R69"/>
      <c r="S69" s="60"/>
      <c r="T69" s="60"/>
      <c r="U69" s="60"/>
      <c r="V69" s="1"/>
      <c r="W69" s="1"/>
      <c r="X69" s="1"/>
      <c r="Y69" s="1"/>
      <c r="Z69" s="1"/>
      <c r="AA69" s="1"/>
      <c r="AB69" s="1"/>
      <c r="AC69" s="1"/>
      <c r="AD69" s="1"/>
      <c r="AE69" s="1"/>
      <c r="AF69" s="1"/>
      <c r="AG69" s="1"/>
      <c r="AH69" s="1"/>
      <c r="AI69" s="1"/>
      <c r="AJ69" s="1"/>
      <c r="AK69" s="1"/>
      <c r="AL69" s="1"/>
      <c r="AM69" s="1"/>
      <c r="AN69" s="1"/>
      <c r="AO69" s="1"/>
      <c r="AP69" s="1"/>
      <c r="AQ69" s="1"/>
      <c r="AR69" s="1"/>
    </row>
    <row r="70" spans="2:44">
      <c r="B70"/>
      <c r="C70"/>
      <c r="D70"/>
      <c r="E70"/>
      <c r="F70"/>
      <c r="G70"/>
      <c r="H70"/>
      <c r="I70"/>
      <c r="J70"/>
      <c r="K70"/>
      <c r="L70"/>
      <c r="M70"/>
      <c r="N70"/>
      <c r="O70"/>
      <c r="P70"/>
      <c r="Q70"/>
      <c r="R70"/>
      <c r="S70" s="60"/>
      <c r="T70" s="60"/>
      <c r="U70" s="60"/>
      <c r="V70" s="1"/>
      <c r="W70" s="1"/>
      <c r="X70" s="1"/>
      <c r="Y70" s="1"/>
      <c r="Z70" s="1"/>
      <c r="AA70" s="1"/>
      <c r="AB70" s="1"/>
      <c r="AC70" s="1"/>
      <c r="AD70" s="1"/>
      <c r="AE70" s="1"/>
      <c r="AF70" s="1"/>
      <c r="AG70" s="1"/>
      <c r="AH70" s="1"/>
      <c r="AI70" s="1"/>
      <c r="AJ70" s="1"/>
      <c r="AK70" s="1"/>
      <c r="AL70" s="1"/>
      <c r="AM70" s="1"/>
      <c r="AN70" s="1"/>
      <c r="AO70" s="1"/>
      <c r="AP70" s="1"/>
      <c r="AQ70" s="1"/>
      <c r="AR70" s="1"/>
    </row>
    <row r="71" spans="2:44">
      <c r="B71"/>
      <c r="C71"/>
      <c r="D71"/>
      <c r="E71"/>
      <c r="F71"/>
      <c r="G71"/>
      <c r="H71"/>
      <c r="I71"/>
      <c r="J71"/>
      <c r="K71"/>
      <c r="L71"/>
      <c r="M71"/>
      <c r="N71"/>
      <c r="O71"/>
      <c r="P71"/>
      <c r="Q71"/>
      <c r="R71"/>
      <c r="S71" s="60"/>
      <c r="T71" s="60"/>
      <c r="U71" s="60"/>
      <c r="V71" s="1"/>
      <c r="W71" s="1"/>
      <c r="X71" s="1"/>
      <c r="Y71" s="1"/>
      <c r="Z71" s="1"/>
      <c r="AA71" s="1"/>
      <c r="AB71" s="1"/>
      <c r="AC71" s="1"/>
      <c r="AD71" s="1"/>
      <c r="AE71" s="1"/>
      <c r="AF71" s="1"/>
      <c r="AG71" s="1"/>
      <c r="AH71" s="1"/>
      <c r="AI71" s="1"/>
      <c r="AJ71" s="1"/>
      <c r="AK71" s="1"/>
      <c r="AL71" s="1"/>
      <c r="AM71" s="1"/>
      <c r="AN71" s="1"/>
      <c r="AO71" s="1"/>
      <c r="AP71" s="1"/>
      <c r="AQ71" s="1"/>
      <c r="AR71" s="1"/>
    </row>
    <row r="72" spans="2:44">
      <c r="B72"/>
      <c r="C72"/>
      <c r="D72"/>
      <c r="E72"/>
      <c r="F72"/>
      <c r="G72"/>
      <c r="H72"/>
      <c r="I72"/>
      <c r="J72"/>
      <c r="K72"/>
      <c r="L72"/>
      <c r="M72"/>
      <c r="N72"/>
      <c r="O72"/>
      <c r="P72"/>
      <c r="Q72"/>
      <c r="R72"/>
      <c r="S72" s="60"/>
      <c r="T72" s="60"/>
      <c r="U72" s="60"/>
      <c r="V72" s="1"/>
      <c r="W72" s="1"/>
      <c r="X72" s="1"/>
      <c r="Y72" s="1"/>
      <c r="Z72" s="1"/>
      <c r="AA72" s="1"/>
      <c r="AB72" s="1"/>
      <c r="AC72" s="1"/>
      <c r="AD72" s="1"/>
      <c r="AE72" s="1"/>
      <c r="AF72" s="1"/>
      <c r="AG72" s="1"/>
      <c r="AH72" s="1"/>
      <c r="AI72" s="1"/>
      <c r="AJ72" s="1"/>
      <c r="AK72" s="1"/>
      <c r="AL72" s="1"/>
      <c r="AM72" s="1"/>
      <c r="AN72" s="1"/>
      <c r="AO72" s="1"/>
      <c r="AP72" s="1"/>
      <c r="AQ72" s="1"/>
      <c r="AR72" s="1"/>
    </row>
    <row r="73" spans="2:44">
      <c r="B73"/>
      <c r="C73"/>
      <c r="D73"/>
      <c r="E73"/>
      <c r="F73"/>
      <c r="G73"/>
      <c r="H73"/>
      <c r="I73"/>
      <c r="J73"/>
      <c r="K73"/>
      <c r="L73"/>
      <c r="M73"/>
      <c r="N73"/>
      <c r="O73"/>
      <c r="P73"/>
      <c r="Q73"/>
      <c r="R73"/>
      <c r="S73" s="60"/>
      <c r="T73" s="60"/>
      <c r="U73" s="60"/>
      <c r="V73" s="1"/>
      <c r="W73" s="1"/>
      <c r="X73" s="1"/>
      <c r="Y73" s="1"/>
      <c r="Z73" s="1"/>
      <c r="AA73" s="1"/>
      <c r="AB73" s="1"/>
      <c r="AC73" s="1"/>
      <c r="AD73" s="1"/>
      <c r="AE73" s="1"/>
      <c r="AF73" s="1"/>
      <c r="AG73" s="1"/>
      <c r="AH73" s="1"/>
      <c r="AI73" s="1"/>
      <c r="AJ73" s="1"/>
      <c r="AK73" s="1"/>
      <c r="AL73" s="1"/>
      <c r="AM73" s="1"/>
      <c r="AN73" s="1"/>
      <c r="AO73" s="1"/>
      <c r="AP73" s="1"/>
      <c r="AQ73" s="1"/>
      <c r="AR73" s="1"/>
    </row>
    <row r="74" spans="2:44">
      <c r="B74"/>
      <c r="C74"/>
      <c r="D74"/>
      <c r="E74"/>
      <c r="F74"/>
      <c r="G74"/>
      <c r="H74"/>
      <c r="I74"/>
      <c r="J74"/>
      <c r="K74"/>
      <c r="L74"/>
      <c r="M74"/>
      <c r="N74"/>
      <c r="O74"/>
      <c r="P74"/>
      <c r="Q74"/>
      <c r="R74"/>
      <c r="S74" s="60"/>
      <c r="T74" s="60"/>
      <c r="U74" s="60"/>
      <c r="V74" s="1"/>
      <c r="W74" s="1"/>
      <c r="X74" s="1"/>
      <c r="Y74" s="1"/>
      <c r="Z74" s="1"/>
      <c r="AA74" s="1"/>
      <c r="AB74" s="1"/>
      <c r="AC74" s="1"/>
      <c r="AD74" s="1"/>
      <c r="AE74" s="1"/>
      <c r="AF74" s="1"/>
      <c r="AG74" s="1"/>
      <c r="AH74" s="1"/>
      <c r="AI74" s="1"/>
      <c r="AJ74" s="1"/>
      <c r="AK74" s="1"/>
      <c r="AL74" s="1"/>
      <c r="AM74" s="1"/>
      <c r="AN74" s="1"/>
      <c r="AO74" s="1"/>
      <c r="AP74" s="1"/>
      <c r="AQ74" s="1"/>
      <c r="AR74" s="1"/>
    </row>
    <row r="75" spans="2:44">
      <c r="B75"/>
      <c r="C75"/>
      <c r="D75"/>
      <c r="E75"/>
      <c r="F75"/>
      <c r="G75"/>
      <c r="H75"/>
      <c r="I75"/>
      <c r="J75"/>
      <c r="K75"/>
      <c r="L75"/>
      <c r="M75"/>
      <c r="N75"/>
      <c r="O75"/>
      <c r="P75"/>
      <c r="Q75"/>
      <c r="R75"/>
      <c r="S75" s="60"/>
      <c r="T75" s="60"/>
      <c r="U75" s="60"/>
      <c r="V75" s="1"/>
      <c r="W75" s="1"/>
      <c r="X75" s="1"/>
      <c r="Y75" s="1"/>
      <c r="Z75" s="1"/>
      <c r="AA75" s="1"/>
      <c r="AB75" s="1"/>
      <c r="AC75" s="1"/>
      <c r="AD75" s="1"/>
      <c r="AE75" s="1"/>
      <c r="AF75" s="1"/>
      <c r="AG75" s="1"/>
      <c r="AH75" s="1"/>
      <c r="AI75" s="1"/>
      <c r="AJ75" s="1"/>
      <c r="AK75" s="1"/>
      <c r="AL75" s="1"/>
      <c r="AM75" s="1"/>
      <c r="AN75" s="1"/>
      <c r="AO75" s="1"/>
      <c r="AP75" s="1"/>
      <c r="AQ75" s="1"/>
      <c r="AR75" s="1"/>
    </row>
    <row r="76" spans="2:44">
      <c r="B76"/>
      <c r="C76"/>
      <c r="D76"/>
      <c r="E76"/>
      <c r="F76"/>
      <c r="G76"/>
      <c r="H76"/>
      <c r="I76"/>
      <c r="J76"/>
      <c r="K76"/>
      <c r="L76"/>
      <c r="M76"/>
      <c r="N76"/>
      <c r="O76"/>
      <c r="P76"/>
      <c r="Q76"/>
      <c r="R76"/>
      <c r="S76" s="60"/>
      <c r="T76" s="60"/>
      <c r="U76" s="60"/>
      <c r="V76" s="1"/>
      <c r="W76" s="1"/>
      <c r="X76" s="1"/>
      <c r="Y76" s="1"/>
      <c r="Z76" s="1"/>
      <c r="AA76" s="1"/>
      <c r="AB76" s="1"/>
      <c r="AC76" s="1"/>
      <c r="AD76" s="1"/>
      <c r="AE76" s="1"/>
      <c r="AF76" s="1"/>
      <c r="AG76" s="1"/>
      <c r="AH76" s="1"/>
      <c r="AI76" s="1"/>
      <c r="AJ76" s="1"/>
      <c r="AK76" s="1"/>
      <c r="AL76" s="1"/>
      <c r="AM76" s="1"/>
      <c r="AN76" s="1"/>
      <c r="AO76" s="1"/>
      <c r="AP76" s="1"/>
      <c r="AQ76" s="1"/>
      <c r="AR76" s="1"/>
    </row>
    <row r="77" spans="2:44">
      <c r="B77"/>
      <c r="C77"/>
      <c r="D77"/>
      <c r="E77"/>
      <c r="F77"/>
      <c r="G77"/>
      <c r="H77"/>
      <c r="I77"/>
      <c r="J77"/>
      <c r="K77"/>
      <c r="L77"/>
      <c r="M77"/>
      <c r="N77"/>
      <c r="O77"/>
      <c r="P77"/>
      <c r="Q77"/>
      <c r="R77"/>
      <c r="S77" s="60"/>
      <c r="T77" s="60"/>
      <c r="U77" s="60"/>
      <c r="V77" s="1"/>
      <c r="W77" s="1"/>
      <c r="X77" s="1"/>
      <c r="Y77" s="1"/>
      <c r="Z77" s="1"/>
      <c r="AA77" s="1"/>
      <c r="AB77" s="1"/>
      <c r="AC77" s="1"/>
      <c r="AD77" s="1"/>
      <c r="AE77" s="1"/>
      <c r="AF77" s="1"/>
      <c r="AG77" s="1"/>
      <c r="AH77" s="1"/>
      <c r="AI77" s="1"/>
      <c r="AJ77" s="1"/>
      <c r="AK77" s="1"/>
      <c r="AL77" s="1"/>
      <c r="AM77" s="1"/>
      <c r="AN77" s="1"/>
      <c r="AO77" s="1"/>
      <c r="AP77" s="1"/>
      <c r="AQ77" s="1"/>
      <c r="AR77" s="1"/>
    </row>
    <row r="78" spans="2:44">
      <c r="B78"/>
      <c r="C78"/>
      <c r="D78"/>
      <c r="E78"/>
      <c r="F78"/>
      <c r="G78"/>
      <c r="H78"/>
      <c r="I78"/>
      <c r="J78"/>
      <c r="K78"/>
      <c r="L78"/>
      <c r="M78"/>
      <c r="N78"/>
      <c r="O78"/>
      <c r="P78"/>
      <c r="Q78"/>
      <c r="R78"/>
      <c r="S78" s="60"/>
      <c r="T78" s="60"/>
      <c r="U78" s="60"/>
      <c r="V78" s="1"/>
      <c r="W78" s="1"/>
      <c r="X78" s="1"/>
      <c r="Y78" s="1"/>
      <c r="Z78" s="1"/>
      <c r="AA78" s="1"/>
      <c r="AB78" s="1"/>
      <c r="AC78" s="1"/>
      <c r="AD78" s="1"/>
      <c r="AE78" s="1"/>
      <c r="AF78" s="1"/>
      <c r="AG78" s="1"/>
      <c r="AH78" s="1"/>
      <c r="AI78" s="1"/>
      <c r="AJ78" s="1"/>
      <c r="AK78" s="1"/>
      <c r="AL78" s="1"/>
      <c r="AM78" s="1"/>
      <c r="AN78" s="1"/>
      <c r="AO78" s="1"/>
      <c r="AP78" s="1"/>
      <c r="AQ78" s="1"/>
      <c r="AR78" s="1"/>
    </row>
    <row r="79" spans="2:44">
      <c r="B79"/>
      <c r="C79"/>
      <c r="D79"/>
      <c r="E79"/>
      <c r="F79"/>
      <c r="G79"/>
      <c r="H79"/>
      <c r="I79"/>
      <c r="J79"/>
      <c r="K79"/>
      <c r="L79"/>
      <c r="M79"/>
      <c r="N79"/>
      <c r="O79"/>
      <c r="P79"/>
      <c r="Q79"/>
      <c r="R79"/>
      <c r="S79" s="60"/>
      <c r="T79" s="60"/>
      <c r="U79" s="60"/>
      <c r="V79" s="1"/>
      <c r="W79" s="1"/>
      <c r="X79" s="1"/>
      <c r="Y79" s="1"/>
      <c r="Z79" s="1"/>
      <c r="AA79" s="1"/>
      <c r="AB79" s="1"/>
      <c r="AC79" s="1"/>
      <c r="AD79" s="1"/>
      <c r="AE79" s="1"/>
      <c r="AF79" s="1"/>
      <c r="AG79" s="1"/>
      <c r="AH79" s="1"/>
      <c r="AI79" s="1"/>
      <c r="AJ79" s="1"/>
      <c r="AK79" s="1"/>
      <c r="AL79" s="1"/>
      <c r="AM79" s="1"/>
      <c r="AN79" s="1"/>
      <c r="AO79" s="1"/>
      <c r="AP79" s="1"/>
      <c r="AQ79" s="1"/>
      <c r="AR79" s="1"/>
    </row>
    <row r="80" spans="2:44">
      <c r="B80"/>
      <c r="C80"/>
      <c r="D80"/>
      <c r="E80"/>
      <c r="F80"/>
      <c r="G80"/>
      <c r="H80"/>
      <c r="I80"/>
      <c r="J80"/>
      <c r="K80"/>
      <c r="L80"/>
      <c r="M80"/>
      <c r="N80"/>
      <c r="O80"/>
      <c r="P80"/>
      <c r="Q80"/>
      <c r="R80"/>
      <c r="S80" s="60"/>
      <c r="T80" s="60"/>
      <c r="U80" s="60"/>
      <c r="V80" s="1"/>
      <c r="W80" s="1"/>
      <c r="X80" s="1"/>
      <c r="Y80" s="1"/>
      <c r="Z80" s="1"/>
      <c r="AA80" s="1"/>
      <c r="AB80" s="1"/>
      <c r="AC80" s="1"/>
      <c r="AD80" s="1"/>
      <c r="AE80" s="1"/>
      <c r="AF80" s="1"/>
      <c r="AG80" s="1"/>
      <c r="AH80" s="1"/>
      <c r="AI80" s="1"/>
      <c r="AJ80" s="1"/>
      <c r="AK80" s="1"/>
      <c r="AL80" s="1"/>
      <c r="AM80" s="1"/>
      <c r="AN80" s="1"/>
      <c r="AO80" s="1"/>
      <c r="AP80" s="1"/>
      <c r="AQ80" s="1"/>
      <c r="AR80" s="1"/>
    </row>
    <row r="81" spans="2:44">
      <c r="B81"/>
      <c r="C81"/>
      <c r="D81"/>
      <c r="E81"/>
      <c r="F81"/>
      <c r="G81"/>
      <c r="H81"/>
      <c r="I81"/>
      <c r="J81"/>
      <c r="K81"/>
      <c r="L81"/>
      <c r="M81"/>
      <c r="N81"/>
      <c r="O81"/>
      <c r="P81"/>
      <c r="Q81"/>
      <c r="R81"/>
      <c r="S81" s="60"/>
      <c r="T81" s="60"/>
      <c r="U81" s="60"/>
      <c r="V81" s="1"/>
      <c r="W81" s="1"/>
      <c r="X81" s="1"/>
      <c r="Y81" s="1"/>
      <c r="Z81" s="1"/>
      <c r="AA81" s="1"/>
      <c r="AB81" s="1"/>
      <c r="AC81" s="1"/>
      <c r="AD81" s="1"/>
      <c r="AE81" s="1"/>
      <c r="AF81" s="1"/>
      <c r="AG81" s="1"/>
      <c r="AH81" s="1"/>
      <c r="AI81" s="1"/>
      <c r="AJ81" s="1"/>
      <c r="AK81" s="1"/>
      <c r="AL81" s="1"/>
      <c r="AM81" s="1"/>
      <c r="AN81" s="1"/>
      <c r="AO81" s="1"/>
      <c r="AP81" s="1"/>
      <c r="AQ81" s="1"/>
      <c r="AR81" s="1"/>
    </row>
    <row r="82" spans="2:44">
      <c r="B82"/>
      <c r="C82"/>
      <c r="D82"/>
      <c r="E82"/>
      <c r="F82"/>
      <c r="G82"/>
      <c r="H82"/>
      <c r="I82"/>
      <c r="J82"/>
      <c r="K82"/>
      <c r="L82"/>
      <c r="M82"/>
      <c r="N82"/>
      <c r="O82"/>
      <c r="P82"/>
      <c r="Q82"/>
      <c r="R82"/>
      <c r="S82" s="60"/>
      <c r="T82" s="60"/>
      <c r="U82" s="60"/>
      <c r="V82" s="1"/>
      <c r="W82" s="1"/>
      <c r="X82" s="1"/>
      <c r="Y82" s="1"/>
      <c r="Z82" s="1"/>
      <c r="AA82" s="1"/>
      <c r="AB82" s="1"/>
      <c r="AC82" s="1"/>
      <c r="AD82" s="1"/>
      <c r="AE82" s="1"/>
      <c r="AF82" s="1"/>
      <c r="AG82" s="1"/>
      <c r="AH82" s="1"/>
      <c r="AI82" s="1"/>
      <c r="AJ82" s="1"/>
      <c r="AK82" s="1"/>
      <c r="AL82" s="1"/>
      <c r="AM82" s="1"/>
      <c r="AN82" s="1"/>
      <c r="AO82" s="1"/>
      <c r="AP82" s="1"/>
      <c r="AQ82" s="1"/>
      <c r="AR82" s="1"/>
    </row>
    <row r="83" spans="2:44">
      <c r="B83"/>
      <c r="C83"/>
      <c r="D83"/>
      <c r="E83"/>
      <c r="F83"/>
      <c r="G83"/>
      <c r="H83"/>
      <c r="I83"/>
      <c r="J83"/>
      <c r="K83"/>
      <c r="L83"/>
      <c r="M83"/>
      <c r="N83"/>
      <c r="O83"/>
      <c r="P83"/>
      <c r="Q83"/>
      <c r="R83"/>
      <c r="S83" s="60"/>
      <c r="T83" s="60"/>
      <c r="U83" s="60"/>
      <c r="V83" s="1"/>
      <c r="W83" s="1"/>
      <c r="X83" s="1"/>
      <c r="Y83" s="1"/>
      <c r="Z83" s="1"/>
      <c r="AA83" s="1"/>
      <c r="AB83" s="1"/>
      <c r="AC83" s="1"/>
      <c r="AD83" s="1"/>
      <c r="AE83" s="1"/>
      <c r="AF83" s="1"/>
      <c r="AG83" s="1"/>
      <c r="AH83" s="1"/>
      <c r="AI83" s="1"/>
      <c r="AJ83" s="1"/>
      <c r="AK83" s="1"/>
      <c r="AL83" s="1"/>
      <c r="AM83" s="1"/>
      <c r="AN83" s="1"/>
      <c r="AO83" s="1"/>
      <c r="AP83" s="1"/>
      <c r="AQ83" s="1"/>
      <c r="AR83" s="1"/>
    </row>
    <row r="84" spans="2:44">
      <c r="B84"/>
      <c r="C84"/>
      <c r="D84"/>
      <c r="E84"/>
      <c r="F84"/>
      <c r="G84"/>
      <c r="H84"/>
      <c r="I84"/>
      <c r="J84"/>
      <c r="K84"/>
      <c r="L84"/>
      <c r="M84"/>
      <c r="N84"/>
      <c r="O84"/>
      <c r="P84"/>
      <c r="Q84"/>
      <c r="R84"/>
      <c r="S84" s="60"/>
      <c r="T84" s="60"/>
      <c r="U84" s="60"/>
      <c r="V84" s="1"/>
      <c r="W84" s="1"/>
      <c r="X84" s="1"/>
      <c r="Y84" s="1"/>
      <c r="Z84" s="1"/>
      <c r="AA84" s="1"/>
      <c r="AB84" s="1"/>
      <c r="AC84" s="1"/>
      <c r="AD84" s="1"/>
      <c r="AE84" s="1"/>
      <c r="AF84" s="1"/>
      <c r="AG84" s="1"/>
      <c r="AH84" s="1"/>
      <c r="AI84" s="1"/>
      <c r="AJ84" s="1"/>
      <c r="AK84" s="1"/>
      <c r="AL84" s="1"/>
      <c r="AM84" s="1"/>
      <c r="AN84" s="1"/>
      <c r="AO84" s="1"/>
      <c r="AP84" s="1"/>
      <c r="AQ84" s="1"/>
      <c r="AR84" s="1"/>
    </row>
    <row r="85" spans="2:44">
      <c r="B85"/>
      <c r="C85"/>
      <c r="D85"/>
      <c r="E85"/>
      <c r="F85"/>
      <c r="G85"/>
      <c r="H85"/>
      <c r="I85"/>
      <c r="J85"/>
      <c r="K85"/>
      <c r="L85"/>
      <c r="M85"/>
      <c r="N85"/>
      <c r="O85"/>
      <c r="P85"/>
      <c r="Q85"/>
      <c r="R85"/>
      <c r="S85" s="60"/>
      <c r="T85" s="60"/>
      <c r="U85" s="60"/>
      <c r="V85" s="1"/>
      <c r="W85" s="1"/>
      <c r="X85" s="1"/>
      <c r="Y85" s="1"/>
      <c r="Z85" s="1"/>
      <c r="AA85" s="1"/>
      <c r="AB85" s="1"/>
      <c r="AC85" s="1"/>
      <c r="AD85" s="1"/>
      <c r="AE85" s="1"/>
      <c r="AF85" s="1"/>
      <c r="AG85" s="1"/>
      <c r="AH85" s="1"/>
      <c r="AI85" s="1"/>
      <c r="AJ85" s="1"/>
      <c r="AK85" s="1"/>
      <c r="AL85" s="1"/>
      <c r="AM85" s="1"/>
      <c r="AN85" s="1"/>
      <c r="AO85" s="1"/>
      <c r="AP85" s="1"/>
      <c r="AQ85" s="1"/>
      <c r="AR85" s="1"/>
    </row>
    <row r="86" spans="2:44">
      <c r="B86"/>
      <c r="C86"/>
      <c r="D86"/>
      <c r="E86"/>
      <c r="F86"/>
      <c r="G86"/>
      <c r="H86"/>
      <c r="I86"/>
      <c r="J86"/>
      <c r="K86"/>
      <c r="L86"/>
      <c r="M86"/>
      <c r="N86"/>
      <c r="O86"/>
      <c r="P86"/>
      <c r="Q86"/>
      <c r="R86"/>
      <c r="S86" s="60"/>
      <c r="T86" s="60"/>
      <c r="U86" s="60"/>
      <c r="V86" s="1"/>
      <c r="W86" s="1"/>
      <c r="X86" s="1"/>
      <c r="Y86" s="1"/>
      <c r="Z86" s="1"/>
      <c r="AA86" s="1"/>
      <c r="AB86" s="1"/>
      <c r="AC86" s="1"/>
      <c r="AD86" s="1"/>
      <c r="AE86" s="1"/>
      <c r="AF86" s="1"/>
      <c r="AG86" s="1"/>
      <c r="AH86" s="1"/>
      <c r="AI86" s="1"/>
      <c r="AJ86" s="1"/>
      <c r="AK86" s="1"/>
      <c r="AL86" s="1"/>
      <c r="AM86" s="1"/>
      <c r="AN86" s="1"/>
      <c r="AO86" s="1"/>
      <c r="AP86" s="1"/>
      <c r="AQ86" s="1"/>
      <c r="AR86" s="1"/>
    </row>
    <row r="87" spans="2:44">
      <c r="B87"/>
      <c r="C87"/>
      <c r="D87"/>
      <c r="E87"/>
      <c r="F87"/>
      <c r="G87"/>
      <c r="H87"/>
      <c r="I87"/>
      <c r="J87"/>
      <c r="K87"/>
      <c r="L87"/>
      <c r="M87"/>
      <c r="N87"/>
      <c r="O87"/>
      <c r="P87"/>
      <c r="Q87"/>
      <c r="R87"/>
      <c r="S87" s="60"/>
      <c r="T87" s="60"/>
      <c r="U87" s="60"/>
      <c r="V87" s="1"/>
      <c r="W87" s="1"/>
      <c r="X87" s="1"/>
      <c r="Y87" s="1"/>
      <c r="Z87" s="1"/>
      <c r="AA87" s="1"/>
      <c r="AB87" s="1"/>
      <c r="AC87" s="1"/>
      <c r="AD87" s="1"/>
      <c r="AE87" s="1"/>
      <c r="AF87" s="1"/>
      <c r="AG87" s="1"/>
      <c r="AH87" s="1"/>
      <c r="AI87" s="1"/>
      <c r="AJ87" s="1"/>
      <c r="AK87" s="1"/>
      <c r="AL87" s="1"/>
      <c r="AM87" s="1"/>
      <c r="AN87" s="1"/>
      <c r="AO87" s="1"/>
      <c r="AP87" s="1"/>
      <c r="AQ87" s="1"/>
      <c r="AR87" s="1"/>
    </row>
    <row r="88" spans="2:44">
      <c r="B88"/>
      <c r="C88"/>
      <c r="D88"/>
      <c r="E88"/>
      <c r="F88"/>
      <c r="G88"/>
      <c r="H88"/>
      <c r="I88"/>
      <c r="J88"/>
      <c r="K88"/>
      <c r="L88"/>
      <c r="M88"/>
      <c r="N88"/>
      <c r="O88"/>
      <c r="P88"/>
      <c r="Q88"/>
      <c r="R88"/>
      <c r="S88" s="60"/>
      <c r="T88" s="60"/>
      <c r="U88" s="60"/>
      <c r="V88" s="1"/>
      <c r="W88" s="1"/>
      <c r="X88" s="1"/>
      <c r="Y88" s="1"/>
      <c r="Z88" s="1"/>
      <c r="AA88" s="1"/>
      <c r="AB88" s="1"/>
      <c r="AC88" s="1"/>
      <c r="AD88" s="1"/>
      <c r="AE88" s="1"/>
      <c r="AF88" s="1"/>
      <c r="AG88" s="1"/>
      <c r="AH88" s="1"/>
      <c r="AI88" s="1"/>
      <c r="AJ88" s="1"/>
      <c r="AK88" s="1"/>
      <c r="AL88" s="1"/>
      <c r="AM88" s="1"/>
      <c r="AN88" s="1"/>
      <c r="AO88" s="1"/>
      <c r="AP88" s="1"/>
      <c r="AQ88" s="1"/>
      <c r="AR88" s="1"/>
    </row>
    <row r="89" spans="2:44">
      <c r="B89"/>
      <c r="C89"/>
      <c r="D89"/>
      <c r="E89"/>
      <c r="F89"/>
      <c r="G89"/>
      <c r="H89"/>
      <c r="I89"/>
      <c r="J89"/>
      <c r="K89"/>
      <c r="L89"/>
      <c r="M89"/>
      <c r="N89"/>
      <c r="O89"/>
      <c r="P89"/>
      <c r="Q89"/>
      <c r="R89"/>
      <c r="S89" s="60"/>
      <c r="T89" s="60"/>
      <c r="U89" s="60"/>
      <c r="V89" s="1"/>
      <c r="W89" s="1"/>
      <c r="X89" s="1"/>
      <c r="Y89" s="1"/>
      <c r="Z89" s="1"/>
      <c r="AA89" s="1"/>
      <c r="AB89" s="1"/>
      <c r="AC89" s="1"/>
      <c r="AD89" s="1"/>
      <c r="AE89" s="1"/>
      <c r="AF89" s="1"/>
      <c r="AG89" s="1"/>
      <c r="AH89" s="1"/>
      <c r="AI89" s="1"/>
      <c r="AJ89" s="1"/>
      <c r="AK89" s="1"/>
      <c r="AL89" s="1"/>
      <c r="AM89" s="1"/>
      <c r="AN89" s="1"/>
      <c r="AO89" s="1"/>
      <c r="AP89" s="1"/>
      <c r="AQ89" s="1"/>
      <c r="AR89" s="1"/>
    </row>
    <row r="90" spans="2:44">
      <c r="B90"/>
      <c r="C90"/>
      <c r="D90"/>
      <c r="E90"/>
      <c r="F90"/>
      <c r="G90"/>
      <c r="H90"/>
      <c r="I90"/>
      <c r="J90"/>
      <c r="K90"/>
      <c r="L90"/>
      <c r="M90"/>
      <c r="N90"/>
      <c r="O90"/>
      <c r="P90"/>
      <c r="Q90"/>
      <c r="R90"/>
      <c r="S90" s="60"/>
      <c r="T90" s="60"/>
      <c r="U90" s="60"/>
      <c r="V90" s="1"/>
      <c r="W90" s="1"/>
      <c r="X90" s="1"/>
      <c r="Y90" s="1"/>
      <c r="Z90" s="1"/>
      <c r="AA90" s="1"/>
      <c r="AB90" s="1"/>
      <c r="AC90" s="1"/>
      <c r="AD90" s="1"/>
      <c r="AE90" s="1"/>
      <c r="AF90" s="1"/>
      <c r="AG90" s="1"/>
      <c r="AH90" s="1"/>
      <c r="AI90" s="1"/>
      <c r="AJ90" s="1"/>
      <c r="AK90" s="1"/>
      <c r="AL90" s="1"/>
      <c r="AM90" s="1"/>
      <c r="AN90" s="1"/>
      <c r="AO90" s="1"/>
      <c r="AP90" s="1"/>
      <c r="AQ90" s="1"/>
      <c r="AR90" s="1"/>
    </row>
    <row r="91" spans="2:44">
      <c r="B91"/>
      <c r="C91"/>
      <c r="D91"/>
      <c r="E91"/>
      <c r="F91"/>
      <c r="G91"/>
      <c r="H91"/>
      <c r="I91"/>
      <c r="J91"/>
      <c r="K91"/>
      <c r="L91"/>
      <c r="M91"/>
      <c r="N91"/>
      <c r="O91"/>
      <c r="P91"/>
      <c r="Q91"/>
      <c r="R91"/>
      <c r="S91" s="60"/>
      <c r="T91" s="60"/>
      <c r="U91" s="60"/>
      <c r="V91" s="1"/>
      <c r="W91" s="1"/>
      <c r="X91" s="1"/>
      <c r="Y91" s="1"/>
      <c r="Z91" s="1"/>
      <c r="AA91" s="1"/>
      <c r="AB91" s="1"/>
      <c r="AC91" s="1"/>
      <c r="AD91" s="1"/>
      <c r="AE91" s="1"/>
      <c r="AF91" s="1"/>
      <c r="AG91" s="1"/>
      <c r="AH91" s="1"/>
      <c r="AI91" s="1"/>
      <c r="AJ91" s="1"/>
      <c r="AK91" s="1"/>
      <c r="AL91" s="1"/>
      <c r="AM91" s="1"/>
      <c r="AN91" s="1"/>
      <c r="AO91" s="1"/>
      <c r="AP91" s="1"/>
      <c r="AQ91" s="1"/>
      <c r="AR91" s="1"/>
    </row>
    <row r="92" spans="2:44">
      <c r="B92"/>
      <c r="C92"/>
      <c r="D92"/>
      <c r="E92"/>
      <c r="F92"/>
      <c r="G92"/>
      <c r="H92"/>
      <c r="I92"/>
      <c r="J92"/>
      <c r="K92"/>
      <c r="L92"/>
      <c r="M92"/>
      <c r="N92"/>
      <c r="O92"/>
      <c r="P92"/>
      <c r="Q92"/>
      <c r="R92"/>
      <c r="S92" s="60"/>
      <c r="T92" s="60"/>
      <c r="U92" s="60"/>
      <c r="V92" s="1"/>
      <c r="W92" s="1"/>
      <c r="X92" s="1"/>
      <c r="Y92" s="1"/>
      <c r="Z92" s="1"/>
      <c r="AA92" s="1"/>
      <c r="AB92" s="1"/>
      <c r="AC92" s="1"/>
      <c r="AD92" s="1"/>
      <c r="AE92" s="1"/>
      <c r="AF92" s="1"/>
      <c r="AG92" s="1"/>
      <c r="AH92" s="1"/>
      <c r="AI92" s="1"/>
      <c r="AJ92" s="1"/>
      <c r="AK92" s="1"/>
      <c r="AL92" s="1"/>
      <c r="AM92" s="1"/>
      <c r="AN92" s="1"/>
      <c r="AO92" s="1"/>
      <c r="AP92" s="1"/>
      <c r="AQ92" s="1"/>
      <c r="AR92" s="1"/>
    </row>
    <row r="93" spans="2:44">
      <c r="B93"/>
      <c r="C93"/>
      <c r="D93"/>
      <c r="E93"/>
      <c r="F93"/>
      <c r="G93"/>
      <c r="H93"/>
      <c r="I93"/>
      <c r="J93"/>
      <c r="K93"/>
      <c r="L93"/>
      <c r="M93"/>
      <c r="N93"/>
      <c r="O93"/>
      <c r="P93"/>
      <c r="Q93"/>
      <c r="R93"/>
      <c r="S93" s="60"/>
      <c r="T93" s="60"/>
      <c r="U93" s="60"/>
      <c r="V93" s="1"/>
      <c r="W93" s="1"/>
      <c r="X93" s="1"/>
      <c r="Y93" s="1"/>
      <c r="Z93" s="1"/>
      <c r="AA93" s="1"/>
      <c r="AB93" s="1"/>
      <c r="AC93" s="1"/>
      <c r="AD93" s="1"/>
      <c r="AE93" s="1"/>
      <c r="AF93" s="1"/>
      <c r="AG93" s="1"/>
      <c r="AH93" s="1"/>
      <c r="AI93" s="1"/>
      <c r="AJ93" s="1"/>
      <c r="AK93" s="1"/>
      <c r="AL93" s="1"/>
      <c r="AM93" s="1"/>
      <c r="AN93" s="1"/>
      <c r="AO93" s="1"/>
      <c r="AP93" s="1"/>
      <c r="AQ93" s="1"/>
      <c r="AR93" s="1"/>
    </row>
    <row r="94" spans="2:44">
      <c r="B94"/>
      <c r="C94"/>
      <c r="D94"/>
      <c r="E94"/>
      <c r="F94"/>
      <c r="G94"/>
      <c r="H94"/>
      <c r="I94"/>
      <c r="J94"/>
      <c r="K94"/>
      <c r="L94"/>
      <c r="M94"/>
      <c r="N94"/>
      <c r="O94"/>
      <c r="P94"/>
      <c r="Q94"/>
      <c r="R94"/>
      <c r="S94" s="60"/>
      <c r="T94" s="60"/>
      <c r="U94" s="60"/>
      <c r="V94" s="1"/>
      <c r="W94" s="1"/>
      <c r="X94" s="1"/>
      <c r="Y94" s="1"/>
      <c r="Z94" s="1"/>
      <c r="AA94" s="1"/>
      <c r="AB94" s="1"/>
      <c r="AC94" s="1"/>
      <c r="AD94" s="1"/>
      <c r="AE94" s="1"/>
      <c r="AF94" s="1"/>
      <c r="AG94" s="1"/>
      <c r="AH94" s="1"/>
      <c r="AI94" s="1"/>
      <c r="AJ94" s="1"/>
      <c r="AK94" s="1"/>
      <c r="AL94" s="1"/>
      <c r="AM94" s="1"/>
      <c r="AN94" s="1"/>
      <c r="AO94" s="1"/>
      <c r="AP94" s="1"/>
      <c r="AQ94" s="1"/>
      <c r="AR94" s="1"/>
    </row>
    <row r="95" spans="2:44">
      <c r="B95"/>
      <c r="C95"/>
      <c r="D95"/>
      <c r="E95"/>
      <c r="F95"/>
      <c r="G95"/>
      <c r="H95"/>
      <c r="I95"/>
      <c r="J95"/>
      <c r="K95"/>
      <c r="L95"/>
      <c r="M95"/>
      <c r="N95"/>
      <c r="O95"/>
      <c r="P95"/>
      <c r="Q95"/>
      <c r="R95"/>
      <c r="S95" s="60"/>
      <c r="T95" s="60"/>
      <c r="U95" s="60"/>
      <c r="V95" s="1"/>
      <c r="W95" s="1"/>
      <c r="X95" s="1"/>
      <c r="Y95" s="1"/>
      <c r="Z95" s="1"/>
      <c r="AA95" s="1"/>
      <c r="AB95" s="1"/>
      <c r="AC95" s="1"/>
      <c r="AD95" s="1"/>
      <c r="AE95" s="1"/>
      <c r="AF95" s="1"/>
      <c r="AG95" s="1"/>
      <c r="AH95" s="1"/>
      <c r="AI95" s="1"/>
      <c r="AJ95" s="1"/>
      <c r="AK95" s="1"/>
      <c r="AL95" s="1"/>
      <c r="AM95" s="1"/>
      <c r="AN95" s="1"/>
      <c r="AO95" s="1"/>
      <c r="AP95" s="1"/>
      <c r="AQ95" s="1"/>
      <c r="AR95" s="1"/>
    </row>
    <row r="96" spans="2:44">
      <c r="B96"/>
      <c r="C96"/>
      <c r="D96"/>
      <c r="E96"/>
      <c r="F96"/>
      <c r="G96"/>
      <c r="H96"/>
      <c r="I96"/>
      <c r="J96"/>
      <c r="K96"/>
      <c r="L96"/>
      <c r="M96"/>
      <c r="N96"/>
      <c r="O96"/>
      <c r="P96"/>
      <c r="Q96"/>
      <c r="R96"/>
      <c r="S96" s="60"/>
      <c r="T96" s="60"/>
      <c r="U96" s="60"/>
      <c r="V96" s="1"/>
      <c r="W96" s="1"/>
      <c r="X96" s="1"/>
      <c r="Y96" s="1"/>
      <c r="Z96" s="1"/>
      <c r="AA96" s="1"/>
      <c r="AB96" s="1"/>
      <c r="AC96" s="1"/>
      <c r="AD96" s="1"/>
      <c r="AE96" s="1"/>
      <c r="AF96" s="1"/>
      <c r="AG96" s="1"/>
      <c r="AH96" s="1"/>
      <c r="AI96" s="1"/>
      <c r="AJ96" s="1"/>
      <c r="AK96" s="1"/>
      <c r="AL96" s="1"/>
      <c r="AM96" s="1"/>
      <c r="AN96" s="1"/>
      <c r="AO96" s="1"/>
      <c r="AP96" s="1"/>
      <c r="AQ96" s="1"/>
      <c r="AR96" s="1"/>
    </row>
    <row r="97" spans="2:44">
      <c r="B97"/>
      <c r="C97"/>
      <c r="D97"/>
      <c r="E97"/>
      <c r="F97"/>
      <c r="G97"/>
      <c r="H97"/>
      <c r="I97"/>
      <c r="J97"/>
      <c r="K97"/>
      <c r="L97"/>
      <c r="M97"/>
      <c r="N97"/>
      <c r="O97"/>
      <c r="P97"/>
      <c r="Q97"/>
      <c r="R97"/>
      <c r="S97" s="60"/>
      <c r="T97" s="60"/>
      <c r="U97" s="60"/>
      <c r="V97" s="1"/>
      <c r="W97" s="1"/>
      <c r="X97" s="1"/>
      <c r="Y97" s="1"/>
      <c r="Z97" s="1"/>
      <c r="AA97" s="1"/>
      <c r="AB97" s="1"/>
      <c r="AC97" s="1"/>
      <c r="AD97" s="1"/>
      <c r="AE97" s="1"/>
      <c r="AF97" s="1"/>
      <c r="AG97" s="1"/>
      <c r="AH97" s="1"/>
      <c r="AI97" s="1"/>
      <c r="AJ97" s="1"/>
      <c r="AK97" s="1"/>
      <c r="AL97" s="1"/>
      <c r="AM97" s="1"/>
      <c r="AN97" s="1"/>
      <c r="AO97" s="1"/>
      <c r="AP97" s="1"/>
      <c r="AQ97" s="1"/>
      <c r="AR97" s="1"/>
    </row>
    <row r="98" spans="2:44">
      <c r="B98"/>
      <c r="C98"/>
      <c r="D98"/>
      <c r="E98"/>
      <c r="F98"/>
      <c r="G98"/>
      <c r="H98"/>
      <c r="I98"/>
      <c r="J98"/>
      <c r="K98"/>
      <c r="L98"/>
      <c r="M98"/>
      <c r="N98"/>
      <c r="O98"/>
      <c r="P98"/>
      <c r="Q98"/>
      <c r="R98"/>
      <c r="S98" s="60"/>
      <c r="T98" s="60"/>
      <c r="U98" s="60"/>
      <c r="V98" s="1"/>
      <c r="W98" s="1"/>
      <c r="X98" s="1"/>
      <c r="Y98" s="1"/>
      <c r="Z98" s="1"/>
      <c r="AA98" s="1"/>
      <c r="AB98" s="1"/>
      <c r="AC98" s="1"/>
      <c r="AD98" s="1"/>
      <c r="AE98" s="1"/>
      <c r="AF98" s="1"/>
      <c r="AG98" s="1"/>
      <c r="AH98" s="1"/>
      <c r="AI98" s="1"/>
      <c r="AJ98" s="1"/>
      <c r="AK98" s="1"/>
      <c r="AL98" s="1"/>
      <c r="AM98" s="1"/>
      <c r="AN98" s="1"/>
      <c r="AO98" s="1"/>
      <c r="AP98" s="1"/>
      <c r="AQ98" s="1"/>
      <c r="AR98" s="1"/>
    </row>
    <row r="99" spans="2:44">
      <c r="B99"/>
      <c r="C99"/>
      <c r="D99"/>
      <c r="E99"/>
      <c r="F99"/>
      <c r="G99"/>
      <c r="H99"/>
      <c r="I99"/>
      <c r="J99"/>
      <c r="K99"/>
      <c r="L99"/>
      <c r="M99"/>
      <c r="N99"/>
      <c r="O99"/>
      <c r="P99"/>
      <c r="Q99"/>
      <c r="R99"/>
      <c r="S99" s="60"/>
      <c r="T99" s="60"/>
      <c r="U99" s="60"/>
      <c r="V99" s="1"/>
      <c r="W99" s="1"/>
      <c r="X99" s="1"/>
      <c r="Y99" s="1"/>
      <c r="Z99" s="1"/>
      <c r="AA99" s="1"/>
      <c r="AB99" s="1"/>
      <c r="AC99" s="1"/>
      <c r="AD99" s="1"/>
      <c r="AE99" s="1"/>
      <c r="AF99" s="1"/>
      <c r="AG99" s="1"/>
      <c r="AH99" s="1"/>
      <c r="AI99" s="1"/>
      <c r="AJ99" s="1"/>
      <c r="AK99" s="1"/>
      <c r="AL99" s="1"/>
      <c r="AM99" s="1"/>
      <c r="AN99" s="1"/>
      <c r="AO99" s="1"/>
      <c r="AP99" s="1"/>
      <c r="AQ99" s="1"/>
      <c r="AR99" s="1"/>
    </row>
    <row r="100" spans="2:44">
      <c r="B100"/>
      <c r="C100"/>
      <c r="D100"/>
      <c r="E100"/>
      <c r="F100"/>
      <c r="G100"/>
      <c r="H100"/>
      <c r="I100"/>
      <c r="J100"/>
      <c r="K100"/>
      <c r="L100"/>
      <c r="M100"/>
      <c r="N100"/>
      <c r="O100"/>
      <c r="P100"/>
      <c r="Q100"/>
      <c r="R100"/>
      <c r="S100" s="60"/>
      <c r="T100" s="60"/>
      <c r="U100" s="60"/>
      <c r="V100" s="1"/>
      <c r="W100" s="1"/>
      <c r="X100" s="1"/>
      <c r="Y100" s="1"/>
      <c r="Z100" s="1"/>
      <c r="AA100" s="1"/>
      <c r="AB100" s="1"/>
      <c r="AC100" s="1"/>
      <c r="AD100" s="1"/>
      <c r="AE100" s="1"/>
      <c r="AF100" s="1"/>
      <c r="AG100" s="1"/>
      <c r="AH100" s="1"/>
      <c r="AI100" s="1"/>
      <c r="AJ100" s="1"/>
      <c r="AK100" s="1"/>
      <c r="AL100" s="1"/>
      <c r="AM100" s="1"/>
      <c r="AN100" s="1"/>
      <c r="AO100" s="1"/>
      <c r="AP100" s="1"/>
      <c r="AQ100" s="1"/>
      <c r="AR100" s="1"/>
    </row>
    <row r="101" spans="2:44">
      <c r="B101"/>
      <c r="C101"/>
      <c r="D101"/>
      <c r="E101"/>
      <c r="F101"/>
      <c r="G101"/>
      <c r="H101"/>
      <c r="I101"/>
      <c r="J101"/>
      <c r="K101"/>
      <c r="L101"/>
      <c r="M101"/>
      <c r="N101"/>
      <c r="O101"/>
      <c r="P101"/>
      <c r="Q101"/>
      <c r="R101"/>
      <c r="S101" s="60"/>
      <c r="T101" s="60"/>
      <c r="U101" s="60"/>
      <c r="V101" s="1"/>
      <c r="W101" s="1"/>
      <c r="X101" s="1"/>
      <c r="Y101" s="1"/>
      <c r="Z101" s="1"/>
      <c r="AA101" s="1"/>
      <c r="AB101" s="1"/>
      <c r="AC101" s="1"/>
      <c r="AD101" s="1"/>
      <c r="AE101" s="1"/>
      <c r="AF101" s="1"/>
      <c r="AG101" s="1"/>
      <c r="AH101" s="1"/>
      <c r="AI101" s="1"/>
      <c r="AJ101" s="1"/>
      <c r="AK101" s="1"/>
      <c r="AL101" s="1"/>
      <c r="AM101" s="1"/>
      <c r="AN101" s="1"/>
      <c r="AO101" s="1"/>
      <c r="AP101" s="1"/>
      <c r="AQ101" s="1"/>
      <c r="AR101" s="1"/>
    </row>
    <row r="102" spans="2:44">
      <c r="B102"/>
      <c r="C102"/>
      <c r="D102"/>
      <c r="E102"/>
      <c r="F102"/>
      <c r="G102"/>
      <c r="H102"/>
      <c r="I102"/>
      <c r="J102"/>
      <c r="K102"/>
      <c r="L102"/>
      <c r="M102"/>
      <c r="N102"/>
      <c r="O102"/>
      <c r="P102"/>
      <c r="Q102"/>
      <c r="R102"/>
      <c r="S102" s="60"/>
      <c r="T102" s="60"/>
      <c r="U102" s="60"/>
      <c r="V102" s="1"/>
      <c r="W102" s="1"/>
      <c r="X102" s="1"/>
      <c r="Y102" s="1"/>
      <c r="Z102" s="1"/>
      <c r="AA102" s="1"/>
      <c r="AB102" s="1"/>
      <c r="AC102" s="1"/>
      <c r="AD102" s="1"/>
      <c r="AE102" s="1"/>
      <c r="AF102" s="1"/>
      <c r="AG102" s="1"/>
      <c r="AH102" s="1"/>
      <c r="AI102" s="1"/>
      <c r="AJ102" s="1"/>
      <c r="AK102" s="1"/>
      <c r="AL102" s="1"/>
      <c r="AM102" s="1"/>
      <c r="AN102" s="1"/>
      <c r="AO102" s="1"/>
      <c r="AP102" s="1"/>
      <c r="AQ102" s="1"/>
      <c r="AR102" s="1"/>
    </row>
    <row r="103" spans="2:44">
      <c r="B103"/>
      <c r="C103"/>
      <c r="D103"/>
      <c r="E103"/>
      <c r="F103"/>
      <c r="G103"/>
      <c r="H103"/>
      <c r="I103"/>
      <c r="J103"/>
      <c r="K103"/>
      <c r="L103"/>
      <c r="M103"/>
      <c r="N103"/>
      <c r="O103"/>
      <c r="P103"/>
      <c r="Q103"/>
      <c r="R103"/>
      <c r="S103" s="60"/>
      <c r="T103" s="60"/>
      <c r="U103" s="60"/>
      <c r="V103" s="1"/>
      <c r="W103" s="1"/>
      <c r="X103" s="1"/>
      <c r="Y103" s="1"/>
      <c r="Z103" s="1"/>
      <c r="AA103" s="1"/>
      <c r="AB103" s="1"/>
      <c r="AC103" s="1"/>
      <c r="AD103" s="1"/>
      <c r="AE103" s="1"/>
      <c r="AF103" s="1"/>
      <c r="AG103" s="1"/>
      <c r="AH103" s="1"/>
      <c r="AI103" s="1"/>
      <c r="AJ103" s="1"/>
      <c r="AK103" s="1"/>
      <c r="AL103" s="1"/>
      <c r="AM103" s="1"/>
      <c r="AN103" s="1"/>
      <c r="AO103" s="1"/>
      <c r="AP103" s="1"/>
      <c r="AQ103" s="1"/>
      <c r="AR103" s="1"/>
    </row>
    <row r="104" spans="2:44">
      <c r="B104"/>
      <c r="C104"/>
      <c r="D104"/>
      <c r="E104"/>
      <c r="F104"/>
      <c r="G104"/>
      <c r="H104"/>
      <c r="I104"/>
      <c r="J104"/>
      <c r="K104"/>
      <c r="L104"/>
      <c r="M104"/>
      <c r="N104"/>
      <c r="O104"/>
      <c r="P104"/>
      <c r="Q104"/>
      <c r="R104"/>
      <c r="S104" s="60"/>
      <c r="T104" s="60"/>
      <c r="U104" s="60"/>
      <c r="V104" s="1"/>
      <c r="W104" s="1"/>
      <c r="X104" s="1"/>
      <c r="Y104" s="1"/>
      <c r="Z104" s="1"/>
      <c r="AA104" s="1"/>
      <c r="AB104" s="1"/>
      <c r="AC104" s="1"/>
      <c r="AD104" s="1"/>
      <c r="AE104" s="1"/>
      <c r="AF104" s="1"/>
      <c r="AG104" s="1"/>
      <c r="AH104" s="1"/>
      <c r="AI104" s="1"/>
      <c r="AJ104" s="1"/>
      <c r="AK104" s="1"/>
      <c r="AL104" s="1"/>
      <c r="AM104" s="1"/>
      <c r="AN104" s="1"/>
      <c r="AO104" s="1"/>
      <c r="AP104" s="1"/>
      <c r="AQ104" s="1"/>
      <c r="AR104" s="1"/>
    </row>
    <row r="105" spans="2:44">
      <c r="B105"/>
      <c r="C105"/>
      <c r="D105"/>
      <c r="E105"/>
      <c r="F105"/>
      <c r="G105"/>
      <c r="H105"/>
      <c r="I105"/>
      <c r="J105"/>
      <c r="K105"/>
      <c r="L105"/>
      <c r="M105"/>
      <c r="N105"/>
      <c r="O105"/>
      <c r="P105"/>
      <c r="Q105"/>
      <c r="R105"/>
      <c r="S105" s="60"/>
      <c r="T105" s="60"/>
      <c r="U105" s="60"/>
      <c r="V105" s="1"/>
      <c r="W105" s="1"/>
      <c r="X105" s="1"/>
      <c r="Y105" s="1"/>
      <c r="Z105" s="1"/>
      <c r="AA105" s="1"/>
      <c r="AB105" s="1"/>
      <c r="AC105" s="1"/>
      <c r="AD105" s="1"/>
      <c r="AE105" s="1"/>
      <c r="AF105" s="1"/>
      <c r="AG105" s="1"/>
      <c r="AH105" s="1"/>
      <c r="AI105" s="1"/>
      <c r="AJ105" s="1"/>
      <c r="AK105" s="1"/>
      <c r="AL105" s="1"/>
      <c r="AM105" s="1"/>
      <c r="AN105" s="1"/>
      <c r="AO105" s="1"/>
      <c r="AP105" s="1"/>
      <c r="AQ105" s="1"/>
      <c r="AR105" s="1"/>
    </row>
    <row r="106" spans="2:44">
      <c r="B106"/>
      <c r="C106"/>
      <c r="D106"/>
      <c r="E106"/>
      <c r="F106"/>
      <c r="G106"/>
      <c r="H106"/>
      <c r="I106"/>
      <c r="J106"/>
      <c r="K106"/>
      <c r="L106"/>
      <c r="M106"/>
      <c r="N106"/>
      <c r="O106"/>
      <c r="P106"/>
      <c r="Q106"/>
      <c r="R106"/>
      <c r="S106" s="60"/>
      <c r="T106" s="60"/>
      <c r="U106" s="60"/>
      <c r="V106" s="1"/>
      <c r="W106" s="1"/>
      <c r="X106" s="1"/>
      <c r="Y106" s="1"/>
      <c r="Z106" s="1"/>
      <c r="AA106" s="1"/>
      <c r="AB106" s="1"/>
      <c r="AC106" s="1"/>
      <c r="AD106" s="1"/>
      <c r="AE106" s="1"/>
      <c r="AF106" s="1"/>
      <c r="AG106" s="1"/>
      <c r="AH106" s="1"/>
      <c r="AI106" s="1"/>
      <c r="AJ106" s="1"/>
      <c r="AK106" s="1"/>
      <c r="AL106" s="1"/>
      <c r="AM106" s="1"/>
      <c r="AN106" s="1"/>
      <c r="AO106" s="1"/>
      <c r="AP106" s="1"/>
      <c r="AQ106" s="1"/>
      <c r="AR106" s="1"/>
    </row>
    <row r="107" spans="2:44">
      <c r="B107"/>
      <c r="C107"/>
      <c r="D107"/>
      <c r="E107"/>
      <c r="F107"/>
      <c r="G107"/>
      <c r="H107"/>
      <c r="I107"/>
      <c r="J107"/>
      <c r="K107"/>
      <c r="L107"/>
      <c r="M107"/>
      <c r="N107"/>
      <c r="O107"/>
      <c r="P107"/>
      <c r="Q107"/>
      <c r="R107"/>
      <c r="S107" s="60"/>
      <c r="T107" s="60"/>
      <c r="U107" s="60"/>
      <c r="V107" s="1"/>
      <c r="W107" s="1"/>
      <c r="X107" s="1"/>
      <c r="Y107" s="1"/>
      <c r="Z107" s="1"/>
      <c r="AA107" s="1"/>
      <c r="AB107" s="1"/>
      <c r="AC107" s="1"/>
      <c r="AD107" s="1"/>
      <c r="AE107" s="1"/>
      <c r="AF107" s="1"/>
      <c r="AG107" s="1"/>
      <c r="AH107" s="1"/>
      <c r="AI107" s="1"/>
      <c r="AJ107" s="1"/>
      <c r="AK107" s="1"/>
      <c r="AL107" s="1"/>
      <c r="AM107" s="1"/>
      <c r="AN107" s="1"/>
      <c r="AO107" s="1"/>
      <c r="AP107" s="1"/>
      <c r="AQ107" s="1"/>
      <c r="AR107" s="1"/>
    </row>
    <row r="108" spans="2:44">
      <c r="B108"/>
      <c r="C108"/>
      <c r="D108"/>
      <c r="E108"/>
      <c r="F108"/>
      <c r="G108"/>
      <c r="H108"/>
      <c r="I108"/>
      <c r="J108"/>
      <c r="K108"/>
      <c r="L108"/>
      <c r="M108"/>
      <c r="N108"/>
      <c r="O108"/>
      <c r="P108"/>
      <c r="Q108"/>
      <c r="R108"/>
      <c r="S108" s="60"/>
      <c r="T108" s="60"/>
      <c r="U108" s="60"/>
      <c r="V108" s="1"/>
      <c r="W108" s="1"/>
      <c r="X108" s="1"/>
      <c r="Y108" s="1"/>
      <c r="Z108" s="1"/>
      <c r="AA108" s="1"/>
      <c r="AB108" s="1"/>
      <c r="AC108" s="1"/>
      <c r="AD108" s="1"/>
      <c r="AE108" s="1"/>
      <c r="AF108" s="1"/>
      <c r="AG108" s="1"/>
      <c r="AH108" s="1"/>
      <c r="AI108" s="1"/>
      <c r="AJ108" s="1"/>
      <c r="AK108" s="1"/>
      <c r="AL108" s="1"/>
      <c r="AM108" s="1"/>
      <c r="AN108" s="1"/>
      <c r="AO108" s="1"/>
      <c r="AP108" s="1"/>
      <c r="AQ108" s="1"/>
      <c r="AR108" s="1"/>
    </row>
    <row r="109" spans="2:44">
      <c r="B109"/>
      <c r="C109"/>
      <c r="D109"/>
      <c r="E109"/>
      <c r="F109"/>
      <c r="G109"/>
      <c r="H109"/>
      <c r="I109"/>
      <c r="J109"/>
      <c r="K109"/>
      <c r="L109"/>
      <c r="M109"/>
      <c r="N109"/>
      <c r="O109"/>
      <c r="P109"/>
      <c r="Q109"/>
      <c r="R109"/>
      <c r="S109" s="60"/>
      <c r="T109" s="60"/>
      <c r="U109" s="60"/>
      <c r="V109" s="1"/>
      <c r="W109" s="1"/>
      <c r="X109" s="1"/>
      <c r="Y109" s="1"/>
      <c r="Z109" s="1"/>
      <c r="AA109" s="1"/>
      <c r="AB109" s="1"/>
      <c r="AC109" s="1"/>
      <c r="AD109" s="1"/>
      <c r="AE109" s="1"/>
      <c r="AF109" s="1"/>
      <c r="AG109" s="1"/>
      <c r="AH109" s="1"/>
      <c r="AI109" s="1"/>
      <c r="AJ109" s="1"/>
      <c r="AK109" s="1"/>
      <c r="AL109" s="1"/>
      <c r="AM109" s="1"/>
      <c r="AN109" s="1"/>
      <c r="AO109" s="1"/>
      <c r="AP109" s="1"/>
      <c r="AQ109" s="1"/>
      <c r="AR109" s="1"/>
    </row>
    <row r="110" spans="2:44">
      <c r="B110"/>
      <c r="C110"/>
      <c r="D110"/>
      <c r="E110"/>
      <c r="F110"/>
      <c r="G110"/>
      <c r="H110"/>
      <c r="I110"/>
      <c r="J110"/>
      <c r="K110"/>
      <c r="L110"/>
      <c r="M110"/>
      <c r="N110"/>
      <c r="O110"/>
      <c r="P110"/>
      <c r="Q110"/>
      <c r="R110"/>
      <c r="S110" s="60"/>
      <c r="T110" s="60"/>
      <c r="U110" s="60"/>
      <c r="V110" s="1"/>
      <c r="W110" s="1"/>
      <c r="X110" s="1"/>
      <c r="Y110" s="1"/>
      <c r="Z110" s="1"/>
      <c r="AA110" s="1"/>
      <c r="AB110" s="1"/>
      <c r="AC110" s="1"/>
      <c r="AD110" s="1"/>
      <c r="AE110" s="1"/>
      <c r="AF110" s="1"/>
      <c r="AG110" s="1"/>
      <c r="AH110" s="1"/>
      <c r="AI110" s="1"/>
      <c r="AJ110" s="1"/>
      <c r="AK110" s="1"/>
      <c r="AL110" s="1"/>
      <c r="AM110" s="1"/>
      <c r="AN110" s="1"/>
      <c r="AO110" s="1"/>
      <c r="AP110" s="1"/>
      <c r="AQ110" s="1"/>
      <c r="AR110" s="1"/>
    </row>
    <row r="111" spans="2:44">
      <c r="B111"/>
      <c r="C111"/>
      <c r="D111"/>
      <c r="E111"/>
      <c r="F111"/>
      <c r="G111"/>
      <c r="H111"/>
      <c r="I111"/>
      <c r="J111"/>
      <c r="K111"/>
      <c r="L111"/>
      <c r="M111"/>
      <c r="N111"/>
      <c r="O111"/>
      <c r="P111"/>
      <c r="Q111"/>
      <c r="R111"/>
      <c r="S111" s="60"/>
      <c r="T111" s="60"/>
      <c r="U111" s="60"/>
      <c r="V111" s="1"/>
      <c r="W111" s="1"/>
      <c r="X111" s="1"/>
      <c r="Y111" s="1"/>
      <c r="Z111" s="1"/>
      <c r="AA111" s="1"/>
      <c r="AB111" s="1"/>
      <c r="AC111" s="1"/>
      <c r="AD111" s="1"/>
      <c r="AE111" s="1"/>
      <c r="AF111" s="1"/>
      <c r="AG111" s="1"/>
      <c r="AH111" s="1"/>
      <c r="AI111" s="1"/>
      <c r="AJ111" s="1"/>
      <c r="AK111" s="1"/>
      <c r="AL111" s="1"/>
      <c r="AM111" s="1"/>
      <c r="AN111" s="1"/>
      <c r="AO111" s="1"/>
      <c r="AP111" s="1"/>
      <c r="AQ111" s="1"/>
      <c r="AR111" s="1"/>
    </row>
    <row r="112" spans="2:44">
      <c r="B112"/>
      <c r="C112"/>
      <c r="D112"/>
      <c r="E112"/>
      <c r="F112"/>
      <c r="G112"/>
      <c r="H112"/>
      <c r="I112"/>
      <c r="J112"/>
      <c r="K112"/>
      <c r="L112"/>
      <c r="M112"/>
      <c r="N112"/>
      <c r="O112"/>
      <c r="P112"/>
      <c r="Q112"/>
      <c r="R112"/>
      <c r="S112" s="60"/>
      <c r="T112" s="60"/>
      <c r="U112" s="60"/>
      <c r="V112" s="1"/>
      <c r="W112" s="1"/>
      <c r="X112" s="1"/>
      <c r="Y112" s="1"/>
      <c r="Z112" s="1"/>
      <c r="AA112" s="1"/>
      <c r="AB112" s="1"/>
      <c r="AC112" s="1"/>
      <c r="AD112" s="1"/>
      <c r="AE112" s="1"/>
      <c r="AF112" s="1"/>
      <c r="AG112" s="1"/>
      <c r="AH112" s="1"/>
      <c r="AI112" s="1"/>
      <c r="AJ112" s="1"/>
      <c r="AK112" s="1"/>
      <c r="AL112" s="1"/>
      <c r="AM112" s="1"/>
      <c r="AN112" s="1"/>
      <c r="AO112" s="1"/>
      <c r="AP112" s="1"/>
      <c r="AQ112" s="1"/>
      <c r="AR112" s="1"/>
    </row>
    <row r="113" spans="2:44">
      <c r="B113"/>
      <c r="C113"/>
      <c r="D113"/>
      <c r="E113"/>
      <c r="F113"/>
      <c r="G113"/>
      <c r="H113"/>
      <c r="I113"/>
      <c r="J113"/>
      <c r="K113"/>
      <c r="L113"/>
      <c r="M113"/>
      <c r="N113"/>
      <c r="O113"/>
      <c r="P113"/>
      <c r="Q113"/>
      <c r="R113"/>
      <c r="S113" s="60"/>
      <c r="T113" s="60"/>
      <c r="U113" s="60"/>
      <c r="V113" s="1"/>
      <c r="W113" s="1"/>
      <c r="X113" s="1"/>
      <c r="Y113" s="1"/>
      <c r="Z113" s="1"/>
      <c r="AA113" s="1"/>
      <c r="AB113" s="1"/>
      <c r="AC113" s="1"/>
      <c r="AD113" s="1"/>
      <c r="AE113" s="1"/>
      <c r="AF113" s="1"/>
      <c r="AG113" s="1"/>
      <c r="AH113" s="1"/>
      <c r="AI113" s="1"/>
      <c r="AJ113" s="1"/>
      <c r="AK113" s="1"/>
      <c r="AL113" s="1"/>
      <c r="AM113" s="1"/>
      <c r="AN113" s="1"/>
      <c r="AO113" s="1"/>
      <c r="AP113" s="1"/>
      <c r="AQ113" s="1"/>
      <c r="AR113" s="1"/>
    </row>
    <row r="114" spans="2:44">
      <c r="B114"/>
      <c r="C114"/>
      <c r="D114"/>
      <c r="E114"/>
      <c r="F114"/>
      <c r="G114"/>
      <c r="H114"/>
      <c r="I114"/>
      <c r="J114"/>
      <c r="K114"/>
      <c r="L114"/>
      <c r="M114"/>
      <c r="N114"/>
      <c r="O114"/>
      <c r="P114"/>
      <c r="Q114"/>
      <c r="R114"/>
      <c r="S114" s="60"/>
      <c r="T114" s="60"/>
      <c r="U114" s="60"/>
      <c r="V114" s="1"/>
      <c r="W114" s="1"/>
      <c r="X114" s="1"/>
      <c r="Y114" s="1"/>
      <c r="Z114" s="1"/>
      <c r="AA114" s="1"/>
      <c r="AB114" s="1"/>
      <c r="AC114" s="1"/>
      <c r="AD114" s="1"/>
      <c r="AE114" s="1"/>
      <c r="AF114" s="1"/>
      <c r="AG114" s="1"/>
      <c r="AH114" s="1"/>
      <c r="AI114" s="1"/>
      <c r="AJ114" s="1"/>
      <c r="AK114" s="1"/>
      <c r="AL114" s="1"/>
      <c r="AM114" s="1"/>
      <c r="AN114" s="1"/>
      <c r="AO114" s="1"/>
      <c r="AP114" s="1"/>
      <c r="AQ114" s="1"/>
      <c r="AR114" s="1"/>
    </row>
    <row r="115" spans="2:44">
      <c r="B115"/>
      <c r="C115"/>
      <c r="D115"/>
      <c r="E115"/>
      <c r="F115"/>
      <c r="G115"/>
      <c r="H115"/>
      <c r="I115"/>
      <c r="J115"/>
      <c r="K115"/>
      <c r="L115"/>
      <c r="M115"/>
      <c r="N115"/>
      <c r="O115"/>
      <c r="P115"/>
      <c r="Q115"/>
      <c r="R115"/>
      <c r="S115" s="60"/>
      <c r="T115" s="60"/>
      <c r="U115" s="60"/>
      <c r="V115" s="1"/>
      <c r="W115" s="1"/>
      <c r="X115" s="1"/>
      <c r="Y115" s="1"/>
      <c r="Z115" s="1"/>
      <c r="AA115" s="1"/>
      <c r="AB115" s="1"/>
      <c r="AC115" s="1"/>
      <c r="AD115" s="1"/>
      <c r="AE115" s="1"/>
      <c r="AF115" s="1"/>
      <c r="AG115" s="1"/>
      <c r="AH115" s="1"/>
      <c r="AI115" s="1"/>
      <c r="AJ115" s="1"/>
      <c r="AK115" s="1"/>
      <c r="AL115" s="1"/>
      <c r="AM115" s="1"/>
      <c r="AN115" s="1"/>
      <c r="AO115" s="1"/>
      <c r="AP115" s="1"/>
      <c r="AQ115" s="1"/>
      <c r="AR115" s="1"/>
    </row>
    <row r="116" spans="2:44">
      <c r="B116"/>
      <c r="C116"/>
      <c r="D116"/>
      <c r="E116"/>
      <c r="F116"/>
      <c r="G116"/>
      <c r="H116"/>
      <c r="I116"/>
      <c r="J116"/>
      <c r="K116"/>
      <c r="L116"/>
      <c r="M116"/>
      <c r="N116"/>
      <c r="O116"/>
      <c r="P116"/>
      <c r="Q116"/>
      <c r="R116"/>
      <c r="S116" s="60"/>
      <c r="T116" s="60"/>
      <c r="U116" s="60"/>
      <c r="V116" s="1"/>
      <c r="W116" s="1"/>
      <c r="X116" s="1"/>
      <c r="Y116" s="1"/>
      <c r="Z116" s="1"/>
      <c r="AA116" s="1"/>
      <c r="AB116" s="1"/>
      <c r="AC116" s="1"/>
      <c r="AD116" s="1"/>
      <c r="AE116" s="1"/>
      <c r="AF116" s="1"/>
      <c r="AG116" s="1"/>
      <c r="AH116" s="1"/>
      <c r="AI116" s="1"/>
      <c r="AJ116" s="1"/>
      <c r="AK116" s="1"/>
      <c r="AL116" s="1"/>
      <c r="AM116" s="1"/>
      <c r="AN116" s="1"/>
      <c r="AO116" s="1"/>
      <c r="AP116" s="1"/>
      <c r="AQ116" s="1"/>
      <c r="AR116" s="1"/>
    </row>
    <row r="117" spans="2:44">
      <c r="B117"/>
      <c r="C117"/>
      <c r="D117"/>
      <c r="E117"/>
      <c r="F117"/>
      <c r="G117"/>
      <c r="H117"/>
      <c r="I117"/>
      <c r="J117"/>
      <c r="K117"/>
      <c r="L117"/>
      <c r="M117"/>
      <c r="N117"/>
      <c r="O117"/>
      <c r="P117"/>
      <c r="Q117"/>
      <c r="R117"/>
      <c r="S117" s="60"/>
      <c r="T117" s="60"/>
      <c r="U117" s="60"/>
      <c r="V117" s="1"/>
      <c r="W117" s="1"/>
      <c r="X117" s="1"/>
      <c r="Y117" s="1"/>
      <c r="Z117" s="1"/>
      <c r="AA117" s="1"/>
      <c r="AB117" s="1"/>
      <c r="AC117" s="1"/>
      <c r="AD117" s="1"/>
      <c r="AE117" s="1"/>
      <c r="AF117" s="1"/>
      <c r="AG117" s="1"/>
      <c r="AH117" s="1"/>
      <c r="AI117" s="1"/>
      <c r="AJ117" s="1"/>
      <c r="AK117" s="1"/>
      <c r="AL117" s="1"/>
      <c r="AM117" s="1"/>
      <c r="AN117" s="1"/>
      <c r="AO117" s="1"/>
      <c r="AP117" s="1"/>
      <c r="AQ117" s="1"/>
      <c r="AR117" s="1"/>
    </row>
    <row r="118" spans="2:44">
      <c r="B118"/>
      <c r="C118"/>
      <c r="D118"/>
      <c r="E118"/>
      <c r="F118"/>
      <c r="G118"/>
      <c r="H118"/>
      <c r="I118"/>
      <c r="J118"/>
      <c r="K118"/>
      <c r="L118"/>
      <c r="M118"/>
      <c r="N118"/>
      <c r="O118"/>
      <c r="P118"/>
      <c r="Q118"/>
      <c r="R118"/>
      <c r="S118" s="60"/>
      <c r="T118" s="60"/>
      <c r="U118" s="60"/>
      <c r="V118" s="1"/>
      <c r="W118" s="1"/>
      <c r="X118" s="1"/>
      <c r="Y118" s="1"/>
      <c r="Z118" s="1"/>
      <c r="AA118" s="1"/>
      <c r="AB118" s="1"/>
      <c r="AC118" s="1"/>
      <c r="AD118" s="1"/>
      <c r="AE118" s="1"/>
      <c r="AF118" s="1"/>
      <c r="AG118" s="1"/>
      <c r="AH118" s="1"/>
      <c r="AI118" s="1"/>
      <c r="AJ118" s="1"/>
      <c r="AK118" s="1"/>
      <c r="AL118" s="1"/>
      <c r="AM118" s="1"/>
      <c r="AN118" s="1"/>
      <c r="AO118" s="1"/>
      <c r="AP118" s="1"/>
      <c r="AQ118" s="1"/>
      <c r="AR118" s="1"/>
    </row>
    <row r="119" spans="2:44">
      <c r="B119"/>
      <c r="C119"/>
      <c r="D119"/>
      <c r="E119"/>
      <c r="F119"/>
      <c r="G119"/>
      <c r="H119"/>
      <c r="I119"/>
      <c r="J119"/>
      <c r="K119"/>
      <c r="L119"/>
      <c r="M119"/>
      <c r="N119"/>
      <c r="O119"/>
      <c r="P119"/>
      <c r="Q119"/>
      <c r="R119"/>
      <c r="S119" s="60"/>
      <c r="T119" s="60"/>
      <c r="U119" s="60"/>
      <c r="V119" s="1"/>
      <c r="W119" s="1"/>
      <c r="X119" s="1"/>
      <c r="Y119" s="1"/>
      <c r="Z119" s="1"/>
      <c r="AA119" s="1"/>
      <c r="AB119" s="1"/>
      <c r="AC119" s="1"/>
      <c r="AD119" s="1"/>
      <c r="AE119" s="1"/>
      <c r="AF119" s="1"/>
      <c r="AG119" s="1"/>
      <c r="AH119" s="1"/>
      <c r="AI119" s="1"/>
      <c r="AJ119" s="1"/>
      <c r="AK119" s="1"/>
      <c r="AL119" s="1"/>
      <c r="AM119" s="1"/>
      <c r="AN119" s="1"/>
      <c r="AO119" s="1"/>
      <c r="AP119" s="1"/>
      <c r="AQ119" s="1"/>
      <c r="AR119" s="1"/>
    </row>
    <row r="120" spans="2:44">
      <c r="B120"/>
      <c r="C120"/>
      <c r="D120"/>
      <c r="E120"/>
      <c r="F120"/>
      <c r="G120"/>
      <c r="H120"/>
      <c r="I120"/>
      <c r="J120"/>
      <c r="K120"/>
      <c r="L120"/>
      <c r="M120"/>
      <c r="N120"/>
      <c r="O120"/>
      <c r="P120"/>
      <c r="Q120"/>
      <c r="R120"/>
      <c r="S120" s="60"/>
      <c r="T120" s="60"/>
      <c r="U120" s="60"/>
      <c r="V120" s="1"/>
      <c r="W120" s="1"/>
      <c r="X120" s="1"/>
      <c r="Y120" s="1"/>
      <c r="Z120" s="1"/>
      <c r="AA120" s="1"/>
      <c r="AB120" s="1"/>
      <c r="AC120" s="1"/>
      <c r="AD120" s="1"/>
      <c r="AE120" s="1"/>
      <c r="AF120" s="1"/>
      <c r="AG120" s="1"/>
      <c r="AH120" s="1"/>
      <c r="AI120" s="1"/>
      <c r="AJ120" s="1"/>
      <c r="AK120" s="1"/>
      <c r="AL120" s="1"/>
      <c r="AM120" s="1"/>
      <c r="AN120" s="1"/>
      <c r="AO120" s="1"/>
      <c r="AP120" s="1"/>
      <c r="AQ120" s="1"/>
      <c r="AR120" s="1"/>
    </row>
    <row r="121" spans="2:44">
      <c r="B121"/>
      <c r="C121"/>
      <c r="D121"/>
      <c r="E121"/>
      <c r="F121"/>
      <c r="G121"/>
      <c r="H121"/>
      <c r="I121"/>
      <c r="J121"/>
      <c r="K121"/>
      <c r="L121"/>
      <c r="M121"/>
      <c r="N121"/>
      <c r="O121"/>
      <c r="P121"/>
      <c r="Q121"/>
      <c r="R121"/>
      <c r="S121" s="60"/>
      <c r="T121" s="60"/>
      <c r="U121" s="60"/>
      <c r="V121" s="1"/>
      <c r="W121" s="1"/>
      <c r="X121" s="1"/>
      <c r="Y121" s="1"/>
      <c r="Z121" s="1"/>
      <c r="AA121" s="1"/>
      <c r="AB121" s="1"/>
      <c r="AC121" s="1"/>
      <c r="AD121" s="1"/>
      <c r="AE121" s="1"/>
      <c r="AF121" s="1"/>
      <c r="AG121" s="1"/>
      <c r="AH121" s="1"/>
      <c r="AI121" s="1"/>
      <c r="AJ121" s="1"/>
      <c r="AK121" s="1"/>
      <c r="AL121" s="1"/>
      <c r="AM121" s="1"/>
      <c r="AN121" s="1"/>
      <c r="AO121" s="1"/>
      <c r="AP121" s="1"/>
      <c r="AQ121" s="1"/>
      <c r="AR121" s="1"/>
    </row>
    <row r="122" spans="2:44">
      <c r="B122"/>
      <c r="C122"/>
      <c r="D122"/>
      <c r="E122"/>
      <c r="F122"/>
      <c r="G122"/>
      <c r="H122"/>
      <c r="I122"/>
      <c r="J122"/>
      <c r="K122"/>
      <c r="L122"/>
      <c r="M122"/>
      <c r="N122"/>
      <c r="O122"/>
      <c r="P122"/>
      <c r="Q122"/>
      <c r="R122"/>
      <c r="S122" s="60"/>
      <c r="T122" s="60"/>
      <c r="U122" s="60"/>
      <c r="V122" s="1"/>
      <c r="W122" s="1"/>
      <c r="X122" s="1"/>
      <c r="Y122" s="1"/>
      <c r="Z122" s="1"/>
      <c r="AA122" s="1"/>
      <c r="AB122" s="1"/>
      <c r="AC122" s="1"/>
      <c r="AD122" s="1"/>
      <c r="AE122" s="1"/>
      <c r="AF122" s="1"/>
      <c r="AG122" s="1"/>
      <c r="AH122" s="1"/>
      <c r="AI122" s="1"/>
      <c r="AJ122" s="1"/>
      <c r="AK122" s="1"/>
      <c r="AL122" s="1"/>
      <c r="AM122" s="1"/>
      <c r="AN122" s="1"/>
      <c r="AO122" s="1"/>
      <c r="AP122" s="1"/>
      <c r="AQ122" s="1"/>
      <c r="AR122" s="1"/>
    </row>
    <row r="123" spans="2:44">
      <c r="B123"/>
      <c r="C123"/>
      <c r="D123"/>
      <c r="E123"/>
      <c r="F123"/>
      <c r="G123"/>
      <c r="H123"/>
      <c r="I123"/>
      <c r="J123"/>
      <c r="K123"/>
      <c r="L123"/>
      <c r="M123"/>
      <c r="N123"/>
      <c r="O123"/>
      <c r="P123"/>
      <c r="Q123"/>
      <c r="R123"/>
      <c r="S123" s="60"/>
      <c r="T123" s="60"/>
      <c r="U123" s="60"/>
      <c r="V123" s="1"/>
      <c r="W123" s="1"/>
      <c r="X123" s="1"/>
      <c r="Y123" s="1"/>
      <c r="Z123" s="1"/>
      <c r="AA123" s="1"/>
      <c r="AB123" s="1"/>
      <c r="AC123" s="1"/>
      <c r="AD123" s="1"/>
      <c r="AE123" s="1"/>
      <c r="AF123" s="1"/>
      <c r="AG123" s="1"/>
      <c r="AH123" s="1"/>
      <c r="AI123" s="1"/>
      <c r="AJ123" s="1"/>
      <c r="AK123" s="1"/>
      <c r="AL123" s="1"/>
      <c r="AM123" s="1"/>
      <c r="AN123" s="1"/>
      <c r="AO123" s="1"/>
      <c r="AP123" s="1"/>
      <c r="AQ123" s="1"/>
      <c r="AR123" s="1"/>
    </row>
    <row r="124" spans="2:44">
      <c r="B124"/>
      <c r="C124"/>
      <c r="D124"/>
      <c r="E124"/>
      <c r="F124"/>
      <c r="G124"/>
      <c r="H124"/>
      <c r="I124"/>
      <c r="J124"/>
      <c r="K124"/>
      <c r="L124"/>
      <c r="M124"/>
      <c r="N124"/>
      <c r="O124"/>
      <c r="P124"/>
      <c r="Q124"/>
      <c r="R124"/>
      <c r="S124" s="60"/>
      <c r="T124" s="60"/>
      <c r="U124" s="60"/>
      <c r="V124" s="1"/>
      <c r="W124" s="1"/>
      <c r="X124" s="1"/>
      <c r="Y124" s="1"/>
      <c r="Z124" s="1"/>
      <c r="AA124" s="1"/>
      <c r="AB124" s="1"/>
      <c r="AC124" s="1"/>
      <c r="AD124" s="1"/>
      <c r="AE124" s="1"/>
      <c r="AF124" s="1"/>
      <c r="AG124" s="1"/>
      <c r="AH124" s="1"/>
      <c r="AI124" s="1"/>
      <c r="AJ124" s="1"/>
      <c r="AK124" s="1"/>
      <c r="AL124" s="1"/>
      <c r="AM124" s="1"/>
      <c r="AN124" s="1"/>
      <c r="AO124" s="1"/>
      <c r="AP124" s="1"/>
      <c r="AQ124" s="1"/>
      <c r="AR124" s="1"/>
    </row>
    <row r="125" spans="2:44">
      <c r="B125"/>
      <c r="C125"/>
      <c r="D125"/>
      <c r="E125"/>
      <c r="F125"/>
      <c r="G125"/>
      <c r="H125"/>
      <c r="I125"/>
      <c r="J125"/>
      <c r="K125"/>
      <c r="L125"/>
      <c r="M125"/>
      <c r="N125"/>
      <c r="O125"/>
      <c r="P125"/>
      <c r="Q125"/>
      <c r="R125"/>
      <c r="S125" s="60"/>
      <c r="T125" s="60"/>
      <c r="U125" s="60"/>
      <c r="V125" s="1"/>
      <c r="W125" s="1"/>
      <c r="X125" s="1"/>
      <c r="Y125" s="1"/>
      <c r="Z125" s="1"/>
      <c r="AA125" s="1"/>
      <c r="AB125" s="1"/>
      <c r="AC125" s="1"/>
      <c r="AD125" s="1"/>
      <c r="AE125" s="1"/>
      <c r="AF125" s="1"/>
      <c r="AG125" s="1"/>
      <c r="AH125" s="1"/>
      <c r="AI125" s="1"/>
      <c r="AJ125" s="1"/>
      <c r="AK125" s="1"/>
      <c r="AL125" s="1"/>
      <c r="AM125" s="1"/>
      <c r="AN125" s="1"/>
      <c r="AO125" s="1"/>
      <c r="AP125" s="1"/>
      <c r="AQ125" s="1"/>
      <c r="AR125" s="1"/>
    </row>
    <row r="126" spans="2:44">
      <c r="B126"/>
      <c r="C126"/>
      <c r="D126"/>
      <c r="E126"/>
      <c r="F126"/>
      <c r="G126"/>
      <c r="H126"/>
      <c r="I126"/>
      <c r="J126"/>
      <c r="K126"/>
      <c r="L126"/>
      <c r="M126"/>
      <c r="N126"/>
      <c r="O126"/>
      <c r="P126"/>
      <c r="Q126"/>
      <c r="R126"/>
      <c r="S126" s="60"/>
      <c r="T126" s="60"/>
      <c r="U126" s="60"/>
      <c r="V126" s="1"/>
      <c r="W126" s="1"/>
      <c r="X126" s="1"/>
      <c r="Y126" s="1"/>
      <c r="Z126" s="1"/>
      <c r="AA126" s="1"/>
      <c r="AB126" s="1"/>
      <c r="AC126" s="1"/>
      <c r="AD126" s="1"/>
      <c r="AE126" s="1"/>
      <c r="AF126" s="1"/>
      <c r="AG126" s="1"/>
      <c r="AH126" s="1"/>
      <c r="AI126" s="1"/>
      <c r="AJ126" s="1"/>
      <c r="AK126" s="1"/>
      <c r="AL126" s="1"/>
      <c r="AM126" s="1"/>
      <c r="AN126" s="1"/>
      <c r="AO126" s="1"/>
      <c r="AP126" s="1"/>
      <c r="AQ126" s="1"/>
      <c r="AR126" s="1"/>
    </row>
    <row r="127" spans="2:44">
      <c r="B127"/>
      <c r="C127"/>
      <c r="D127"/>
      <c r="E127"/>
      <c r="F127"/>
      <c r="G127"/>
      <c r="H127"/>
      <c r="I127"/>
      <c r="J127"/>
      <c r="K127"/>
      <c r="L127"/>
      <c r="M127"/>
      <c r="N127"/>
      <c r="O127"/>
      <c r="P127"/>
      <c r="Q127"/>
      <c r="R127"/>
      <c r="S127" s="60"/>
      <c r="T127" s="60"/>
      <c r="U127" s="60"/>
      <c r="V127" s="1"/>
      <c r="W127" s="1"/>
      <c r="X127" s="1"/>
      <c r="Y127" s="1"/>
      <c r="Z127" s="1"/>
      <c r="AA127" s="1"/>
      <c r="AB127" s="1"/>
      <c r="AC127" s="1"/>
      <c r="AD127" s="1"/>
      <c r="AE127" s="1"/>
      <c r="AF127" s="1"/>
      <c r="AG127" s="1"/>
      <c r="AH127" s="1"/>
      <c r="AI127" s="1"/>
      <c r="AJ127" s="1"/>
      <c r="AK127" s="1"/>
      <c r="AL127" s="1"/>
      <c r="AM127" s="1"/>
      <c r="AN127" s="1"/>
      <c r="AO127" s="1"/>
      <c r="AP127" s="1"/>
      <c r="AQ127" s="1"/>
      <c r="AR127" s="1"/>
    </row>
    <row r="128" spans="2:44">
      <c r="B128"/>
      <c r="C128"/>
      <c r="D128"/>
      <c r="E128"/>
      <c r="F128"/>
      <c r="G128"/>
      <c r="H128"/>
      <c r="I128"/>
      <c r="J128"/>
      <c r="K128"/>
      <c r="L128"/>
      <c r="M128"/>
      <c r="N128"/>
      <c r="O128"/>
      <c r="P128"/>
      <c r="Q128"/>
      <c r="R128"/>
      <c r="S128" s="60"/>
      <c r="T128" s="60"/>
      <c r="U128" s="60"/>
      <c r="V128" s="1"/>
      <c r="W128" s="1"/>
      <c r="X128" s="1"/>
      <c r="Y128" s="1"/>
      <c r="Z128" s="1"/>
      <c r="AA128" s="1"/>
      <c r="AB128" s="1"/>
      <c r="AC128" s="1"/>
      <c r="AD128" s="1"/>
      <c r="AE128" s="1"/>
      <c r="AF128" s="1"/>
      <c r="AG128" s="1"/>
      <c r="AH128" s="1"/>
      <c r="AI128" s="1"/>
      <c r="AJ128" s="1"/>
      <c r="AK128" s="1"/>
      <c r="AL128" s="1"/>
      <c r="AM128" s="1"/>
      <c r="AN128" s="1"/>
      <c r="AO128" s="1"/>
      <c r="AP128" s="1"/>
      <c r="AQ128" s="1"/>
      <c r="AR128" s="1"/>
    </row>
    <row r="129" spans="1:44">
      <c r="B129"/>
      <c r="C129"/>
      <c r="D129"/>
      <c r="E129"/>
      <c r="F129"/>
      <c r="G129"/>
      <c r="H129"/>
      <c r="I129"/>
      <c r="J129"/>
      <c r="K129"/>
      <c r="L129"/>
      <c r="M129"/>
      <c r="N129"/>
      <c r="O129"/>
      <c r="P129"/>
      <c r="Q129"/>
      <c r="R129"/>
      <c r="S129" s="60"/>
      <c r="T129" s="60"/>
      <c r="U129" s="60"/>
      <c r="V129" s="1"/>
      <c r="W129" s="1"/>
      <c r="X129" s="1"/>
      <c r="Y129" s="1"/>
      <c r="Z129" s="1"/>
      <c r="AA129" s="1"/>
      <c r="AB129" s="1"/>
      <c r="AC129" s="1"/>
      <c r="AD129" s="1"/>
      <c r="AE129" s="1"/>
      <c r="AF129" s="1"/>
      <c r="AG129" s="1"/>
      <c r="AH129" s="1"/>
      <c r="AI129" s="1"/>
      <c r="AJ129" s="1"/>
      <c r="AK129" s="1"/>
      <c r="AL129" s="1"/>
      <c r="AM129" s="1"/>
      <c r="AN129" s="1"/>
      <c r="AO129" s="1"/>
      <c r="AP129" s="1"/>
      <c r="AQ129" s="1"/>
      <c r="AR129" s="1"/>
    </row>
    <row r="130" spans="1:44">
      <c r="B130"/>
      <c r="C130"/>
      <c r="D130"/>
      <c r="E130"/>
      <c r="F130"/>
      <c r="G130"/>
      <c r="H130"/>
      <c r="I130"/>
      <c r="J130"/>
      <c r="K130"/>
      <c r="L130"/>
      <c r="M130"/>
      <c r="N130"/>
      <c r="O130"/>
      <c r="P130"/>
      <c r="Q130"/>
      <c r="R130"/>
      <c r="S130" s="60"/>
      <c r="T130" s="60"/>
      <c r="U130" s="60"/>
      <c r="V130" s="1"/>
      <c r="W130" s="1"/>
      <c r="X130" s="1"/>
      <c r="Y130" s="1"/>
      <c r="Z130" s="1"/>
      <c r="AA130" s="1"/>
      <c r="AB130" s="1"/>
      <c r="AC130" s="1"/>
      <c r="AD130" s="1"/>
      <c r="AE130" s="1"/>
      <c r="AF130" s="1"/>
      <c r="AG130" s="1"/>
      <c r="AH130" s="1"/>
      <c r="AI130" s="1"/>
      <c r="AJ130" s="1"/>
      <c r="AK130" s="1"/>
      <c r="AL130" s="1"/>
      <c r="AM130" s="1"/>
      <c r="AN130" s="1"/>
      <c r="AO130" s="1"/>
      <c r="AP130" s="1"/>
      <c r="AQ130" s="1"/>
      <c r="AR130" s="1"/>
    </row>
    <row r="131" spans="1:44">
      <c r="B131"/>
      <c r="C131"/>
      <c r="D131"/>
      <c r="E131"/>
      <c r="F131"/>
      <c r="G131"/>
      <c r="H131"/>
      <c r="I131"/>
      <c r="J131"/>
      <c r="K131"/>
      <c r="L131"/>
      <c r="M131"/>
      <c r="N131"/>
      <c r="O131"/>
      <c r="P131"/>
      <c r="Q131"/>
      <c r="R131"/>
      <c r="S131" s="60"/>
      <c r="T131" s="60"/>
      <c r="U131" s="60"/>
      <c r="V131" s="1"/>
      <c r="W131" s="1"/>
      <c r="X131" s="1"/>
      <c r="Y131" s="1"/>
      <c r="Z131" s="1"/>
      <c r="AA131" s="1"/>
      <c r="AB131" s="1"/>
      <c r="AC131" s="1"/>
      <c r="AD131" s="1"/>
      <c r="AE131" s="1"/>
      <c r="AF131" s="1"/>
      <c r="AG131" s="1"/>
      <c r="AH131" s="1"/>
      <c r="AI131" s="1"/>
      <c r="AJ131" s="1"/>
      <c r="AK131" s="1"/>
      <c r="AL131" s="1"/>
      <c r="AM131" s="1"/>
      <c r="AN131" s="1"/>
      <c r="AO131" s="1"/>
      <c r="AP131" s="1"/>
      <c r="AQ131" s="1"/>
      <c r="AR131" s="1"/>
    </row>
    <row r="132" spans="1:44">
      <c r="B132"/>
      <c r="C132"/>
      <c r="D132"/>
      <c r="E132"/>
      <c r="F132"/>
      <c r="G132"/>
      <c r="H132"/>
      <c r="I132"/>
      <c r="J132"/>
      <c r="K132"/>
      <c r="L132"/>
      <c r="M132"/>
      <c r="N132"/>
      <c r="O132"/>
      <c r="P132"/>
      <c r="Q132"/>
      <c r="R132"/>
      <c r="S132" s="60"/>
      <c r="T132" s="60"/>
      <c r="U132" s="60"/>
      <c r="V132" s="1"/>
      <c r="W132" s="1"/>
      <c r="X132" s="1"/>
      <c r="Y132" s="1"/>
      <c r="Z132" s="1"/>
      <c r="AA132" s="1"/>
      <c r="AB132" s="1"/>
      <c r="AC132" s="1"/>
      <c r="AD132" s="1"/>
      <c r="AE132" s="1"/>
      <c r="AF132" s="1"/>
      <c r="AG132" s="1"/>
      <c r="AH132" s="1"/>
      <c r="AI132" s="1"/>
      <c r="AJ132" s="1"/>
      <c r="AK132" s="1"/>
      <c r="AL132" s="1"/>
      <c r="AM132" s="1"/>
      <c r="AN132" s="1"/>
      <c r="AO132" s="1"/>
      <c r="AP132" s="1"/>
      <c r="AQ132" s="1"/>
      <c r="AR132" s="1"/>
    </row>
    <row r="133" spans="1:44">
      <c r="B133"/>
      <c r="C133"/>
      <c r="D133"/>
      <c r="E133"/>
      <c r="F133"/>
      <c r="G133"/>
      <c r="H133"/>
      <c r="I133"/>
      <c r="J133"/>
      <c r="K133"/>
      <c r="L133"/>
      <c r="M133"/>
      <c r="N133"/>
      <c r="O133"/>
      <c r="P133"/>
      <c r="Q133"/>
      <c r="R133"/>
      <c r="S133" s="60"/>
      <c r="T133" s="60"/>
      <c r="U133" s="60"/>
      <c r="V133" s="1"/>
      <c r="W133" s="1"/>
      <c r="X133" s="1"/>
      <c r="Y133" s="1"/>
      <c r="Z133" s="1"/>
      <c r="AA133" s="1"/>
      <c r="AB133" s="1"/>
      <c r="AC133" s="1"/>
      <c r="AD133" s="1"/>
      <c r="AE133" s="1"/>
      <c r="AF133" s="1"/>
      <c r="AG133" s="1"/>
      <c r="AH133" s="1"/>
      <c r="AI133" s="1"/>
      <c r="AJ133" s="1"/>
      <c r="AK133" s="1"/>
      <c r="AL133" s="1"/>
      <c r="AM133" s="1"/>
      <c r="AN133" s="1"/>
      <c r="AO133" s="1"/>
      <c r="AP133" s="1"/>
      <c r="AQ133" s="1"/>
      <c r="AR133" s="1"/>
    </row>
    <row r="134" spans="1:44">
      <c r="B134"/>
      <c r="C134"/>
      <c r="D134"/>
      <c r="E134"/>
      <c r="F134"/>
      <c r="G134"/>
      <c r="H134"/>
      <c r="I134"/>
      <c r="J134"/>
      <c r="K134"/>
      <c r="L134"/>
      <c r="M134"/>
      <c r="N134"/>
      <c r="O134"/>
      <c r="P134"/>
      <c r="Q134"/>
      <c r="R134"/>
      <c r="S134" s="60"/>
      <c r="T134" s="60"/>
      <c r="U134" s="60"/>
      <c r="V134" s="1"/>
      <c r="W134" s="1"/>
      <c r="X134" s="1"/>
      <c r="Y134" s="1"/>
      <c r="Z134" s="1"/>
      <c r="AA134" s="1"/>
      <c r="AB134" s="1"/>
      <c r="AC134" s="1"/>
      <c r="AD134" s="1"/>
      <c r="AE134" s="1"/>
      <c r="AF134" s="1"/>
      <c r="AG134" s="1"/>
      <c r="AH134" s="1"/>
      <c r="AI134" s="1"/>
      <c r="AJ134" s="1"/>
      <c r="AK134" s="1"/>
      <c r="AL134" s="1"/>
      <c r="AM134" s="1"/>
      <c r="AN134" s="1"/>
      <c r="AO134" s="1"/>
      <c r="AP134" s="1"/>
      <c r="AQ134" s="1"/>
      <c r="AR134" s="1"/>
    </row>
    <row r="135" spans="1:44">
      <c r="A135" s="1"/>
      <c r="B135" s="60"/>
      <c r="C135" s="61"/>
      <c r="D135" s="61"/>
      <c r="E135" s="60"/>
      <c r="F135" s="60"/>
      <c r="G135" s="61"/>
      <c r="H135" s="60"/>
      <c r="I135" s="60"/>
      <c r="J135" s="61"/>
      <c r="K135" s="60"/>
      <c r="L135" s="60"/>
      <c r="M135" s="60"/>
      <c r="N135" s="61"/>
      <c r="O135" s="60"/>
      <c r="P135" s="61"/>
      <c r="Q135" s="60"/>
      <c r="R135" s="61"/>
      <c r="S135" s="60"/>
      <c r="T135" s="60"/>
      <c r="U135" s="60"/>
      <c r="V135" s="1"/>
      <c r="W135" s="1"/>
      <c r="X135" s="1"/>
      <c r="Y135" s="1"/>
      <c r="Z135" s="1"/>
      <c r="AA135" s="1"/>
      <c r="AB135" s="1"/>
      <c r="AC135" s="1"/>
      <c r="AD135" s="1"/>
      <c r="AE135" s="1"/>
      <c r="AF135" s="1"/>
      <c r="AG135" s="1"/>
      <c r="AH135" s="1"/>
      <c r="AI135" s="1"/>
      <c r="AJ135" s="1"/>
      <c r="AK135" s="1"/>
      <c r="AL135" s="1"/>
      <c r="AM135" s="1"/>
      <c r="AN135" s="1"/>
      <c r="AO135" s="1"/>
      <c r="AP135" s="1"/>
      <c r="AQ135" s="1"/>
      <c r="AR135" s="1"/>
    </row>
    <row r="136" spans="1:44">
      <c r="A136" s="1" t="s">
        <v>374</v>
      </c>
      <c r="B136" s="65">
        <v>0</v>
      </c>
      <c r="C136" s="67"/>
      <c r="D136" s="67"/>
      <c r="E136" s="65"/>
      <c r="F136" s="65"/>
      <c r="G136" s="67"/>
      <c r="H136" s="65"/>
      <c r="I136" s="65"/>
      <c r="J136" s="67"/>
      <c r="K136" s="65"/>
      <c r="L136" s="65"/>
      <c r="M136" s="65"/>
      <c r="N136" s="67"/>
      <c r="O136" s="65"/>
      <c r="P136" s="67"/>
      <c r="Q136" s="60"/>
      <c r="R136" s="67"/>
      <c r="S136" s="60"/>
      <c r="T136" s="60"/>
      <c r="U136" s="60"/>
      <c r="V136" s="1"/>
      <c r="W136" s="1"/>
      <c r="X136" s="1"/>
      <c r="Y136" s="1"/>
      <c r="Z136" s="1"/>
      <c r="AA136" s="1"/>
      <c r="AB136" s="1"/>
      <c r="AC136" s="1"/>
      <c r="AD136" s="1"/>
      <c r="AE136" s="1"/>
      <c r="AF136" s="1"/>
      <c r="AG136" s="1"/>
      <c r="AH136" s="1"/>
      <c r="AI136" s="1"/>
      <c r="AJ136" s="1"/>
      <c r="AK136" s="1"/>
      <c r="AL136" s="1"/>
      <c r="AM136" s="1"/>
      <c r="AN136" s="1"/>
      <c r="AO136" s="1"/>
      <c r="AP136" s="1"/>
      <c r="AQ136" s="1"/>
      <c r="AR136" s="1"/>
    </row>
    <row r="137" spans="1:44">
      <c r="A137" s="1"/>
      <c r="B137" s="60"/>
      <c r="C137" s="61"/>
      <c r="D137" s="61"/>
      <c r="E137" s="60"/>
      <c r="F137" s="60"/>
      <c r="G137" s="61"/>
      <c r="H137" s="60"/>
      <c r="I137" s="60"/>
      <c r="J137" s="61"/>
      <c r="K137" s="60"/>
      <c r="L137" s="60"/>
      <c r="M137" s="60"/>
      <c r="N137" s="61"/>
      <c r="O137" s="60"/>
      <c r="P137" s="61"/>
      <c r="Q137" s="60"/>
      <c r="R137" s="61"/>
      <c r="S137" s="60"/>
      <c r="T137" s="60"/>
      <c r="U137" s="60"/>
      <c r="V137" s="1"/>
      <c r="W137" s="1"/>
      <c r="X137" s="1"/>
      <c r="Y137" s="1"/>
      <c r="Z137" s="1"/>
      <c r="AA137" s="1"/>
      <c r="AB137" s="1"/>
      <c r="AC137" s="1"/>
      <c r="AD137" s="1"/>
      <c r="AE137" s="1"/>
      <c r="AF137" s="1"/>
      <c r="AG137" s="1"/>
      <c r="AH137" s="1"/>
      <c r="AI137" s="1"/>
      <c r="AJ137" s="1"/>
      <c r="AK137" s="1"/>
      <c r="AL137" s="1"/>
      <c r="AM137" s="1"/>
      <c r="AN137" s="1"/>
      <c r="AO137" s="1"/>
      <c r="AP137" s="1"/>
      <c r="AQ137" s="1"/>
      <c r="AR137" s="1"/>
    </row>
    <row r="138" spans="1:44">
      <c r="A138" s="1" t="s">
        <v>375</v>
      </c>
      <c r="B138" s="65">
        <v>0</v>
      </c>
      <c r="C138" s="67"/>
      <c r="D138" s="67"/>
      <c r="E138" s="65"/>
      <c r="F138" s="65"/>
      <c r="G138" s="67"/>
      <c r="H138" s="65"/>
      <c r="I138" s="65"/>
      <c r="J138" s="67"/>
      <c r="K138" s="65"/>
      <c r="L138" s="65"/>
      <c r="M138" s="65"/>
      <c r="N138" s="67"/>
      <c r="O138" s="65"/>
      <c r="P138" s="67"/>
      <c r="Q138" s="60"/>
      <c r="R138" s="67"/>
      <c r="S138" s="60"/>
      <c r="T138" s="60"/>
      <c r="U138" s="60"/>
      <c r="V138" s="1"/>
      <c r="W138" s="1"/>
      <c r="X138" s="1"/>
      <c r="Y138" s="1"/>
      <c r="Z138" s="1"/>
      <c r="AA138" s="1"/>
      <c r="AB138" s="1"/>
      <c r="AC138" s="1"/>
      <c r="AD138" s="1"/>
      <c r="AE138" s="1"/>
      <c r="AF138" s="1"/>
      <c r="AG138" s="1"/>
      <c r="AH138" s="1"/>
      <c r="AI138" s="1"/>
      <c r="AJ138" s="1"/>
      <c r="AK138" s="1"/>
      <c r="AL138" s="1"/>
      <c r="AM138" s="1"/>
      <c r="AN138" s="1"/>
      <c r="AO138" s="1"/>
      <c r="AP138" s="1"/>
      <c r="AQ138" s="1"/>
      <c r="AR138" s="1"/>
    </row>
    <row r="139" spans="1:44">
      <c r="A139" s="1"/>
      <c r="B139" s="60"/>
      <c r="C139" s="61"/>
      <c r="D139" s="61"/>
      <c r="E139" s="60"/>
      <c r="F139" s="60"/>
      <c r="G139" s="61"/>
      <c r="H139" s="60"/>
      <c r="I139" s="60"/>
      <c r="J139" s="61"/>
      <c r="K139" s="60"/>
      <c r="L139" s="60"/>
      <c r="M139" s="60"/>
      <c r="N139" s="61"/>
      <c r="O139" s="60"/>
      <c r="P139" s="61"/>
      <c r="Q139" s="60"/>
      <c r="R139" s="61"/>
      <c r="S139" s="60"/>
      <c r="T139" s="60"/>
      <c r="U139" s="60"/>
      <c r="V139" s="1"/>
      <c r="W139" s="1"/>
      <c r="X139" s="1"/>
      <c r="Y139" s="1"/>
      <c r="Z139" s="1"/>
      <c r="AA139" s="1"/>
      <c r="AB139" s="1"/>
      <c r="AC139" s="1"/>
      <c r="AD139" s="1"/>
      <c r="AE139" s="1"/>
      <c r="AF139" s="1"/>
      <c r="AG139" s="1"/>
      <c r="AH139" s="1"/>
      <c r="AI139" s="1"/>
      <c r="AJ139" s="1"/>
      <c r="AK139" s="1"/>
      <c r="AL139" s="1"/>
      <c r="AM139" s="1"/>
      <c r="AN139" s="1"/>
      <c r="AO139" s="1"/>
      <c r="AP139" s="1"/>
      <c r="AQ139" s="1"/>
      <c r="AR139" s="1"/>
    </row>
    <row r="140" spans="1:44">
      <c r="A140" s="1" t="s">
        <v>376</v>
      </c>
      <c r="B140" s="65">
        <f>+B143+B144+B145</f>
        <v>0</v>
      </c>
      <c r="C140" s="67"/>
      <c r="D140" s="67"/>
      <c r="E140" s="65"/>
      <c r="F140" s="65"/>
      <c r="G140" s="67"/>
      <c r="H140" s="65"/>
      <c r="I140" s="65"/>
      <c r="J140" s="67"/>
      <c r="K140" s="65"/>
      <c r="L140" s="65"/>
      <c r="M140" s="65"/>
      <c r="N140" s="67"/>
      <c r="O140" s="65"/>
      <c r="P140" s="67"/>
      <c r="Q140" s="60"/>
      <c r="R140" s="67"/>
      <c r="S140" s="60"/>
      <c r="T140" s="60"/>
      <c r="U140" s="60"/>
      <c r="V140" s="1"/>
      <c r="W140" s="1"/>
      <c r="X140" s="1"/>
      <c r="Y140" s="1"/>
      <c r="Z140" s="1"/>
      <c r="AA140" s="1"/>
      <c r="AB140" s="1"/>
      <c r="AC140" s="1"/>
      <c r="AD140" s="1"/>
      <c r="AE140" s="1"/>
      <c r="AF140" s="1"/>
      <c r="AG140" s="1"/>
      <c r="AH140" s="1"/>
      <c r="AI140" s="1"/>
      <c r="AJ140" s="1"/>
      <c r="AK140" s="1"/>
      <c r="AL140" s="1"/>
      <c r="AM140" s="1"/>
      <c r="AN140" s="1"/>
      <c r="AO140" s="1"/>
      <c r="AP140" s="1"/>
      <c r="AQ140" s="1"/>
      <c r="AR140" s="1"/>
    </row>
    <row r="141" spans="1:44">
      <c r="A141" s="1" t="s">
        <v>377</v>
      </c>
      <c r="B141" s="60">
        <v>0</v>
      </c>
      <c r="C141" s="61"/>
      <c r="D141" s="61"/>
      <c r="E141" s="60"/>
      <c r="F141" s="60"/>
      <c r="G141" s="61"/>
      <c r="H141" s="60"/>
      <c r="I141" s="60"/>
      <c r="J141" s="61"/>
      <c r="K141" s="60"/>
      <c r="L141" s="60"/>
      <c r="M141" s="60"/>
      <c r="N141" s="61"/>
      <c r="O141" s="60"/>
      <c r="P141" s="61"/>
      <c r="Q141" s="60"/>
      <c r="R141" s="61"/>
      <c r="S141" s="60"/>
      <c r="T141" s="60"/>
      <c r="U141" s="60"/>
      <c r="V141" s="1"/>
      <c r="W141" s="1"/>
      <c r="X141" s="1"/>
      <c r="Y141" s="1"/>
      <c r="Z141" s="1"/>
      <c r="AA141" s="1"/>
      <c r="AB141" s="1"/>
      <c r="AC141" s="1"/>
      <c r="AD141" s="1"/>
      <c r="AE141" s="1"/>
      <c r="AF141" s="1"/>
      <c r="AG141" s="1"/>
      <c r="AH141" s="1"/>
      <c r="AI141" s="1"/>
      <c r="AJ141" s="1"/>
      <c r="AK141" s="1"/>
      <c r="AL141" s="1"/>
      <c r="AM141" s="1"/>
      <c r="AN141" s="1"/>
      <c r="AO141" s="1"/>
      <c r="AP141" s="1"/>
      <c r="AQ141" s="1"/>
      <c r="AR141" s="1"/>
    </row>
    <row r="142" spans="1:44">
      <c r="A142" s="1" t="s">
        <v>378</v>
      </c>
      <c r="B142" s="60">
        <v>0</v>
      </c>
      <c r="C142" s="61"/>
      <c r="D142" s="61"/>
      <c r="E142" s="60"/>
      <c r="F142" s="60"/>
      <c r="G142" s="61"/>
      <c r="H142" s="60"/>
      <c r="I142" s="60"/>
      <c r="J142" s="61"/>
      <c r="K142" s="60"/>
      <c r="L142" s="60"/>
      <c r="M142" s="60"/>
      <c r="N142" s="61"/>
      <c r="O142" s="60"/>
      <c r="P142" s="61"/>
      <c r="Q142" s="60"/>
      <c r="R142" s="61"/>
      <c r="S142" s="60"/>
      <c r="T142" s="60"/>
      <c r="U142" s="60"/>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c r="A143" s="1" t="s">
        <v>289</v>
      </c>
      <c r="B143" s="65">
        <f>+B141+B142</f>
        <v>0</v>
      </c>
      <c r="C143" s="61"/>
      <c r="D143" s="61"/>
      <c r="E143" s="60"/>
      <c r="F143" s="60"/>
      <c r="G143" s="61"/>
      <c r="H143" s="60"/>
      <c r="I143" s="60"/>
      <c r="J143" s="61"/>
      <c r="K143" s="60"/>
      <c r="L143" s="60"/>
      <c r="M143" s="60"/>
      <c r="N143" s="61"/>
      <c r="O143" s="60"/>
      <c r="P143" s="61"/>
      <c r="Q143" s="60"/>
      <c r="R143" s="61"/>
      <c r="S143" s="60"/>
      <c r="T143" s="60"/>
      <c r="U143" s="60"/>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c r="A144" s="1" t="s">
        <v>379</v>
      </c>
      <c r="B144" s="60">
        <v>0</v>
      </c>
      <c r="C144" s="61"/>
      <c r="D144" s="61"/>
      <c r="E144" s="60"/>
      <c r="F144" s="60"/>
      <c r="G144" s="61"/>
      <c r="H144" s="60"/>
      <c r="I144" s="60"/>
      <c r="J144" s="61"/>
      <c r="K144" s="60"/>
      <c r="L144" s="60"/>
      <c r="M144" s="60"/>
      <c r="N144" s="61"/>
      <c r="O144" s="60"/>
      <c r="P144" s="61"/>
      <c r="Q144" s="60"/>
      <c r="R144" s="61"/>
      <c r="S144" s="60"/>
      <c r="T144" s="60"/>
      <c r="U144" s="60"/>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c r="A145" s="1" t="s">
        <v>380</v>
      </c>
      <c r="B145" s="60">
        <v>0</v>
      </c>
      <c r="C145" s="61"/>
      <c r="D145" s="61"/>
      <c r="E145" s="60"/>
      <c r="F145" s="60"/>
      <c r="G145" s="61"/>
      <c r="H145" s="60"/>
      <c r="I145" s="60"/>
      <c r="J145" s="61"/>
      <c r="K145" s="60"/>
      <c r="L145" s="60"/>
      <c r="M145" s="60"/>
      <c r="N145" s="61"/>
      <c r="O145" s="60"/>
      <c r="P145" s="61"/>
      <c r="Q145" s="60"/>
      <c r="R145" s="61"/>
      <c r="S145" s="60"/>
      <c r="T145" s="60"/>
      <c r="U145" s="60"/>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c r="A146" s="1"/>
      <c r="B146" s="60"/>
      <c r="C146" s="61"/>
      <c r="D146" s="61"/>
      <c r="E146" s="60"/>
      <c r="F146" s="60"/>
      <c r="G146" s="61"/>
      <c r="H146" s="60"/>
      <c r="I146" s="60"/>
      <c r="J146" s="61"/>
      <c r="K146" s="60"/>
      <c r="L146" s="60"/>
      <c r="M146" s="60"/>
      <c r="N146" s="61"/>
      <c r="O146" s="60"/>
      <c r="P146" s="61"/>
      <c r="Q146" s="60"/>
      <c r="R146" s="61"/>
      <c r="S146" s="60"/>
      <c r="T146" s="60"/>
      <c r="U146" s="60"/>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c r="A147" s="1" t="s">
        <v>381</v>
      </c>
      <c r="B147" s="65">
        <f>SUM(B148:B149)</f>
        <v>0</v>
      </c>
      <c r="C147" s="67"/>
      <c r="D147" s="67"/>
      <c r="E147" s="65"/>
      <c r="F147" s="65"/>
      <c r="G147" s="67"/>
      <c r="H147" s="65"/>
      <c r="I147" s="65"/>
      <c r="J147" s="67"/>
      <c r="K147" s="65"/>
      <c r="L147" s="65"/>
      <c r="M147" s="65"/>
      <c r="N147" s="67"/>
      <c r="O147" s="65"/>
      <c r="P147" s="67"/>
      <c r="Q147" s="60"/>
      <c r="R147" s="67"/>
      <c r="S147" s="60"/>
      <c r="T147" s="60"/>
      <c r="U147" s="60"/>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c r="A148" s="1" t="s">
        <v>382</v>
      </c>
      <c r="B148" s="60">
        <v>0</v>
      </c>
      <c r="C148" s="61"/>
      <c r="D148" s="61"/>
      <c r="E148" s="60"/>
      <c r="F148" s="60"/>
      <c r="G148" s="61"/>
      <c r="H148" s="60"/>
      <c r="I148" s="60"/>
      <c r="J148" s="61"/>
      <c r="K148" s="60"/>
      <c r="L148" s="60"/>
      <c r="M148" s="60"/>
      <c r="N148" s="61"/>
      <c r="O148" s="60"/>
      <c r="P148" s="61"/>
      <c r="Q148" s="60"/>
      <c r="R148" s="61"/>
      <c r="S148" s="60"/>
      <c r="T148" s="60"/>
      <c r="U148" s="60"/>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c r="A149" s="1" t="s">
        <v>383</v>
      </c>
      <c r="B149" s="60">
        <v>0</v>
      </c>
      <c r="C149" s="61"/>
      <c r="D149" s="61"/>
      <c r="E149" s="60"/>
      <c r="F149" s="60"/>
      <c r="G149" s="61"/>
      <c r="H149" s="60"/>
      <c r="I149" s="60"/>
      <c r="J149" s="61"/>
      <c r="K149" s="60"/>
      <c r="L149" s="60"/>
      <c r="M149" s="60"/>
      <c r="N149" s="61"/>
      <c r="O149" s="60"/>
      <c r="P149" s="61"/>
      <c r="Q149" s="60"/>
      <c r="R149" s="61"/>
      <c r="S149" s="60"/>
      <c r="T149" s="60"/>
      <c r="U149" s="60"/>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c r="A150" s="1"/>
      <c r="B150" s="60"/>
      <c r="C150" s="61"/>
      <c r="D150" s="61"/>
      <c r="E150" s="60"/>
      <c r="F150" s="60"/>
      <c r="G150" s="61"/>
      <c r="H150" s="60"/>
      <c r="I150" s="60"/>
      <c r="J150" s="61"/>
      <c r="K150" s="60"/>
      <c r="L150" s="60"/>
      <c r="M150" s="60"/>
      <c r="N150" s="61"/>
      <c r="O150" s="60"/>
      <c r="P150" s="61"/>
      <c r="Q150" s="60"/>
      <c r="R150" s="61"/>
      <c r="S150" s="60"/>
      <c r="T150" s="60"/>
      <c r="U150" s="60"/>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c r="A151" s="1" t="s">
        <v>384</v>
      </c>
      <c r="B151" s="65">
        <f t="shared" ref="B151:H151" si="10">+B102+B106+B108+B110+B125+B134+B136+B138+B140+B147</f>
        <v>0</v>
      </c>
      <c r="C151" s="67">
        <f t="shared" si="10"/>
        <v>0</v>
      </c>
      <c r="D151" s="67"/>
      <c r="E151" s="65">
        <f t="shared" si="10"/>
        <v>0</v>
      </c>
      <c r="F151" s="65"/>
      <c r="G151" s="67">
        <f t="shared" si="10"/>
        <v>0</v>
      </c>
      <c r="H151" s="65">
        <f t="shared" si="10"/>
        <v>0</v>
      </c>
      <c r="I151" s="65">
        <f>+I102+I106+I108+I110+I125+I134+I136+I138+I140+I147</f>
        <v>0</v>
      </c>
      <c r="J151" s="67">
        <f>+J102+J106+J108+J110+J125+J134+J136+J138+J140+J147</f>
        <v>0</v>
      </c>
      <c r="K151" s="65"/>
      <c r="L151" s="65"/>
      <c r="M151" s="65"/>
      <c r="N151" s="67">
        <f>+N102+N106+N108+N110+N125+N134+N136+N138+N140+N147</f>
        <v>0</v>
      </c>
      <c r="O151" s="65">
        <f>+O102+O106+O108+O110+O125+O134+O136+O138+O140+O147</f>
        <v>0</v>
      </c>
      <c r="P151" s="67">
        <f>+P102+P106+P108+P110+P125+P134+P136+P138+P140+P147</f>
        <v>0</v>
      </c>
      <c r="Q151" s="60"/>
      <c r="R151" s="67">
        <f>+R102+R106+R108+R110+R125+R134+R136+R138+R140+R147</f>
        <v>0</v>
      </c>
      <c r="S151" s="60"/>
      <c r="T151" s="60"/>
      <c r="U151" s="60"/>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c r="A152" s="1"/>
      <c r="B152" s="60"/>
      <c r="C152" s="61"/>
      <c r="D152" s="61"/>
      <c r="E152" s="60"/>
      <c r="F152" s="60"/>
      <c r="G152" s="61"/>
      <c r="H152" s="60"/>
      <c r="I152" s="60"/>
      <c r="J152" s="61"/>
      <c r="K152" s="60"/>
      <c r="L152" s="60"/>
      <c r="M152" s="60"/>
      <c r="N152" s="61"/>
      <c r="O152" s="60"/>
      <c r="P152" s="61"/>
      <c r="Q152" s="60"/>
      <c r="R152" s="61"/>
      <c r="S152" s="60"/>
      <c r="T152" s="60"/>
      <c r="U152" s="60"/>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c r="A153" s="1"/>
      <c r="B153" s="60"/>
      <c r="C153" s="61"/>
      <c r="D153" s="61"/>
      <c r="E153" s="60"/>
      <c r="F153" s="60"/>
      <c r="G153" s="61"/>
      <c r="H153" s="60"/>
      <c r="I153" s="60"/>
      <c r="J153" s="61"/>
      <c r="K153" s="60"/>
      <c r="L153" s="60"/>
      <c r="M153" s="60"/>
      <c r="N153" s="61"/>
      <c r="O153" s="60"/>
      <c r="P153" s="61"/>
      <c r="Q153" s="60"/>
      <c r="R153" s="61"/>
      <c r="S153" s="60"/>
      <c r="T153" s="60"/>
      <c r="U153" s="60"/>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c r="A154" s="1"/>
      <c r="B154" s="60"/>
      <c r="C154" s="61"/>
      <c r="D154" s="61"/>
      <c r="E154" s="60"/>
      <c r="F154" s="60"/>
      <c r="G154" s="61"/>
      <c r="H154" s="60"/>
      <c r="I154" s="60"/>
      <c r="J154" s="61"/>
      <c r="K154" s="60"/>
      <c r="L154" s="60"/>
      <c r="M154" s="60"/>
      <c r="N154" s="61"/>
      <c r="O154" s="60"/>
      <c r="P154" s="61"/>
      <c r="Q154" s="60"/>
      <c r="R154" s="61"/>
      <c r="S154" s="60"/>
      <c r="T154" s="60"/>
      <c r="U154" s="60"/>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c r="A155" s="1"/>
      <c r="B155" s="60"/>
      <c r="C155" s="61"/>
      <c r="D155" s="61"/>
      <c r="E155" s="60"/>
      <c r="F155" s="60"/>
      <c r="G155" s="61"/>
      <c r="H155" s="60"/>
      <c r="I155" s="60"/>
      <c r="J155" s="61"/>
      <c r="K155" s="60"/>
      <c r="L155" s="60"/>
      <c r="M155" s="60"/>
      <c r="N155" s="61"/>
      <c r="O155" s="60"/>
      <c r="P155" s="61"/>
      <c r="Q155" s="60"/>
      <c r="R155" s="61"/>
      <c r="S155" s="60"/>
      <c r="T155" s="60"/>
      <c r="U155" s="60"/>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c r="A156" s="1"/>
      <c r="B156" s="60"/>
      <c r="C156" s="61"/>
      <c r="D156" s="61"/>
      <c r="E156" s="60"/>
      <c r="F156" s="60"/>
      <c r="G156" s="61"/>
      <c r="H156" s="60"/>
      <c r="I156" s="60"/>
      <c r="J156" s="61"/>
      <c r="K156" s="60"/>
      <c r="L156" s="60"/>
      <c r="M156" s="60"/>
      <c r="N156" s="61"/>
      <c r="O156" s="60"/>
      <c r="P156" s="61"/>
      <c r="Q156" s="60"/>
      <c r="R156" s="61"/>
      <c r="S156" s="60"/>
      <c r="T156" s="60"/>
      <c r="U156" s="60"/>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c r="A157" s="1"/>
      <c r="B157" s="60"/>
      <c r="C157" s="61"/>
      <c r="D157" s="61"/>
      <c r="E157" s="60"/>
      <c r="F157" s="60"/>
      <c r="G157" s="61"/>
      <c r="H157" s="60"/>
      <c r="I157" s="60"/>
      <c r="J157" s="61"/>
      <c r="K157" s="60"/>
      <c r="L157" s="60"/>
      <c r="M157" s="60"/>
      <c r="N157" s="61"/>
      <c r="O157" s="60"/>
      <c r="P157" s="61"/>
      <c r="Q157" s="60"/>
      <c r="R157" s="61"/>
      <c r="S157" s="60"/>
      <c r="T157" s="60"/>
      <c r="U157" s="60"/>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c r="A158" s="1"/>
      <c r="B158" s="60"/>
      <c r="C158" s="61"/>
      <c r="D158" s="61"/>
      <c r="E158" s="60"/>
      <c r="F158" s="60"/>
      <c r="G158" s="61"/>
      <c r="H158" s="60"/>
      <c r="I158" s="60"/>
      <c r="J158" s="61"/>
      <c r="K158" s="60"/>
      <c r="L158" s="60"/>
      <c r="M158" s="60"/>
      <c r="N158" s="61"/>
      <c r="O158" s="60"/>
      <c r="P158" s="61"/>
      <c r="Q158" s="60"/>
      <c r="R158" s="61"/>
      <c r="S158" s="60"/>
      <c r="T158" s="60"/>
      <c r="U158" s="60"/>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c r="A159" s="1"/>
      <c r="B159" s="60"/>
      <c r="C159" s="61"/>
      <c r="D159" s="61"/>
      <c r="E159" s="60"/>
      <c r="F159" s="60"/>
      <c r="G159" s="61"/>
      <c r="H159" s="60"/>
      <c r="I159" s="60"/>
      <c r="J159" s="61"/>
      <c r="K159" s="60"/>
      <c r="L159" s="60"/>
      <c r="M159" s="60"/>
      <c r="N159" s="61"/>
      <c r="O159" s="60"/>
      <c r="P159" s="61"/>
      <c r="Q159" s="60"/>
      <c r="R159" s="61"/>
      <c r="S159" s="60"/>
      <c r="T159" s="60"/>
      <c r="U159" s="60"/>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c r="A160" s="1"/>
      <c r="B160" s="60"/>
      <c r="C160" s="61"/>
      <c r="D160" s="61"/>
      <c r="E160" s="60"/>
      <c r="F160" s="60"/>
      <c r="G160" s="61"/>
      <c r="H160" s="60"/>
      <c r="I160" s="60"/>
      <c r="J160" s="61"/>
      <c r="K160" s="60"/>
      <c r="L160" s="60"/>
      <c r="M160" s="60"/>
      <c r="N160" s="61"/>
      <c r="O160" s="60"/>
      <c r="P160" s="61"/>
      <c r="Q160" s="60"/>
      <c r="R160" s="61"/>
      <c r="S160" s="60"/>
      <c r="T160" s="60"/>
      <c r="U160" s="60"/>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c r="A161" s="1"/>
      <c r="B161" s="60"/>
      <c r="C161" s="61"/>
      <c r="D161" s="61"/>
      <c r="E161" s="60"/>
      <c r="F161" s="60"/>
      <c r="G161" s="61"/>
      <c r="H161" s="60"/>
      <c r="I161" s="60"/>
      <c r="J161" s="61"/>
      <c r="K161" s="60"/>
      <c r="L161" s="60"/>
      <c r="M161" s="60"/>
      <c r="N161" s="61"/>
      <c r="O161" s="60"/>
      <c r="P161" s="61"/>
      <c r="Q161" s="60"/>
      <c r="R161" s="61"/>
      <c r="S161" s="60"/>
      <c r="T161" s="60"/>
      <c r="U161" s="60"/>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c r="A162" s="1"/>
      <c r="B162" s="60"/>
      <c r="C162" s="61"/>
      <c r="D162" s="61"/>
      <c r="E162" s="60"/>
      <c r="F162" s="60"/>
      <c r="G162" s="61"/>
      <c r="H162" s="60"/>
      <c r="I162" s="60"/>
      <c r="J162" s="61"/>
      <c r="K162" s="60"/>
      <c r="L162" s="60"/>
      <c r="M162" s="60"/>
      <c r="N162" s="61"/>
      <c r="O162" s="60"/>
      <c r="P162" s="61"/>
      <c r="Q162" s="60"/>
      <c r="R162" s="61"/>
      <c r="S162" s="60"/>
      <c r="T162" s="60"/>
      <c r="U162" s="60"/>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c r="A163" s="1"/>
      <c r="B163" s="60"/>
      <c r="C163" s="61"/>
      <c r="D163" s="61"/>
      <c r="E163" s="60"/>
      <c r="F163" s="60"/>
      <c r="G163" s="61"/>
      <c r="H163" s="60"/>
      <c r="I163" s="60"/>
      <c r="J163" s="61"/>
      <c r="K163" s="60"/>
      <c r="L163" s="60"/>
      <c r="M163" s="60"/>
      <c r="N163" s="61"/>
      <c r="O163" s="60"/>
      <c r="P163" s="61"/>
      <c r="Q163" s="60"/>
      <c r="R163" s="61"/>
      <c r="S163" s="60"/>
      <c r="T163" s="60"/>
      <c r="U163" s="60"/>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c r="A164" s="1"/>
      <c r="B164" s="60"/>
      <c r="C164" s="61"/>
      <c r="D164" s="61"/>
      <c r="E164" s="60"/>
      <c r="F164" s="60"/>
      <c r="G164" s="61"/>
      <c r="H164" s="60"/>
      <c r="I164" s="60"/>
      <c r="J164" s="61"/>
      <c r="K164" s="60"/>
      <c r="L164" s="60"/>
      <c r="M164" s="60"/>
      <c r="N164" s="61"/>
      <c r="O164" s="60"/>
      <c r="P164" s="61"/>
      <c r="Q164" s="60"/>
      <c r="R164" s="61"/>
      <c r="S164" s="60"/>
      <c r="T164" s="60"/>
      <c r="U164" s="60"/>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c r="A165" s="1"/>
      <c r="B165" s="60"/>
      <c r="C165" s="61"/>
      <c r="D165" s="61"/>
      <c r="E165" s="60"/>
      <c r="F165" s="60"/>
      <c r="G165" s="61"/>
      <c r="H165" s="60"/>
      <c r="I165" s="60"/>
      <c r="J165" s="61"/>
      <c r="K165" s="60"/>
      <c r="L165" s="60"/>
      <c r="M165" s="60"/>
      <c r="N165" s="61"/>
      <c r="O165" s="60"/>
      <c r="P165" s="61"/>
      <c r="Q165" s="60"/>
      <c r="R165" s="61"/>
      <c r="S165" s="60"/>
      <c r="T165" s="60"/>
      <c r="U165" s="60"/>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c r="A166" s="1"/>
      <c r="B166" s="60"/>
      <c r="C166" s="61"/>
      <c r="D166" s="61"/>
      <c r="E166" s="60"/>
      <c r="F166" s="60"/>
      <c r="G166" s="61"/>
      <c r="H166" s="60"/>
      <c r="I166" s="60"/>
      <c r="J166" s="61"/>
      <c r="K166" s="60"/>
      <c r="L166" s="60"/>
      <c r="M166" s="60"/>
      <c r="N166" s="61"/>
      <c r="O166" s="60"/>
      <c r="P166" s="61"/>
      <c r="Q166" s="60"/>
      <c r="R166" s="61"/>
      <c r="S166" s="60"/>
      <c r="T166" s="60"/>
      <c r="U166" s="60"/>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c r="A167" s="1"/>
      <c r="B167" s="60"/>
      <c r="C167" s="61"/>
      <c r="D167" s="61"/>
      <c r="E167" s="60"/>
      <c r="F167" s="60"/>
      <c r="G167" s="61"/>
      <c r="H167" s="60"/>
      <c r="I167" s="60"/>
      <c r="J167" s="61"/>
      <c r="K167" s="60"/>
      <c r="L167" s="60"/>
      <c r="M167" s="60"/>
      <c r="N167" s="61"/>
      <c r="O167" s="60"/>
      <c r="P167" s="61"/>
      <c r="Q167" s="60"/>
      <c r="R167" s="61"/>
      <c r="S167" s="60"/>
      <c r="T167" s="60"/>
      <c r="U167" s="60"/>
      <c r="V167" s="1"/>
      <c r="W167" s="1"/>
      <c r="X167" s="1"/>
      <c r="Y167" s="1"/>
      <c r="Z167" s="1"/>
      <c r="AA167" s="1"/>
      <c r="AB167" s="1"/>
      <c r="AC167" s="1"/>
      <c r="AD167" s="1"/>
      <c r="AE167" s="1"/>
      <c r="AF167" s="1"/>
      <c r="AG167" s="1"/>
      <c r="AH167" s="1"/>
      <c r="AI167" s="1"/>
      <c r="AJ167" s="1"/>
      <c r="AK167" s="1"/>
      <c r="AL167" s="1"/>
      <c r="AM167" s="1"/>
      <c r="AN167" s="1"/>
      <c r="AO167" s="1"/>
      <c r="AP167" s="1"/>
      <c r="AQ167" s="1"/>
      <c r="AR167" s="1"/>
    </row>
    <row r="168" spans="1:44">
      <c r="A168" s="1"/>
      <c r="B168" s="60"/>
      <c r="C168" s="61"/>
      <c r="D168" s="61"/>
      <c r="E168" s="60"/>
      <c r="F168" s="60"/>
      <c r="G168" s="61"/>
      <c r="H168" s="60"/>
      <c r="I168" s="60"/>
      <c r="J168" s="61"/>
      <c r="K168" s="60"/>
      <c r="L168" s="60"/>
      <c r="M168" s="60"/>
      <c r="N168" s="61"/>
      <c r="O168" s="60"/>
      <c r="P168" s="61"/>
      <c r="Q168" s="60"/>
      <c r="R168" s="61"/>
      <c r="S168" s="60"/>
      <c r="T168" s="60"/>
      <c r="U168" s="60"/>
      <c r="V168" s="1"/>
      <c r="W168" s="1"/>
      <c r="X168" s="1"/>
      <c r="Y168" s="1"/>
      <c r="Z168" s="1"/>
      <c r="AA168" s="1"/>
      <c r="AB168" s="1"/>
      <c r="AC168" s="1"/>
      <c r="AD168" s="1"/>
      <c r="AE168" s="1"/>
      <c r="AF168" s="1"/>
      <c r="AG168" s="1"/>
      <c r="AH168" s="1"/>
      <c r="AI168" s="1"/>
      <c r="AJ168" s="1"/>
      <c r="AK168" s="1"/>
      <c r="AL168" s="1"/>
      <c r="AM168" s="1"/>
      <c r="AN168" s="1"/>
      <c r="AO168" s="1"/>
      <c r="AP168" s="1"/>
      <c r="AQ168" s="1"/>
      <c r="AR168" s="1"/>
    </row>
    <row r="169" spans="1:44">
      <c r="A169" s="1"/>
      <c r="B169" s="60"/>
      <c r="C169" s="61"/>
      <c r="D169" s="61"/>
      <c r="E169" s="60"/>
      <c r="F169" s="60"/>
      <c r="G169" s="61"/>
      <c r="H169" s="60"/>
      <c r="I169" s="60"/>
      <c r="J169" s="61"/>
      <c r="K169" s="60"/>
      <c r="L169" s="60"/>
      <c r="M169" s="60"/>
      <c r="N169" s="61"/>
      <c r="O169" s="60"/>
      <c r="P169" s="61"/>
      <c r="Q169" s="60"/>
      <c r="R169" s="61"/>
      <c r="S169" s="60"/>
      <c r="T169" s="60"/>
      <c r="U169" s="60"/>
      <c r="V169" s="1"/>
      <c r="W169" s="1"/>
      <c r="X169" s="1"/>
      <c r="Y169" s="1"/>
      <c r="Z169" s="1"/>
      <c r="AA169" s="1"/>
      <c r="AB169" s="1"/>
      <c r="AC169" s="1"/>
      <c r="AD169" s="1"/>
      <c r="AE169" s="1"/>
      <c r="AF169" s="1"/>
      <c r="AG169" s="1"/>
      <c r="AH169" s="1"/>
      <c r="AI169" s="1"/>
      <c r="AJ169" s="1"/>
      <c r="AK169" s="1"/>
      <c r="AL169" s="1"/>
      <c r="AM169" s="1"/>
      <c r="AN169" s="1"/>
      <c r="AO169" s="1"/>
      <c r="AP169" s="1"/>
      <c r="AQ169" s="1"/>
      <c r="AR169" s="1"/>
    </row>
    <row r="170" spans="1:44">
      <c r="A170" s="1"/>
      <c r="B170" s="60"/>
      <c r="C170" s="61"/>
      <c r="D170" s="61"/>
      <c r="E170" s="60"/>
      <c r="F170" s="60"/>
      <c r="G170" s="61"/>
      <c r="H170" s="60"/>
      <c r="I170" s="60"/>
      <c r="J170" s="61"/>
      <c r="K170" s="60"/>
      <c r="L170" s="60"/>
      <c r="M170" s="60"/>
      <c r="N170" s="61"/>
      <c r="O170" s="60"/>
      <c r="P170" s="61"/>
      <c r="Q170" s="60"/>
      <c r="R170" s="61"/>
      <c r="S170" s="60"/>
      <c r="T170" s="60"/>
      <c r="U170" s="60"/>
      <c r="V170" s="1"/>
      <c r="W170" s="1"/>
      <c r="X170" s="1"/>
      <c r="Y170" s="1"/>
      <c r="Z170" s="1"/>
      <c r="AA170" s="1"/>
      <c r="AB170" s="1"/>
      <c r="AC170" s="1"/>
      <c r="AD170" s="1"/>
      <c r="AE170" s="1"/>
      <c r="AF170" s="1"/>
      <c r="AG170" s="1"/>
      <c r="AH170" s="1"/>
      <c r="AI170" s="1"/>
      <c r="AJ170" s="1"/>
      <c r="AK170" s="1"/>
      <c r="AL170" s="1"/>
      <c r="AM170" s="1"/>
      <c r="AN170" s="1"/>
      <c r="AO170" s="1"/>
      <c r="AP170" s="1"/>
      <c r="AQ170" s="1"/>
      <c r="AR170" s="1"/>
    </row>
    <row r="171" spans="1:44">
      <c r="A171" s="1"/>
      <c r="B171" s="60"/>
      <c r="C171" s="61"/>
      <c r="D171" s="61"/>
      <c r="E171" s="60"/>
      <c r="F171" s="60"/>
      <c r="G171" s="61"/>
      <c r="H171" s="60"/>
      <c r="I171" s="60"/>
      <c r="J171" s="61"/>
      <c r="K171" s="60"/>
      <c r="L171" s="60"/>
      <c r="M171" s="60"/>
      <c r="N171" s="61"/>
      <c r="O171" s="60"/>
      <c r="P171" s="61"/>
      <c r="Q171" s="60"/>
      <c r="R171" s="61"/>
      <c r="S171" s="60"/>
      <c r="T171" s="60"/>
      <c r="U171" s="60"/>
      <c r="V171" s="1"/>
      <c r="W171" s="1"/>
      <c r="X171" s="1"/>
      <c r="Y171" s="1"/>
      <c r="Z171" s="1"/>
      <c r="AA171" s="1"/>
      <c r="AB171" s="1"/>
      <c r="AC171" s="1"/>
      <c r="AD171" s="1"/>
      <c r="AE171" s="1"/>
      <c r="AF171" s="1"/>
      <c r="AG171" s="1"/>
      <c r="AH171" s="1"/>
      <c r="AI171" s="1"/>
      <c r="AJ171" s="1"/>
      <c r="AK171" s="1"/>
      <c r="AL171" s="1"/>
      <c r="AM171" s="1"/>
      <c r="AN171" s="1"/>
      <c r="AO171" s="1"/>
      <c r="AP171" s="1"/>
      <c r="AQ171" s="1"/>
      <c r="AR171" s="1"/>
    </row>
    <row r="172" spans="1:44">
      <c r="A172" s="1"/>
      <c r="B172" s="60"/>
      <c r="C172" s="61"/>
      <c r="D172" s="61"/>
      <c r="E172" s="60"/>
      <c r="F172" s="60"/>
      <c r="G172" s="61"/>
      <c r="H172" s="60"/>
      <c r="I172" s="60"/>
      <c r="J172" s="61"/>
      <c r="K172" s="60"/>
      <c r="L172" s="60"/>
      <c r="M172" s="60"/>
      <c r="N172" s="61"/>
      <c r="O172" s="60"/>
      <c r="P172" s="61"/>
      <c r="Q172" s="60"/>
      <c r="R172" s="61"/>
      <c r="S172" s="60"/>
      <c r="T172" s="60"/>
      <c r="U172" s="60"/>
      <c r="V172" s="1"/>
      <c r="W172" s="1"/>
      <c r="X172" s="1"/>
      <c r="Y172" s="1"/>
      <c r="Z172" s="1"/>
      <c r="AA172" s="1"/>
      <c r="AB172" s="1"/>
      <c r="AC172" s="1"/>
      <c r="AD172" s="1"/>
      <c r="AE172" s="1"/>
      <c r="AF172" s="1"/>
      <c r="AG172" s="1"/>
      <c r="AH172" s="1"/>
      <c r="AI172" s="1"/>
      <c r="AJ172" s="1"/>
      <c r="AK172" s="1"/>
      <c r="AL172" s="1"/>
      <c r="AM172" s="1"/>
      <c r="AN172" s="1"/>
      <c r="AO172" s="1"/>
      <c r="AP172" s="1"/>
      <c r="AQ172" s="1"/>
      <c r="AR172" s="1"/>
    </row>
    <row r="173" spans="1:44">
      <c r="A173" s="1"/>
      <c r="B173" s="60"/>
      <c r="C173" s="61"/>
      <c r="D173" s="61"/>
      <c r="E173" s="60"/>
      <c r="F173" s="60"/>
      <c r="G173" s="61"/>
      <c r="H173" s="60"/>
      <c r="I173" s="60"/>
      <c r="J173" s="61"/>
      <c r="K173" s="60"/>
      <c r="L173" s="60"/>
      <c r="M173" s="60"/>
      <c r="N173" s="61"/>
      <c r="O173" s="60"/>
      <c r="P173" s="61"/>
      <c r="Q173" s="60"/>
      <c r="R173" s="61"/>
      <c r="S173" s="60"/>
      <c r="T173" s="60"/>
      <c r="U173" s="60"/>
      <c r="V173" s="1"/>
      <c r="W173" s="1"/>
      <c r="X173" s="1"/>
      <c r="Y173" s="1"/>
      <c r="Z173" s="1"/>
      <c r="AA173" s="1"/>
      <c r="AB173" s="1"/>
      <c r="AC173" s="1"/>
      <c r="AD173" s="1"/>
      <c r="AE173" s="1"/>
      <c r="AF173" s="1"/>
      <c r="AG173" s="1"/>
      <c r="AH173" s="1"/>
      <c r="AI173" s="1"/>
      <c r="AJ173" s="1"/>
      <c r="AK173" s="1"/>
      <c r="AL173" s="1"/>
      <c r="AM173" s="1"/>
      <c r="AN173" s="1"/>
      <c r="AO173" s="1"/>
      <c r="AP173" s="1"/>
      <c r="AQ173" s="1"/>
      <c r="AR173" s="1"/>
    </row>
    <row r="174" spans="1:44">
      <c r="A174" s="1"/>
      <c r="B174" s="60"/>
      <c r="C174" s="61"/>
      <c r="D174" s="61"/>
      <c r="E174" s="60"/>
      <c r="F174" s="60"/>
      <c r="G174" s="61"/>
      <c r="H174" s="60"/>
      <c r="I174" s="60"/>
      <c r="J174" s="61"/>
      <c r="K174" s="60"/>
      <c r="L174" s="60"/>
      <c r="M174" s="60"/>
      <c r="N174" s="61"/>
      <c r="O174" s="60"/>
      <c r="P174" s="61"/>
      <c r="Q174" s="60"/>
      <c r="R174" s="61"/>
      <c r="S174" s="60"/>
      <c r="T174" s="60"/>
      <c r="U174" s="60"/>
      <c r="V174" s="1"/>
      <c r="W174" s="1"/>
      <c r="X174" s="1"/>
      <c r="Y174" s="1"/>
      <c r="Z174" s="1"/>
      <c r="AA174" s="1"/>
      <c r="AB174" s="1"/>
      <c r="AC174" s="1"/>
      <c r="AD174" s="1"/>
      <c r="AE174" s="1"/>
      <c r="AF174" s="1"/>
      <c r="AG174" s="1"/>
      <c r="AH174" s="1"/>
      <c r="AI174" s="1"/>
      <c r="AJ174" s="1"/>
      <c r="AK174" s="1"/>
      <c r="AL174" s="1"/>
      <c r="AM174" s="1"/>
      <c r="AN174" s="1"/>
      <c r="AO174" s="1"/>
      <c r="AP174" s="1"/>
      <c r="AQ174" s="1"/>
      <c r="AR174" s="1"/>
    </row>
    <row r="175" spans="1:44">
      <c r="A175" s="1"/>
      <c r="B175" s="60"/>
      <c r="C175" s="61"/>
      <c r="D175" s="61"/>
      <c r="E175" s="60"/>
      <c r="F175" s="60"/>
      <c r="G175" s="61"/>
      <c r="H175" s="60"/>
      <c r="I175" s="60"/>
      <c r="J175" s="61"/>
      <c r="K175" s="60"/>
      <c r="L175" s="60"/>
      <c r="M175" s="60"/>
      <c r="N175" s="61"/>
      <c r="O175" s="60"/>
      <c r="P175" s="61"/>
      <c r="Q175" s="60"/>
      <c r="R175" s="61"/>
      <c r="S175" s="60"/>
      <c r="T175" s="60"/>
      <c r="U175" s="60"/>
      <c r="V175" s="1"/>
      <c r="W175" s="1"/>
      <c r="X175" s="1"/>
      <c r="Y175" s="1"/>
      <c r="Z175" s="1"/>
      <c r="AA175" s="1"/>
      <c r="AB175" s="1"/>
      <c r="AC175" s="1"/>
      <c r="AD175" s="1"/>
      <c r="AE175" s="1"/>
      <c r="AF175" s="1"/>
      <c r="AG175" s="1"/>
      <c r="AH175" s="1"/>
      <c r="AI175" s="1"/>
      <c r="AJ175" s="1"/>
      <c r="AK175" s="1"/>
      <c r="AL175" s="1"/>
      <c r="AM175" s="1"/>
      <c r="AN175" s="1"/>
      <c r="AO175" s="1"/>
      <c r="AP175" s="1"/>
      <c r="AQ175" s="1"/>
      <c r="AR175" s="1"/>
    </row>
    <row r="176" spans="1:44">
      <c r="A176" s="1"/>
      <c r="B176" s="60"/>
      <c r="C176" s="61"/>
      <c r="D176" s="61"/>
      <c r="E176" s="60"/>
      <c r="F176" s="60"/>
      <c r="G176" s="61"/>
      <c r="H176" s="60"/>
      <c r="I176" s="60"/>
      <c r="J176" s="61"/>
      <c r="K176" s="60"/>
      <c r="L176" s="60"/>
      <c r="M176" s="60"/>
      <c r="N176" s="61"/>
      <c r="O176" s="60"/>
      <c r="P176" s="61"/>
      <c r="Q176" s="60"/>
      <c r="R176" s="61"/>
      <c r="S176" s="60"/>
      <c r="T176" s="60"/>
      <c r="U176" s="60"/>
      <c r="V176" s="1"/>
      <c r="W176" s="1"/>
      <c r="X176" s="1"/>
      <c r="Y176" s="1"/>
      <c r="Z176" s="1"/>
      <c r="AA176" s="1"/>
      <c r="AB176" s="1"/>
      <c r="AC176" s="1"/>
      <c r="AD176" s="1"/>
      <c r="AE176" s="1"/>
      <c r="AF176" s="1"/>
      <c r="AG176" s="1"/>
      <c r="AH176" s="1"/>
      <c r="AI176" s="1"/>
      <c r="AJ176" s="1"/>
      <c r="AK176" s="1"/>
      <c r="AL176" s="1"/>
      <c r="AM176" s="1"/>
      <c r="AN176" s="1"/>
      <c r="AO176" s="1"/>
      <c r="AP176" s="1"/>
      <c r="AQ176" s="1"/>
      <c r="AR176" s="1"/>
    </row>
    <row r="177" spans="1:44">
      <c r="A177" s="1"/>
      <c r="B177" s="60"/>
      <c r="C177" s="61"/>
      <c r="D177" s="61"/>
      <c r="E177" s="60"/>
      <c r="F177" s="60"/>
      <c r="G177" s="61"/>
      <c r="H177" s="60"/>
      <c r="I177" s="60"/>
      <c r="J177" s="61"/>
      <c r="K177" s="60"/>
      <c r="L177" s="60"/>
      <c r="M177" s="60"/>
      <c r="N177" s="61"/>
      <c r="O177" s="60"/>
      <c r="P177" s="61"/>
      <c r="Q177" s="60"/>
      <c r="R177" s="61"/>
      <c r="S177" s="60"/>
      <c r="T177" s="60"/>
      <c r="U177" s="60"/>
      <c r="V177" s="1"/>
      <c r="W177" s="1"/>
      <c r="X177" s="1"/>
      <c r="Y177" s="1"/>
      <c r="Z177" s="1"/>
      <c r="AA177" s="1"/>
      <c r="AB177" s="1"/>
      <c r="AC177" s="1"/>
      <c r="AD177" s="1"/>
      <c r="AE177" s="1"/>
      <c r="AF177" s="1"/>
      <c r="AG177" s="1"/>
      <c r="AH177" s="1"/>
      <c r="AI177" s="1"/>
      <c r="AJ177" s="1"/>
      <c r="AK177" s="1"/>
      <c r="AL177" s="1"/>
      <c r="AM177" s="1"/>
      <c r="AN177" s="1"/>
      <c r="AO177" s="1"/>
      <c r="AP177" s="1"/>
      <c r="AQ177" s="1"/>
      <c r="AR177" s="1"/>
    </row>
    <row r="178" spans="1:44">
      <c r="A178" s="1"/>
      <c r="B178" s="60"/>
      <c r="C178" s="61"/>
      <c r="D178" s="61"/>
      <c r="E178" s="60"/>
      <c r="F178" s="60"/>
      <c r="G178" s="61"/>
      <c r="H178" s="60"/>
      <c r="I178" s="60"/>
      <c r="J178" s="61"/>
      <c r="K178" s="60"/>
      <c r="L178" s="60"/>
      <c r="M178" s="60"/>
      <c r="N178" s="61"/>
      <c r="O178" s="60"/>
      <c r="P178" s="61"/>
      <c r="Q178" s="60"/>
      <c r="R178" s="61"/>
      <c r="S178" s="60"/>
      <c r="T178" s="60"/>
      <c r="U178" s="60"/>
      <c r="V178" s="1"/>
      <c r="W178" s="1"/>
      <c r="X178" s="1"/>
      <c r="Y178" s="1"/>
      <c r="Z178" s="1"/>
      <c r="AA178" s="1"/>
      <c r="AB178" s="1"/>
      <c r="AC178" s="1"/>
      <c r="AD178" s="1"/>
      <c r="AE178" s="1"/>
      <c r="AF178" s="1"/>
      <c r="AG178" s="1"/>
      <c r="AH178" s="1"/>
      <c r="AI178" s="1"/>
      <c r="AJ178" s="1"/>
      <c r="AK178" s="1"/>
      <c r="AL178" s="1"/>
      <c r="AM178" s="1"/>
      <c r="AN178" s="1"/>
      <c r="AO178" s="1"/>
      <c r="AP178" s="1"/>
      <c r="AQ178" s="1"/>
      <c r="AR178" s="1"/>
    </row>
    <row r="179" spans="1:44">
      <c r="A179" s="1"/>
      <c r="B179" s="60"/>
      <c r="C179" s="61"/>
      <c r="D179" s="61"/>
      <c r="E179" s="60"/>
      <c r="F179" s="60"/>
      <c r="G179" s="61"/>
      <c r="H179" s="60"/>
      <c r="I179" s="60"/>
      <c r="J179" s="61"/>
      <c r="K179" s="60"/>
      <c r="L179" s="60"/>
      <c r="M179" s="60"/>
      <c r="N179" s="61"/>
      <c r="O179" s="60"/>
      <c r="P179" s="61"/>
      <c r="Q179" s="60"/>
      <c r="R179" s="61"/>
      <c r="S179" s="60"/>
      <c r="T179" s="60"/>
      <c r="U179" s="60"/>
      <c r="V179" s="1"/>
      <c r="W179" s="1"/>
      <c r="X179" s="1"/>
      <c r="Y179" s="1"/>
      <c r="Z179" s="1"/>
      <c r="AA179" s="1"/>
      <c r="AB179" s="1"/>
      <c r="AC179" s="1"/>
      <c r="AD179" s="1"/>
      <c r="AE179" s="1"/>
      <c r="AF179" s="1"/>
      <c r="AG179" s="1"/>
      <c r="AH179" s="1"/>
      <c r="AI179" s="1"/>
      <c r="AJ179" s="1"/>
      <c r="AK179" s="1"/>
      <c r="AL179" s="1"/>
      <c r="AM179" s="1"/>
      <c r="AN179" s="1"/>
      <c r="AO179" s="1"/>
      <c r="AP179" s="1"/>
      <c r="AQ179" s="1"/>
      <c r="AR179" s="1"/>
    </row>
    <row r="180" spans="1:44">
      <c r="A180" s="1"/>
      <c r="B180" s="60"/>
      <c r="C180" s="61"/>
      <c r="D180" s="61"/>
      <c r="E180" s="60"/>
      <c r="F180" s="60"/>
      <c r="G180" s="61"/>
      <c r="H180" s="60"/>
      <c r="I180" s="60"/>
      <c r="J180" s="61"/>
      <c r="K180" s="60"/>
      <c r="L180" s="60"/>
      <c r="M180" s="60"/>
      <c r="N180" s="61"/>
      <c r="O180" s="60"/>
      <c r="P180" s="61"/>
      <c r="Q180" s="60"/>
      <c r="R180" s="61"/>
      <c r="S180" s="60"/>
      <c r="T180" s="60"/>
      <c r="U180" s="60"/>
      <c r="V180" s="1"/>
      <c r="W180" s="1"/>
      <c r="X180" s="1"/>
      <c r="Y180" s="1"/>
      <c r="Z180" s="1"/>
      <c r="AA180" s="1"/>
      <c r="AB180" s="1"/>
      <c r="AC180" s="1"/>
      <c r="AD180" s="1"/>
      <c r="AE180" s="1"/>
      <c r="AF180" s="1"/>
      <c r="AG180" s="1"/>
      <c r="AH180" s="1"/>
      <c r="AI180" s="1"/>
      <c r="AJ180" s="1"/>
      <c r="AK180" s="1"/>
      <c r="AL180" s="1"/>
      <c r="AM180" s="1"/>
      <c r="AN180" s="1"/>
      <c r="AO180" s="1"/>
      <c r="AP180" s="1"/>
      <c r="AQ180" s="1"/>
      <c r="AR180" s="1"/>
    </row>
    <row r="181" spans="1:44">
      <c r="A181" s="1"/>
      <c r="B181" s="60"/>
      <c r="C181" s="61"/>
      <c r="D181" s="61"/>
      <c r="E181" s="60"/>
      <c r="F181" s="60"/>
      <c r="G181" s="61"/>
      <c r="H181" s="60"/>
      <c r="I181" s="60"/>
      <c r="J181" s="61"/>
      <c r="K181" s="60"/>
      <c r="L181" s="60"/>
      <c r="M181" s="60"/>
      <c r="N181" s="61"/>
      <c r="O181" s="60"/>
      <c r="P181" s="61"/>
      <c r="Q181" s="60"/>
      <c r="R181" s="61"/>
      <c r="S181" s="60"/>
      <c r="T181" s="60"/>
      <c r="U181" s="60"/>
      <c r="V181" s="1"/>
      <c r="W181" s="1"/>
      <c r="X181" s="1"/>
      <c r="Y181" s="1"/>
      <c r="Z181" s="1"/>
      <c r="AA181" s="1"/>
      <c r="AB181" s="1"/>
      <c r="AC181" s="1"/>
      <c r="AD181" s="1"/>
      <c r="AE181" s="1"/>
      <c r="AF181" s="1"/>
      <c r="AG181" s="1"/>
      <c r="AH181" s="1"/>
      <c r="AI181" s="1"/>
      <c r="AJ181" s="1"/>
      <c r="AK181" s="1"/>
      <c r="AL181" s="1"/>
      <c r="AM181" s="1"/>
      <c r="AN181" s="1"/>
      <c r="AO181" s="1"/>
      <c r="AP181" s="1"/>
      <c r="AQ181" s="1"/>
      <c r="AR181" s="1"/>
    </row>
    <row r="182" spans="1:44">
      <c r="A182" s="1"/>
      <c r="B182" s="60"/>
      <c r="C182" s="61"/>
      <c r="D182" s="61"/>
      <c r="E182" s="60"/>
      <c r="F182" s="60"/>
      <c r="G182" s="61"/>
      <c r="H182" s="60"/>
      <c r="I182" s="60"/>
      <c r="J182" s="61"/>
      <c r="K182" s="60"/>
      <c r="L182" s="60"/>
      <c r="M182" s="60"/>
      <c r="N182" s="61"/>
      <c r="O182" s="60"/>
      <c r="P182" s="61"/>
      <c r="Q182" s="60"/>
      <c r="R182" s="61"/>
      <c r="S182" s="60"/>
      <c r="T182" s="60"/>
      <c r="U182" s="60"/>
      <c r="V182" s="1"/>
      <c r="W182" s="1"/>
      <c r="X182" s="1"/>
      <c r="Y182" s="1"/>
      <c r="Z182" s="1"/>
      <c r="AA182" s="1"/>
      <c r="AB182" s="1"/>
      <c r="AC182" s="1"/>
      <c r="AD182" s="1"/>
      <c r="AE182" s="1"/>
      <c r="AF182" s="1"/>
      <c r="AG182" s="1"/>
      <c r="AH182" s="1"/>
      <c r="AI182" s="1"/>
      <c r="AJ182" s="1"/>
      <c r="AK182" s="1"/>
      <c r="AL182" s="1"/>
      <c r="AM182" s="1"/>
      <c r="AN182" s="1"/>
      <c r="AO182" s="1"/>
      <c r="AP182" s="1"/>
      <c r="AQ182" s="1"/>
      <c r="AR182" s="1"/>
    </row>
    <row r="183" spans="1:44">
      <c r="A183" s="1"/>
      <c r="B183" s="60"/>
      <c r="C183" s="61"/>
      <c r="D183" s="61"/>
      <c r="E183" s="60"/>
      <c r="F183" s="60"/>
      <c r="G183" s="61"/>
      <c r="H183" s="60"/>
      <c r="I183" s="60"/>
      <c r="J183" s="61"/>
      <c r="K183" s="60"/>
      <c r="L183" s="60"/>
      <c r="M183" s="60"/>
      <c r="N183" s="61"/>
      <c r="O183" s="60"/>
      <c r="P183" s="61"/>
      <c r="Q183" s="60"/>
      <c r="R183" s="61"/>
      <c r="S183" s="60"/>
      <c r="T183" s="60"/>
      <c r="U183" s="60"/>
      <c r="V183" s="1"/>
      <c r="W183" s="1"/>
      <c r="X183" s="1"/>
      <c r="Y183" s="1"/>
      <c r="Z183" s="1"/>
      <c r="AA183" s="1"/>
      <c r="AB183" s="1"/>
      <c r="AC183" s="1"/>
      <c r="AD183" s="1"/>
      <c r="AE183" s="1"/>
      <c r="AF183" s="1"/>
      <c r="AG183" s="1"/>
      <c r="AH183" s="1"/>
      <c r="AI183" s="1"/>
      <c r="AJ183" s="1"/>
      <c r="AK183" s="1"/>
      <c r="AL183" s="1"/>
      <c r="AM183" s="1"/>
      <c r="AN183" s="1"/>
      <c r="AO183" s="1"/>
      <c r="AP183" s="1"/>
      <c r="AQ183" s="1"/>
      <c r="AR183" s="1"/>
    </row>
  </sheetData>
  <pageMargins left="0.2" right="0.21" top="0.68" bottom="0.66" header="0.5" footer="0.5"/>
  <pageSetup scale="43" orientation="landscape" r:id="rId1"/>
  <headerFooter alignWithMargins="0">
    <oddFooter>&amp;L&amp;"CG Times,Bold"&amp;16 &amp;R&amp;16&amp;P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183"/>
  <sheetViews>
    <sheetView workbookViewId="0"/>
  </sheetViews>
  <sheetFormatPr defaultRowHeight="15.75"/>
  <cols>
    <col min="1" max="1" width="34.125" customWidth="1"/>
    <col min="2" max="2" width="13.625" style="12" customWidth="1"/>
    <col min="3" max="4" width="13.75" style="13" customWidth="1"/>
    <col min="5" max="6" width="13.75" style="12" customWidth="1"/>
    <col min="7" max="7" width="13.75" style="13" customWidth="1"/>
    <col min="8" max="9" width="13.75" style="12" customWidth="1"/>
    <col min="10" max="10" width="13.75" style="13" customWidth="1"/>
    <col min="11" max="13" width="13.75" style="12" customWidth="1"/>
    <col min="14" max="14" width="13.75" style="13" customWidth="1"/>
    <col min="15" max="15" width="13.75" style="12" customWidth="1"/>
    <col min="16" max="16" width="13.75" style="13" customWidth="1"/>
    <col min="17" max="17" width="13.75" style="12" customWidth="1"/>
    <col min="18" max="18" width="13.75" style="13" customWidth="1"/>
    <col min="19" max="20" width="13.75" style="12" customWidth="1"/>
    <col min="21" max="21" width="14.375" style="12" customWidth="1"/>
    <col min="22" max="26" width="14.375" customWidth="1"/>
    <col min="27" max="256" width="11" customWidth="1"/>
  </cols>
  <sheetData>
    <row r="1" spans="1:44">
      <c r="A1" s="114" t="s">
        <v>163</v>
      </c>
      <c r="B1" s="37"/>
      <c r="C1" s="38"/>
      <c r="D1" s="38"/>
      <c r="E1" s="37"/>
      <c r="F1" s="37"/>
      <c r="G1" s="38"/>
      <c r="H1" s="37"/>
      <c r="I1" s="37"/>
      <c r="J1" s="38"/>
      <c r="K1" s="37"/>
      <c r="L1" s="37"/>
      <c r="M1" s="37"/>
      <c r="N1" s="38"/>
      <c r="O1" s="37"/>
      <c r="P1" s="38"/>
      <c r="Q1" s="37"/>
      <c r="R1" s="38"/>
      <c r="S1" s="37"/>
    </row>
    <row r="2" spans="1:44">
      <c r="A2" s="114" t="s">
        <v>360</v>
      </c>
      <c r="B2" s="37"/>
      <c r="C2" s="38"/>
      <c r="D2" s="38"/>
      <c r="E2" s="37"/>
      <c r="F2" s="37"/>
      <c r="G2" s="38"/>
      <c r="H2" s="37"/>
      <c r="I2" s="37"/>
      <c r="J2" s="38"/>
      <c r="K2" s="37"/>
      <c r="L2" s="37"/>
      <c r="M2" s="37"/>
      <c r="N2" s="38"/>
      <c r="O2" s="37"/>
      <c r="P2" s="38"/>
      <c r="Q2" s="37"/>
      <c r="R2" s="38"/>
      <c r="S2" s="37"/>
    </row>
    <row r="3" spans="1:44">
      <c r="A3" s="114" t="s">
        <v>419</v>
      </c>
      <c r="B3" s="37"/>
      <c r="C3" s="38"/>
      <c r="D3" s="38"/>
      <c r="E3" s="37"/>
      <c r="F3" s="37"/>
      <c r="G3" s="38"/>
      <c r="H3" s="37"/>
      <c r="I3" s="37"/>
      <c r="J3" s="38"/>
      <c r="K3" s="37"/>
      <c r="L3" s="37"/>
      <c r="M3" s="37"/>
      <c r="N3" s="38"/>
      <c r="O3" s="37"/>
      <c r="P3" s="38"/>
      <c r="Q3" s="37"/>
      <c r="R3" s="38"/>
      <c r="S3" s="37"/>
    </row>
    <row r="4" spans="1:44">
      <c r="A4" s="114" t="s">
        <v>404</v>
      </c>
      <c r="B4" s="37"/>
      <c r="C4" s="38"/>
      <c r="D4" s="38"/>
      <c r="E4" s="37"/>
      <c r="F4" s="37"/>
      <c r="G4" s="38"/>
      <c r="H4" s="37"/>
      <c r="I4" s="37"/>
      <c r="J4" s="38"/>
      <c r="K4" s="37"/>
      <c r="L4" s="37"/>
      <c r="M4" s="37"/>
      <c r="N4" s="38"/>
      <c r="O4" s="37"/>
      <c r="P4" s="38"/>
      <c r="Q4" s="37"/>
      <c r="R4" s="38"/>
      <c r="S4" s="37"/>
    </row>
    <row r="5" spans="1:44">
      <c r="A5" s="114" t="s">
        <v>179</v>
      </c>
      <c r="B5" s="37"/>
      <c r="C5" s="38"/>
      <c r="D5" s="38"/>
      <c r="E5" s="37"/>
      <c r="F5" s="37"/>
      <c r="G5" s="38"/>
      <c r="H5" s="37"/>
      <c r="I5" s="37"/>
      <c r="J5" s="38"/>
      <c r="K5" s="37"/>
      <c r="L5" s="37"/>
      <c r="M5" s="37"/>
      <c r="N5" s="38"/>
      <c r="O5" s="37"/>
      <c r="P5" s="38"/>
      <c r="Q5" s="37"/>
      <c r="R5" s="38"/>
      <c r="S5" s="37"/>
    </row>
    <row r="6" spans="1:44">
      <c r="A6" s="1"/>
      <c r="B6" s="60"/>
      <c r="C6" s="61"/>
      <c r="D6" s="61"/>
      <c r="E6" s="60"/>
      <c r="F6" s="60"/>
      <c r="G6" s="61"/>
      <c r="H6" s="60"/>
      <c r="I6" s="60"/>
      <c r="J6" s="61"/>
      <c r="K6" s="60"/>
      <c r="L6" s="60"/>
      <c r="M6" s="60"/>
      <c r="N6" s="61"/>
      <c r="O6" s="60"/>
      <c r="P6" s="61"/>
      <c r="Q6" s="60"/>
      <c r="R6" s="61"/>
      <c r="S6" s="60"/>
      <c r="T6" s="60"/>
      <c r="U6" s="60"/>
      <c r="V6" s="1"/>
      <c r="W6" s="1"/>
      <c r="X6" s="1"/>
      <c r="Y6" s="1"/>
      <c r="Z6" s="1"/>
      <c r="AA6" s="1"/>
      <c r="AB6" s="1"/>
      <c r="AC6" s="1"/>
      <c r="AD6" s="1"/>
      <c r="AE6" s="1"/>
      <c r="AF6" s="1"/>
      <c r="AG6" s="1"/>
      <c r="AH6" s="1"/>
      <c r="AI6" s="1"/>
      <c r="AJ6" s="1"/>
      <c r="AK6" s="1"/>
      <c r="AL6" s="1"/>
      <c r="AM6" s="1"/>
      <c r="AN6" s="1"/>
      <c r="AO6" s="1"/>
      <c r="AP6" s="1"/>
      <c r="AQ6" s="1"/>
      <c r="AR6" s="1"/>
    </row>
    <row r="7" spans="1:44">
      <c r="A7" s="1"/>
      <c r="B7" s="306" t="s">
        <v>98</v>
      </c>
      <c r="C7" s="307" t="s">
        <v>100</v>
      </c>
      <c r="D7" s="307" t="s">
        <v>101</v>
      </c>
      <c r="E7" s="306" t="s">
        <v>102</v>
      </c>
      <c r="F7" s="307" t="s">
        <v>107</v>
      </c>
      <c r="G7" s="307" t="s">
        <v>103</v>
      </c>
      <c r="H7" s="307" t="s">
        <v>104</v>
      </c>
      <c r="I7" s="306" t="s">
        <v>105</v>
      </c>
      <c r="J7" s="306" t="s">
        <v>361</v>
      </c>
      <c r="K7" s="308" t="s">
        <v>362</v>
      </c>
      <c r="L7" s="1122" t="s">
        <v>250</v>
      </c>
      <c r="M7" s="306" t="s">
        <v>108</v>
      </c>
      <c r="N7" s="308" t="s">
        <v>362</v>
      </c>
      <c r="O7" s="306" t="s">
        <v>109</v>
      </c>
      <c r="P7" s="307" t="s">
        <v>110</v>
      </c>
      <c r="Q7" s="308" t="s">
        <v>362</v>
      </c>
      <c r="R7" s="308" t="s">
        <v>111</v>
      </c>
      <c r="S7"/>
      <c r="T7"/>
      <c r="U7" s="60"/>
      <c r="V7" s="1"/>
      <c r="W7" s="1"/>
      <c r="X7" s="1"/>
      <c r="Y7" s="1"/>
      <c r="Z7" s="1"/>
      <c r="AA7" s="1"/>
      <c r="AB7" s="1"/>
      <c r="AC7" s="1"/>
      <c r="AD7" s="1"/>
      <c r="AE7" s="1"/>
      <c r="AF7" s="1"/>
      <c r="AG7" s="1"/>
      <c r="AH7" s="1"/>
      <c r="AI7" s="1"/>
      <c r="AJ7" s="1"/>
      <c r="AK7" s="1"/>
      <c r="AL7" s="1"/>
      <c r="AM7" s="1"/>
      <c r="AN7" s="1"/>
      <c r="AO7" s="1"/>
      <c r="AP7" s="1"/>
      <c r="AQ7" s="1"/>
      <c r="AR7" s="1"/>
    </row>
    <row r="8" spans="1:44">
      <c r="A8" s="2" t="s">
        <v>243</v>
      </c>
      <c r="B8" s="1"/>
      <c r="C8" s="1"/>
      <c r="D8" s="1"/>
      <c r="E8" s="1"/>
      <c r="F8" s="1"/>
      <c r="G8" s="1"/>
      <c r="H8" s="1"/>
      <c r="I8" s="1"/>
      <c r="J8" s="1"/>
      <c r="K8" s="153"/>
      <c r="L8" s="1123"/>
      <c r="M8" s="1"/>
      <c r="N8" s="153" t="s">
        <v>0</v>
      </c>
      <c r="O8" s="1"/>
      <c r="P8" s="1"/>
      <c r="Q8" s="153"/>
      <c r="R8" s="202"/>
      <c r="S8"/>
      <c r="T8"/>
      <c r="U8" s="62"/>
      <c r="V8" s="63"/>
      <c r="W8" s="63"/>
      <c r="X8" s="63"/>
      <c r="Y8" s="1"/>
      <c r="Z8" s="1"/>
      <c r="AA8" s="1"/>
      <c r="AB8" s="1"/>
      <c r="AC8" s="1"/>
      <c r="AD8" s="1"/>
      <c r="AE8" s="1"/>
      <c r="AF8" s="1"/>
      <c r="AG8" s="1"/>
      <c r="AH8" s="1"/>
      <c r="AI8" s="1"/>
      <c r="AJ8" s="1"/>
      <c r="AK8" s="1"/>
      <c r="AL8" s="1"/>
      <c r="AM8" s="1"/>
      <c r="AN8" s="1"/>
      <c r="AO8" s="1"/>
      <c r="AP8" s="1"/>
      <c r="AQ8" s="1"/>
      <c r="AR8" s="1"/>
    </row>
    <row r="9" spans="1:44">
      <c r="A9" s="1" t="s">
        <v>264</v>
      </c>
      <c r="B9" s="60"/>
      <c r="C9" s="61"/>
      <c r="D9" s="61"/>
      <c r="E9" s="1"/>
      <c r="F9" s="61"/>
      <c r="G9" s="61"/>
      <c r="H9" s="61"/>
      <c r="I9" s="60"/>
      <c r="J9" s="60"/>
      <c r="K9" s="190"/>
      <c r="L9" s="86"/>
      <c r="M9" s="60"/>
      <c r="N9" s="196" t="s">
        <v>0</v>
      </c>
      <c r="O9" s="60"/>
      <c r="P9" s="61"/>
      <c r="Q9" s="190"/>
      <c r="R9" s="190"/>
      <c r="S9"/>
      <c r="T9"/>
      <c r="U9" s="60"/>
      <c r="V9" s="1"/>
      <c r="W9" s="1"/>
      <c r="X9" s="1"/>
      <c r="Y9" s="1"/>
      <c r="Z9" s="1"/>
      <c r="AA9" s="1"/>
      <c r="AB9" s="1"/>
      <c r="AC9" s="1"/>
      <c r="AD9" s="1"/>
      <c r="AE9" s="1"/>
      <c r="AF9" s="1"/>
      <c r="AG9" s="1"/>
      <c r="AH9" s="1"/>
      <c r="AI9" s="1"/>
      <c r="AJ9" s="1"/>
      <c r="AK9" s="1"/>
      <c r="AL9" s="1"/>
      <c r="AM9" s="1"/>
      <c r="AN9" s="1"/>
      <c r="AO9" s="1"/>
      <c r="AP9" s="1"/>
      <c r="AQ9" s="1"/>
      <c r="AR9" s="1"/>
    </row>
    <row r="10" spans="1:44">
      <c r="A10" s="1" t="s">
        <v>265</v>
      </c>
      <c r="B10" s="88">
        <f>+'bichgdes&amp;$'!B10</f>
        <v>0</v>
      </c>
      <c r="C10" s="88">
        <f>+'bncgdes&amp;$ '!B10</f>
        <v>72361</v>
      </c>
      <c r="D10" s="88">
        <f>+'bphgdes&amp;$'!B10</f>
        <v>7801.2</v>
      </c>
      <c r="E10" s="88">
        <f>+'buhgdes&amp;$'!B10</f>
        <v>110215</v>
      </c>
      <c r="F10" s="88">
        <f>+'capitalbkgdes&amp;$'!B10</f>
        <v>34513</v>
      </c>
      <c r="G10" s="88">
        <f>+'promobkgdes&amp;$'!B10</f>
        <v>40439</v>
      </c>
      <c r="H10" s="88">
        <f>+'socabkgdes&amp;$ '!B10</f>
        <v>54888.3</v>
      </c>
      <c r="I10" s="88">
        <f>+'sogebkgdes&amp;$  '!B10</f>
        <v>143798</v>
      </c>
      <c r="J10" s="88">
        <f>+'unibkgdes&amp;$'!B10</f>
        <v>67352.800000000003</v>
      </c>
      <c r="K10" s="191">
        <f>SUM(B10:J10)</f>
        <v>531368.30000000005</v>
      </c>
      <c r="L10" s="303">
        <f>+'bhdgdes&amp;$'!B10</f>
        <v>44.8</v>
      </c>
      <c r="M10" s="88">
        <f>+'sgbelgdes&amp;$'!B10</f>
        <v>5630.5</v>
      </c>
      <c r="N10" s="200">
        <f>+L10+M10</f>
        <v>5675.3</v>
      </c>
      <c r="O10" s="88">
        <f>+'cbnagdes&amp;$'!B10</f>
        <v>25599</v>
      </c>
      <c r="P10" s="88">
        <f>+'scotiagdes&amp;$'!B10</f>
        <v>11828</v>
      </c>
      <c r="Q10" s="197">
        <f>SUM(O10:P10)</f>
        <v>37427</v>
      </c>
      <c r="R10" s="191">
        <f>+K10+N10+Q10</f>
        <v>574470.60000000009</v>
      </c>
      <c r="S10"/>
      <c r="T10"/>
      <c r="U10" s="60"/>
      <c r="V10" s="1"/>
      <c r="W10" s="1"/>
      <c r="X10" s="1"/>
      <c r="Y10" s="1"/>
      <c r="Z10" s="1"/>
      <c r="AA10" s="1"/>
      <c r="AB10" s="1"/>
      <c r="AC10" s="1"/>
      <c r="AD10" s="1"/>
      <c r="AE10" s="1"/>
      <c r="AF10" s="1"/>
      <c r="AG10" s="1"/>
      <c r="AH10" s="1"/>
      <c r="AI10" s="1"/>
      <c r="AJ10" s="1"/>
      <c r="AK10" s="1"/>
      <c r="AL10" s="1"/>
      <c r="AM10" s="1"/>
      <c r="AN10" s="1"/>
      <c r="AO10" s="1"/>
      <c r="AP10" s="1"/>
      <c r="AQ10" s="1"/>
      <c r="AR10" s="1"/>
    </row>
    <row r="11" spans="1:44">
      <c r="A11" s="1" t="s">
        <v>266</v>
      </c>
      <c r="B11" s="88">
        <f>+'bichgdes&amp;$'!B11</f>
        <v>0</v>
      </c>
      <c r="C11" s="88">
        <f>+'bncgdes&amp;$ '!B11</f>
        <v>36645</v>
      </c>
      <c r="D11" s="88">
        <f>+'bphgdes&amp;$'!B11</f>
        <v>6090.6</v>
      </c>
      <c r="E11" s="88">
        <f>+'buhgdes&amp;$'!B11</f>
        <v>46194</v>
      </c>
      <c r="F11" s="88">
        <f>+'capitalbkgdes&amp;$'!B11</f>
        <v>18888</v>
      </c>
      <c r="G11" s="88">
        <f>+'promobkgdes&amp;$'!B11</f>
        <v>28759</v>
      </c>
      <c r="H11" s="88">
        <f>+'socabkgdes&amp;$ '!B11</f>
        <v>30502.3</v>
      </c>
      <c r="I11" s="88">
        <f>+'sogebkgdes&amp;$  '!B11</f>
        <v>105188</v>
      </c>
      <c r="J11" s="88">
        <f>+'unibkgdes&amp;$'!B11</f>
        <v>3475</v>
      </c>
      <c r="K11" s="191">
        <f>SUM(B11:J11)</f>
        <v>275741.90000000002</v>
      </c>
      <c r="L11" s="303">
        <f>+'bhdgdes&amp;$'!B11</f>
        <v>1991.3</v>
      </c>
      <c r="M11" s="88">
        <f>+'sgbelgdes&amp;$'!B11</f>
        <v>-53.9</v>
      </c>
      <c r="N11" s="200">
        <f>+L11+M11</f>
        <v>1937.3999999999999</v>
      </c>
      <c r="O11" s="88">
        <f>+'cbnagdes&amp;$'!B11</f>
        <v>10957</v>
      </c>
      <c r="P11" s="88">
        <f>+'scotiagdes&amp;$'!B11</f>
        <v>18229</v>
      </c>
      <c r="Q11" s="197">
        <f>SUM(O11:P11)</f>
        <v>29186</v>
      </c>
      <c r="R11" s="191">
        <f>+K11+N11+Q11</f>
        <v>306865.30000000005</v>
      </c>
      <c r="S11"/>
      <c r="T11"/>
      <c r="U11" s="60"/>
      <c r="V11" s="1"/>
      <c r="W11" s="1"/>
      <c r="X11" s="1"/>
      <c r="Y11" s="1"/>
      <c r="Z11" s="1"/>
      <c r="AA11" s="1"/>
      <c r="AB11" s="1"/>
      <c r="AC11" s="1"/>
      <c r="AD11" s="1"/>
      <c r="AE11" s="1"/>
      <c r="AF11" s="1"/>
      <c r="AG11" s="1"/>
      <c r="AH11" s="1"/>
      <c r="AI11" s="1"/>
      <c r="AJ11" s="1"/>
      <c r="AK11" s="1"/>
      <c r="AL11" s="1"/>
      <c r="AM11" s="1"/>
      <c r="AN11" s="1"/>
      <c r="AO11" s="1"/>
      <c r="AP11" s="1"/>
      <c r="AQ11" s="1"/>
      <c r="AR11" s="1"/>
    </row>
    <row r="12" spans="1:44">
      <c r="A12" s="1" t="s">
        <v>267</v>
      </c>
      <c r="B12" s="88">
        <f>+'bichgdes&amp;$'!B12</f>
        <v>448.4</v>
      </c>
      <c r="C12" s="88">
        <f>+'bncgdes&amp;$ '!B12</f>
        <v>38433</v>
      </c>
      <c r="D12" s="88">
        <f>+'bphgdes&amp;$'!B12</f>
        <v>47634.2</v>
      </c>
      <c r="E12" s="88">
        <f>+'buhgdes&amp;$'!B12</f>
        <v>113072</v>
      </c>
      <c r="F12" s="88">
        <f>+'capitalbkgdes&amp;$'!B12</f>
        <v>28845</v>
      </c>
      <c r="G12" s="88">
        <f>+'promobkgdes&amp;$'!B12</f>
        <v>108675</v>
      </c>
      <c r="H12" s="88">
        <f>+'socabkgdes&amp;$ '!B12</f>
        <v>72353.899999999994</v>
      </c>
      <c r="I12" s="88">
        <f>+'sogebkgdes&amp;$  '!B12</f>
        <v>314717</v>
      </c>
      <c r="J12" s="88">
        <f>+'unibkgdes&amp;$'!B12</f>
        <v>268205.5</v>
      </c>
      <c r="K12" s="191">
        <f>SUM(B12:J12)</f>
        <v>992384</v>
      </c>
      <c r="L12" s="303">
        <f>+'bhdgdes&amp;$'!B12</f>
        <v>2091.6</v>
      </c>
      <c r="M12" s="88">
        <f>+'sgbelgdes&amp;$'!B12</f>
        <v>5174.1000000000004</v>
      </c>
      <c r="N12" s="200">
        <f>+L12+M12</f>
        <v>7265.7000000000007</v>
      </c>
      <c r="O12" s="88">
        <f>+'cbnagdes&amp;$'!B12</f>
        <v>15820</v>
      </c>
      <c r="P12" s="88">
        <f>+'scotiagdes&amp;$'!B12</f>
        <v>120369</v>
      </c>
      <c r="Q12" s="197">
        <f>SUM(O12:P12)</f>
        <v>136189</v>
      </c>
      <c r="R12" s="191">
        <f>+K12+N12+Q12</f>
        <v>1135838.7</v>
      </c>
      <c r="S12"/>
      <c r="T12"/>
      <c r="U12" s="60"/>
      <c r="V12" s="1"/>
      <c r="W12" s="1"/>
      <c r="X12" s="1"/>
      <c r="Y12" s="1"/>
      <c r="Z12" s="1"/>
      <c r="AA12" s="1"/>
      <c r="AB12" s="1"/>
      <c r="AC12" s="1"/>
      <c r="AD12" s="1"/>
      <c r="AE12" s="1"/>
      <c r="AF12" s="1"/>
      <c r="AG12" s="1"/>
      <c r="AH12" s="1"/>
      <c r="AI12" s="1"/>
      <c r="AJ12" s="1"/>
      <c r="AK12" s="1"/>
      <c r="AL12" s="1"/>
      <c r="AM12" s="1"/>
      <c r="AN12" s="1"/>
      <c r="AO12" s="1"/>
      <c r="AP12" s="1"/>
      <c r="AQ12" s="1"/>
      <c r="AR12" s="1"/>
    </row>
    <row r="13" spans="1:44">
      <c r="A13" s="1" t="s">
        <v>268</v>
      </c>
      <c r="B13" s="88">
        <f>+'bichgdes&amp;$'!B13</f>
        <v>0</v>
      </c>
      <c r="C13" s="88">
        <f>+'bncgdes&amp;$ '!B13</f>
        <v>0</v>
      </c>
      <c r="D13" s="88">
        <f>+'bphgdes&amp;$'!B13</f>
        <v>0</v>
      </c>
      <c r="E13" s="88">
        <f>+'buhgdes&amp;$'!B13</f>
        <v>0</v>
      </c>
      <c r="F13" s="88">
        <f>+'capitalbkgdes&amp;$'!B13</f>
        <v>177</v>
      </c>
      <c r="G13" s="88">
        <f>+'promobkgdes&amp;$'!B13</f>
        <v>0</v>
      </c>
      <c r="H13" s="88">
        <f>+'socabkgdes&amp;$ '!B13</f>
        <v>0</v>
      </c>
      <c r="I13" s="88">
        <f>+'sogebkgdes&amp;$  '!B13</f>
        <v>0</v>
      </c>
      <c r="J13" s="88">
        <f>+'unibkgdes&amp;$'!B13</f>
        <v>7187.8</v>
      </c>
      <c r="K13" s="191">
        <f>SUM(B13:J13)</f>
        <v>7364.8</v>
      </c>
      <c r="L13" s="303">
        <f>+'bhdgdes&amp;$'!B13</f>
        <v>0.6</v>
      </c>
      <c r="M13" s="88">
        <f>+'sgbelgdes&amp;$'!B13</f>
        <v>4778</v>
      </c>
      <c r="N13" s="200">
        <f>+L13+M13</f>
        <v>4778.6000000000004</v>
      </c>
      <c r="O13" s="88">
        <f>+'cbnagdes&amp;$'!B13</f>
        <v>0</v>
      </c>
      <c r="P13" s="88">
        <f>+'scotiagdes&amp;$'!B13</f>
        <v>0</v>
      </c>
      <c r="Q13" s="197">
        <f>SUM(O13:P13)</f>
        <v>0</v>
      </c>
      <c r="R13" s="191">
        <f>+K13+N13+Q13</f>
        <v>12143.400000000001</v>
      </c>
      <c r="S13"/>
      <c r="T13"/>
      <c r="U13" s="60"/>
      <c r="V13" s="1"/>
      <c r="W13" s="1"/>
      <c r="X13" s="1"/>
      <c r="Y13" s="1"/>
      <c r="Z13" s="1"/>
      <c r="AA13" s="1"/>
      <c r="AB13" s="1"/>
      <c r="AC13" s="1"/>
      <c r="AD13" s="1"/>
      <c r="AE13" s="1"/>
      <c r="AF13" s="1"/>
      <c r="AG13" s="1"/>
      <c r="AH13" s="1"/>
      <c r="AI13" s="1"/>
      <c r="AJ13" s="1"/>
      <c r="AK13" s="1"/>
      <c r="AL13" s="1"/>
      <c r="AM13" s="1"/>
      <c r="AN13" s="1"/>
      <c r="AO13" s="1"/>
      <c r="AP13" s="1"/>
      <c r="AQ13" s="1"/>
      <c r="AR13" s="1"/>
    </row>
    <row r="14" spans="1:44">
      <c r="A14" s="1" t="s">
        <v>269</v>
      </c>
      <c r="B14" s="221">
        <f>+'bichgdes&amp;$'!B14</f>
        <v>0</v>
      </c>
      <c r="C14" s="221">
        <f>+'bncgdes&amp;$ '!B14</f>
        <v>2233</v>
      </c>
      <c r="D14" s="221">
        <f>+'bphgdes&amp;$'!B14</f>
        <v>3515.3</v>
      </c>
      <c r="E14" s="221">
        <f>+'buhgdes&amp;$'!B14</f>
        <v>2587</v>
      </c>
      <c r="F14" s="221">
        <f>+'capitalbkgdes&amp;$'!B14</f>
        <v>3232</v>
      </c>
      <c r="G14" s="221">
        <f>+'promobkgdes&amp;$'!B14</f>
        <v>11271</v>
      </c>
      <c r="H14" s="221">
        <f>+'socabkgdes&amp;$ '!B14</f>
        <v>38337.800000000003</v>
      </c>
      <c r="I14" s="221">
        <f>+'sogebkgdes&amp;$  '!B14</f>
        <v>83647</v>
      </c>
      <c r="J14" s="221">
        <f>+'unibkgdes&amp;$'!B14</f>
        <v>46020.800000000003</v>
      </c>
      <c r="K14" s="300">
        <f>SUM(B14:J14)</f>
        <v>190843.90000000002</v>
      </c>
      <c r="L14" s="1127">
        <f>+'bhdgdes&amp;$'!B14</f>
        <v>0</v>
      </c>
      <c r="M14" s="221">
        <f>+'sgbelgdes&amp;$'!B14</f>
        <v>972</v>
      </c>
      <c r="N14" s="1075">
        <f>+L14+M14</f>
        <v>972</v>
      </c>
      <c r="O14" s="221">
        <f>+'cbnagdes&amp;$'!B14</f>
        <v>61411</v>
      </c>
      <c r="P14" s="221">
        <f>+'scotiagdes&amp;$'!B14</f>
        <v>4842</v>
      </c>
      <c r="Q14" s="309">
        <f>SUM(O14:P14)</f>
        <v>66253</v>
      </c>
      <c r="R14" s="300">
        <f>+K14+N14+Q14</f>
        <v>258068.90000000002</v>
      </c>
      <c r="S14"/>
      <c r="T14"/>
      <c r="U14" s="60"/>
      <c r="V14" s="1"/>
      <c r="W14" s="1"/>
      <c r="X14" s="1"/>
      <c r="Y14" s="1"/>
      <c r="Z14" s="1"/>
      <c r="AA14" s="1"/>
      <c r="AB14" s="1"/>
      <c r="AC14" s="1"/>
      <c r="AD14" s="1"/>
      <c r="AE14" s="1"/>
      <c r="AF14" s="1"/>
      <c r="AG14" s="1"/>
      <c r="AH14" s="1"/>
      <c r="AI14" s="1"/>
      <c r="AJ14" s="1"/>
      <c r="AK14" s="1"/>
      <c r="AL14" s="1"/>
      <c r="AM14" s="1"/>
      <c r="AN14" s="1"/>
      <c r="AO14" s="1"/>
      <c r="AP14" s="1"/>
      <c r="AQ14" s="1"/>
      <c r="AR14" s="1"/>
    </row>
    <row r="15" spans="1:44" ht="15.6" customHeight="1">
      <c r="A15" s="1"/>
      <c r="B15" s="88">
        <f>SUM(B10:B14)</f>
        <v>448.4</v>
      </c>
      <c r="C15" s="88">
        <f t="shared" ref="C15:K15" si="0">SUM(C10:C14)</f>
        <v>149672</v>
      </c>
      <c r="D15" s="88">
        <f t="shared" si="0"/>
        <v>65041.3</v>
      </c>
      <c r="E15" s="88">
        <f t="shared" si="0"/>
        <v>272068</v>
      </c>
      <c r="F15" s="143">
        <f>SUM(F10:F14)</f>
        <v>85655</v>
      </c>
      <c r="G15" s="88">
        <f t="shared" si="0"/>
        <v>189144</v>
      </c>
      <c r="H15" s="88">
        <f t="shared" si="0"/>
        <v>196082.3</v>
      </c>
      <c r="I15" s="88">
        <f t="shared" si="0"/>
        <v>647350</v>
      </c>
      <c r="J15" s="88">
        <f t="shared" si="0"/>
        <v>392241.89999999997</v>
      </c>
      <c r="K15" s="191">
        <f t="shared" si="0"/>
        <v>1997702.9000000004</v>
      </c>
      <c r="L15" s="88">
        <f t="shared" ref="L15:R15" si="1">SUM(L10:L14)</f>
        <v>4128.3</v>
      </c>
      <c r="M15" s="88">
        <f t="shared" si="1"/>
        <v>16500.7</v>
      </c>
      <c r="N15" s="1125">
        <f t="shared" si="1"/>
        <v>20629</v>
      </c>
      <c r="O15" s="88">
        <f t="shared" si="1"/>
        <v>113787</v>
      </c>
      <c r="P15" s="88">
        <f t="shared" si="1"/>
        <v>155268</v>
      </c>
      <c r="Q15" s="197">
        <f t="shared" si="1"/>
        <v>269055</v>
      </c>
      <c r="R15" s="191">
        <f t="shared" si="1"/>
        <v>2287386.9</v>
      </c>
      <c r="S15"/>
      <c r="T15"/>
      <c r="U15" s="60"/>
      <c r="V15" s="1"/>
      <c r="W15" s="1"/>
      <c r="X15" s="1"/>
      <c r="Y15" s="1"/>
      <c r="Z15" s="1"/>
      <c r="AA15" s="1"/>
      <c r="AB15" s="1"/>
      <c r="AC15" s="1"/>
      <c r="AD15" s="1"/>
      <c r="AE15" s="1"/>
      <c r="AF15" s="1"/>
      <c r="AG15" s="1"/>
      <c r="AH15" s="1"/>
      <c r="AI15" s="1"/>
      <c r="AJ15" s="1"/>
      <c r="AK15" s="1"/>
      <c r="AL15" s="1"/>
      <c r="AM15" s="1"/>
      <c r="AN15" s="1"/>
      <c r="AO15" s="1"/>
      <c r="AP15" s="1"/>
      <c r="AQ15" s="1"/>
      <c r="AR15" s="1"/>
    </row>
    <row r="16" spans="1:44" ht="7.9" customHeight="1">
      <c r="A16" s="1"/>
      <c r="B16" s="88"/>
      <c r="C16" s="100" t="s">
        <v>0</v>
      </c>
      <c r="D16" s="89" t="s">
        <v>0</v>
      </c>
      <c r="E16" s="88"/>
      <c r="F16" s="89" t="s">
        <v>0</v>
      </c>
      <c r="G16" s="89" t="s">
        <v>0</v>
      </c>
      <c r="H16" s="89" t="s">
        <v>0</v>
      </c>
      <c r="I16" s="88"/>
      <c r="J16" s="88"/>
      <c r="K16" s="191"/>
      <c r="L16" s="94"/>
      <c r="M16" s="88"/>
      <c r="N16" s="200" t="s">
        <v>0</v>
      </c>
      <c r="O16" s="88"/>
      <c r="P16" s="88" t="s">
        <v>0</v>
      </c>
      <c r="Q16" s="197"/>
      <c r="R16" s="191"/>
      <c r="S16"/>
      <c r="T16"/>
      <c r="U16" s="60"/>
      <c r="V16" s="1"/>
      <c r="W16" s="1"/>
      <c r="X16" s="1"/>
      <c r="Y16" s="1"/>
      <c r="Z16" s="1"/>
      <c r="AA16" s="1"/>
      <c r="AB16" s="1"/>
      <c r="AC16" s="1"/>
      <c r="AD16" s="1"/>
      <c r="AE16" s="1"/>
      <c r="AF16" s="1"/>
      <c r="AG16" s="1"/>
      <c r="AH16" s="1"/>
      <c r="AI16" s="1"/>
      <c r="AJ16" s="1"/>
      <c r="AK16" s="1"/>
      <c r="AL16" s="1"/>
      <c r="AM16" s="1"/>
      <c r="AN16" s="1"/>
      <c r="AO16" s="1"/>
      <c r="AP16" s="1"/>
      <c r="AQ16" s="1"/>
      <c r="AR16" s="1"/>
    </row>
    <row r="17" spans="1:44" ht="15.6" customHeight="1">
      <c r="A17" s="1" t="s">
        <v>270</v>
      </c>
      <c r="B17" s="88">
        <f>+'bichgdes&amp;$'!B17</f>
        <v>0</v>
      </c>
      <c r="C17" s="88">
        <f>+'bncgdes&amp;$ '!B17</f>
        <v>0</v>
      </c>
      <c r="D17" s="88">
        <f>+'bphgdes&amp;$'!B17</f>
        <v>0</v>
      </c>
      <c r="E17" s="88">
        <f>+'buhgdes&amp;$'!B17</f>
        <v>0</v>
      </c>
      <c r="F17" s="88">
        <f>+'capitalbkgdes&amp;$'!B17</f>
        <v>0</v>
      </c>
      <c r="G17" s="88">
        <f>+'promobkgdes&amp;$'!B17</f>
        <v>0</v>
      </c>
      <c r="H17" s="88">
        <f>+'socabkgdes&amp;$ '!B17</f>
        <v>0</v>
      </c>
      <c r="I17" s="88">
        <f>+'sogebkgdes&amp;$  '!B17</f>
        <v>0</v>
      </c>
      <c r="J17" s="88">
        <f>+'unibkgdes&amp;$'!B17</f>
        <v>0</v>
      </c>
      <c r="K17" s="191">
        <f>SUM(B17:J17)</f>
        <v>0</v>
      </c>
      <c r="L17" s="303">
        <f>+'bhdgdes&amp;$'!B17</f>
        <v>0</v>
      </c>
      <c r="M17" s="88">
        <f>+'sgbelgdes&amp;$'!B17</f>
        <v>0</v>
      </c>
      <c r="N17" s="200">
        <f>+L17+M17</f>
        <v>0</v>
      </c>
      <c r="O17" s="88">
        <f>+'cbnagdes&amp;$'!B17</f>
        <v>0</v>
      </c>
      <c r="P17" s="88">
        <f>+'scotiagdes&amp;$'!B17</f>
        <v>0</v>
      </c>
      <c r="Q17" s="197">
        <f>SUM(O17:P17)</f>
        <v>0</v>
      </c>
      <c r="R17" s="191">
        <f>+K17+N17+Q17</f>
        <v>0</v>
      </c>
      <c r="S17"/>
      <c r="T17"/>
      <c r="U17" s="60"/>
      <c r="V17" s="1"/>
      <c r="W17" s="1"/>
      <c r="X17" s="1"/>
      <c r="Y17" s="1"/>
      <c r="Z17" s="1"/>
      <c r="AA17" s="1"/>
      <c r="AB17" s="1"/>
      <c r="AC17" s="1"/>
      <c r="AD17" s="1"/>
      <c r="AE17" s="1"/>
      <c r="AF17" s="1"/>
      <c r="AG17" s="1"/>
      <c r="AH17" s="1"/>
      <c r="AI17" s="1"/>
      <c r="AJ17" s="1"/>
      <c r="AK17" s="1"/>
      <c r="AL17" s="1"/>
      <c r="AM17" s="1"/>
      <c r="AN17" s="1"/>
      <c r="AO17" s="1"/>
      <c r="AP17" s="1"/>
      <c r="AQ17" s="1"/>
      <c r="AR17" s="1"/>
    </row>
    <row r="18" spans="1:44">
      <c r="A18" s="1" t="s">
        <v>271</v>
      </c>
      <c r="B18" s="88">
        <f>+'bichgdes&amp;$'!B18</f>
        <v>0</v>
      </c>
      <c r="C18" s="88">
        <f>+'bncgdes&amp;$ '!B18</f>
        <v>8390</v>
      </c>
      <c r="D18" s="88">
        <f>+'bphgdes&amp;$'!B18</f>
        <v>834.4</v>
      </c>
      <c r="E18" s="88">
        <f>+'buhgdes&amp;$'!B18</f>
        <v>47797</v>
      </c>
      <c r="F18" s="88">
        <f>+'capitalbkgdes&amp;$'!B18</f>
        <v>75889</v>
      </c>
      <c r="G18" s="88">
        <f>+'promobkgdes&amp;$'!B18</f>
        <v>0</v>
      </c>
      <c r="H18" s="88">
        <f>+'socabkgdes&amp;$ '!B18</f>
        <v>105237.8</v>
      </c>
      <c r="I18" s="88">
        <f>+'sogebkgdes&amp;$  '!B18</f>
        <v>96461</v>
      </c>
      <c r="J18" s="88">
        <f>+'unibkgdes&amp;$'!B18</f>
        <v>472418.8</v>
      </c>
      <c r="K18" s="191">
        <f>SUM(B18:J18)</f>
        <v>807028</v>
      </c>
      <c r="L18" s="303">
        <f>+'bhdgdes&amp;$'!B18</f>
        <v>819.8</v>
      </c>
      <c r="M18" s="88">
        <f>+'sgbelgdes&amp;$'!B18</f>
        <v>9630.4</v>
      </c>
      <c r="N18" s="200">
        <f>+L18+M18</f>
        <v>10450.199999999999</v>
      </c>
      <c r="O18" s="88">
        <f>+'cbnagdes&amp;$'!B18</f>
        <v>0</v>
      </c>
      <c r="P18" s="88">
        <f>+'scotiagdes&amp;$'!B18</f>
        <v>0</v>
      </c>
      <c r="Q18" s="197">
        <f>SUM(O18:P18)</f>
        <v>0</v>
      </c>
      <c r="R18" s="191">
        <f>+K18+N18+Q18</f>
        <v>817478.2</v>
      </c>
      <c r="S18"/>
      <c r="T18"/>
      <c r="U18" s="60"/>
      <c r="V18" s="1"/>
      <c r="W18" s="1"/>
      <c r="X18" s="1"/>
      <c r="Y18" s="1"/>
      <c r="Z18" s="1"/>
      <c r="AA18" s="1"/>
      <c r="AB18" s="1"/>
      <c r="AC18" s="1"/>
      <c r="AD18" s="1"/>
      <c r="AE18" s="1"/>
      <c r="AF18" s="1"/>
      <c r="AG18" s="1"/>
      <c r="AH18" s="1"/>
      <c r="AI18" s="1"/>
      <c r="AJ18" s="1"/>
      <c r="AK18" s="1"/>
      <c r="AL18" s="1"/>
      <c r="AM18" s="1"/>
      <c r="AN18" s="1"/>
      <c r="AO18" s="1"/>
      <c r="AP18" s="1"/>
      <c r="AQ18" s="1"/>
      <c r="AR18" s="1"/>
    </row>
    <row r="19" spans="1:44">
      <c r="A19" s="1" t="s">
        <v>406</v>
      </c>
      <c r="B19" s="88">
        <f>+'bichgdes&amp;$'!B19</f>
        <v>0</v>
      </c>
      <c r="C19" s="88">
        <f>+'bncgdes&amp;$ '!B19</f>
        <v>9152</v>
      </c>
      <c r="D19" s="88">
        <f>+'bphgdes&amp;$'!B19</f>
        <v>26654.400000000001</v>
      </c>
      <c r="E19" s="88">
        <f>+'buhgdes&amp;$'!B19</f>
        <v>198145</v>
      </c>
      <c r="F19" s="88">
        <f>+'capitalbkgdes&amp;$'!B19</f>
        <v>166220</v>
      </c>
      <c r="G19" s="88">
        <f>+'promobkgdes&amp;$'!B19</f>
        <v>422645</v>
      </c>
      <c r="H19" s="88">
        <f>+'socabkgdes&amp;$ '!B19</f>
        <v>749233.5</v>
      </c>
      <c r="I19" s="88">
        <f>+'sogebkgdes&amp;$  '!B19</f>
        <v>806989</v>
      </c>
      <c r="J19" s="88">
        <f>+'unibkgdes&amp;$'!B19</f>
        <v>742110.4</v>
      </c>
      <c r="K19" s="191">
        <f>SUM(B19:J19)</f>
        <v>3121149.3</v>
      </c>
      <c r="L19" s="303">
        <f>+'bhdgdes&amp;$'!B19</f>
        <v>0</v>
      </c>
      <c r="M19" s="88">
        <f>+'sgbelgdes&amp;$'!B19</f>
        <v>110404.7</v>
      </c>
      <c r="N19" s="200">
        <f>+L19+M19</f>
        <v>110404.7</v>
      </c>
      <c r="O19" s="88">
        <f>+'cbnagdes&amp;$'!B19</f>
        <v>459668</v>
      </c>
      <c r="P19" s="88">
        <f>+'scotiagdes&amp;$'!B19</f>
        <v>146</v>
      </c>
      <c r="Q19" s="197">
        <f>SUM(O19:P19)</f>
        <v>459814</v>
      </c>
      <c r="R19" s="191">
        <f>+K19+N19+Q19</f>
        <v>3691368</v>
      </c>
      <c r="S19"/>
      <c r="T19"/>
      <c r="U19" s="60"/>
      <c r="V19" s="1"/>
      <c r="W19" s="1"/>
      <c r="X19" s="1"/>
      <c r="Y19" s="1"/>
      <c r="Z19" s="1"/>
      <c r="AA19" s="1"/>
      <c r="AB19" s="1"/>
      <c r="AC19" s="1"/>
      <c r="AD19" s="1"/>
      <c r="AE19" s="1"/>
      <c r="AF19" s="1"/>
      <c r="AG19" s="1"/>
      <c r="AH19" s="1"/>
      <c r="AI19" s="1"/>
      <c r="AJ19" s="1"/>
      <c r="AK19" s="1"/>
      <c r="AL19" s="1"/>
      <c r="AM19" s="1"/>
      <c r="AN19" s="1"/>
      <c r="AO19" s="1"/>
      <c r="AP19" s="1"/>
      <c r="AQ19" s="1"/>
      <c r="AR19" s="1"/>
    </row>
    <row r="20" spans="1:44">
      <c r="A20" s="1" t="s">
        <v>273</v>
      </c>
      <c r="B20" s="88">
        <f>+'bichgdes&amp;$'!B20</f>
        <v>0</v>
      </c>
      <c r="C20" s="88">
        <f>+'bncgdes&amp;$ '!B20</f>
        <v>0</v>
      </c>
      <c r="D20" s="88">
        <f>+'bphgdes&amp;$'!B20</f>
        <v>0</v>
      </c>
      <c r="E20" s="88">
        <f>+'buhgdes&amp;$'!B20</f>
        <v>0</v>
      </c>
      <c r="F20" s="88">
        <f>+'capitalbkgdes&amp;$'!B20</f>
        <v>0</v>
      </c>
      <c r="G20" s="88">
        <f>+'promobkgdes&amp;$'!B20</f>
        <v>0</v>
      </c>
      <c r="H20" s="88">
        <f>+'socabkgdes&amp;$ '!B20</f>
        <v>0</v>
      </c>
      <c r="I20" s="88">
        <f>+'sogebkgdes&amp;$  '!B20</f>
        <v>0</v>
      </c>
      <c r="J20" s="88">
        <f>+'unibkgdes&amp;$'!B20</f>
        <v>0</v>
      </c>
      <c r="K20" s="191">
        <f>SUM(B20:J20)</f>
        <v>0</v>
      </c>
      <c r="L20" s="303">
        <f>+'bhdgdes&amp;$'!B20</f>
        <v>0</v>
      </c>
      <c r="M20" s="88">
        <f>+'sgbelgdes&amp;$'!B20</f>
        <v>0</v>
      </c>
      <c r="N20" s="200">
        <f>+L20+M20</f>
        <v>0</v>
      </c>
      <c r="O20" s="88">
        <f>+'cbnagdes&amp;$'!B20</f>
        <v>0</v>
      </c>
      <c r="P20" s="88">
        <f>+'scotiagdes&amp;$'!B20</f>
        <v>0</v>
      </c>
      <c r="Q20" s="197">
        <f>SUM(O20:P20)</f>
        <v>0</v>
      </c>
      <c r="R20" s="191">
        <f>+K20+N20+Q20</f>
        <v>0</v>
      </c>
      <c r="S20"/>
      <c r="T20"/>
      <c r="U20" s="60"/>
      <c r="V20" s="1"/>
      <c r="W20" s="1"/>
      <c r="X20" s="1"/>
      <c r="Y20" s="1"/>
      <c r="Z20" s="1"/>
      <c r="AA20" s="1"/>
      <c r="AB20" s="1"/>
      <c r="AC20" s="1"/>
      <c r="AD20" s="1"/>
      <c r="AE20" s="1"/>
      <c r="AF20" s="1"/>
      <c r="AG20" s="1"/>
      <c r="AH20" s="1"/>
      <c r="AI20" s="1"/>
      <c r="AJ20" s="1"/>
      <c r="AK20" s="1"/>
      <c r="AL20" s="1"/>
      <c r="AM20" s="1"/>
      <c r="AN20" s="1"/>
      <c r="AO20" s="1"/>
      <c r="AP20" s="1"/>
      <c r="AQ20" s="1"/>
      <c r="AR20" s="1"/>
    </row>
    <row r="21" spans="1:44" ht="18" thickBot="1">
      <c r="A21" s="1" t="s">
        <v>274</v>
      </c>
      <c r="B21" s="99">
        <f>+'bichgdes&amp;$'!B21</f>
        <v>0</v>
      </c>
      <c r="C21" s="99">
        <f>+'bncgdes&amp;$ '!B21</f>
        <v>488</v>
      </c>
      <c r="D21" s="99">
        <f>+'bphgdes&amp;$'!B21</f>
        <v>1399.4</v>
      </c>
      <c r="E21" s="99">
        <f>+'buhgdes&amp;$'!B21</f>
        <v>61573</v>
      </c>
      <c r="F21" s="99">
        <f>+'capitalbkgdes&amp;$'!B21</f>
        <v>66663</v>
      </c>
      <c r="G21" s="99">
        <f>+'promobkgdes&amp;$'!B21</f>
        <v>36674</v>
      </c>
      <c r="H21" s="99">
        <f>+'socabkgdes&amp;$ '!B21</f>
        <v>16285.6</v>
      </c>
      <c r="I21" s="99">
        <f>+'sogebkgdes&amp;$  '!B21</f>
        <v>60356</v>
      </c>
      <c r="J21" s="99">
        <f>+'unibkgdes&amp;$'!B21</f>
        <v>88030.3</v>
      </c>
      <c r="K21" s="192">
        <f>SUM(B21:J21)</f>
        <v>331469.3</v>
      </c>
      <c r="L21" s="1128">
        <f>+'bhdgdes&amp;$'!B21</f>
        <v>0</v>
      </c>
      <c r="M21" s="99">
        <f>+'sgbelgdes&amp;$'!B21</f>
        <v>1476.4</v>
      </c>
      <c r="N21" s="304">
        <f>+L21+M21</f>
        <v>1476.4</v>
      </c>
      <c r="O21" s="99">
        <f>+'cbnagdes&amp;$'!B21</f>
        <v>262645</v>
      </c>
      <c r="P21" s="99">
        <f>+'scotiagdes&amp;$'!B21</f>
        <v>-3201</v>
      </c>
      <c r="Q21" s="198">
        <f>SUM(O21:P21)</f>
        <v>259444</v>
      </c>
      <c r="R21" s="192">
        <f>+K21+N21+Q21</f>
        <v>592389.69999999995</v>
      </c>
      <c r="S21"/>
      <c r="T21"/>
      <c r="U21" s="64"/>
      <c r="V21" s="1"/>
      <c r="W21" s="1"/>
      <c r="X21" s="1"/>
      <c r="Y21" s="1"/>
      <c r="Z21" s="1"/>
      <c r="AA21" s="1"/>
      <c r="AB21" s="1"/>
      <c r="AC21" s="1"/>
      <c r="AD21" s="1"/>
      <c r="AE21" s="1"/>
      <c r="AF21" s="1"/>
      <c r="AG21" s="1"/>
      <c r="AH21" s="1"/>
      <c r="AI21" s="1"/>
      <c r="AJ21" s="1"/>
      <c r="AK21" s="1"/>
      <c r="AL21" s="1"/>
      <c r="AM21" s="1"/>
      <c r="AN21" s="1"/>
      <c r="AO21" s="1"/>
      <c r="AP21" s="1"/>
      <c r="AQ21" s="1"/>
      <c r="AR21" s="1"/>
    </row>
    <row r="22" spans="1:44">
      <c r="A22" s="1" t="s">
        <v>275</v>
      </c>
      <c r="B22" s="91">
        <f>SUM(B15:B21)</f>
        <v>448.4</v>
      </c>
      <c r="C22" s="91">
        <f t="shared" ref="C22:K22" si="2">SUM(C15:C21)</f>
        <v>167702</v>
      </c>
      <c r="D22" s="91">
        <f t="shared" si="2"/>
        <v>93929.5</v>
      </c>
      <c r="E22" s="91">
        <f t="shared" si="2"/>
        <v>579583</v>
      </c>
      <c r="F22" s="4">
        <f>SUM(F15:F21)</f>
        <v>394427</v>
      </c>
      <c r="G22" s="91">
        <f t="shared" si="2"/>
        <v>648463</v>
      </c>
      <c r="H22" s="91">
        <f t="shared" si="2"/>
        <v>1066839.2000000002</v>
      </c>
      <c r="I22" s="91">
        <f t="shared" si="2"/>
        <v>1611156</v>
      </c>
      <c r="J22" s="91">
        <f t="shared" si="2"/>
        <v>1694801.4000000001</v>
      </c>
      <c r="K22" s="191">
        <f t="shared" si="2"/>
        <v>6257349.5</v>
      </c>
      <c r="L22" s="4">
        <f t="shared" ref="L22:R22" si="3">SUM(L15:L21)</f>
        <v>4948.1000000000004</v>
      </c>
      <c r="M22" s="4">
        <f t="shared" si="3"/>
        <v>138012.19999999998</v>
      </c>
      <c r="N22" s="199">
        <f t="shared" si="3"/>
        <v>142960.29999999999</v>
      </c>
      <c r="O22" s="4">
        <f t="shared" si="3"/>
        <v>836100</v>
      </c>
      <c r="P22" s="4">
        <f t="shared" si="3"/>
        <v>152213</v>
      </c>
      <c r="Q22" s="203">
        <f t="shared" si="3"/>
        <v>988313</v>
      </c>
      <c r="R22" s="191">
        <f t="shared" si="3"/>
        <v>7388622.7999999998</v>
      </c>
      <c r="S22"/>
      <c r="T22"/>
      <c r="U22" s="60"/>
      <c r="V22" s="1"/>
      <c r="W22" s="1"/>
      <c r="X22" s="1"/>
      <c r="Y22" s="1"/>
      <c r="Z22" s="1"/>
      <c r="AA22" s="1"/>
      <c r="AB22" s="1"/>
      <c r="AC22" s="1"/>
      <c r="AD22" s="1"/>
      <c r="AE22" s="1"/>
      <c r="AF22" s="1"/>
      <c r="AG22" s="1"/>
      <c r="AH22" s="1"/>
      <c r="AI22" s="1"/>
      <c r="AJ22" s="1"/>
      <c r="AK22" s="1"/>
      <c r="AL22" s="1"/>
      <c r="AM22" s="1"/>
      <c r="AN22" s="1"/>
      <c r="AO22" s="1"/>
      <c r="AP22" s="1"/>
      <c r="AQ22" s="1"/>
      <c r="AR22" s="1"/>
    </row>
    <row r="23" spans="1:44" ht="15.6" customHeight="1">
      <c r="A23" s="1"/>
      <c r="B23" s="88"/>
      <c r="C23" s="100" t="s">
        <v>0</v>
      </c>
      <c r="D23" s="89" t="s">
        <v>0</v>
      </c>
      <c r="E23" s="88"/>
      <c r="F23" s="89" t="s">
        <v>0</v>
      </c>
      <c r="G23" s="89" t="s">
        <v>0</v>
      </c>
      <c r="H23" s="89" t="s">
        <v>0</v>
      </c>
      <c r="I23" s="88"/>
      <c r="J23" s="88"/>
      <c r="K23" s="94"/>
      <c r="L23" s="94"/>
      <c r="M23" s="88"/>
      <c r="N23" s="299" t="s">
        <v>0</v>
      </c>
      <c r="O23" s="88"/>
      <c r="P23" s="88" t="s">
        <v>0</v>
      </c>
      <c r="Q23" s="118"/>
      <c r="R23" s="94"/>
      <c r="S23"/>
      <c r="T23"/>
      <c r="U23" s="60"/>
      <c r="V23" s="1"/>
      <c r="W23" s="1"/>
      <c r="X23" s="1"/>
      <c r="Y23" s="1"/>
      <c r="Z23" s="1"/>
      <c r="AA23" s="1"/>
      <c r="AB23" s="1"/>
      <c r="AC23" s="1"/>
      <c r="AD23" s="1"/>
      <c r="AE23" s="1"/>
      <c r="AF23" s="1"/>
      <c r="AG23" s="1"/>
      <c r="AH23" s="1"/>
      <c r="AI23" s="1"/>
      <c r="AJ23" s="1"/>
      <c r="AK23" s="1"/>
      <c r="AL23" s="1"/>
      <c r="AM23" s="1"/>
      <c r="AN23" s="1"/>
      <c r="AO23" s="1"/>
      <c r="AP23" s="1"/>
      <c r="AQ23" s="1"/>
      <c r="AR23" s="1"/>
    </row>
    <row r="24" spans="1:44">
      <c r="A24" s="183" t="s">
        <v>276</v>
      </c>
      <c r="B24" s="88"/>
      <c r="C24" s="100" t="s">
        <v>0</v>
      </c>
      <c r="D24" s="89" t="s">
        <v>0</v>
      </c>
      <c r="E24" s="88"/>
      <c r="F24" s="89" t="s">
        <v>0</v>
      </c>
      <c r="G24" s="89" t="s">
        <v>0</v>
      </c>
      <c r="H24" s="89" t="s">
        <v>0</v>
      </c>
      <c r="I24" s="88"/>
      <c r="J24" s="88"/>
      <c r="K24" s="94"/>
      <c r="L24" s="94"/>
      <c r="M24" s="88"/>
      <c r="N24" s="299" t="s">
        <v>0</v>
      </c>
      <c r="O24" s="88"/>
      <c r="P24" s="88" t="s">
        <v>0</v>
      </c>
      <c r="Q24" s="118"/>
      <c r="R24" s="94"/>
      <c r="S24"/>
      <c r="T24"/>
      <c r="U24" s="60"/>
      <c r="V24" s="1"/>
      <c r="W24" s="1"/>
      <c r="X24" s="1"/>
      <c r="Y24" s="1"/>
      <c r="Z24" s="1"/>
      <c r="AA24" s="1"/>
      <c r="AB24" s="1"/>
      <c r="AC24" s="1"/>
      <c r="AD24" s="1"/>
      <c r="AE24" s="1"/>
      <c r="AF24" s="1"/>
      <c r="AG24" s="1"/>
      <c r="AH24" s="1"/>
      <c r="AI24" s="1"/>
      <c r="AJ24" s="1"/>
      <c r="AK24" s="1"/>
      <c r="AL24" s="1"/>
      <c r="AM24" s="1"/>
      <c r="AN24" s="1"/>
      <c r="AO24" s="1"/>
      <c r="AP24" s="1"/>
      <c r="AQ24" s="1"/>
      <c r="AR24" s="1"/>
    </row>
    <row r="25" spans="1:44">
      <c r="A25" s="1" t="s">
        <v>277</v>
      </c>
      <c r="B25" s="88"/>
      <c r="C25" s="100" t="s">
        <v>0</v>
      </c>
      <c r="D25" s="89" t="s">
        <v>0</v>
      </c>
      <c r="E25" s="88"/>
      <c r="F25" s="89" t="s">
        <v>0</v>
      </c>
      <c r="G25" s="89" t="s">
        <v>0</v>
      </c>
      <c r="H25" s="89" t="s">
        <v>0</v>
      </c>
      <c r="I25" s="88"/>
      <c r="J25" s="88"/>
      <c r="K25" s="94"/>
      <c r="L25" s="94"/>
      <c r="M25" s="88"/>
      <c r="N25" s="299" t="s">
        <v>0</v>
      </c>
      <c r="O25" s="88"/>
      <c r="P25" s="88" t="s">
        <v>0</v>
      </c>
      <c r="Q25" s="118"/>
      <c r="R25" s="94"/>
      <c r="S25"/>
      <c r="T25"/>
      <c r="U25" s="60"/>
      <c r="V25" s="1"/>
      <c r="W25" s="1"/>
      <c r="X25" s="1"/>
      <c r="Y25" s="1"/>
      <c r="Z25" s="1"/>
      <c r="AA25" s="1"/>
      <c r="AB25" s="1"/>
      <c r="AC25" s="1"/>
      <c r="AD25" s="1"/>
      <c r="AE25" s="1"/>
      <c r="AF25" s="1"/>
      <c r="AG25" s="1"/>
      <c r="AH25" s="1"/>
      <c r="AI25" s="1"/>
      <c r="AJ25" s="1"/>
      <c r="AK25" s="1"/>
      <c r="AL25" s="1"/>
      <c r="AM25" s="1"/>
      <c r="AN25" s="1"/>
      <c r="AO25" s="1"/>
      <c r="AP25" s="1"/>
      <c r="AQ25" s="1"/>
      <c r="AR25" s="1"/>
    </row>
    <row r="26" spans="1:44">
      <c r="A26" s="1" t="s">
        <v>278</v>
      </c>
      <c r="B26" s="88">
        <f>+'bichgdes&amp;$'!B26</f>
        <v>0</v>
      </c>
      <c r="C26" s="88">
        <f>+'bncgdes&amp;$ '!B26</f>
        <v>20547</v>
      </c>
      <c r="D26" s="88">
        <f>+'bphgdes&amp;$'!B26</f>
        <v>33110.1</v>
      </c>
      <c r="E26" s="88">
        <f>+'buhgdes&amp;$'!B26</f>
        <v>102891</v>
      </c>
      <c r="F26" s="88">
        <f>+'capitalbkgdes&amp;$'!B26</f>
        <v>95868</v>
      </c>
      <c r="G26" s="88">
        <f>+'promobkgdes&amp;$'!B26</f>
        <v>202249</v>
      </c>
      <c r="H26" s="88">
        <f>+'socabkgdes&amp;$ '!B26</f>
        <v>183204.2</v>
      </c>
      <c r="I26" s="88">
        <f>+'sogebkgdes&amp;$  '!B26</f>
        <v>344431</v>
      </c>
      <c r="J26" s="88">
        <f>+'unibkgdes&amp;$'!B26</f>
        <v>339075.9</v>
      </c>
      <c r="K26" s="191">
        <f>SUM(B26:J26)</f>
        <v>1321376.2000000002</v>
      </c>
      <c r="L26" s="303">
        <f>+'bhdgdes&amp;$'!B26</f>
        <v>46.7</v>
      </c>
      <c r="M26" s="88">
        <f>+'sgbelgdes&amp;$'!B26</f>
        <v>16945.599999999999</v>
      </c>
      <c r="N26" s="200">
        <f>+L26+M26</f>
        <v>16992.3</v>
      </c>
      <c r="O26" s="88">
        <f>+'cbnagdes&amp;$'!B26</f>
        <v>159529</v>
      </c>
      <c r="P26" s="88">
        <f>+'scotiagdes&amp;$'!B26</f>
        <v>46882</v>
      </c>
      <c r="Q26" s="197">
        <f>SUM(O26:P26)</f>
        <v>206411</v>
      </c>
      <c r="R26" s="191">
        <f>+K26+N26+Q26</f>
        <v>1544779.5000000002</v>
      </c>
      <c r="S26"/>
      <c r="T26"/>
      <c r="U26" s="60"/>
      <c r="V26" s="1"/>
      <c r="W26" s="1"/>
      <c r="X26" s="1"/>
      <c r="Y26" s="1"/>
      <c r="Z26" s="1"/>
      <c r="AA26" s="1"/>
      <c r="AB26" s="1"/>
      <c r="AC26" s="1"/>
      <c r="AD26" s="1"/>
      <c r="AE26" s="1"/>
      <c r="AF26" s="1"/>
      <c r="AG26" s="1"/>
      <c r="AH26" s="1"/>
      <c r="AI26" s="1"/>
      <c r="AJ26" s="1"/>
      <c r="AK26" s="1"/>
      <c r="AL26" s="1"/>
      <c r="AM26" s="1"/>
      <c r="AN26" s="1"/>
      <c r="AO26" s="1"/>
      <c r="AP26" s="1"/>
      <c r="AQ26" s="1"/>
      <c r="AR26" s="1"/>
    </row>
    <row r="27" spans="1:44">
      <c r="A27" s="1" t="s">
        <v>279</v>
      </c>
      <c r="B27" s="88">
        <f>+'bichgdes&amp;$'!B27</f>
        <v>0</v>
      </c>
      <c r="C27" s="88">
        <f>+'bncgdes&amp;$ '!B27</f>
        <v>39438</v>
      </c>
      <c r="D27" s="88">
        <f>+'bphgdes&amp;$'!B27</f>
        <v>16523.099999999999</v>
      </c>
      <c r="E27" s="88">
        <f>+'buhgdes&amp;$'!B27</f>
        <v>221094</v>
      </c>
      <c r="F27" s="88">
        <f>+'capitalbkgdes&amp;$'!B27</f>
        <v>63884</v>
      </c>
      <c r="G27" s="88">
        <f>+'promobkgdes&amp;$'!B27</f>
        <v>145383</v>
      </c>
      <c r="H27" s="88">
        <f>+'socabkgdes&amp;$ '!B27</f>
        <v>244534.2</v>
      </c>
      <c r="I27" s="88">
        <f>+'sogebkgdes&amp;$  '!B27</f>
        <v>584331</v>
      </c>
      <c r="J27" s="88">
        <f>+'unibkgdes&amp;$'!B27</f>
        <v>775700.8</v>
      </c>
      <c r="K27" s="191">
        <f>SUM(B27:J27)</f>
        <v>2090888.1</v>
      </c>
      <c r="L27" s="303">
        <f>+'bhdgdes&amp;$'!B27</f>
        <v>2722</v>
      </c>
      <c r="M27" s="88">
        <f>+'sgbelgdes&amp;$'!B27</f>
        <v>27122.1</v>
      </c>
      <c r="N27" s="200">
        <f>+L27+M27</f>
        <v>29844.1</v>
      </c>
      <c r="O27" s="88">
        <f>+'cbnagdes&amp;$'!B27</f>
        <v>145255</v>
      </c>
      <c r="P27" s="88">
        <f>+'scotiagdes&amp;$'!B27</f>
        <v>57041</v>
      </c>
      <c r="Q27" s="197">
        <f>SUM(O27:P27)</f>
        <v>202296</v>
      </c>
      <c r="R27" s="191">
        <f>+K27+N27+Q27</f>
        <v>2323028.2000000002</v>
      </c>
      <c r="S27"/>
      <c r="T27"/>
      <c r="U27" s="60"/>
      <c r="V27" s="1"/>
      <c r="W27" s="1"/>
      <c r="X27" s="1"/>
      <c r="Y27" s="1"/>
      <c r="Z27" s="1"/>
      <c r="AA27" s="1"/>
      <c r="AB27" s="1"/>
      <c r="AC27" s="1"/>
      <c r="AD27" s="1"/>
      <c r="AE27" s="1"/>
      <c r="AF27" s="1"/>
      <c r="AG27" s="1"/>
      <c r="AH27" s="1"/>
      <c r="AI27" s="1"/>
      <c r="AJ27" s="1"/>
      <c r="AK27" s="1"/>
      <c r="AL27" s="1"/>
      <c r="AM27" s="1"/>
      <c r="AN27" s="1"/>
      <c r="AO27" s="1"/>
      <c r="AP27" s="1"/>
      <c r="AQ27" s="1"/>
      <c r="AR27" s="1"/>
    </row>
    <row r="28" spans="1:44">
      <c r="A28" s="1" t="s">
        <v>280</v>
      </c>
      <c r="B28" s="221">
        <f>+'bichgdes&amp;$'!B28</f>
        <v>0</v>
      </c>
      <c r="C28" s="221">
        <f>+'bncgdes&amp;$ '!B28</f>
        <v>3860</v>
      </c>
      <c r="D28" s="221">
        <f>+'bphgdes&amp;$'!B28</f>
        <v>20025.5</v>
      </c>
      <c r="E28" s="221">
        <f>+'buhgdes&amp;$'!B28</f>
        <v>188210</v>
      </c>
      <c r="F28" s="221">
        <f>+'capitalbkgdes&amp;$'!B28</f>
        <v>179952</v>
      </c>
      <c r="G28" s="221">
        <f>+'promobkgdes&amp;$'!B28</f>
        <v>227578</v>
      </c>
      <c r="H28" s="221">
        <f>+'socabkgdes&amp;$ '!B28</f>
        <v>609384.80000000005</v>
      </c>
      <c r="I28" s="221">
        <f>+'sogebkgdes&amp;$  '!B28</f>
        <v>506296</v>
      </c>
      <c r="J28" s="221">
        <f>+'unibkgdes&amp;$'!B28</f>
        <v>508863.2</v>
      </c>
      <c r="K28" s="300">
        <f>SUM(B28:J28)</f>
        <v>2244169.5</v>
      </c>
      <c r="L28" s="1127">
        <f>+'bhdgdes&amp;$'!B28</f>
        <v>0</v>
      </c>
      <c r="M28" s="221">
        <f>+'sgbelgdes&amp;$'!B28</f>
        <v>81864.600000000006</v>
      </c>
      <c r="N28" s="1075">
        <f>+L28+M28</f>
        <v>81864.600000000006</v>
      </c>
      <c r="O28" s="221">
        <f>+'cbnagdes&amp;$'!B28</f>
        <v>331739</v>
      </c>
      <c r="P28" s="221">
        <f>+'scotiagdes&amp;$'!B28</f>
        <v>7944</v>
      </c>
      <c r="Q28" s="309">
        <f>SUM(O28:P28)</f>
        <v>339683</v>
      </c>
      <c r="R28" s="300">
        <f>+K28+N28+Q28</f>
        <v>2665717.1</v>
      </c>
      <c r="S28"/>
      <c r="T28"/>
      <c r="U28" s="60"/>
      <c r="V28" s="1"/>
      <c r="W28" s="1"/>
      <c r="X28" s="1"/>
      <c r="Y28" s="1"/>
      <c r="Z28" s="1"/>
      <c r="AA28" s="1"/>
      <c r="AB28" s="1"/>
      <c r="AC28" s="1"/>
      <c r="AD28" s="1"/>
      <c r="AE28" s="1"/>
      <c r="AF28" s="1"/>
      <c r="AG28" s="1"/>
      <c r="AH28" s="1"/>
      <c r="AI28" s="1"/>
      <c r="AJ28" s="1"/>
      <c r="AK28" s="1"/>
      <c r="AL28" s="1"/>
      <c r="AM28" s="1"/>
      <c r="AN28" s="1"/>
      <c r="AO28" s="1"/>
      <c r="AP28" s="1"/>
      <c r="AQ28" s="1"/>
      <c r="AR28" s="1"/>
    </row>
    <row r="29" spans="1:44">
      <c r="A29" s="1"/>
      <c r="B29" s="88">
        <f>SUM(B26:B28)</f>
        <v>0</v>
      </c>
      <c r="C29" s="88">
        <f t="shared" ref="C29:K29" si="4">SUM(C26:C28)</f>
        <v>63845</v>
      </c>
      <c r="D29" s="88">
        <f t="shared" si="4"/>
        <v>69658.7</v>
      </c>
      <c r="E29" s="88">
        <f t="shared" si="4"/>
        <v>512195</v>
      </c>
      <c r="F29" s="88">
        <f>SUM(F26:F28)</f>
        <v>339704</v>
      </c>
      <c r="G29" s="88">
        <f t="shared" si="4"/>
        <v>575210</v>
      </c>
      <c r="H29" s="88">
        <f t="shared" si="4"/>
        <v>1037123.2000000001</v>
      </c>
      <c r="I29" s="88">
        <f t="shared" si="4"/>
        <v>1435058</v>
      </c>
      <c r="J29" s="88">
        <f t="shared" si="4"/>
        <v>1623639.9000000001</v>
      </c>
      <c r="K29" s="191">
        <f t="shared" si="4"/>
        <v>5656433.8000000007</v>
      </c>
      <c r="L29" s="88">
        <f t="shared" ref="L29:R29" si="5">SUM(L26:L28)</f>
        <v>2768.7</v>
      </c>
      <c r="M29" s="88">
        <f t="shared" si="5"/>
        <v>125932.3</v>
      </c>
      <c r="N29" s="1126">
        <f t="shared" si="5"/>
        <v>128701</v>
      </c>
      <c r="O29" s="88">
        <f t="shared" si="5"/>
        <v>636523</v>
      </c>
      <c r="P29" s="88">
        <f t="shared" si="5"/>
        <v>111867</v>
      </c>
      <c r="Q29" s="197">
        <f t="shared" si="5"/>
        <v>748390</v>
      </c>
      <c r="R29" s="191">
        <f t="shared" si="5"/>
        <v>6533524.8000000007</v>
      </c>
      <c r="S29"/>
      <c r="T29"/>
      <c r="U29" s="60"/>
      <c r="V29" s="1"/>
      <c r="W29" s="1"/>
      <c r="X29" s="1"/>
      <c r="Y29" s="1"/>
      <c r="Z29" s="1"/>
      <c r="AA29" s="1"/>
      <c r="AB29" s="1"/>
      <c r="AC29" s="1"/>
      <c r="AD29" s="1"/>
      <c r="AE29" s="1"/>
      <c r="AF29" s="1"/>
      <c r="AG29" s="1"/>
      <c r="AH29" s="1"/>
      <c r="AI29" s="1"/>
      <c r="AJ29" s="1"/>
      <c r="AK29" s="1"/>
      <c r="AL29" s="1"/>
      <c r="AM29" s="1"/>
      <c r="AN29" s="1"/>
      <c r="AO29" s="1"/>
      <c r="AP29" s="1"/>
      <c r="AQ29" s="1"/>
      <c r="AR29" s="1"/>
    </row>
    <row r="30" spans="1:44" ht="7.9" customHeight="1">
      <c r="A30" s="1"/>
      <c r="B30" s="88"/>
      <c r="C30" s="100" t="s">
        <v>0</v>
      </c>
      <c r="D30" s="89" t="s">
        <v>0</v>
      </c>
      <c r="E30" s="88"/>
      <c r="F30" s="89" t="s">
        <v>0</v>
      </c>
      <c r="G30" s="89" t="s">
        <v>0</v>
      </c>
      <c r="H30" s="89" t="s">
        <v>0</v>
      </c>
      <c r="I30" s="88"/>
      <c r="J30" s="88"/>
      <c r="K30" s="191"/>
      <c r="L30" s="94"/>
      <c r="M30" s="88"/>
      <c r="N30" s="200" t="s">
        <v>0</v>
      </c>
      <c r="O30" s="88"/>
      <c r="P30" s="88" t="s">
        <v>0</v>
      </c>
      <c r="Q30" s="197"/>
      <c r="R30" s="191"/>
      <c r="S30"/>
      <c r="T30"/>
      <c r="U30" s="60"/>
      <c r="V30" s="1"/>
      <c r="W30" s="1"/>
      <c r="X30" s="1"/>
      <c r="Y30" s="1"/>
      <c r="Z30" s="1"/>
      <c r="AA30" s="1"/>
      <c r="AB30" s="1"/>
      <c r="AC30" s="1"/>
      <c r="AD30" s="1"/>
      <c r="AE30" s="1"/>
      <c r="AF30" s="1"/>
      <c r="AG30" s="1"/>
      <c r="AH30" s="1"/>
      <c r="AI30" s="1"/>
      <c r="AJ30" s="1"/>
      <c r="AK30" s="1"/>
      <c r="AL30" s="1"/>
      <c r="AM30" s="1"/>
      <c r="AN30" s="1"/>
      <c r="AO30" s="1"/>
      <c r="AP30" s="1"/>
      <c r="AQ30" s="1"/>
      <c r="AR30" s="1"/>
    </row>
    <row r="31" spans="1:44">
      <c r="A31" s="1" t="s">
        <v>281</v>
      </c>
      <c r="B31" s="88"/>
      <c r="C31" s="100" t="s">
        <v>0</v>
      </c>
      <c r="D31" s="89" t="s">
        <v>0</v>
      </c>
      <c r="E31" s="88"/>
      <c r="F31" s="89" t="s">
        <v>0</v>
      </c>
      <c r="G31" s="89" t="s">
        <v>0</v>
      </c>
      <c r="H31" s="89" t="s">
        <v>0</v>
      </c>
      <c r="I31" s="88"/>
      <c r="J31" s="88"/>
      <c r="K31" s="191"/>
      <c r="L31" s="94"/>
      <c r="M31" s="88"/>
      <c r="N31" s="200" t="s">
        <v>0</v>
      </c>
      <c r="O31" s="88"/>
      <c r="P31" s="88" t="s">
        <v>0</v>
      </c>
      <c r="Q31" s="197"/>
      <c r="R31" s="191"/>
      <c r="S31"/>
      <c r="T31"/>
      <c r="U31" s="60"/>
      <c r="V31" s="1"/>
      <c r="W31" s="1"/>
      <c r="X31" s="1"/>
      <c r="Y31" s="1"/>
      <c r="Z31" s="1"/>
      <c r="AA31" s="1"/>
      <c r="AB31" s="1"/>
      <c r="AC31" s="1"/>
      <c r="AD31" s="1"/>
      <c r="AE31" s="1"/>
      <c r="AF31" s="1"/>
      <c r="AG31" s="1"/>
      <c r="AH31" s="1"/>
      <c r="AI31" s="1"/>
      <c r="AJ31" s="1"/>
      <c r="AK31" s="1"/>
      <c r="AL31" s="1"/>
      <c r="AM31" s="1"/>
      <c r="AN31" s="1"/>
      <c r="AO31" s="1"/>
      <c r="AP31" s="1"/>
      <c r="AQ31" s="1"/>
      <c r="AR31" s="1"/>
    </row>
    <row r="32" spans="1:44">
      <c r="A32" s="1" t="s">
        <v>282</v>
      </c>
      <c r="B32" s="88">
        <f>+'bichgdes&amp;$'!B32</f>
        <v>0</v>
      </c>
      <c r="C32" s="88">
        <f>+'bncgdes&amp;$ '!B32</f>
        <v>0</v>
      </c>
      <c r="D32" s="88">
        <f>+'bphgdes&amp;$'!B32</f>
        <v>0</v>
      </c>
      <c r="E32" s="88">
        <f>+'buhgdes&amp;$'!B32</f>
        <v>0</v>
      </c>
      <c r="F32" s="88">
        <f>+'capitalbkgdes&amp;$'!B32</f>
        <v>0</v>
      </c>
      <c r="G32" s="88">
        <f>+'promobkgdes&amp;$'!B32</f>
        <v>0</v>
      </c>
      <c r="H32" s="88">
        <f>+'socabkgdes&amp;$ '!B32</f>
        <v>0</v>
      </c>
      <c r="I32" s="88">
        <f>+'sogebkgdes&amp;$  '!B32</f>
        <v>0</v>
      </c>
      <c r="J32" s="88">
        <f>+'unibkgdes&amp;$'!B32</f>
        <v>0</v>
      </c>
      <c r="K32" s="191">
        <f>SUM(B32:J32)</f>
        <v>0</v>
      </c>
      <c r="L32" s="303">
        <f>+'bhdgdes&amp;$'!B32</f>
        <v>0</v>
      </c>
      <c r="M32" s="88">
        <f>+'sgbelgdes&amp;$'!B32</f>
        <v>0</v>
      </c>
      <c r="N32" s="200">
        <f>+L32+M32</f>
        <v>0</v>
      </c>
      <c r="O32" s="88">
        <f>+'cbnagdes&amp;$'!B32</f>
        <v>0</v>
      </c>
      <c r="P32" s="88">
        <f>+'scotiagdes&amp;$'!B32</f>
        <v>0</v>
      </c>
      <c r="Q32" s="197">
        <f>SUM(O32:P32)</f>
        <v>0</v>
      </c>
      <c r="R32" s="191">
        <f>+K32+N32+Q32</f>
        <v>0</v>
      </c>
      <c r="S32"/>
      <c r="T32"/>
      <c r="U32" s="60"/>
      <c r="V32" s="1"/>
      <c r="W32" s="1"/>
      <c r="X32" s="1"/>
      <c r="Y32" s="1"/>
      <c r="Z32" s="1"/>
      <c r="AA32" s="1"/>
      <c r="AB32" s="1"/>
      <c r="AC32" s="1"/>
      <c r="AD32" s="1"/>
      <c r="AE32" s="1"/>
      <c r="AF32" s="1"/>
      <c r="AG32" s="1"/>
      <c r="AH32" s="1"/>
      <c r="AI32" s="1"/>
      <c r="AJ32" s="1"/>
      <c r="AK32" s="1"/>
      <c r="AL32" s="1"/>
      <c r="AM32" s="1"/>
      <c r="AN32" s="1"/>
      <c r="AO32" s="1"/>
      <c r="AP32" s="1"/>
      <c r="AQ32" s="1"/>
      <c r="AR32" s="1"/>
    </row>
    <row r="33" spans="1:44">
      <c r="A33" s="1" t="s">
        <v>283</v>
      </c>
      <c r="B33" s="88">
        <f>+'bichgdes&amp;$'!B33</f>
        <v>0</v>
      </c>
      <c r="C33" s="88">
        <f>+'bncgdes&amp;$ '!B33</f>
        <v>0</v>
      </c>
      <c r="D33" s="88">
        <f>+'bphgdes&amp;$'!B33</f>
        <v>0</v>
      </c>
      <c r="E33" s="88">
        <f>+'buhgdes&amp;$'!B33</f>
        <v>0</v>
      </c>
      <c r="F33" s="88">
        <f>+'capitalbkgdes&amp;$'!B33</f>
        <v>0</v>
      </c>
      <c r="G33" s="88">
        <f>+'promobkgdes&amp;$'!B33</f>
        <v>0</v>
      </c>
      <c r="H33" s="88">
        <f>+'socabkgdes&amp;$ '!B33</f>
        <v>0</v>
      </c>
      <c r="I33" s="88">
        <f>+'sogebkgdes&amp;$  '!B33</f>
        <v>0</v>
      </c>
      <c r="J33" s="88">
        <f>+'unibkgdes&amp;$'!B33</f>
        <v>0</v>
      </c>
      <c r="K33" s="191">
        <f>SUM(B33:J33)</f>
        <v>0</v>
      </c>
      <c r="L33" s="303">
        <f>+'bhdgdes&amp;$'!B33</f>
        <v>0</v>
      </c>
      <c r="M33" s="88">
        <f>+'sgbelgdes&amp;$'!B33</f>
        <v>0</v>
      </c>
      <c r="N33" s="200">
        <f>+L33+M33</f>
        <v>0</v>
      </c>
      <c r="O33" s="88">
        <f>+'cbnagdes&amp;$'!B33</f>
        <v>0</v>
      </c>
      <c r="P33" s="88">
        <f>+'scotiagdes&amp;$'!B33</f>
        <v>0</v>
      </c>
      <c r="Q33" s="197">
        <f>SUM(O33:P33)</f>
        <v>0</v>
      </c>
      <c r="R33" s="191">
        <f>+K33+N33+Q33</f>
        <v>0</v>
      </c>
      <c r="S33"/>
      <c r="T33"/>
      <c r="U33" s="60"/>
      <c r="V33" s="1"/>
      <c r="W33" s="1"/>
      <c r="X33" s="1"/>
      <c r="Y33" s="1"/>
      <c r="Z33" s="1"/>
      <c r="AA33" s="1"/>
      <c r="AB33" s="1"/>
      <c r="AC33" s="1"/>
      <c r="AD33" s="1"/>
      <c r="AE33" s="1"/>
      <c r="AF33" s="1"/>
      <c r="AG33" s="1"/>
      <c r="AH33" s="1"/>
      <c r="AI33" s="1"/>
      <c r="AJ33" s="1"/>
      <c r="AK33" s="1"/>
      <c r="AL33" s="1"/>
      <c r="AM33" s="1"/>
      <c r="AN33" s="1"/>
      <c r="AO33" s="1"/>
      <c r="AP33" s="1"/>
      <c r="AQ33" s="1"/>
      <c r="AR33" s="1"/>
    </row>
    <row r="34" spans="1:44" ht="17.25">
      <c r="A34" s="1" t="s">
        <v>284</v>
      </c>
      <c r="B34" s="221">
        <f>+'bichgdes&amp;$'!B34</f>
        <v>0</v>
      </c>
      <c r="C34" s="221">
        <f>+'bncgdes&amp;$ '!B34</f>
        <v>31101</v>
      </c>
      <c r="D34" s="221">
        <f>+'bphgdes&amp;$'!B34</f>
        <v>19988.7</v>
      </c>
      <c r="E34" s="221">
        <f>+'buhgdes&amp;$'!B34</f>
        <v>19617</v>
      </c>
      <c r="F34" s="221">
        <f>+'capitalbkgdes&amp;$'!B34</f>
        <v>13543</v>
      </c>
      <c r="G34" s="221">
        <f>+'promobkgdes&amp;$'!B34</f>
        <v>17280</v>
      </c>
      <c r="H34" s="221">
        <f>+'socabkgdes&amp;$ '!B34</f>
        <v>20795.400000000001</v>
      </c>
      <c r="I34" s="221">
        <f>+'sogebkgdes&amp;$  '!B34</f>
        <v>31522</v>
      </c>
      <c r="J34" s="221">
        <f>+'unibkgdes&amp;$'!B34</f>
        <v>19383.900000000001</v>
      </c>
      <c r="K34" s="300">
        <f>SUM(B34:J34)</f>
        <v>173231</v>
      </c>
      <c r="L34" s="1127">
        <f>+'bhdgdes&amp;$'!B34</f>
        <v>168.7</v>
      </c>
      <c r="M34" s="221">
        <f>+'sgbelgdes&amp;$'!B34</f>
        <v>433.9</v>
      </c>
      <c r="N34" s="1075">
        <f>+L34+M34</f>
        <v>602.59999999999991</v>
      </c>
      <c r="O34" s="221">
        <f>+'cbnagdes&amp;$'!B34</f>
        <v>103048</v>
      </c>
      <c r="P34" s="221">
        <f>+'scotiagdes&amp;$'!B34</f>
        <v>9811</v>
      </c>
      <c r="Q34" s="309">
        <f>SUM(O34:P34)</f>
        <v>112859</v>
      </c>
      <c r="R34" s="300">
        <f>+K34+N34+Q34</f>
        <v>286692.59999999998</v>
      </c>
      <c r="S34"/>
      <c r="T34"/>
      <c r="U34" s="64"/>
      <c r="V34" s="66"/>
      <c r="W34" s="66"/>
      <c r="X34" s="66"/>
      <c r="Y34" s="1"/>
      <c r="Z34" s="1"/>
      <c r="AA34" s="1"/>
      <c r="AB34" s="1"/>
      <c r="AC34" s="1"/>
      <c r="AD34" s="1"/>
      <c r="AE34" s="1"/>
      <c r="AF34" s="1"/>
      <c r="AG34" s="1"/>
      <c r="AH34" s="1"/>
      <c r="AI34" s="1"/>
      <c r="AJ34" s="1"/>
      <c r="AK34" s="1"/>
      <c r="AL34" s="1"/>
      <c r="AM34" s="1"/>
      <c r="AN34" s="1"/>
      <c r="AO34" s="1"/>
      <c r="AP34" s="1"/>
      <c r="AQ34" s="1"/>
      <c r="AR34" s="1"/>
    </row>
    <row r="35" spans="1:44">
      <c r="A35" s="1"/>
      <c r="B35" s="88">
        <f>SUM(B32:B34)</f>
        <v>0</v>
      </c>
      <c r="C35" s="88">
        <f t="shared" ref="C35:K35" si="6">SUM(C32:C34)</f>
        <v>31101</v>
      </c>
      <c r="D35" s="88">
        <f t="shared" si="6"/>
        <v>19988.7</v>
      </c>
      <c r="E35" s="88">
        <f t="shared" si="6"/>
        <v>19617</v>
      </c>
      <c r="F35" s="88">
        <f>SUM(F32:F34)</f>
        <v>13543</v>
      </c>
      <c r="G35" s="88">
        <f t="shared" si="6"/>
        <v>17280</v>
      </c>
      <c r="H35" s="88">
        <f t="shared" si="6"/>
        <v>20795.400000000001</v>
      </c>
      <c r="I35" s="88">
        <f t="shared" si="6"/>
        <v>31522</v>
      </c>
      <c r="J35" s="88">
        <f t="shared" si="6"/>
        <v>19383.900000000001</v>
      </c>
      <c r="K35" s="191">
        <f t="shared" si="6"/>
        <v>173231</v>
      </c>
      <c r="L35" s="88">
        <f t="shared" ref="L35:R35" si="7">SUM(L32:L34)</f>
        <v>168.7</v>
      </c>
      <c r="M35" s="88">
        <f t="shared" si="7"/>
        <v>433.9</v>
      </c>
      <c r="N35" s="1126">
        <f t="shared" si="7"/>
        <v>602.59999999999991</v>
      </c>
      <c r="O35" s="88">
        <f t="shared" si="7"/>
        <v>103048</v>
      </c>
      <c r="P35" s="88">
        <f t="shared" si="7"/>
        <v>9811</v>
      </c>
      <c r="Q35" s="197">
        <f t="shared" si="7"/>
        <v>112859</v>
      </c>
      <c r="R35" s="191">
        <f t="shared" si="7"/>
        <v>286692.59999999998</v>
      </c>
      <c r="S35"/>
      <c r="T35"/>
      <c r="U35" s="60"/>
      <c r="V35" s="1"/>
      <c r="W35" s="1"/>
      <c r="X35" s="1"/>
      <c r="Y35" s="1"/>
      <c r="Z35" s="1"/>
      <c r="AA35" s="1"/>
      <c r="AB35" s="1"/>
      <c r="AC35" s="1"/>
      <c r="AD35" s="1"/>
      <c r="AE35" s="1"/>
      <c r="AF35" s="1"/>
      <c r="AG35" s="1"/>
      <c r="AH35" s="1"/>
      <c r="AI35" s="1"/>
      <c r="AJ35" s="1"/>
      <c r="AK35" s="1"/>
      <c r="AL35" s="1"/>
      <c r="AM35" s="1"/>
      <c r="AN35" s="1"/>
      <c r="AO35" s="1"/>
      <c r="AP35" s="1"/>
      <c r="AQ35" s="1"/>
      <c r="AR35" s="1"/>
    </row>
    <row r="36" spans="1:44" ht="7.15" customHeight="1">
      <c r="A36" s="1"/>
      <c r="B36" s="88"/>
      <c r="C36" s="100" t="s">
        <v>0</v>
      </c>
      <c r="D36" s="89" t="s">
        <v>0</v>
      </c>
      <c r="E36" s="88"/>
      <c r="F36" s="89" t="s">
        <v>0</v>
      </c>
      <c r="G36" s="89" t="s">
        <v>0</v>
      </c>
      <c r="H36" s="89" t="s">
        <v>0</v>
      </c>
      <c r="I36" s="88"/>
      <c r="J36" s="88"/>
      <c r="K36" s="191"/>
      <c r="L36" s="94"/>
      <c r="M36" s="88"/>
      <c r="N36" s="200" t="s">
        <v>0</v>
      </c>
      <c r="O36" s="88"/>
      <c r="P36" s="88" t="s">
        <v>0</v>
      </c>
      <c r="Q36" s="197"/>
      <c r="R36" s="191"/>
      <c r="S36"/>
      <c r="T36"/>
      <c r="U36" s="60"/>
      <c r="V36" s="1"/>
      <c r="W36" s="1"/>
      <c r="X36" s="1"/>
      <c r="Y36" s="1"/>
      <c r="Z36" s="1"/>
      <c r="AA36" s="1"/>
      <c r="AB36" s="1"/>
      <c r="AC36" s="1"/>
      <c r="AD36" s="1"/>
      <c r="AE36" s="1"/>
      <c r="AF36" s="1"/>
      <c r="AG36" s="1"/>
      <c r="AH36" s="1"/>
      <c r="AI36" s="1"/>
      <c r="AJ36" s="1"/>
      <c r="AK36" s="1"/>
      <c r="AL36" s="1"/>
      <c r="AM36" s="1"/>
      <c r="AN36" s="1"/>
      <c r="AO36" s="1"/>
      <c r="AP36" s="1"/>
      <c r="AQ36" s="1"/>
      <c r="AR36" s="1"/>
    </row>
    <row r="37" spans="1:44">
      <c r="A37" s="1" t="s">
        <v>285</v>
      </c>
      <c r="B37" s="88"/>
      <c r="C37" s="100" t="s">
        <v>0</v>
      </c>
      <c r="D37" s="89" t="s">
        <v>0</v>
      </c>
      <c r="E37" s="88"/>
      <c r="F37" s="89" t="s">
        <v>0</v>
      </c>
      <c r="G37" s="89" t="s">
        <v>0</v>
      </c>
      <c r="H37" s="89" t="s">
        <v>0</v>
      </c>
      <c r="I37" s="88"/>
      <c r="J37" s="88"/>
      <c r="K37" s="191"/>
      <c r="L37" s="94"/>
      <c r="M37" s="88"/>
      <c r="N37" s="200" t="s">
        <v>0</v>
      </c>
      <c r="O37" s="88"/>
      <c r="P37" s="88" t="s">
        <v>0</v>
      </c>
      <c r="Q37" s="197"/>
      <c r="R37" s="191"/>
      <c r="S37"/>
      <c r="T37"/>
      <c r="U37" s="60"/>
      <c r="V37" s="1"/>
      <c r="W37" s="1"/>
      <c r="X37" s="1"/>
      <c r="Y37" s="1"/>
      <c r="Z37" s="1"/>
      <c r="AA37" s="1"/>
      <c r="AB37" s="1"/>
      <c r="AC37" s="1"/>
      <c r="AD37" s="1"/>
      <c r="AE37" s="1"/>
      <c r="AF37" s="1"/>
      <c r="AG37" s="1"/>
      <c r="AH37" s="1"/>
      <c r="AI37" s="1"/>
      <c r="AJ37" s="1"/>
      <c r="AK37" s="1"/>
      <c r="AL37" s="1"/>
      <c r="AM37" s="1"/>
      <c r="AN37" s="1"/>
      <c r="AO37" s="1"/>
      <c r="AP37" s="1"/>
      <c r="AQ37" s="1"/>
      <c r="AR37" s="1"/>
    </row>
    <row r="38" spans="1:44">
      <c r="A38" s="1" t="s">
        <v>282</v>
      </c>
      <c r="B38" s="88">
        <f>+'bichgdes&amp;$'!B38</f>
        <v>0</v>
      </c>
      <c r="C38" s="88">
        <f>+'bncgdes&amp;$ '!B38</f>
        <v>0</v>
      </c>
      <c r="D38" s="88">
        <f>+'bphgdes&amp;$'!B38</f>
        <v>0</v>
      </c>
      <c r="E38" s="88">
        <f>+'buhgdes&amp;$'!B38</f>
        <v>2803</v>
      </c>
      <c r="F38" s="88">
        <f>+'capitalbkgdes&amp;$'!B38</f>
        <v>0</v>
      </c>
      <c r="G38" s="88">
        <f>+'promobkgdes&amp;$'!B38</f>
        <v>0</v>
      </c>
      <c r="H38" s="88">
        <f>+'socabkgdes&amp;$ '!B38</f>
        <v>0</v>
      </c>
      <c r="I38" s="88">
        <f>+'sogebkgdes&amp;$  '!B38</f>
        <v>0</v>
      </c>
      <c r="J38" s="88">
        <f>+'unibkgdes&amp;$'!B38</f>
        <v>0</v>
      </c>
      <c r="K38" s="191">
        <f>SUM(B38:J38)</f>
        <v>2803</v>
      </c>
      <c r="L38" s="303">
        <f>+'bhdgdes&amp;$'!B38</f>
        <v>0</v>
      </c>
      <c r="M38" s="88">
        <f>+'sgbelgdes&amp;$'!B38</f>
        <v>0</v>
      </c>
      <c r="N38" s="200">
        <f>+L38+M38</f>
        <v>0</v>
      </c>
      <c r="O38" s="88">
        <f>+'cbnagdes&amp;$'!B38</f>
        <v>0</v>
      </c>
      <c r="P38" s="88">
        <f>+'scotiagdes&amp;$'!B38</f>
        <v>0</v>
      </c>
      <c r="Q38" s="197">
        <f>SUM(O38:P38)</f>
        <v>0</v>
      </c>
      <c r="R38" s="191">
        <f>+K38+N38+Q38</f>
        <v>2803</v>
      </c>
      <c r="S38"/>
      <c r="T38"/>
      <c r="U38" s="60"/>
      <c r="V38" s="1"/>
      <c r="W38" s="1"/>
      <c r="X38" s="1"/>
      <c r="Y38" s="1"/>
      <c r="Z38" s="1"/>
      <c r="AA38" s="1"/>
      <c r="AB38" s="1"/>
      <c r="AC38" s="1"/>
      <c r="AD38" s="1"/>
      <c r="AE38" s="1"/>
      <c r="AF38" s="1"/>
      <c r="AG38" s="1"/>
      <c r="AH38" s="1"/>
      <c r="AI38" s="1"/>
      <c r="AJ38" s="1"/>
      <c r="AK38" s="1"/>
      <c r="AL38" s="1"/>
      <c r="AM38" s="1"/>
      <c r="AN38" s="1"/>
      <c r="AO38" s="1"/>
      <c r="AP38" s="1"/>
      <c r="AQ38" s="1"/>
      <c r="AR38" s="1"/>
    </row>
    <row r="39" spans="1:44">
      <c r="A39" s="1" t="s">
        <v>286</v>
      </c>
      <c r="B39" s="88">
        <f>+'bichgdes&amp;$'!B39</f>
        <v>0</v>
      </c>
      <c r="C39" s="88">
        <f>+'bncgdes&amp;$ '!B39</f>
        <v>0</v>
      </c>
      <c r="D39" s="88">
        <f>+'bphgdes&amp;$'!B39</f>
        <v>0</v>
      </c>
      <c r="E39" s="88">
        <f>+'buhgdes&amp;$'!B39</f>
        <v>0</v>
      </c>
      <c r="F39" s="88">
        <f>+'capitalbkgdes&amp;$'!B39</f>
        <v>0</v>
      </c>
      <c r="G39" s="88">
        <f>+'promobkgdes&amp;$'!B39</f>
        <v>0</v>
      </c>
      <c r="H39" s="88">
        <f>+'socabkgdes&amp;$ '!B39</f>
        <v>0</v>
      </c>
      <c r="I39" s="88">
        <f>+'sogebkgdes&amp;$  '!B39</f>
        <v>0</v>
      </c>
      <c r="J39" s="88">
        <f>+'unibkgdes&amp;$'!B39</f>
        <v>0</v>
      </c>
      <c r="K39" s="191">
        <f>SUM(B39:J39)</f>
        <v>0</v>
      </c>
      <c r="L39" s="303">
        <f>+'bhdgdes&amp;$'!B39</f>
        <v>0</v>
      </c>
      <c r="M39" s="88">
        <f>+'sgbelgdes&amp;$'!B39</f>
        <v>0</v>
      </c>
      <c r="N39" s="200">
        <f>+L39+M39</f>
        <v>0</v>
      </c>
      <c r="O39" s="88">
        <f>+'cbnagdes&amp;$'!B39</f>
        <v>0</v>
      </c>
      <c r="P39" s="88">
        <f>+'scotiagdes&amp;$'!B39</f>
        <v>0</v>
      </c>
      <c r="Q39" s="197">
        <f>SUM(O39:P39)</f>
        <v>0</v>
      </c>
      <c r="R39" s="191">
        <f>+K39+N39+Q39</f>
        <v>0</v>
      </c>
      <c r="S39"/>
      <c r="T39"/>
      <c r="U39" s="60"/>
      <c r="V39" s="1"/>
      <c r="W39" s="1"/>
      <c r="X39" s="1"/>
      <c r="Y39" s="1"/>
      <c r="Z39" s="1"/>
      <c r="AA39" s="1"/>
      <c r="AB39" s="1"/>
      <c r="AC39" s="1"/>
      <c r="AD39" s="1"/>
      <c r="AE39" s="1"/>
      <c r="AF39" s="1"/>
      <c r="AG39" s="1"/>
      <c r="AH39" s="1"/>
      <c r="AI39" s="1"/>
      <c r="AJ39" s="1"/>
      <c r="AK39" s="1"/>
      <c r="AL39" s="1"/>
      <c r="AM39" s="1"/>
      <c r="AN39" s="1"/>
      <c r="AO39" s="1"/>
      <c r="AP39" s="1"/>
      <c r="AQ39" s="1"/>
      <c r="AR39" s="1"/>
    </row>
    <row r="40" spans="1:44" ht="17.25">
      <c r="A40" s="1" t="s">
        <v>284</v>
      </c>
      <c r="B40" s="221">
        <f>+'bichgdes&amp;$'!B40</f>
        <v>0</v>
      </c>
      <c r="C40" s="221">
        <f>+'bncgdes&amp;$ '!B40</f>
        <v>0</v>
      </c>
      <c r="D40" s="221">
        <f>+'bphgdes&amp;$'!B40</f>
        <v>3759.3</v>
      </c>
      <c r="E40" s="221">
        <f>+'buhgdes&amp;$'!B40</f>
        <v>25055</v>
      </c>
      <c r="F40" s="221">
        <f>+'capitalbkgdes&amp;$'!B40</f>
        <v>0</v>
      </c>
      <c r="G40" s="221">
        <f>+'promobkgdes&amp;$'!B40</f>
        <v>2368</v>
      </c>
      <c r="H40" s="221">
        <f>+'socabkgdes&amp;$ '!B40</f>
        <v>0</v>
      </c>
      <c r="I40" s="221">
        <f>+'sogebkgdes&amp;$  '!B40</f>
        <v>38994</v>
      </c>
      <c r="J40" s="221">
        <f>+'unibkgdes&amp;$'!B40</f>
        <v>17151.7</v>
      </c>
      <c r="K40" s="300">
        <f>SUM(B40:J40)</f>
        <v>87328</v>
      </c>
      <c r="L40" s="1127">
        <f>+'bhdgdes&amp;$'!B40</f>
        <v>0</v>
      </c>
      <c r="M40" s="221">
        <f>+'sgbelgdes&amp;$'!B40</f>
        <v>0</v>
      </c>
      <c r="N40" s="1075">
        <f>+L40+M40</f>
        <v>0</v>
      </c>
      <c r="O40" s="221">
        <f>+'cbnagdes&amp;$'!B40</f>
        <v>11</v>
      </c>
      <c r="P40" s="221">
        <f>+'scotiagdes&amp;$'!B40</f>
        <v>0</v>
      </c>
      <c r="Q40" s="309">
        <f>SUM(O40:P40)</f>
        <v>11</v>
      </c>
      <c r="R40" s="300">
        <f>+K40+N40+Q40</f>
        <v>87339</v>
      </c>
      <c r="S40"/>
      <c r="T40"/>
      <c r="U40" s="64"/>
      <c r="V40" s="1"/>
      <c r="W40" s="1"/>
      <c r="X40" s="1"/>
      <c r="Y40" s="1"/>
      <c r="Z40" s="1"/>
      <c r="AA40" s="1"/>
      <c r="AB40" s="1"/>
      <c r="AC40" s="1"/>
      <c r="AD40" s="1"/>
      <c r="AE40" s="1"/>
      <c r="AF40" s="1"/>
      <c r="AG40" s="1"/>
      <c r="AH40" s="1"/>
      <c r="AI40" s="1"/>
      <c r="AJ40" s="1"/>
      <c r="AK40" s="1"/>
      <c r="AL40" s="1"/>
      <c r="AM40" s="1"/>
      <c r="AN40" s="1"/>
      <c r="AO40" s="1"/>
      <c r="AP40" s="1"/>
      <c r="AQ40" s="1"/>
      <c r="AR40" s="1"/>
    </row>
    <row r="41" spans="1:44">
      <c r="A41" s="1"/>
      <c r="B41" s="88">
        <f>SUM(B38:B40)</f>
        <v>0</v>
      </c>
      <c r="C41" s="88">
        <f t="shared" ref="C41:K41" si="8">SUM(C38:C40)</f>
        <v>0</v>
      </c>
      <c r="D41" s="88">
        <f t="shared" si="8"/>
        <v>3759.3</v>
      </c>
      <c r="E41" s="88">
        <f t="shared" si="8"/>
        <v>27858</v>
      </c>
      <c r="F41" s="88">
        <f>SUM(F38:F40)</f>
        <v>0</v>
      </c>
      <c r="G41" s="88">
        <f t="shared" si="8"/>
        <v>2368</v>
      </c>
      <c r="H41" s="88">
        <f t="shared" si="8"/>
        <v>0</v>
      </c>
      <c r="I41" s="88">
        <f t="shared" si="8"/>
        <v>38994</v>
      </c>
      <c r="J41" s="88">
        <f t="shared" si="8"/>
        <v>17151.7</v>
      </c>
      <c r="K41" s="191">
        <f t="shared" si="8"/>
        <v>90131</v>
      </c>
      <c r="L41" s="88">
        <f t="shared" ref="L41:R41" si="9">SUM(L38:L40)</f>
        <v>0</v>
      </c>
      <c r="M41" s="88">
        <f t="shared" si="9"/>
        <v>0</v>
      </c>
      <c r="N41" s="1126">
        <f t="shared" si="9"/>
        <v>0</v>
      </c>
      <c r="O41" s="88">
        <f t="shared" si="9"/>
        <v>11</v>
      </c>
      <c r="P41" s="88">
        <f t="shared" si="9"/>
        <v>0</v>
      </c>
      <c r="Q41" s="197">
        <f t="shared" si="9"/>
        <v>11</v>
      </c>
      <c r="R41" s="191">
        <f t="shared" si="9"/>
        <v>90142</v>
      </c>
      <c r="S41"/>
      <c r="T41"/>
      <c r="U41" s="60"/>
      <c r="V41" s="1"/>
      <c r="W41" s="1"/>
      <c r="X41" s="1"/>
      <c r="Y41" s="1"/>
      <c r="Z41" s="1"/>
      <c r="AA41" s="1"/>
      <c r="AB41" s="1"/>
      <c r="AC41" s="1"/>
      <c r="AD41" s="1"/>
      <c r="AE41" s="1"/>
      <c r="AF41" s="1"/>
      <c r="AG41" s="1"/>
      <c r="AH41" s="1"/>
      <c r="AI41" s="1"/>
      <c r="AJ41" s="1"/>
      <c r="AK41" s="1"/>
      <c r="AL41" s="1"/>
      <c r="AM41" s="1"/>
      <c r="AN41" s="1"/>
      <c r="AO41" s="1"/>
      <c r="AP41" s="1"/>
      <c r="AQ41" s="1"/>
      <c r="AR41" s="1"/>
    </row>
    <row r="42" spans="1:44" ht="8.4499999999999993" customHeight="1">
      <c r="A42" s="1"/>
      <c r="B42" s="88"/>
      <c r="C42" s="100" t="s">
        <v>0</v>
      </c>
      <c r="D42" s="89" t="s">
        <v>0</v>
      </c>
      <c r="E42" s="88"/>
      <c r="F42" s="89" t="s">
        <v>0</v>
      </c>
      <c r="G42" s="89" t="s">
        <v>0</v>
      </c>
      <c r="H42" s="89" t="s">
        <v>0</v>
      </c>
      <c r="I42" s="88"/>
      <c r="J42" s="88"/>
      <c r="K42" s="191"/>
      <c r="L42" s="94"/>
      <c r="M42" s="88"/>
      <c r="N42" s="200" t="s">
        <v>0</v>
      </c>
      <c r="O42" s="88"/>
      <c r="P42" s="88" t="s">
        <v>0</v>
      </c>
      <c r="Q42" s="197"/>
      <c r="R42" s="191"/>
      <c r="S42"/>
      <c r="T42"/>
      <c r="U42" s="60"/>
      <c r="V42" s="1"/>
      <c r="W42" s="1"/>
      <c r="X42" s="1"/>
      <c r="Y42" s="1"/>
      <c r="Z42" s="1"/>
      <c r="AA42" s="1"/>
      <c r="AB42" s="1"/>
      <c r="AC42" s="1"/>
      <c r="AD42" s="1"/>
      <c r="AE42" s="1"/>
      <c r="AF42" s="1"/>
      <c r="AG42" s="1"/>
      <c r="AH42" s="1"/>
      <c r="AI42" s="1"/>
      <c r="AJ42" s="1"/>
      <c r="AK42" s="1"/>
      <c r="AL42" s="1"/>
      <c r="AM42" s="1"/>
      <c r="AN42" s="1"/>
      <c r="AO42" s="1"/>
      <c r="AP42" s="1"/>
      <c r="AQ42" s="1"/>
      <c r="AR42" s="1"/>
    </row>
    <row r="43" spans="1:44" ht="17.25">
      <c r="A43" s="1" t="s">
        <v>287</v>
      </c>
      <c r="B43" s="221">
        <f>+'bichgdes&amp;$'!B43</f>
        <v>0</v>
      </c>
      <c r="C43" s="221">
        <f>+'bncgdes&amp;$ '!B43</f>
        <v>-2225</v>
      </c>
      <c r="D43" s="221">
        <f>+'bphgdes&amp;$'!B43</f>
        <v>0</v>
      </c>
      <c r="E43" s="221">
        <f>+'buhgdes&amp;$'!B43</f>
        <v>0</v>
      </c>
      <c r="F43" s="221">
        <f>+'capitalbkgdes&amp;$'!B43</f>
        <v>62685</v>
      </c>
      <c r="G43" s="221">
        <f>+'promobkgdes&amp;$'!B43</f>
        <v>31848</v>
      </c>
      <c r="H43" s="221">
        <f>+'socabkgdes&amp;$ '!B43</f>
        <v>0</v>
      </c>
      <c r="I43" s="221">
        <f>+'sogebkgdes&amp;$  '!B43</f>
        <v>58726</v>
      </c>
      <c r="J43" s="221">
        <f>+'unibkgdes&amp;$'!B43</f>
        <v>31864.400000000001</v>
      </c>
      <c r="K43" s="300">
        <f>SUM(B43:J43)</f>
        <v>182898.4</v>
      </c>
      <c r="L43" s="1127">
        <f>+'bhdgdes&amp;$'!B43</f>
        <v>0</v>
      </c>
      <c r="M43" s="221">
        <f>+'sgbelgdes&amp;$'!B43</f>
        <v>0</v>
      </c>
      <c r="N43" s="1075">
        <f>+L43+M43</f>
        <v>0</v>
      </c>
      <c r="O43" s="221">
        <f>+'cbnagdes&amp;$'!B43</f>
        <v>9864</v>
      </c>
      <c r="P43" s="221">
        <f>+'scotiagdes&amp;$'!B43</f>
        <v>0</v>
      </c>
      <c r="Q43" s="309">
        <f>SUM(O43:P43)</f>
        <v>9864</v>
      </c>
      <c r="R43" s="300">
        <f>+K43+N43+Q43</f>
        <v>192762.4</v>
      </c>
      <c r="S43"/>
      <c r="T43"/>
      <c r="U43" s="64"/>
      <c r="V43" s="1"/>
      <c r="W43" s="1"/>
      <c r="X43" s="1"/>
      <c r="Y43" s="1"/>
      <c r="Z43" s="1"/>
      <c r="AA43" s="1"/>
      <c r="AB43" s="1"/>
      <c r="AC43" s="1"/>
      <c r="AD43" s="1"/>
      <c r="AE43" s="1"/>
      <c r="AF43" s="1"/>
      <c r="AG43" s="1"/>
      <c r="AH43" s="1"/>
      <c r="AI43" s="1"/>
      <c r="AJ43" s="1"/>
      <c r="AK43" s="1"/>
      <c r="AL43" s="1"/>
      <c r="AM43" s="1"/>
      <c r="AN43" s="1"/>
      <c r="AO43" s="1"/>
      <c r="AP43" s="1"/>
      <c r="AQ43" s="1"/>
      <c r="AR43" s="1"/>
    </row>
    <row r="44" spans="1:44">
      <c r="A44" s="1"/>
      <c r="B44" s="88">
        <f>+B29+B35+B41+B43</f>
        <v>0</v>
      </c>
      <c r="C44" s="88">
        <f t="shared" ref="C44:J44" si="10">+C29+C35+C41+C43</f>
        <v>92721</v>
      </c>
      <c r="D44" s="88">
        <f t="shared" si="10"/>
        <v>93406.7</v>
      </c>
      <c r="E44" s="88">
        <f t="shared" si="10"/>
        <v>559670</v>
      </c>
      <c r="F44" s="88">
        <f>+F29+F35+F41+F43</f>
        <v>415932</v>
      </c>
      <c r="G44" s="88">
        <f t="shared" si="10"/>
        <v>626706</v>
      </c>
      <c r="H44" s="88">
        <f t="shared" si="10"/>
        <v>1057918.6000000001</v>
      </c>
      <c r="I44" s="88">
        <f t="shared" si="10"/>
        <v>1564300</v>
      </c>
      <c r="J44" s="88">
        <f t="shared" si="10"/>
        <v>1692039.9</v>
      </c>
      <c r="K44" s="191">
        <f>SUM(B44:J44)</f>
        <v>6102694.1999999993</v>
      </c>
      <c r="L44" s="88">
        <f>+L29+L35+L41+L43</f>
        <v>2937.3999999999996</v>
      </c>
      <c r="M44" s="88">
        <f>+M29+M35+M41+M43</f>
        <v>126366.2</v>
      </c>
      <c r="N44" s="1126">
        <f>+N29+N35+N41+N43</f>
        <v>129303.6</v>
      </c>
      <c r="O44" s="88">
        <f>+O29+O35+O41+O43</f>
        <v>749446</v>
      </c>
      <c r="P44" s="88">
        <f>+P29+P35+P41+P43</f>
        <v>121678</v>
      </c>
      <c r="Q44" s="197">
        <f>SUM(O44:P44)</f>
        <v>871124</v>
      </c>
      <c r="R44" s="197">
        <f>SUM(P44:Q44)</f>
        <v>992802</v>
      </c>
      <c r="S44"/>
      <c r="T44"/>
      <c r="U44" s="60"/>
      <c r="V44" s="1"/>
      <c r="W44" s="1"/>
      <c r="X44" s="1"/>
      <c r="Y44" s="1"/>
      <c r="Z44" s="1"/>
      <c r="AA44" s="1"/>
      <c r="AB44" s="1"/>
      <c r="AC44" s="1"/>
      <c r="AD44" s="1"/>
      <c r="AE44" s="1"/>
      <c r="AF44" s="1"/>
      <c r="AG44" s="1"/>
      <c r="AH44" s="1"/>
      <c r="AI44" s="1"/>
      <c r="AJ44" s="1"/>
      <c r="AK44" s="1"/>
      <c r="AL44" s="1"/>
      <c r="AM44" s="1"/>
      <c r="AN44" s="1"/>
      <c r="AO44" s="1"/>
      <c r="AP44" s="1"/>
      <c r="AQ44" s="1"/>
      <c r="AR44" s="1"/>
    </row>
    <row r="45" spans="1:44" ht="15.6" customHeight="1">
      <c r="A45" s="1"/>
      <c r="B45" s="88"/>
      <c r="C45" s="100" t="s">
        <v>0</v>
      </c>
      <c r="D45" s="89" t="s">
        <v>0</v>
      </c>
      <c r="E45" s="88"/>
      <c r="F45" s="89" t="s">
        <v>0</v>
      </c>
      <c r="G45" s="89" t="s">
        <v>0</v>
      </c>
      <c r="H45" s="89" t="s">
        <v>0</v>
      </c>
      <c r="I45" s="88"/>
      <c r="J45" s="88"/>
      <c r="K45" s="191"/>
      <c r="L45" s="94"/>
      <c r="M45" s="88"/>
      <c r="N45" s="200" t="s">
        <v>0</v>
      </c>
      <c r="O45" s="88"/>
      <c r="P45" s="88" t="s">
        <v>0</v>
      </c>
      <c r="Q45" s="197"/>
      <c r="R45" s="191"/>
      <c r="S45"/>
      <c r="T45"/>
      <c r="U45" s="60"/>
      <c r="V45" s="1"/>
      <c r="W45" s="1"/>
      <c r="X45" s="1"/>
      <c r="Y45" s="1"/>
      <c r="Z45" s="1"/>
      <c r="AA45" s="1"/>
      <c r="AB45" s="1"/>
      <c r="AC45" s="1"/>
      <c r="AD45" s="1"/>
      <c r="AE45" s="1"/>
      <c r="AF45" s="1"/>
      <c r="AG45" s="1"/>
      <c r="AH45" s="1"/>
      <c r="AI45" s="1"/>
      <c r="AJ45" s="1"/>
      <c r="AK45" s="1"/>
      <c r="AL45" s="1"/>
      <c r="AM45" s="1"/>
      <c r="AN45" s="1"/>
      <c r="AO45" s="1"/>
      <c r="AP45" s="1"/>
      <c r="AQ45" s="1"/>
      <c r="AR45" s="1"/>
    </row>
    <row r="46" spans="1:44">
      <c r="A46" s="183" t="s">
        <v>288</v>
      </c>
      <c r="B46" s="88"/>
      <c r="C46" s="100" t="s">
        <v>0</v>
      </c>
      <c r="D46" s="89" t="s">
        <v>0</v>
      </c>
      <c r="E46" s="88"/>
      <c r="F46" s="89" t="s">
        <v>0</v>
      </c>
      <c r="G46" s="89" t="s">
        <v>0</v>
      </c>
      <c r="H46" s="89" t="s">
        <v>0</v>
      </c>
      <c r="I46" s="88"/>
      <c r="J46" s="88"/>
      <c r="K46" s="191"/>
      <c r="L46" s="94"/>
      <c r="M46" s="88"/>
      <c r="N46" s="200" t="s">
        <v>0</v>
      </c>
      <c r="O46" s="88"/>
      <c r="P46" s="88" t="s">
        <v>0</v>
      </c>
      <c r="Q46" s="197"/>
      <c r="R46" s="191"/>
      <c r="S46"/>
      <c r="T46"/>
      <c r="U46" s="60"/>
      <c r="V46" s="1"/>
      <c r="W46" s="1"/>
      <c r="X46" s="1"/>
      <c r="Y46" s="1"/>
      <c r="Z46" s="1"/>
      <c r="AA46" s="1"/>
      <c r="AB46" s="1"/>
      <c r="AC46" s="1"/>
      <c r="AD46" s="1"/>
      <c r="AE46" s="1"/>
      <c r="AF46" s="1"/>
      <c r="AG46" s="1"/>
      <c r="AH46" s="1"/>
      <c r="AI46" s="1"/>
      <c r="AJ46" s="1"/>
      <c r="AK46" s="1"/>
      <c r="AL46" s="1"/>
      <c r="AM46" s="1"/>
      <c r="AN46" s="1"/>
      <c r="AO46" s="1"/>
      <c r="AP46" s="1"/>
      <c r="AQ46" s="1"/>
      <c r="AR46" s="1"/>
    </row>
    <row r="47" spans="1:44">
      <c r="A47" s="1" t="s">
        <v>289</v>
      </c>
      <c r="B47" s="88">
        <f>+'bichgdes&amp;$'!B47</f>
        <v>0</v>
      </c>
      <c r="C47" s="88">
        <f>+'bncgdes&amp;$ '!B47</f>
        <v>0</v>
      </c>
      <c r="D47" s="88">
        <f>+'bphgdes&amp;$'!B47</f>
        <v>0</v>
      </c>
      <c r="E47" s="88">
        <f>+'buhgdes&amp;$'!B47</f>
        <v>0</v>
      </c>
      <c r="F47" s="88">
        <f>+'capitalbkgdes&amp;$'!B47</f>
        <v>0</v>
      </c>
      <c r="G47" s="88">
        <f>+'promobkgdes&amp;$'!B47</f>
        <v>0</v>
      </c>
      <c r="H47" s="88">
        <f>+'socabkgdes&amp;$ '!B47</f>
        <v>0</v>
      </c>
      <c r="I47" s="88">
        <f>+'sogebkgdes&amp;$  '!B47</f>
        <v>0</v>
      </c>
      <c r="J47" s="88">
        <f>+'unibkgdes&amp;$'!B47</f>
        <v>0</v>
      </c>
      <c r="K47" s="191">
        <f>SUM(B47:J47)</f>
        <v>0</v>
      </c>
      <c r="L47" s="303">
        <f>+'bhdgdes&amp;$'!B47</f>
        <v>0</v>
      </c>
      <c r="M47" s="88">
        <f>+'sgbelgdes&amp;$'!B47</f>
        <v>0</v>
      </c>
      <c r="N47" s="200">
        <f>+L47+M47</f>
        <v>0</v>
      </c>
      <c r="O47" s="88">
        <f>+'cbnagdes&amp;$'!B47</f>
        <v>0</v>
      </c>
      <c r="P47" s="88">
        <f>+'scotiagdes&amp;$'!B47</f>
        <v>0</v>
      </c>
      <c r="Q47" s="197">
        <f>SUM(O47:P47)</f>
        <v>0</v>
      </c>
      <c r="R47" s="191">
        <f>+K47+N47+Q47</f>
        <v>0</v>
      </c>
      <c r="S47"/>
      <c r="T47"/>
      <c r="U47" s="60"/>
      <c r="V47" s="1"/>
      <c r="W47" s="1"/>
      <c r="X47" s="1"/>
      <c r="Y47" s="1"/>
      <c r="Z47" s="1"/>
      <c r="AA47" s="1"/>
      <c r="AB47" s="1"/>
      <c r="AC47" s="1"/>
      <c r="AD47" s="1"/>
      <c r="AE47" s="1"/>
      <c r="AF47" s="1"/>
      <c r="AG47" s="1"/>
      <c r="AH47" s="1"/>
      <c r="AI47" s="1"/>
      <c r="AJ47" s="1"/>
      <c r="AK47" s="1"/>
      <c r="AL47" s="1"/>
      <c r="AM47" s="1"/>
      <c r="AN47" s="1"/>
      <c r="AO47" s="1"/>
      <c r="AP47" s="1"/>
      <c r="AQ47" s="1"/>
      <c r="AR47" s="1"/>
    </row>
    <row r="48" spans="1:44">
      <c r="A48" s="1" t="s">
        <v>290</v>
      </c>
      <c r="B48" s="88">
        <f>+'bichgdes&amp;$'!B48</f>
        <v>0</v>
      </c>
      <c r="C48" s="88">
        <f>+'bncgdes&amp;$ '!B48</f>
        <v>0</v>
      </c>
      <c r="D48" s="88">
        <f>+'bphgdes&amp;$'!B48</f>
        <v>0</v>
      </c>
      <c r="E48" s="88">
        <f>+'buhgdes&amp;$'!B48</f>
        <v>0</v>
      </c>
      <c r="F48" s="88">
        <f>+'capitalbkgdes&amp;$'!B48</f>
        <v>0</v>
      </c>
      <c r="G48" s="88">
        <f>+'promobkgdes&amp;$'!B48</f>
        <v>0</v>
      </c>
      <c r="H48" s="88">
        <f>+'socabkgdes&amp;$ '!B48</f>
        <v>0</v>
      </c>
      <c r="I48" s="88">
        <f>+'sogebkgdes&amp;$  '!B48</f>
        <v>0</v>
      </c>
      <c r="J48" s="88">
        <f>+'unibkgdes&amp;$'!B48</f>
        <v>0</v>
      </c>
      <c r="K48" s="191">
        <f>SUM(B48:J48)</f>
        <v>0</v>
      </c>
      <c r="L48" s="303">
        <f>+'bhdgdes&amp;$'!B48</f>
        <v>0</v>
      </c>
      <c r="M48" s="88">
        <f>+'sgbelgdes&amp;$'!B48</f>
        <v>0</v>
      </c>
      <c r="N48" s="200">
        <f>+L48+M48</f>
        <v>0</v>
      </c>
      <c r="O48" s="88">
        <f>+'cbnagdes&amp;$'!B48</f>
        <v>0</v>
      </c>
      <c r="P48" s="88">
        <f>+'scotiagdes&amp;$'!B48</f>
        <v>0</v>
      </c>
      <c r="Q48" s="197">
        <f>SUM(O48:P48)</f>
        <v>0</v>
      </c>
      <c r="R48" s="191">
        <f>+K48+N48+Q48</f>
        <v>0</v>
      </c>
      <c r="S48"/>
      <c r="T48"/>
      <c r="U48" s="60"/>
      <c r="V48" s="1"/>
      <c r="W48" s="1"/>
      <c r="X48" s="1"/>
      <c r="Y48" s="1"/>
      <c r="Z48" s="1"/>
      <c r="AA48" s="1"/>
      <c r="AB48" s="1"/>
      <c r="AC48" s="1"/>
      <c r="AD48" s="1"/>
      <c r="AE48" s="1"/>
      <c r="AF48" s="1"/>
      <c r="AG48" s="1"/>
      <c r="AH48" s="1"/>
      <c r="AI48" s="1"/>
      <c r="AJ48" s="1"/>
      <c r="AK48" s="1"/>
      <c r="AL48" s="1"/>
      <c r="AM48" s="1"/>
      <c r="AN48" s="1"/>
      <c r="AO48" s="1"/>
      <c r="AP48" s="1"/>
      <c r="AQ48" s="1"/>
      <c r="AR48" s="1"/>
    </row>
    <row r="49" spans="1:44">
      <c r="A49" s="1" t="s">
        <v>302</v>
      </c>
      <c r="B49" s="88">
        <f>+'bichgdes&amp;$'!B50</f>
        <v>0</v>
      </c>
      <c r="C49" s="88">
        <f>+'bncgdes&amp;$ '!B50</f>
        <v>0</v>
      </c>
      <c r="D49" s="88">
        <f>+'bphgdes&amp;$'!B50</f>
        <v>0</v>
      </c>
      <c r="E49" s="88">
        <f>+'buhgdes&amp;$'!B49</f>
        <v>0</v>
      </c>
      <c r="F49" s="88">
        <f>+'capitalbkgdes&amp;$'!B49</f>
        <v>0</v>
      </c>
      <c r="G49" s="88">
        <f>+'promobkgdes&amp;$'!B50</f>
        <v>0</v>
      </c>
      <c r="H49" s="88">
        <f>+'socabkgdes&amp;$ '!B50</f>
        <v>0</v>
      </c>
      <c r="I49" s="88">
        <f>+'sogebkgdes&amp;$  '!B50</f>
        <v>0</v>
      </c>
      <c r="J49" s="88">
        <f>+'unibkgdes&amp;$'!B50</f>
        <v>0</v>
      </c>
      <c r="K49" s="191">
        <f>SUM(B49:J49)</f>
        <v>0</v>
      </c>
      <c r="L49" s="303">
        <f>+'bhdgdes&amp;$'!B49</f>
        <v>0</v>
      </c>
      <c r="M49" s="88">
        <f>+'sgbelgdes&amp;$'!B49</f>
        <v>0</v>
      </c>
      <c r="N49" s="200">
        <f>+L49+M49</f>
        <v>0</v>
      </c>
      <c r="O49" s="88">
        <f>+'cbnagdes&amp;$'!B49</f>
        <v>0</v>
      </c>
      <c r="P49" s="88">
        <f>+'scotiagdes&amp;$'!B49</f>
        <v>0</v>
      </c>
      <c r="Q49" s="197">
        <f>SUM(O49:P49)</f>
        <v>0</v>
      </c>
      <c r="R49" s="191">
        <f>+K49+N49+Q49</f>
        <v>0</v>
      </c>
      <c r="S49"/>
      <c r="T49"/>
      <c r="U49" s="60"/>
      <c r="V49" s="1"/>
      <c r="W49" s="1"/>
      <c r="X49" s="1"/>
      <c r="Y49" s="1"/>
      <c r="Z49" s="1"/>
      <c r="AA49" s="1"/>
      <c r="AB49" s="1"/>
      <c r="AC49" s="1"/>
      <c r="AD49" s="1"/>
      <c r="AE49" s="1"/>
      <c r="AF49" s="1"/>
      <c r="AG49" s="1"/>
      <c r="AH49" s="1"/>
      <c r="AI49" s="1"/>
      <c r="AJ49" s="1"/>
      <c r="AK49" s="1"/>
      <c r="AL49" s="1"/>
      <c r="AM49" s="1"/>
      <c r="AN49" s="1"/>
      <c r="AO49" s="1"/>
      <c r="AP49" s="1"/>
      <c r="AQ49" s="1"/>
      <c r="AR49" s="1"/>
    </row>
    <row r="50" spans="1:44" ht="17.25">
      <c r="A50" s="1" t="s">
        <v>292</v>
      </c>
      <c r="B50" s="221">
        <f>+'bichgdes&amp;$'!B51</f>
        <v>0</v>
      </c>
      <c r="C50" s="221">
        <f>+'bncgdes&amp;$ '!B51</f>
        <v>0</v>
      </c>
      <c r="D50" s="221">
        <f>+'bphgdes&amp;$'!B51</f>
        <v>0</v>
      </c>
      <c r="E50" s="221">
        <f>+'buhgdes&amp;$'!B50</f>
        <v>0</v>
      </c>
      <c r="F50" s="221">
        <f>+'capitalbkgdes&amp;$'!B50</f>
        <v>0</v>
      </c>
      <c r="G50" s="221">
        <f>+'promobkgdes&amp;$'!B51</f>
        <v>0</v>
      </c>
      <c r="H50" s="221">
        <f>+'socabkgdes&amp;$ '!B51</f>
        <v>0</v>
      </c>
      <c r="I50" s="221">
        <f>+'sogebkgdes&amp;$  '!B51</f>
        <v>0</v>
      </c>
      <c r="J50" s="221">
        <f>+'unibkgdes&amp;$'!B51</f>
        <v>0</v>
      </c>
      <c r="K50" s="300">
        <f>SUM(B50:J50)</f>
        <v>0</v>
      </c>
      <c r="L50" s="1127">
        <f>+'bhdgdes&amp;$'!B50</f>
        <v>0</v>
      </c>
      <c r="M50" s="221">
        <f>+'sgbelgdes&amp;$'!B50</f>
        <v>0</v>
      </c>
      <c r="N50" s="1075">
        <f>+L50+M50</f>
        <v>0</v>
      </c>
      <c r="O50" s="221">
        <f>+'cbnagdes&amp;$'!B50</f>
        <v>0</v>
      </c>
      <c r="P50" s="221">
        <f>+'scotiagdes&amp;$'!B50</f>
        <v>0</v>
      </c>
      <c r="Q50" s="309">
        <f>SUM(O50:P50)</f>
        <v>0</v>
      </c>
      <c r="R50" s="300">
        <f>+K50+N50+Q50</f>
        <v>0</v>
      </c>
      <c r="S50"/>
      <c r="T50"/>
      <c r="U50" s="60"/>
      <c r="V50" s="66"/>
      <c r="W50" s="66"/>
      <c r="X50" s="66"/>
      <c r="Y50" s="1"/>
      <c r="Z50" s="1"/>
      <c r="AA50" s="1"/>
      <c r="AB50" s="1"/>
      <c r="AC50" s="1"/>
      <c r="AD50" s="1"/>
      <c r="AE50" s="1"/>
      <c r="AF50" s="1"/>
      <c r="AG50" s="1"/>
      <c r="AH50" s="1"/>
      <c r="AI50" s="1"/>
      <c r="AJ50" s="1"/>
      <c r="AK50" s="1"/>
      <c r="AL50" s="1"/>
      <c r="AM50" s="1"/>
      <c r="AN50" s="1"/>
      <c r="AO50" s="1"/>
      <c r="AP50" s="1"/>
      <c r="AQ50" s="1"/>
      <c r="AR50" s="1"/>
    </row>
    <row r="51" spans="1:44" ht="16.5" thickBot="1">
      <c r="A51" s="1" t="s">
        <v>275</v>
      </c>
      <c r="B51" s="99">
        <f>SUM(B47:B50)</f>
        <v>0</v>
      </c>
      <c r="C51" s="99">
        <f t="shared" ref="C51:K51" si="11">SUM(C47:C50)</f>
        <v>0</v>
      </c>
      <c r="D51" s="99">
        <f t="shared" si="11"/>
        <v>0</v>
      </c>
      <c r="E51" s="99">
        <f t="shared" si="11"/>
        <v>0</v>
      </c>
      <c r="F51" s="99">
        <f>SUM(F47:F50)</f>
        <v>0</v>
      </c>
      <c r="G51" s="99">
        <f t="shared" si="11"/>
        <v>0</v>
      </c>
      <c r="H51" s="99">
        <f t="shared" si="11"/>
        <v>0</v>
      </c>
      <c r="I51" s="99">
        <f t="shared" si="11"/>
        <v>0</v>
      </c>
      <c r="J51" s="99">
        <f t="shared" si="11"/>
        <v>0</v>
      </c>
      <c r="K51" s="192">
        <f t="shared" si="11"/>
        <v>0</v>
      </c>
      <c r="L51" s="99">
        <f t="shared" ref="L51:R51" si="12">SUM(L47:L50)</f>
        <v>0</v>
      </c>
      <c r="M51" s="99">
        <f t="shared" si="12"/>
        <v>0</v>
      </c>
      <c r="N51" s="1124">
        <f t="shared" si="12"/>
        <v>0</v>
      </c>
      <c r="O51" s="99">
        <f t="shared" si="12"/>
        <v>0</v>
      </c>
      <c r="P51" s="99">
        <f t="shared" si="12"/>
        <v>0</v>
      </c>
      <c r="Q51" s="198">
        <f t="shared" si="12"/>
        <v>0</v>
      </c>
      <c r="R51" s="192">
        <f t="shared" si="12"/>
        <v>0</v>
      </c>
      <c r="S51"/>
      <c r="T51"/>
      <c r="U51" s="60"/>
      <c r="V51" s="1"/>
      <c r="W51" s="1"/>
      <c r="X51" s="1"/>
      <c r="Y51" s="1"/>
      <c r="Z51" s="1"/>
      <c r="AA51" s="1"/>
      <c r="AB51" s="1"/>
      <c r="AC51" s="1"/>
      <c r="AD51" s="1"/>
      <c r="AE51" s="1"/>
      <c r="AF51" s="1"/>
      <c r="AG51" s="1"/>
      <c r="AH51" s="1"/>
      <c r="AI51" s="1"/>
      <c r="AJ51" s="1"/>
      <c r="AK51" s="1"/>
      <c r="AL51" s="1"/>
      <c r="AM51" s="1"/>
      <c r="AN51" s="1"/>
      <c r="AO51" s="1"/>
      <c r="AP51" s="1"/>
      <c r="AQ51" s="1"/>
      <c r="AR51" s="1"/>
    </row>
    <row r="52" spans="1:44">
      <c r="A52" s="1" t="s">
        <v>0</v>
      </c>
      <c r="B52" s="91">
        <f>+B29+B35+B41+B43+B51</f>
        <v>0</v>
      </c>
      <c r="C52" s="91">
        <f t="shared" ref="C52:K52" si="13">+C29+C35+C41+C43+C51</f>
        <v>92721</v>
      </c>
      <c r="D52" s="91">
        <f t="shared" si="13"/>
        <v>93406.7</v>
      </c>
      <c r="E52" s="91">
        <f t="shared" si="13"/>
        <v>559670</v>
      </c>
      <c r="F52" s="91">
        <f>+F29+F35+F41+F43+F51</f>
        <v>415932</v>
      </c>
      <c r="G52" s="91">
        <f t="shared" si="13"/>
        <v>626706</v>
      </c>
      <c r="H52" s="91">
        <f t="shared" si="13"/>
        <v>1057918.6000000001</v>
      </c>
      <c r="I52" s="91">
        <f t="shared" si="13"/>
        <v>1564300</v>
      </c>
      <c r="J52" s="91">
        <f t="shared" si="13"/>
        <v>1692039.9</v>
      </c>
      <c r="K52" s="191">
        <f t="shared" si="13"/>
        <v>6102694.2000000011</v>
      </c>
      <c r="L52" s="91">
        <f t="shared" ref="L52:R52" si="14">+L29+L35+L41+L43+L51</f>
        <v>2937.3999999999996</v>
      </c>
      <c r="M52" s="91">
        <f t="shared" si="14"/>
        <v>126366.2</v>
      </c>
      <c r="N52" s="1125">
        <f t="shared" si="14"/>
        <v>129303.6</v>
      </c>
      <c r="O52" s="91">
        <f t="shared" si="14"/>
        <v>749446</v>
      </c>
      <c r="P52" s="91">
        <f t="shared" si="14"/>
        <v>121678</v>
      </c>
      <c r="Q52" s="197">
        <f t="shared" si="14"/>
        <v>871124</v>
      </c>
      <c r="R52" s="191">
        <f t="shared" si="14"/>
        <v>7103121.8000000007</v>
      </c>
      <c r="S52"/>
      <c r="T52"/>
      <c r="U52" s="60"/>
      <c r="V52" s="1"/>
      <c r="W52" s="1"/>
      <c r="X52" s="1"/>
      <c r="Y52" s="1"/>
      <c r="Z52" s="1"/>
      <c r="AA52" s="1"/>
      <c r="AB52" s="1"/>
      <c r="AC52" s="1"/>
      <c r="AD52" s="1"/>
      <c r="AE52" s="1"/>
      <c r="AF52" s="1"/>
      <c r="AG52" s="1"/>
      <c r="AH52" s="1"/>
      <c r="AI52" s="1"/>
      <c r="AJ52" s="1"/>
      <c r="AK52" s="1"/>
      <c r="AL52" s="1"/>
      <c r="AM52" s="1"/>
      <c r="AN52" s="1"/>
      <c r="AO52" s="1"/>
      <c r="AP52" s="1"/>
      <c r="AQ52" s="1"/>
      <c r="AR52" s="1"/>
    </row>
    <row r="53" spans="1:44">
      <c r="A53" s="1"/>
      <c r="B53" s="60"/>
      <c r="C53" s="61"/>
      <c r="D53" s="61"/>
      <c r="E53" s="60"/>
      <c r="F53" s="61"/>
      <c r="G53" s="61"/>
      <c r="H53" s="61"/>
      <c r="I53" s="60"/>
      <c r="J53" s="60"/>
      <c r="K53" s="190"/>
      <c r="L53" s="86"/>
      <c r="M53" s="60"/>
      <c r="N53" s="196" t="s">
        <v>0</v>
      </c>
      <c r="O53" s="60"/>
      <c r="P53" s="61"/>
      <c r="Q53" s="206"/>
      <c r="R53" s="190"/>
      <c r="S53"/>
      <c r="T53"/>
      <c r="U53" s="60"/>
      <c r="V53" s="1"/>
      <c r="W53" s="1"/>
      <c r="X53" s="1"/>
      <c r="Y53" s="1"/>
      <c r="Z53" s="1"/>
      <c r="AA53" s="1"/>
      <c r="AB53" s="1"/>
      <c r="AC53" s="1"/>
      <c r="AD53" s="1"/>
      <c r="AE53" s="1"/>
      <c r="AF53" s="1"/>
      <c r="AG53" s="1"/>
      <c r="AH53" s="1"/>
      <c r="AI53" s="1"/>
      <c r="AJ53" s="1"/>
      <c r="AK53" s="1"/>
      <c r="AL53" s="1"/>
      <c r="AM53" s="1"/>
      <c r="AN53" s="1"/>
      <c r="AO53" s="1"/>
      <c r="AP53" s="1"/>
      <c r="AQ53" s="1"/>
      <c r="AR53" s="1"/>
    </row>
    <row r="54" spans="1:44">
      <c r="A54" s="1"/>
      <c r="B54" s="60"/>
      <c r="C54" s="61"/>
      <c r="D54" s="61"/>
      <c r="E54" s="60"/>
      <c r="F54" s="61"/>
      <c r="G54" s="61"/>
      <c r="H54" s="61"/>
      <c r="I54" s="60"/>
      <c r="J54" s="60"/>
      <c r="K54" s="190"/>
      <c r="L54" s="86"/>
      <c r="M54" s="60"/>
      <c r="N54" s="196" t="s">
        <v>0</v>
      </c>
      <c r="O54" s="60"/>
      <c r="P54" s="61"/>
      <c r="Q54" s="206"/>
      <c r="R54" s="190"/>
      <c r="S54"/>
      <c r="T54"/>
      <c r="U54" s="60"/>
      <c r="V54" s="1"/>
      <c r="W54" s="1"/>
      <c r="X54" s="1"/>
      <c r="Y54" s="1"/>
      <c r="Z54" s="1"/>
      <c r="AA54" s="1"/>
      <c r="AB54" s="1"/>
      <c r="AC54" s="1"/>
      <c r="AD54" s="1"/>
      <c r="AE54" s="1"/>
      <c r="AF54" s="1"/>
      <c r="AG54" s="1"/>
      <c r="AH54" s="1"/>
      <c r="AI54" s="1"/>
      <c r="AJ54" s="1"/>
      <c r="AK54" s="1"/>
      <c r="AL54" s="1"/>
      <c r="AM54" s="1"/>
      <c r="AN54" s="1"/>
      <c r="AO54" s="1"/>
      <c r="AP54" s="1"/>
      <c r="AQ54" s="1"/>
      <c r="AR54" s="1"/>
    </row>
    <row r="55" spans="1:44">
      <c r="B55" s="20"/>
      <c r="C55" s="20"/>
      <c r="D55" s="20"/>
      <c r="E55" s="20"/>
      <c r="F55" s="20"/>
      <c r="G55" s="20"/>
      <c r="H55" s="20"/>
      <c r="I55" s="20"/>
      <c r="J55" s="20"/>
      <c r="K55" s="311"/>
      <c r="L55" s="311"/>
      <c r="M55" s="20"/>
      <c r="N55" s="311" t="s">
        <v>0</v>
      </c>
      <c r="O55" s="20"/>
      <c r="P55" s="20"/>
      <c r="Q55" s="312"/>
      <c r="R55" s="94" t="s">
        <v>0</v>
      </c>
      <c r="S55"/>
      <c r="T55"/>
      <c r="U55" s="60"/>
      <c r="V55" s="1"/>
      <c r="W55" s="1"/>
      <c r="X55" s="1"/>
      <c r="Y55" s="1"/>
      <c r="Z55" s="1"/>
      <c r="AA55" s="1"/>
      <c r="AB55" s="1"/>
      <c r="AC55" s="1"/>
      <c r="AD55" s="1"/>
      <c r="AE55" s="1"/>
      <c r="AF55" s="1"/>
      <c r="AG55" s="1"/>
      <c r="AH55" s="1"/>
      <c r="AI55" s="1"/>
      <c r="AJ55" s="1"/>
      <c r="AK55" s="1"/>
      <c r="AL55" s="1"/>
      <c r="AM55" s="1"/>
      <c r="AN55" s="1"/>
      <c r="AO55" s="1"/>
      <c r="AP55" s="1"/>
      <c r="AQ55" s="1"/>
      <c r="AR55" s="1"/>
    </row>
    <row r="56" spans="1:44">
      <c r="A56" s="2" t="s">
        <v>420</v>
      </c>
      <c r="B56" s="100">
        <f>+B22/'bilsysbandéc.99  '!B22</f>
        <v>3.9623908663532569E-2</v>
      </c>
      <c r="C56" s="100">
        <f>+C22/'bilsysbandéc.99  '!C22</f>
        <v>9.2513297593579638E-2</v>
      </c>
      <c r="D56" s="100">
        <f>+D22/'bilsysbandéc.99  '!D22</f>
        <v>0.11736057375919552</v>
      </c>
      <c r="E56" s="100">
        <f>+E22/'bilsysbandéc.99  '!E22</f>
        <v>0.27401067708530324</v>
      </c>
      <c r="F56" s="100">
        <f>+F22/'bilsysbandéc.99  '!F22</f>
        <v>0.3543617926388713</v>
      </c>
      <c r="G56" s="100">
        <f>+G22/'bilsysbandéc.99  '!G22</f>
        <v>0.41356559805252741</v>
      </c>
      <c r="H56" s="100">
        <f>+H22/'bilsysbandéc.99  '!H22</f>
        <v>0.42324514344241904</v>
      </c>
      <c r="I56" s="100">
        <f>+I22/'bilsysbandéc.99  '!I22</f>
        <v>0.29830167802979246</v>
      </c>
      <c r="J56" s="100">
        <f>+J22/'bilsysbandéc.99  '!J22</f>
        <v>0.45290276144590669</v>
      </c>
      <c r="K56" s="1152">
        <f>+K22/'bilsysbandéc.99  '!K22</f>
        <v>0.32787722723790236</v>
      </c>
      <c r="L56" s="100">
        <f>+L22/'bilsysbandéc.99  '!L22</f>
        <v>0.17570379523890689</v>
      </c>
      <c r="M56" s="100">
        <f>+M22/'bilsysbandéc.99  '!M22</f>
        <v>0.25799923205278569</v>
      </c>
      <c r="N56" s="1152">
        <f>+N22/'bilsysbandéc.99  '!N22</f>
        <v>0.25388345324814215</v>
      </c>
      <c r="O56" s="100">
        <f>+O22/'bilsysbandéc.99  '!O22</f>
        <v>0.52035683745523664</v>
      </c>
      <c r="P56" s="100">
        <f>+P22/'bilsysbandéc.99  '!P22</f>
        <v>0.15896288189084923</v>
      </c>
      <c r="Q56" s="1152">
        <f>+Q22/'bilsysbandéc.99  '!Q22</f>
        <v>0.38540938728395829</v>
      </c>
      <c r="R56" s="1151">
        <f>+R22/'bilsysbandéc.99  '!R22</f>
        <v>0.33264339657870895</v>
      </c>
      <c r="S56"/>
      <c r="T56"/>
      <c r="U56" s="60"/>
      <c r="V56" s="1"/>
      <c r="W56" s="1"/>
      <c r="X56" s="1"/>
      <c r="Y56" s="1"/>
      <c r="Z56" s="1"/>
      <c r="AA56" s="1"/>
      <c r="AB56" s="1"/>
      <c r="AC56" s="1"/>
      <c r="AD56" s="1"/>
      <c r="AE56" s="1"/>
      <c r="AF56" s="1"/>
      <c r="AG56" s="1"/>
      <c r="AH56" s="1"/>
      <c r="AI56" s="1"/>
      <c r="AJ56" s="1"/>
      <c r="AK56" s="1"/>
      <c r="AL56" s="1"/>
      <c r="AM56" s="1"/>
      <c r="AN56" s="1"/>
      <c r="AO56" s="1"/>
      <c r="AP56" s="1"/>
      <c r="AQ56" s="1"/>
      <c r="AR56" s="1"/>
    </row>
    <row r="57" spans="1:44">
      <c r="A57" s="2"/>
      <c r="B57" s="89"/>
      <c r="C57" s="104"/>
      <c r="D57" s="104"/>
      <c r="E57" s="104"/>
      <c r="F57" s="104"/>
      <c r="G57" s="104"/>
      <c r="H57" s="104"/>
      <c r="I57" s="104"/>
      <c r="J57" s="104"/>
      <c r="K57" s="194"/>
      <c r="L57" s="1120"/>
      <c r="M57" s="104"/>
      <c r="N57" s="200">
        <f>+L57+M57</f>
        <v>0</v>
      </c>
      <c r="O57" s="104"/>
      <c r="P57" s="104"/>
      <c r="Q57" s="194"/>
      <c r="R57" s="194"/>
      <c r="S57"/>
      <c r="T57"/>
      <c r="U57" s="60"/>
      <c r="V57" s="1"/>
      <c r="W57" s="1"/>
      <c r="X57" s="1"/>
      <c r="Y57" s="1"/>
      <c r="Z57" s="1"/>
      <c r="AA57" s="1"/>
      <c r="AB57" s="1"/>
      <c r="AC57" s="1"/>
      <c r="AD57" s="1"/>
      <c r="AE57" s="1"/>
      <c r="AF57" s="1"/>
      <c r="AG57" s="1"/>
      <c r="AH57" s="1"/>
      <c r="AI57" s="1"/>
      <c r="AJ57" s="1"/>
      <c r="AK57" s="1"/>
      <c r="AL57" s="1"/>
      <c r="AM57" s="1"/>
      <c r="AN57" s="1"/>
      <c r="AO57" s="1"/>
      <c r="AP57" s="1"/>
      <c r="AQ57" s="1"/>
      <c r="AR57" s="1"/>
    </row>
    <row r="58" spans="1:44">
      <c r="A58" s="2" t="s">
        <v>421</v>
      </c>
      <c r="B58" s="104">
        <f>+B29/'bilsysbandéc.99  '!B29</f>
        <v>0</v>
      </c>
      <c r="C58" s="104">
        <f>+C29/'bilsysbandéc.99  '!C29</f>
        <v>4.3351198005892419E-2</v>
      </c>
      <c r="D58" s="104">
        <f>+D29/'bilsysbandéc.99  '!D29</f>
        <v>0.10172393600414029</v>
      </c>
      <c r="E58" s="104">
        <f>+E29/'bilsysbandéc.99  '!E29</f>
        <v>0.26180979705709012</v>
      </c>
      <c r="F58" s="104">
        <f>+F29/'bilsysbandéc.99  '!F29</f>
        <v>0.38857820029900836</v>
      </c>
      <c r="G58" s="104">
        <f>+G29/'bilsysbandéc.99  '!G29</f>
        <v>0.42449700709721272</v>
      </c>
      <c r="H58" s="104">
        <f>+H29/'bilsysbandéc.99  '!H29</f>
        <v>0.45407106694637983</v>
      </c>
      <c r="I58" s="104">
        <f>+I29/'bilsysbandéc.99  '!I29</f>
        <v>0.30937515427710571</v>
      </c>
      <c r="J58" s="104">
        <f>+J29/'bilsysbandéc.99  '!J29</f>
        <v>0.48159318714845767</v>
      </c>
      <c r="K58" s="158">
        <f>+K29/'bilsysbandéc.99  '!K29</f>
        <v>0.33987867057712673</v>
      </c>
      <c r="L58" s="104">
        <f>+L29/'bilsysbandéc.99  '!L29</f>
        <v>0.64749766136576237</v>
      </c>
      <c r="M58" s="104">
        <f>+M29/'bilsysbandéc.99  '!M29</f>
        <v>0.27100929265348611</v>
      </c>
      <c r="N58" s="158">
        <f>+N29/'bilsysbandéc.99  '!N29</f>
        <v>0.27444216917234476</v>
      </c>
      <c r="O58" s="104">
        <f>+O29/'bilsysbandéc.99  '!O29</f>
        <v>0.46786373712961821</v>
      </c>
      <c r="P58" s="104">
        <f>+P29/'bilsysbandéc.99  '!P29</f>
        <v>0.12586466063898252</v>
      </c>
      <c r="Q58" s="158">
        <f>+Q29/'bilsysbandéc.99  '!Q29</f>
        <v>0.33272484123780272</v>
      </c>
      <c r="R58" s="158">
        <f>+R29/'bilsysbandéc.99  '!R29</f>
        <v>0.33746255915282741</v>
      </c>
      <c r="S58"/>
      <c r="T58"/>
      <c r="U58" s="60"/>
      <c r="V58" s="1"/>
      <c r="W58" s="1"/>
      <c r="X58" s="1"/>
      <c r="Y58" s="1"/>
      <c r="Z58" s="1"/>
      <c r="AA58" s="1"/>
      <c r="AB58" s="1"/>
      <c r="AC58" s="1"/>
      <c r="AD58" s="1"/>
      <c r="AE58" s="1"/>
      <c r="AF58" s="1"/>
      <c r="AG58" s="1"/>
      <c r="AH58" s="1"/>
      <c r="AI58" s="1"/>
      <c r="AJ58" s="1"/>
      <c r="AK58" s="1"/>
      <c r="AL58" s="1"/>
      <c r="AM58" s="1"/>
      <c r="AN58" s="1"/>
      <c r="AO58" s="1"/>
      <c r="AP58" s="1"/>
      <c r="AQ58" s="1"/>
      <c r="AR58" s="1"/>
    </row>
    <row r="59" spans="1:44">
      <c r="B59"/>
      <c r="C59"/>
      <c r="D59"/>
      <c r="E59"/>
      <c r="F59"/>
      <c r="G59"/>
      <c r="H59"/>
      <c r="I59"/>
      <c r="J59"/>
      <c r="K59"/>
      <c r="L59"/>
      <c r="M59"/>
      <c r="N59" t="s">
        <v>0</v>
      </c>
      <c r="O59"/>
      <c r="P59"/>
      <c r="Q59"/>
      <c r="R59"/>
      <c r="S59" s="60"/>
      <c r="T59" s="60"/>
      <c r="U59" s="60"/>
      <c r="V59" s="1"/>
      <c r="W59" s="1"/>
      <c r="X59" s="1"/>
      <c r="Y59" s="1"/>
      <c r="Z59" s="1"/>
      <c r="AA59" s="1"/>
      <c r="AB59" s="1"/>
      <c r="AC59" s="1"/>
      <c r="AD59" s="1"/>
      <c r="AE59" s="1"/>
      <c r="AF59" s="1"/>
      <c r="AG59" s="1"/>
      <c r="AH59" s="1"/>
      <c r="AI59" s="1"/>
      <c r="AJ59" s="1"/>
      <c r="AK59" s="1"/>
      <c r="AL59" s="1"/>
      <c r="AM59" s="1"/>
      <c r="AN59" s="1"/>
      <c r="AO59" s="1"/>
      <c r="AP59" s="1"/>
      <c r="AQ59" s="1"/>
      <c r="AR59" s="1"/>
    </row>
    <row r="60" spans="1:44">
      <c r="B60"/>
      <c r="C60"/>
      <c r="D60"/>
      <c r="E60"/>
      <c r="F60"/>
      <c r="G60"/>
      <c r="H60"/>
      <c r="I60"/>
      <c r="J60"/>
      <c r="K60"/>
      <c r="L60"/>
      <c r="M60"/>
      <c r="N60"/>
      <c r="O60"/>
      <c r="P60"/>
      <c r="Q60"/>
      <c r="R60"/>
      <c r="S60" s="60"/>
      <c r="T60" s="60"/>
      <c r="U60" s="60"/>
      <c r="V60" s="1"/>
      <c r="W60" s="1"/>
      <c r="X60" s="1"/>
      <c r="Y60" s="1"/>
      <c r="Z60" s="1"/>
      <c r="AA60" s="1"/>
      <c r="AB60" s="1"/>
      <c r="AC60" s="1"/>
      <c r="AD60" s="1"/>
      <c r="AE60" s="1"/>
      <c r="AF60" s="1"/>
      <c r="AG60" s="1"/>
      <c r="AH60" s="1"/>
      <c r="AI60" s="1"/>
      <c r="AJ60" s="1"/>
      <c r="AK60" s="1"/>
      <c r="AL60" s="1"/>
      <c r="AM60" s="1"/>
      <c r="AN60" s="1"/>
      <c r="AO60" s="1"/>
      <c r="AP60" s="1"/>
      <c r="AQ60" s="1"/>
      <c r="AR60" s="1"/>
    </row>
    <row r="61" spans="1:44">
      <c r="B61" s="931">
        <f>+B22-B52</f>
        <v>448.4</v>
      </c>
      <c r="C61" s="931">
        <v>0</v>
      </c>
      <c r="D61" s="931">
        <v>0</v>
      </c>
      <c r="E61" s="931">
        <f>+C22-C52</f>
        <v>74981</v>
      </c>
      <c r="F61" s="931"/>
      <c r="G61" s="931">
        <f>+D22-D52</f>
        <v>522.80000000000291</v>
      </c>
      <c r="H61" s="931">
        <f>+E22-E52</f>
        <v>19913</v>
      </c>
      <c r="I61" s="931">
        <f>+G22-G52</f>
        <v>21757</v>
      </c>
      <c r="J61" s="931">
        <f>+H22-H52</f>
        <v>8920.6000000000931</v>
      </c>
      <c r="K61" s="931">
        <f>+I22-I52</f>
        <v>46856</v>
      </c>
      <c r="L61" s="931"/>
      <c r="M61" s="931">
        <f>+K22-K52</f>
        <v>154655.29999999888</v>
      </c>
      <c r="N61" s="931" t="s">
        <v>0</v>
      </c>
      <c r="O61" s="931">
        <f t="shared" ref="O61:T61" si="15">+M22-M52</f>
        <v>11645.999999999985</v>
      </c>
      <c r="P61" s="931">
        <f t="shared" si="15"/>
        <v>13656.699999999983</v>
      </c>
      <c r="Q61" s="931">
        <f t="shared" si="15"/>
        <v>86654</v>
      </c>
      <c r="R61" s="931">
        <f t="shared" si="15"/>
        <v>30535</v>
      </c>
      <c r="S61" s="931">
        <f t="shared" si="15"/>
        <v>117189</v>
      </c>
      <c r="T61" s="931">
        <f t="shared" si="15"/>
        <v>285500.99999999907</v>
      </c>
      <c r="U61" s="60"/>
      <c r="V61" s="1"/>
      <c r="W61" s="1"/>
      <c r="X61" s="1"/>
      <c r="Y61" s="1"/>
      <c r="Z61" s="1"/>
      <c r="AA61" s="1"/>
      <c r="AB61" s="1"/>
      <c r="AC61" s="1"/>
      <c r="AD61" s="1"/>
      <c r="AE61" s="1"/>
      <c r="AF61" s="1"/>
      <c r="AG61" s="1"/>
      <c r="AH61" s="1"/>
      <c r="AI61" s="1"/>
      <c r="AJ61" s="1"/>
      <c r="AK61" s="1"/>
      <c r="AL61" s="1"/>
      <c r="AM61" s="1"/>
      <c r="AN61" s="1"/>
      <c r="AO61" s="1"/>
      <c r="AP61" s="1"/>
      <c r="AQ61" s="1"/>
      <c r="AR61" s="1"/>
    </row>
    <row r="62" spans="1:44">
      <c r="B62"/>
      <c r="C62"/>
      <c r="D62"/>
      <c r="E62"/>
      <c r="F62"/>
      <c r="G62"/>
      <c r="H62"/>
      <c r="I62"/>
      <c r="J62"/>
      <c r="K62"/>
      <c r="L62"/>
      <c r="M62"/>
      <c r="N62"/>
      <c r="O62"/>
      <c r="P62"/>
      <c r="Q62"/>
      <c r="R62"/>
      <c r="S62" s="60"/>
      <c r="T62" s="60"/>
      <c r="U62" s="60"/>
      <c r="V62" s="1"/>
      <c r="W62" s="1"/>
      <c r="X62" s="1"/>
      <c r="Y62" s="1"/>
      <c r="Z62" s="1"/>
      <c r="AA62" s="1"/>
      <c r="AB62" s="1"/>
      <c r="AC62" s="1"/>
      <c r="AD62" s="1"/>
      <c r="AE62" s="1"/>
      <c r="AF62" s="1"/>
      <c r="AG62" s="1"/>
      <c r="AH62" s="1"/>
      <c r="AI62" s="1"/>
      <c r="AJ62" s="1"/>
      <c r="AK62" s="1"/>
      <c r="AL62" s="1"/>
      <c r="AM62" s="1"/>
      <c r="AN62" s="1"/>
      <c r="AO62" s="1"/>
      <c r="AP62" s="1"/>
      <c r="AQ62" s="1"/>
      <c r="AR62" s="1"/>
    </row>
    <row r="63" spans="1:44">
      <c r="B63"/>
      <c r="C63"/>
      <c r="D63"/>
      <c r="E63"/>
      <c r="F63"/>
      <c r="G63"/>
      <c r="H63"/>
      <c r="I63"/>
      <c r="J63"/>
      <c r="K63"/>
      <c r="L63"/>
      <c r="M63"/>
      <c r="N63"/>
      <c r="O63"/>
      <c r="P63"/>
      <c r="Q63"/>
      <c r="R63"/>
      <c r="S63" s="60"/>
      <c r="T63" s="60"/>
      <c r="U63" s="60"/>
      <c r="V63" s="1"/>
      <c r="W63" s="1"/>
      <c r="X63" s="1"/>
      <c r="Y63" s="1"/>
      <c r="Z63" s="1"/>
      <c r="AA63" s="1"/>
      <c r="AB63" s="1"/>
      <c r="AC63" s="1"/>
      <c r="AD63" s="1"/>
      <c r="AE63" s="1"/>
      <c r="AF63" s="1"/>
      <c r="AG63" s="1"/>
      <c r="AH63" s="1"/>
      <c r="AI63" s="1"/>
      <c r="AJ63" s="1"/>
      <c r="AK63" s="1"/>
      <c r="AL63" s="1"/>
      <c r="AM63" s="1"/>
      <c r="AN63" s="1"/>
      <c r="AO63" s="1"/>
      <c r="AP63" s="1"/>
      <c r="AQ63" s="1"/>
      <c r="AR63" s="1"/>
    </row>
    <row r="64" spans="1:44">
      <c r="A64" s="18" t="s">
        <v>0</v>
      </c>
      <c r="B64"/>
      <c r="C64"/>
      <c r="D64"/>
      <c r="E64"/>
      <c r="F64"/>
      <c r="G64"/>
      <c r="H64"/>
      <c r="I64"/>
      <c r="J64"/>
      <c r="K64"/>
      <c r="L64"/>
      <c r="M64"/>
      <c r="N64"/>
      <c r="O64"/>
      <c r="P64"/>
      <c r="Q64"/>
      <c r="R64"/>
      <c r="S64" s="60"/>
      <c r="T64" s="60"/>
      <c r="U64" s="60"/>
      <c r="V64" s="1"/>
      <c r="W64" s="1"/>
      <c r="X64" s="1"/>
      <c r="Y64" s="1"/>
      <c r="Z64" s="1"/>
      <c r="AA64" s="1"/>
      <c r="AB64" s="1"/>
      <c r="AC64" s="1"/>
      <c r="AD64" s="1"/>
      <c r="AE64" s="1"/>
      <c r="AF64" s="1"/>
      <c r="AG64" s="1"/>
      <c r="AH64" s="1"/>
      <c r="AI64" s="1"/>
      <c r="AJ64" s="1"/>
      <c r="AK64" s="1"/>
      <c r="AL64" s="1"/>
      <c r="AM64" s="1"/>
      <c r="AN64" s="1"/>
      <c r="AO64" s="1"/>
      <c r="AP64" s="1"/>
      <c r="AQ64" s="1"/>
      <c r="AR64" s="1"/>
    </row>
    <row r="65" spans="1:44">
      <c r="B65"/>
      <c r="C65"/>
      <c r="D65"/>
      <c r="E65"/>
      <c r="F65"/>
      <c r="G65"/>
      <c r="H65"/>
      <c r="I65"/>
      <c r="J65"/>
      <c r="K65"/>
      <c r="L65"/>
      <c r="M65"/>
      <c r="N65"/>
      <c r="O65"/>
      <c r="P65"/>
      <c r="Q65"/>
      <c r="R65"/>
      <c r="S65" s="60"/>
      <c r="T65" s="60"/>
      <c r="U65" s="60"/>
      <c r="V65" s="1"/>
      <c r="W65" s="1"/>
      <c r="X65" s="1"/>
      <c r="Y65" s="1"/>
      <c r="Z65" s="1"/>
      <c r="AA65" s="1"/>
      <c r="AB65" s="1"/>
      <c r="AC65" s="1"/>
      <c r="AD65" s="1"/>
      <c r="AE65" s="1"/>
      <c r="AF65" s="1"/>
      <c r="AG65" s="1"/>
      <c r="AH65" s="1"/>
      <c r="AI65" s="1"/>
      <c r="AJ65" s="1"/>
      <c r="AK65" s="1"/>
      <c r="AL65" s="1"/>
      <c r="AM65" s="1"/>
      <c r="AN65" s="1"/>
      <c r="AO65" s="1"/>
      <c r="AP65" s="1"/>
      <c r="AQ65" s="1"/>
      <c r="AR65" s="1"/>
    </row>
    <row r="66" spans="1:44">
      <c r="A66" s="571" t="s">
        <v>105</v>
      </c>
      <c r="B66" s="121">
        <f>+'sogebkgdes&amp;$  '!B29</f>
        <v>1435058</v>
      </c>
      <c r="C66"/>
      <c r="D66"/>
      <c r="E66"/>
      <c r="F66"/>
      <c r="G66"/>
      <c r="H66"/>
      <c r="I66"/>
      <c r="J66"/>
      <c r="K66"/>
      <c r="L66"/>
      <c r="M66"/>
      <c r="N66"/>
      <c r="O66"/>
      <c r="P66"/>
      <c r="Q66"/>
      <c r="R66"/>
      <c r="S66" s="60"/>
      <c r="T66" s="60"/>
      <c r="U66" s="60"/>
      <c r="V66" s="1"/>
      <c r="W66" s="1"/>
      <c r="X66" s="1"/>
      <c r="Y66" s="1"/>
      <c r="Z66" s="1"/>
      <c r="AA66" s="1"/>
      <c r="AB66" s="1"/>
      <c r="AC66" s="1"/>
      <c r="AD66" s="1"/>
      <c r="AE66" s="1"/>
      <c r="AF66" s="1"/>
      <c r="AG66" s="1"/>
      <c r="AH66" s="1"/>
      <c r="AI66" s="1"/>
      <c r="AJ66" s="1"/>
      <c r="AK66" s="1"/>
      <c r="AL66" s="1"/>
      <c r="AM66" s="1"/>
      <c r="AN66" s="1"/>
      <c r="AO66" s="1"/>
      <c r="AP66" s="1"/>
      <c r="AQ66" s="1"/>
      <c r="AR66" s="1"/>
    </row>
    <row r="67" spans="1:44">
      <c r="A67" s="571" t="s">
        <v>106</v>
      </c>
      <c r="B67" s="121">
        <f>+'unibkgdes&amp;$'!B29</f>
        <v>1623639.9000000001</v>
      </c>
      <c r="C67"/>
      <c r="D67"/>
      <c r="E67"/>
      <c r="F67"/>
      <c r="G67"/>
      <c r="H67"/>
      <c r="I67"/>
      <c r="J67"/>
      <c r="K67"/>
      <c r="L67"/>
      <c r="M67"/>
      <c r="N67"/>
      <c r="O67"/>
      <c r="P67"/>
      <c r="Q67"/>
      <c r="R67"/>
      <c r="S67" s="60"/>
      <c r="T67" s="60"/>
      <c r="U67" s="60"/>
      <c r="V67" s="1"/>
      <c r="W67" s="1"/>
      <c r="X67" s="1"/>
      <c r="Y67" s="1"/>
      <c r="Z67" s="1"/>
      <c r="AA67" s="1"/>
      <c r="AB67" s="1"/>
      <c r="AC67" s="1"/>
      <c r="AD67" s="1"/>
      <c r="AE67" s="1"/>
      <c r="AF67" s="1"/>
      <c r="AG67" s="1"/>
      <c r="AH67" s="1"/>
      <c r="AI67" s="1"/>
      <c r="AJ67" s="1"/>
      <c r="AK67" s="1"/>
      <c r="AL67" s="1"/>
      <c r="AM67" s="1"/>
      <c r="AN67" s="1"/>
      <c r="AO67" s="1"/>
      <c r="AP67" s="1"/>
      <c r="AQ67" s="1"/>
      <c r="AR67" s="1"/>
    </row>
    <row r="68" spans="1:44">
      <c r="A68" s="571" t="s">
        <v>100</v>
      </c>
      <c r="B68" s="121">
        <f>+'bncgdes&amp;$ '!B29</f>
        <v>63845</v>
      </c>
      <c r="C68"/>
      <c r="D68"/>
      <c r="E68"/>
      <c r="F68"/>
      <c r="G68"/>
      <c r="H68"/>
      <c r="I68"/>
      <c r="J68"/>
      <c r="K68"/>
      <c r="L68"/>
      <c r="M68"/>
      <c r="N68"/>
      <c r="O68"/>
      <c r="P68"/>
      <c r="Q68"/>
      <c r="R68"/>
      <c r="S68" s="60"/>
      <c r="T68" s="60"/>
      <c r="U68" s="60"/>
      <c r="V68" s="1"/>
      <c r="W68" s="1"/>
      <c r="X68" s="1"/>
      <c r="Y68" s="1"/>
      <c r="Z68" s="1"/>
      <c r="AA68" s="1"/>
      <c r="AB68" s="1"/>
      <c r="AC68" s="1"/>
      <c r="AD68" s="1"/>
      <c r="AE68" s="1"/>
      <c r="AF68" s="1"/>
      <c r="AG68" s="1"/>
      <c r="AH68" s="1"/>
      <c r="AI68" s="1"/>
      <c r="AJ68" s="1"/>
      <c r="AK68" s="1"/>
      <c r="AL68" s="1"/>
      <c r="AM68" s="1"/>
      <c r="AN68" s="1"/>
      <c r="AO68" s="1"/>
      <c r="AP68" s="1"/>
      <c r="AQ68" s="1"/>
      <c r="AR68" s="1"/>
    </row>
    <row r="69" spans="1:44">
      <c r="A69" s="571" t="s">
        <v>103</v>
      </c>
      <c r="B69" s="121">
        <f>+'promobkgdes&amp;$'!B29</f>
        <v>575210</v>
      </c>
      <c r="C69"/>
      <c r="D69"/>
      <c r="E69"/>
      <c r="F69"/>
      <c r="G69"/>
      <c r="H69"/>
      <c r="I69"/>
      <c r="J69"/>
      <c r="K69"/>
      <c r="L69"/>
      <c r="M69"/>
      <c r="N69"/>
      <c r="O69"/>
      <c r="P69"/>
      <c r="Q69"/>
      <c r="R69"/>
      <c r="S69" s="60"/>
      <c r="T69" s="60"/>
      <c r="U69" s="60"/>
      <c r="V69" s="1"/>
      <c r="W69" s="1"/>
      <c r="X69" s="1"/>
      <c r="Y69" s="1"/>
      <c r="Z69" s="1"/>
      <c r="AA69" s="1"/>
      <c r="AB69" s="1"/>
      <c r="AC69" s="1"/>
      <c r="AD69" s="1"/>
      <c r="AE69" s="1"/>
      <c r="AF69" s="1"/>
      <c r="AG69" s="1"/>
      <c r="AH69" s="1"/>
      <c r="AI69" s="1"/>
      <c r="AJ69" s="1"/>
      <c r="AK69" s="1"/>
      <c r="AL69" s="1"/>
      <c r="AM69" s="1"/>
      <c r="AN69" s="1"/>
      <c r="AO69" s="1"/>
      <c r="AP69" s="1"/>
      <c r="AQ69" s="1"/>
      <c r="AR69" s="1"/>
    </row>
    <row r="70" spans="1:44">
      <c r="A70" s="571" t="s">
        <v>104</v>
      </c>
      <c r="B70" s="121">
        <f>+'socabkgdes&amp;$ '!B29</f>
        <v>1037123.2000000001</v>
      </c>
      <c r="C70"/>
      <c r="D70" s="9" t="s">
        <v>0</v>
      </c>
      <c r="E70" s="3" t="s">
        <v>0</v>
      </c>
      <c r="F70" s="3"/>
      <c r="G70"/>
      <c r="H70"/>
      <c r="I70"/>
      <c r="J70"/>
      <c r="K70"/>
      <c r="L70"/>
      <c r="M70"/>
      <c r="N70"/>
      <c r="O70"/>
      <c r="P70"/>
      <c r="Q70"/>
      <c r="R70"/>
      <c r="S70" s="60"/>
      <c r="T70" s="60"/>
      <c r="U70" s="60"/>
      <c r="V70" s="1"/>
      <c r="W70" s="1"/>
      <c r="X70" s="1"/>
      <c r="Y70" s="1"/>
      <c r="Z70" s="1"/>
      <c r="AA70" s="1"/>
      <c r="AB70" s="1"/>
      <c r="AC70" s="1"/>
      <c r="AD70" s="1"/>
      <c r="AE70" s="1"/>
      <c r="AF70" s="1"/>
      <c r="AG70" s="1"/>
      <c r="AH70" s="1"/>
      <c r="AI70" s="1"/>
      <c r="AJ70" s="1"/>
      <c r="AK70" s="1"/>
      <c r="AL70" s="1"/>
      <c r="AM70" s="1"/>
      <c r="AN70" s="1"/>
      <c r="AO70" s="1"/>
      <c r="AP70" s="1"/>
      <c r="AQ70" s="1"/>
      <c r="AR70" s="1"/>
    </row>
    <row r="71" spans="1:44">
      <c r="A71" s="571" t="s">
        <v>109</v>
      </c>
      <c r="B71" s="121">
        <f>+'cbnagdes&amp;$'!B29</f>
        <v>636523</v>
      </c>
      <c r="C71"/>
      <c r="D71" s="9" t="s">
        <v>0</v>
      </c>
      <c r="E71" s="3" t="s">
        <v>0</v>
      </c>
      <c r="F71" s="3"/>
      <c r="G71"/>
      <c r="H71"/>
      <c r="I71"/>
      <c r="J71"/>
      <c r="K71"/>
      <c r="L71"/>
      <c r="M71"/>
      <c r="N71"/>
      <c r="O71"/>
      <c r="P71"/>
      <c r="Q71"/>
      <c r="R71"/>
      <c r="S71" s="60"/>
      <c r="T71" s="60"/>
      <c r="U71" s="60"/>
      <c r="V71" s="1"/>
      <c r="W71" s="1"/>
      <c r="X71" s="1"/>
      <c r="Y71" s="1"/>
      <c r="Z71" s="1"/>
      <c r="AA71" s="1"/>
      <c r="AB71" s="1"/>
      <c r="AC71" s="1"/>
      <c r="AD71" s="1"/>
      <c r="AE71" s="1"/>
      <c r="AF71" s="1"/>
      <c r="AG71" s="1"/>
      <c r="AH71" s="1"/>
      <c r="AI71" s="1"/>
      <c r="AJ71" s="1"/>
      <c r="AK71" s="1"/>
      <c r="AL71" s="1"/>
      <c r="AM71" s="1"/>
      <c r="AN71" s="1"/>
      <c r="AO71" s="1"/>
      <c r="AP71" s="1"/>
      <c r="AQ71" s="1"/>
      <c r="AR71" s="1"/>
    </row>
    <row r="72" spans="1:44">
      <c r="A72" s="571" t="s">
        <v>110</v>
      </c>
      <c r="B72" s="121">
        <f>+'scotiagdes&amp;$'!B29</f>
        <v>111867</v>
      </c>
      <c r="C72"/>
      <c r="D72" s="9" t="s">
        <v>0</v>
      </c>
      <c r="E72" s="3" t="s">
        <v>0</v>
      </c>
      <c r="F72" s="3"/>
      <c r="G72"/>
      <c r="H72"/>
      <c r="I72"/>
      <c r="J72"/>
      <c r="K72"/>
      <c r="L72"/>
      <c r="M72"/>
      <c r="N72"/>
      <c r="O72"/>
      <c r="P72"/>
      <c r="Q72"/>
      <c r="R72"/>
      <c r="S72" s="60"/>
      <c r="T72" s="60"/>
      <c r="U72" s="60"/>
      <c r="V72" s="1"/>
      <c r="W72" s="1"/>
      <c r="X72" s="1"/>
      <c r="Y72" s="1"/>
      <c r="Z72" s="1"/>
      <c r="AA72" s="1"/>
      <c r="AB72" s="1"/>
      <c r="AC72" s="1"/>
      <c r="AD72" s="1"/>
      <c r="AE72" s="1"/>
      <c r="AF72" s="1"/>
      <c r="AG72" s="1"/>
      <c r="AH72" s="1"/>
      <c r="AI72" s="1"/>
      <c r="AJ72" s="1"/>
      <c r="AK72" s="1"/>
      <c r="AL72" s="1"/>
      <c r="AM72" s="1"/>
      <c r="AN72" s="1"/>
      <c r="AO72" s="1"/>
      <c r="AP72" s="1"/>
      <c r="AQ72" s="1"/>
      <c r="AR72" s="1"/>
    </row>
    <row r="73" spans="1:44">
      <c r="A73" s="571" t="s">
        <v>101</v>
      </c>
      <c r="B73" s="121">
        <f>+'bphgdes&amp;$'!B29</f>
        <v>69658.7</v>
      </c>
      <c r="C73"/>
      <c r="D73" s="9" t="s">
        <v>0</v>
      </c>
      <c r="E73" s="3" t="s">
        <v>0</v>
      </c>
      <c r="F73" s="3"/>
      <c r="G73"/>
      <c r="H73"/>
      <c r="I73"/>
      <c r="J73"/>
      <c r="K73"/>
      <c r="L73"/>
      <c r="M73"/>
      <c r="N73"/>
      <c r="O73"/>
      <c r="P73"/>
      <c r="Q73"/>
      <c r="R73"/>
      <c r="S73" s="60"/>
      <c r="T73" s="60"/>
      <c r="U73" s="60"/>
      <c r="V73" s="1"/>
      <c r="W73" s="1"/>
      <c r="X73" s="1"/>
      <c r="Y73" s="1"/>
      <c r="Z73" s="1"/>
      <c r="AA73" s="1"/>
      <c r="AB73" s="1"/>
      <c r="AC73" s="1"/>
      <c r="AD73" s="1"/>
      <c r="AE73" s="1"/>
      <c r="AF73" s="1"/>
      <c r="AG73" s="1"/>
      <c r="AH73" s="1"/>
      <c r="AI73" s="1"/>
      <c r="AJ73" s="1"/>
      <c r="AK73" s="1"/>
      <c r="AL73" s="1"/>
      <c r="AM73" s="1"/>
      <c r="AN73" s="1"/>
      <c r="AO73" s="1"/>
      <c r="AP73" s="1"/>
      <c r="AQ73" s="1"/>
      <c r="AR73" s="1"/>
    </row>
    <row r="74" spans="1:44">
      <c r="A74" s="571" t="s">
        <v>102</v>
      </c>
      <c r="B74" s="121">
        <f>+'buhgdes&amp;$'!B29</f>
        <v>512195</v>
      </c>
      <c r="C74"/>
      <c r="D74" s="9" t="s">
        <v>0</v>
      </c>
      <c r="E74" s="3" t="s">
        <v>0</v>
      </c>
      <c r="F74" s="3"/>
      <c r="G74"/>
      <c r="H74"/>
      <c r="I74"/>
      <c r="J74"/>
      <c r="K74"/>
      <c r="L74"/>
      <c r="M74"/>
      <c r="N74"/>
      <c r="O74"/>
      <c r="P74"/>
      <c r="Q74"/>
      <c r="R74"/>
      <c r="S74" s="60"/>
      <c r="T74" s="60"/>
      <c r="U74" s="60"/>
      <c r="V74" s="1"/>
      <c r="W74" s="1"/>
      <c r="X74" s="1"/>
      <c r="Y74" s="1"/>
      <c r="Z74" s="1"/>
      <c r="AA74" s="1"/>
      <c r="AB74" s="1"/>
      <c r="AC74" s="1"/>
      <c r="AD74" s="1"/>
      <c r="AE74" s="1"/>
      <c r="AF74" s="1"/>
      <c r="AG74" s="1"/>
      <c r="AH74" s="1"/>
      <c r="AI74" s="1"/>
      <c r="AJ74" s="1"/>
      <c r="AK74" s="1"/>
      <c r="AL74" s="1"/>
      <c r="AM74" s="1"/>
      <c r="AN74" s="1"/>
      <c r="AO74" s="1"/>
      <c r="AP74" s="1"/>
      <c r="AQ74" s="1"/>
      <c r="AR74" s="1"/>
    </row>
    <row r="75" spans="1:44">
      <c r="A75" s="571" t="s">
        <v>107</v>
      </c>
      <c r="B75" s="121">
        <f>+'capitalbkgdes&amp;$'!B29</f>
        <v>339704</v>
      </c>
      <c r="C75"/>
      <c r="D75" s="9" t="s">
        <v>0</v>
      </c>
      <c r="E75" s="3" t="s">
        <v>0</v>
      </c>
      <c r="F75" s="3"/>
      <c r="G75"/>
      <c r="H75"/>
      <c r="I75"/>
      <c r="J75"/>
      <c r="K75"/>
      <c r="L75"/>
      <c r="M75"/>
      <c r="N75"/>
      <c r="O75"/>
      <c r="P75"/>
      <c r="Q75"/>
      <c r="R75"/>
      <c r="S75" s="60"/>
      <c r="T75" s="60"/>
      <c r="U75" s="60"/>
      <c r="V75" s="1"/>
      <c r="W75" s="1"/>
      <c r="X75" s="1"/>
      <c r="Y75" s="1"/>
      <c r="Z75" s="1"/>
      <c r="AA75" s="1"/>
      <c r="AB75" s="1"/>
      <c r="AC75" s="1"/>
      <c r="AD75" s="1"/>
      <c r="AE75" s="1"/>
      <c r="AF75" s="1"/>
      <c r="AG75" s="1"/>
      <c r="AH75" s="1"/>
      <c r="AI75" s="1"/>
      <c r="AJ75" s="1"/>
      <c r="AK75" s="1"/>
      <c r="AL75" s="1"/>
      <c r="AM75" s="1"/>
      <c r="AN75" s="1"/>
      <c r="AO75" s="1"/>
      <c r="AP75" s="1"/>
      <c r="AQ75" s="1"/>
      <c r="AR75" s="1"/>
    </row>
    <row r="76" spans="1:44">
      <c r="A76" s="571" t="s">
        <v>108</v>
      </c>
      <c r="B76" s="121">
        <f>+'sgbelgdes&amp;$'!B29</f>
        <v>125932.3</v>
      </c>
      <c r="C76"/>
      <c r="D76" s="9" t="s">
        <v>0</v>
      </c>
      <c r="E76" s="3" t="s">
        <v>0</v>
      </c>
      <c r="F76" s="3"/>
      <c r="G76"/>
      <c r="H76"/>
      <c r="I76"/>
      <c r="J76"/>
      <c r="K76"/>
      <c r="L76"/>
      <c r="M76"/>
      <c r="N76"/>
      <c r="O76"/>
      <c r="P76"/>
      <c r="Q76"/>
      <c r="R76"/>
      <c r="S76" s="60"/>
      <c r="T76" s="60"/>
      <c r="U76" s="60"/>
      <c r="V76" s="1"/>
      <c r="W76" s="1"/>
      <c r="X76" s="1"/>
      <c r="Y76" s="1"/>
      <c r="Z76" s="1"/>
      <c r="AA76" s="1"/>
      <c r="AB76" s="1"/>
      <c r="AC76" s="1"/>
      <c r="AD76" s="1"/>
      <c r="AE76" s="1"/>
      <c r="AF76" s="1"/>
      <c r="AG76" s="1"/>
      <c r="AH76" s="1"/>
      <c r="AI76" s="1"/>
      <c r="AJ76" s="1"/>
      <c r="AK76" s="1"/>
      <c r="AL76" s="1"/>
      <c r="AM76" s="1"/>
      <c r="AN76" s="1"/>
      <c r="AO76" s="1"/>
      <c r="AP76" s="1"/>
      <c r="AQ76" s="1"/>
      <c r="AR76" s="1"/>
    </row>
    <row r="77" spans="1:44">
      <c r="A77" s="571" t="s">
        <v>127</v>
      </c>
      <c r="B77">
        <f>+'bhdgdes&amp;$'!B29</f>
        <v>2768.7</v>
      </c>
      <c r="C77"/>
      <c r="D77" s="9" t="s">
        <v>0</v>
      </c>
      <c r="E77" s="3" t="s">
        <v>0</v>
      </c>
      <c r="F77" s="3"/>
      <c r="G77"/>
      <c r="H77"/>
      <c r="I77"/>
      <c r="J77"/>
      <c r="K77"/>
      <c r="L77"/>
      <c r="M77"/>
      <c r="N77"/>
      <c r="O77"/>
      <c r="P77"/>
      <c r="Q77"/>
      <c r="R77"/>
      <c r="S77" s="60"/>
      <c r="T77" s="60"/>
      <c r="U77" s="60"/>
      <c r="V77" s="1"/>
      <c r="W77" s="1"/>
      <c r="X77" s="1"/>
      <c r="Y77" s="1"/>
      <c r="Z77" s="1"/>
      <c r="AA77" s="1"/>
      <c r="AB77" s="1"/>
      <c r="AC77" s="1"/>
      <c r="AD77" s="1"/>
      <c r="AE77" s="1"/>
      <c r="AF77" s="1"/>
      <c r="AG77" s="1"/>
      <c r="AH77" s="1"/>
      <c r="AI77" s="1"/>
      <c r="AJ77" s="1"/>
      <c r="AK77" s="1"/>
      <c r="AL77" s="1"/>
      <c r="AM77" s="1"/>
      <c r="AN77" s="1"/>
      <c r="AO77" s="1"/>
      <c r="AP77" s="1"/>
      <c r="AQ77" s="1"/>
      <c r="AR77" s="1"/>
    </row>
    <row r="78" spans="1:44">
      <c r="A78" s="571" t="s">
        <v>98</v>
      </c>
      <c r="B78" s="121">
        <f>+'bichgdes&amp;$'!B29</f>
        <v>0</v>
      </c>
      <c r="C78"/>
      <c r="D78" s="9" t="s">
        <v>0</v>
      </c>
      <c r="E78" s="3" t="s">
        <v>0</v>
      </c>
      <c r="F78" s="3"/>
      <c r="G78"/>
      <c r="H78"/>
      <c r="I78"/>
      <c r="J78"/>
      <c r="K78"/>
      <c r="L78"/>
      <c r="M78"/>
      <c r="N78"/>
      <c r="O78"/>
      <c r="P78"/>
      <c r="Q78"/>
      <c r="R78"/>
      <c r="S78" s="60"/>
      <c r="T78" s="60"/>
      <c r="U78" s="60"/>
      <c r="V78" s="1"/>
      <c r="W78" s="1"/>
      <c r="X78" s="1"/>
      <c r="Y78" s="1"/>
      <c r="Z78" s="1"/>
      <c r="AA78" s="1"/>
      <c r="AB78" s="1"/>
      <c r="AC78" s="1"/>
      <c r="AD78" s="1"/>
      <c r="AE78" s="1"/>
      <c r="AF78" s="1"/>
      <c r="AG78" s="1"/>
      <c r="AH78" s="1"/>
      <c r="AI78" s="1"/>
      <c r="AJ78" s="1"/>
      <c r="AK78" s="1"/>
      <c r="AL78" s="1"/>
      <c r="AM78" s="1"/>
      <c r="AN78" s="1"/>
      <c r="AO78" s="1"/>
      <c r="AP78" s="1"/>
      <c r="AQ78" s="1"/>
      <c r="AR78" s="1"/>
    </row>
    <row r="79" spans="1:44">
      <c r="A79" s="9" t="s">
        <v>0</v>
      </c>
      <c r="B79" s="121" t="s">
        <v>0</v>
      </c>
      <c r="C79"/>
      <c r="D79" s="9" t="s">
        <v>0</v>
      </c>
      <c r="E79" s="3" t="s">
        <v>0</v>
      </c>
      <c r="F79" s="3"/>
      <c r="G79"/>
      <c r="H79"/>
      <c r="I79"/>
      <c r="J79"/>
      <c r="K79"/>
      <c r="L79"/>
      <c r="M79"/>
      <c r="N79"/>
      <c r="O79"/>
      <c r="P79"/>
      <c r="Q79"/>
      <c r="R79"/>
      <c r="S79" s="60"/>
      <c r="T79" s="60"/>
      <c r="U79" s="60"/>
      <c r="V79" s="1"/>
      <c r="W79" s="1"/>
      <c r="X79" s="1"/>
      <c r="Y79" s="1"/>
      <c r="Z79" s="1"/>
      <c r="AA79" s="1"/>
      <c r="AB79" s="1"/>
      <c r="AC79" s="1"/>
      <c r="AD79" s="1"/>
      <c r="AE79" s="1"/>
      <c r="AF79" s="1"/>
      <c r="AG79" s="1"/>
      <c r="AH79" s="1"/>
      <c r="AI79" s="1"/>
      <c r="AJ79" s="1"/>
      <c r="AK79" s="1"/>
      <c r="AL79" s="1"/>
      <c r="AM79" s="1"/>
      <c r="AN79" s="1"/>
      <c r="AO79" s="1"/>
      <c r="AP79" s="1"/>
      <c r="AQ79" s="1"/>
      <c r="AR79" s="1"/>
    </row>
    <row r="80" spans="1:44">
      <c r="B80" s="121" t="s">
        <v>0</v>
      </c>
      <c r="C80"/>
      <c r="D80" s="9" t="s">
        <v>0</v>
      </c>
      <c r="E80" s="3" t="s">
        <v>0</v>
      </c>
      <c r="F80" s="3"/>
      <c r="G80"/>
      <c r="H80"/>
      <c r="I80"/>
      <c r="J80"/>
      <c r="K80"/>
      <c r="L80"/>
      <c r="M80"/>
      <c r="N80"/>
      <c r="O80"/>
      <c r="P80"/>
      <c r="Q80"/>
      <c r="R80"/>
      <c r="S80" s="60"/>
      <c r="T80" s="60"/>
      <c r="U80" s="60"/>
      <c r="V80" s="1"/>
      <c r="W80" s="1"/>
      <c r="X80" s="1"/>
      <c r="Y80" s="1"/>
      <c r="Z80" s="1"/>
      <c r="AA80" s="1"/>
      <c r="AB80" s="1"/>
      <c r="AC80" s="1"/>
      <c r="AD80" s="1"/>
      <c r="AE80" s="1"/>
      <c r="AF80" s="1"/>
      <c r="AG80" s="1"/>
      <c r="AH80" s="1"/>
      <c r="AI80" s="1"/>
      <c r="AJ80" s="1"/>
      <c r="AK80" s="1"/>
      <c r="AL80" s="1"/>
      <c r="AM80" s="1"/>
      <c r="AN80" s="1"/>
      <c r="AO80" s="1"/>
      <c r="AP80" s="1"/>
      <c r="AQ80" s="1"/>
      <c r="AR80" s="1"/>
    </row>
    <row r="81" spans="2:44">
      <c r="B81"/>
      <c r="C81"/>
      <c r="D81" s="9" t="s">
        <v>0</v>
      </c>
      <c r="E81" s="3" t="s">
        <v>0</v>
      </c>
      <c r="F81" s="3"/>
      <c r="G81"/>
      <c r="H81"/>
      <c r="I81"/>
      <c r="J81"/>
      <c r="K81"/>
      <c r="L81"/>
      <c r="M81"/>
      <c r="N81"/>
      <c r="O81"/>
      <c r="P81"/>
      <c r="Q81"/>
      <c r="R81"/>
      <c r="S81" s="60"/>
      <c r="T81" s="60"/>
      <c r="U81" s="60"/>
      <c r="V81" s="1"/>
      <c r="W81" s="1"/>
      <c r="X81" s="1"/>
      <c r="Y81" s="1"/>
      <c r="Z81" s="1"/>
      <c r="AA81" s="1"/>
      <c r="AB81" s="1"/>
      <c r="AC81" s="1"/>
      <c r="AD81" s="1"/>
      <c r="AE81" s="1"/>
      <c r="AF81" s="1"/>
      <c r="AG81" s="1"/>
      <c r="AH81" s="1"/>
      <c r="AI81" s="1"/>
      <c r="AJ81" s="1"/>
      <c r="AK81" s="1"/>
      <c r="AL81" s="1"/>
      <c r="AM81" s="1"/>
      <c r="AN81" s="1"/>
      <c r="AO81" s="1"/>
      <c r="AP81" s="1"/>
      <c r="AQ81" s="1"/>
      <c r="AR81" s="1"/>
    </row>
    <row r="82" spans="2:44">
      <c r="B82"/>
      <c r="C82"/>
      <c r="D82" s="9" t="s">
        <v>0</v>
      </c>
      <c r="E82" s="3" t="s">
        <v>0</v>
      </c>
      <c r="F82" s="3"/>
      <c r="G82"/>
      <c r="H82"/>
      <c r="I82"/>
      <c r="J82"/>
      <c r="K82"/>
      <c r="L82"/>
      <c r="M82"/>
      <c r="N82"/>
      <c r="O82"/>
      <c r="P82"/>
      <c r="Q82"/>
      <c r="R82"/>
      <c r="S82" s="60"/>
      <c r="T82" s="60"/>
      <c r="U82" s="60"/>
      <c r="V82" s="1"/>
      <c r="W82" s="1"/>
      <c r="X82" s="1"/>
      <c r="Y82" s="1"/>
      <c r="Z82" s="1"/>
      <c r="AA82" s="1"/>
      <c r="AB82" s="1"/>
      <c r="AC82" s="1"/>
      <c r="AD82" s="1"/>
      <c r="AE82" s="1"/>
      <c r="AF82" s="1"/>
      <c r="AG82" s="1"/>
      <c r="AH82" s="1"/>
      <c r="AI82" s="1"/>
      <c r="AJ82" s="1"/>
      <c r="AK82" s="1"/>
      <c r="AL82" s="1"/>
      <c r="AM82" s="1"/>
      <c r="AN82" s="1"/>
      <c r="AO82" s="1"/>
      <c r="AP82" s="1"/>
      <c r="AQ82" s="1"/>
      <c r="AR82" s="1"/>
    </row>
    <row r="83" spans="2:44">
      <c r="B83"/>
      <c r="C83"/>
      <c r="D83" s="9" t="s">
        <v>0</v>
      </c>
      <c r="E83" s="3" t="s">
        <v>0</v>
      </c>
      <c r="F83" s="3"/>
      <c r="G83"/>
      <c r="H83"/>
      <c r="I83"/>
      <c r="J83"/>
      <c r="K83"/>
      <c r="L83"/>
      <c r="M83"/>
      <c r="N83"/>
      <c r="O83"/>
      <c r="P83"/>
      <c r="Q83"/>
      <c r="R83"/>
      <c r="S83" s="60"/>
      <c r="T83" s="60"/>
      <c r="U83" s="60"/>
      <c r="V83" s="1"/>
      <c r="W83" s="1"/>
      <c r="X83" s="1"/>
      <c r="Y83" s="1"/>
      <c r="Z83" s="1"/>
      <c r="AA83" s="1"/>
      <c r="AB83" s="1"/>
      <c r="AC83" s="1"/>
      <c r="AD83" s="1"/>
      <c r="AE83" s="1"/>
      <c r="AF83" s="1"/>
      <c r="AG83" s="1"/>
      <c r="AH83" s="1"/>
      <c r="AI83" s="1"/>
      <c r="AJ83" s="1"/>
      <c r="AK83" s="1"/>
      <c r="AL83" s="1"/>
      <c r="AM83" s="1"/>
      <c r="AN83" s="1"/>
      <c r="AO83" s="1"/>
      <c r="AP83" s="1"/>
      <c r="AQ83" s="1"/>
      <c r="AR83" s="1"/>
    </row>
    <row r="84" spans="2:44">
      <c r="B84"/>
      <c r="C84"/>
      <c r="D84" t="s">
        <v>0</v>
      </c>
      <c r="E84" s="931" t="s">
        <v>0</v>
      </c>
      <c r="F84" s="931"/>
      <c r="G84"/>
      <c r="H84"/>
      <c r="I84"/>
      <c r="J84"/>
      <c r="K84"/>
      <c r="L84"/>
      <c r="M84"/>
      <c r="N84"/>
      <c r="O84"/>
      <c r="P84"/>
      <c r="Q84"/>
      <c r="R84"/>
      <c r="S84" s="60"/>
      <c r="T84" s="60"/>
      <c r="U84" s="60"/>
      <c r="V84" s="1"/>
      <c r="W84" s="1"/>
      <c r="X84" s="1"/>
      <c r="Y84" s="1"/>
      <c r="Z84" s="1"/>
      <c r="AA84" s="1"/>
      <c r="AB84" s="1"/>
      <c r="AC84" s="1"/>
      <c r="AD84" s="1"/>
      <c r="AE84" s="1"/>
      <c r="AF84" s="1"/>
      <c r="AG84" s="1"/>
      <c r="AH84" s="1"/>
      <c r="AI84" s="1"/>
      <c r="AJ84" s="1"/>
      <c r="AK84" s="1"/>
      <c r="AL84" s="1"/>
      <c r="AM84" s="1"/>
      <c r="AN84" s="1"/>
      <c r="AO84" s="1"/>
      <c r="AP84" s="1"/>
      <c r="AQ84" s="1"/>
      <c r="AR84" s="1"/>
    </row>
    <row r="85" spans="2:44">
      <c r="B85"/>
      <c r="C85"/>
      <c r="D85"/>
      <c r="E85"/>
      <c r="F85"/>
      <c r="G85"/>
      <c r="H85"/>
      <c r="I85"/>
      <c r="J85"/>
      <c r="K85"/>
      <c r="L85"/>
      <c r="M85"/>
      <c r="N85"/>
      <c r="O85"/>
      <c r="P85"/>
      <c r="Q85"/>
      <c r="R85"/>
      <c r="S85" s="60"/>
      <c r="T85" s="60"/>
      <c r="U85" s="60"/>
      <c r="V85" s="1"/>
      <c r="W85" s="1"/>
      <c r="X85" s="1"/>
      <c r="Y85" s="1"/>
      <c r="Z85" s="1"/>
      <c r="AA85" s="1"/>
      <c r="AB85" s="1"/>
      <c r="AC85" s="1"/>
      <c r="AD85" s="1"/>
      <c r="AE85" s="1"/>
      <c r="AF85" s="1"/>
      <c r="AG85" s="1"/>
      <c r="AH85" s="1"/>
      <c r="AI85" s="1"/>
      <c r="AJ85" s="1"/>
      <c r="AK85" s="1"/>
      <c r="AL85" s="1"/>
      <c r="AM85" s="1"/>
      <c r="AN85" s="1"/>
      <c r="AO85" s="1"/>
      <c r="AP85" s="1"/>
      <c r="AQ85" s="1"/>
      <c r="AR85" s="1"/>
    </row>
    <row r="86" spans="2:44">
      <c r="B86"/>
      <c r="C86"/>
      <c r="D86"/>
      <c r="E86"/>
      <c r="F86"/>
      <c r="G86"/>
      <c r="H86"/>
      <c r="I86"/>
      <c r="J86"/>
      <c r="K86"/>
      <c r="L86"/>
      <c r="M86"/>
      <c r="N86"/>
      <c r="O86"/>
      <c r="P86"/>
      <c r="Q86"/>
      <c r="R86"/>
      <c r="S86" s="60"/>
      <c r="T86" s="60"/>
      <c r="U86" s="60"/>
      <c r="V86" s="1"/>
      <c r="W86" s="1"/>
      <c r="X86" s="1"/>
      <c r="Y86" s="1"/>
      <c r="Z86" s="1"/>
      <c r="AA86" s="1"/>
      <c r="AB86" s="1"/>
      <c r="AC86" s="1"/>
      <c r="AD86" s="1"/>
      <c r="AE86" s="1"/>
      <c r="AF86" s="1"/>
      <c r="AG86" s="1"/>
      <c r="AH86" s="1"/>
      <c r="AI86" s="1"/>
      <c r="AJ86" s="1"/>
      <c r="AK86" s="1"/>
      <c r="AL86" s="1"/>
      <c r="AM86" s="1"/>
      <c r="AN86" s="1"/>
      <c r="AO86" s="1"/>
      <c r="AP86" s="1"/>
      <c r="AQ86" s="1"/>
      <c r="AR86" s="1"/>
    </row>
    <row r="87" spans="2:44">
      <c r="B87"/>
      <c r="C87"/>
      <c r="D87"/>
      <c r="E87"/>
      <c r="F87"/>
      <c r="G87"/>
      <c r="H87"/>
      <c r="I87"/>
      <c r="J87"/>
      <c r="K87"/>
      <c r="L87"/>
      <c r="M87"/>
      <c r="N87"/>
      <c r="O87"/>
      <c r="P87"/>
      <c r="Q87"/>
      <c r="R87"/>
      <c r="S87" s="60"/>
      <c r="T87" s="60"/>
      <c r="U87" s="60"/>
      <c r="V87" s="1"/>
      <c r="W87" s="1"/>
      <c r="X87" s="1"/>
      <c r="Y87" s="1"/>
      <c r="Z87" s="1"/>
      <c r="AA87" s="1"/>
      <c r="AB87" s="1"/>
      <c r="AC87" s="1"/>
      <c r="AD87" s="1"/>
      <c r="AE87" s="1"/>
      <c r="AF87" s="1"/>
      <c r="AG87" s="1"/>
      <c r="AH87" s="1"/>
      <c r="AI87" s="1"/>
      <c r="AJ87" s="1"/>
      <c r="AK87" s="1"/>
      <c r="AL87" s="1"/>
      <c r="AM87" s="1"/>
      <c r="AN87" s="1"/>
      <c r="AO87" s="1"/>
      <c r="AP87" s="1"/>
      <c r="AQ87" s="1"/>
      <c r="AR87" s="1"/>
    </row>
    <row r="88" spans="2:44">
      <c r="B88"/>
      <c r="C88"/>
      <c r="D88"/>
      <c r="E88"/>
      <c r="F88"/>
      <c r="G88"/>
      <c r="H88"/>
      <c r="I88"/>
      <c r="J88"/>
      <c r="K88"/>
      <c r="L88"/>
      <c r="M88"/>
      <c r="N88"/>
      <c r="O88"/>
      <c r="P88"/>
      <c r="Q88"/>
      <c r="R88"/>
      <c r="S88" s="60"/>
      <c r="T88" s="60"/>
      <c r="U88" s="60"/>
      <c r="V88" s="1"/>
      <c r="W88" s="1"/>
      <c r="X88" s="1"/>
      <c r="Y88" s="1"/>
      <c r="Z88" s="1"/>
      <c r="AA88" s="1"/>
      <c r="AB88" s="1"/>
      <c r="AC88" s="1"/>
      <c r="AD88" s="1"/>
      <c r="AE88" s="1"/>
      <c r="AF88" s="1"/>
      <c r="AG88" s="1"/>
      <c r="AH88" s="1"/>
      <c r="AI88" s="1"/>
      <c r="AJ88" s="1"/>
      <c r="AK88" s="1"/>
      <c r="AL88" s="1"/>
      <c r="AM88" s="1"/>
      <c r="AN88" s="1"/>
      <c r="AO88" s="1"/>
      <c r="AP88" s="1"/>
      <c r="AQ88" s="1"/>
      <c r="AR88" s="1"/>
    </row>
    <row r="89" spans="2:44">
      <c r="B89"/>
      <c r="C89"/>
      <c r="D89"/>
      <c r="E89"/>
      <c r="F89"/>
      <c r="G89"/>
      <c r="H89"/>
      <c r="I89"/>
      <c r="J89"/>
      <c r="K89"/>
      <c r="L89"/>
      <c r="M89"/>
      <c r="N89"/>
      <c r="O89"/>
      <c r="P89"/>
      <c r="Q89"/>
      <c r="R89"/>
      <c r="S89" s="60"/>
      <c r="T89" s="60"/>
      <c r="U89" s="60"/>
      <c r="V89" s="1"/>
      <c r="W89" s="1"/>
      <c r="X89" s="1"/>
      <c r="Y89" s="1"/>
      <c r="Z89" s="1"/>
      <c r="AA89" s="1"/>
      <c r="AB89" s="1"/>
      <c r="AC89" s="1"/>
      <c r="AD89" s="1"/>
      <c r="AE89" s="1"/>
      <c r="AF89" s="1"/>
      <c r="AG89" s="1"/>
      <c r="AH89" s="1"/>
      <c r="AI89" s="1"/>
      <c r="AJ89" s="1"/>
      <c r="AK89" s="1"/>
      <c r="AL89" s="1"/>
      <c r="AM89" s="1"/>
      <c r="AN89" s="1"/>
      <c r="AO89" s="1"/>
      <c r="AP89" s="1"/>
      <c r="AQ89" s="1"/>
      <c r="AR89" s="1"/>
    </row>
    <row r="90" spans="2:44">
      <c r="B90"/>
      <c r="C90"/>
      <c r="D90"/>
      <c r="E90"/>
      <c r="F90"/>
      <c r="G90"/>
      <c r="H90"/>
      <c r="I90"/>
      <c r="J90"/>
      <c r="K90"/>
      <c r="L90"/>
      <c r="M90"/>
      <c r="N90"/>
      <c r="O90"/>
      <c r="P90"/>
      <c r="Q90"/>
      <c r="R90"/>
      <c r="S90" s="60"/>
      <c r="T90" s="60"/>
      <c r="U90" s="60"/>
      <c r="V90" s="1"/>
      <c r="W90" s="1"/>
      <c r="X90" s="1"/>
      <c r="Y90" s="1"/>
      <c r="Z90" s="1"/>
      <c r="AA90" s="1"/>
      <c r="AB90" s="1"/>
      <c r="AC90" s="1"/>
      <c r="AD90" s="1"/>
      <c r="AE90" s="1"/>
      <c r="AF90" s="1"/>
      <c r="AG90" s="1"/>
      <c r="AH90" s="1"/>
      <c r="AI90" s="1"/>
      <c r="AJ90" s="1"/>
      <c r="AK90" s="1"/>
      <c r="AL90" s="1"/>
      <c r="AM90" s="1"/>
      <c r="AN90" s="1"/>
      <c r="AO90" s="1"/>
      <c r="AP90" s="1"/>
      <c r="AQ90" s="1"/>
      <c r="AR90" s="1"/>
    </row>
    <row r="91" spans="2:44">
      <c r="B91"/>
      <c r="C91"/>
      <c r="D91"/>
      <c r="E91"/>
      <c r="F91"/>
      <c r="G91"/>
      <c r="H91"/>
      <c r="I91"/>
      <c r="J91"/>
      <c r="K91"/>
      <c r="L91"/>
      <c r="M91"/>
      <c r="N91"/>
      <c r="O91"/>
      <c r="P91"/>
      <c r="Q91"/>
      <c r="R91"/>
      <c r="S91" s="60"/>
      <c r="T91" s="60"/>
      <c r="U91" s="60"/>
      <c r="V91" s="1"/>
      <c r="W91" s="1"/>
      <c r="X91" s="1"/>
      <c r="Y91" s="1"/>
      <c r="Z91" s="1"/>
      <c r="AA91" s="1"/>
      <c r="AB91" s="1"/>
      <c r="AC91" s="1"/>
      <c r="AD91" s="1"/>
      <c r="AE91" s="1"/>
      <c r="AF91" s="1"/>
      <c r="AG91" s="1"/>
      <c r="AH91" s="1"/>
      <c r="AI91" s="1"/>
      <c r="AJ91" s="1"/>
      <c r="AK91" s="1"/>
      <c r="AL91" s="1"/>
      <c r="AM91" s="1"/>
      <c r="AN91" s="1"/>
      <c r="AO91" s="1"/>
      <c r="AP91" s="1"/>
      <c r="AQ91" s="1"/>
      <c r="AR91" s="1"/>
    </row>
    <row r="92" spans="2:44">
      <c r="B92"/>
      <c r="C92"/>
      <c r="D92"/>
      <c r="E92"/>
      <c r="F92"/>
      <c r="G92"/>
      <c r="H92"/>
      <c r="I92"/>
      <c r="J92"/>
      <c r="K92"/>
      <c r="L92"/>
      <c r="M92"/>
      <c r="N92"/>
      <c r="O92"/>
      <c r="P92"/>
      <c r="Q92"/>
      <c r="R92"/>
      <c r="S92" s="60"/>
      <c r="T92" s="60"/>
      <c r="U92" s="60"/>
      <c r="V92" s="1"/>
      <c r="W92" s="1"/>
      <c r="X92" s="1"/>
      <c r="Y92" s="1"/>
      <c r="Z92" s="1"/>
      <c r="AA92" s="1"/>
      <c r="AB92" s="1"/>
      <c r="AC92" s="1"/>
      <c r="AD92" s="1"/>
      <c r="AE92" s="1"/>
      <c r="AF92" s="1"/>
      <c r="AG92" s="1"/>
      <c r="AH92" s="1"/>
      <c r="AI92" s="1"/>
      <c r="AJ92" s="1"/>
      <c r="AK92" s="1"/>
      <c r="AL92" s="1"/>
      <c r="AM92" s="1"/>
      <c r="AN92" s="1"/>
      <c r="AO92" s="1"/>
      <c r="AP92" s="1"/>
      <c r="AQ92" s="1"/>
      <c r="AR92" s="1"/>
    </row>
    <row r="93" spans="2:44">
      <c r="B93"/>
      <c r="C93"/>
      <c r="D93"/>
      <c r="E93"/>
      <c r="F93"/>
      <c r="G93"/>
      <c r="H93"/>
      <c r="I93"/>
      <c r="J93"/>
      <c r="K93"/>
      <c r="L93"/>
      <c r="M93"/>
      <c r="N93"/>
      <c r="O93"/>
      <c r="P93"/>
      <c r="Q93"/>
      <c r="R93"/>
      <c r="S93" s="60"/>
      <c r="T93" s="60"/>
      <c r="U93" s="60"/>
      <c r="V93" s="1"/>
      <c r="W93" s="1"/>
      <c r="X93" s="1"/>
      <c r="Y93" s="1"/>
      <c r="Z93" s="1"/>
      <c r="AA93" s="1"/>
      <c r="AB93" s="1"/>
      <c r="AC93" s="1"/>
      <c r="AD93" s="1"/>
      <c r="AE93" s="1"/>
      <c r="AF93" s="1"/>
      <c r="AG93" s="1"/>
      <c r="AH93" s="1"/>
      <c r="AI93" s="1"/>
      <c r="AJ93" s="1"/>
      <c r="AK93" s="1"/>
      <c r="AL93" s="1"/>
      <c r="AM93" s="1"/>
      <c r="AN93" s="1"/>
      <c r="AO93" s="1"/>
      <c r="AP93" s="1"/>
      <c r="AQ93" s="1"/>
      <c r="AR93" s="1"/>
    </row>
    <row r="94" spans="2:44">
      <c r="B94"/>
      <c r="C94"/>
      <c r="D94"/>
      <c r="E94"/>
      <c r="F94"/>
      <c r="G94"/>
      <c r="H94"/>
      <c r="I94"/>
      <c r="J94"/>
      <c r="K94"/>
      <c r="L94"/>
      <c r="M94"/>
      <c r="N94"/>
      <c r="O94"/>
      <c r="P94"/>
      <c r="Q94"/>
      <c r="R94"/>
      <c r="S94" s="60"/>
      <c r="T94" s="60"/>
      <c r="U94" s="60"/>
      <c r="V94" s="1"/>
      <c r="W94" s="1"/>
      <c r="X94" s="1"/>
      <c r="Y94" s="1"/>
      <c r="Z94" s="1"/>
      <c r="AA94" s="1"/>
      <c r="AB94" s="1"/>
      <c r="AC94" s="1"/>
      <c r="AD94" s="1"/>
      <c r="AE94" s="1"/>
      <c r="AF94" s="1"/>
      <c r="AG94" s="1"/>
      <c r="AH94" s="1"/>
      <c r="AI94" s="1"/>
      <c r="AJ94" s="1"/>
      <c r="AK94" s="1"/>
      <c r="AL94" s="1"/>
      <c r="AM94" s="1"/>
      <c r="AN94" s="1"/>
      <c r="AO94" s="1"/>
      <c r="AP94" s="1"/>
      <c r="AQ94" s="1"/>
      <c r="AR94" s="1"/>
    </row>
    <row r="95" spans="2:44">
      <c r="B95"/>
      <c r="C95"/>
      <c r="D95"/>
      <c r="E95"/>
      <c r="F95"/>
      <c r="G95"/>
      <c r="H95"/>
      <c r="I95"/>
      <c r="J95"/>
      <c r="K95"/>
      <c r="L95"/>
      <c r="M95"/>
      <c r="N95"/>
      <c r="O95"/>
      <c r="P95"/>
      <c r="Q95"/>
      <c r="R95"/>
      <c r="S95" s="60"/>
      <c r="T95" s="60"/>
      <c r="U95" s="60"/>
      <c r="V95" s="1"/>
      <c r="W95" s="1"/>
      <c r="X95" s="1"/>
      <c r="Y95" s="1"/>
      <c r="Z95" s="1"/>
      <c r="AA95" s="1"/>
      <c r="AB95" s="1"/>
      <c r="AC95" s="1"/>
      <c r="AD95" s="1"/>
      <c r="AE95" s="1"/>
      <c r="AF95" s="1"/>
      <c r="AG95" s="1"/>
      <c r="AH95" s="1"/>
      <c r="AI95" s="1"/>
      <c r="AJ95" s="1"/>
      <c r="AK95" s="1"/>
      <c r="AL95" s="1"/>
      <c r="AM95" s="1"/>
      <c r="AN95" s="1"/>
      <c r="AO95" s="1"/>
      <c r="AP95" s="1"/>
      <c r="AQ95" s="1"/>
      <c r="AR95" s="1"/>
    </row>
    <row r="96" spans="2:44">
      <c r="B96"/>
      <c r="C96"/>
      <c r="D96"/>
      <c r="E96"/>
      <c r="F96"/>
      <c r="G96"/>
      <c r="H96"/>
      <c r="I96"/>
      <c r="J96"/>
      <c r="K96"/>
      <c r="L96"/>
      <c r="M96"/>
      <c r="N96"/>
      <c r="O96"/>
      <c r="P96"/>
      <c r="Q96"/>
      <c r="R96"/>
      <c r="S96" s="60"/>
      <c r="T96" s="60"/>
      <c r="U96" s="60"/>
      <c r="V96" s="1"/>
      <c r="W96" s="1"/>
      <c r="X96" s="1"/>
      <c r="Y96" s="1"/>
      <c r="Z96" s="1"/>
      <c r="AA96" s="1"/>
      <c r="AB96" s="1"/>
      <c r="AC96" s="1"/>
      <c r="AD96" s="1"/>
      <c r="AE96" s="1"/>
      <c r="AF96" s="1"/>
      <c r="AG96" s="1"/>
      <c r="AH96" s="1"/>
      <c r="AI96" s="1"/>
      <c r="AJ96" s="1"/>
      <c r="AK96" s="1"/>
      <c r="AL96" s="1"/>
      <c r="AM96" s="1"/>
      <c r="AN96" s="1"/>
      <c r="AO96" s="1"/>
      <c r="AP96" s="1"/>
      <c r="AQ96" s="1"/>
      <c r="AR96" s="1"/>
    </row>
    <row r="97" spans="2:44">
      <c r="B97"/>
      <c r="C97"/>
      <c r="D97"/>
      <c r="E97"/>
      <c r="F97"/>
      <c r="G97"/>
      <c r="H97"/>
      <c r="I97"/>
      <c r="J97"/>
      <c r="K97"/>
      <c r="L97"/>
      <c r="M97"/>
      <c r="N97"/>
      <c r="O97"/>
      <c r="P97"/>
      <c r="Q97"/>
      <c r="R97"/>
      <c r="S97" s="60"/>
      <c r="T97" s="60"/>
      <c r="U97" s="60"/>
      <c r="V97" s="1"/>
      <c r="W97" s="1"/>
      <c r="X97" s="1"/>
      <c r="Y97" s="1"/>
      <c r="Z97" s="1"/>
      <c r="AA97" s="1"/>
      <c r="AB97" s="1"/>
      <c r="AC97" s="1"/>
      <c r="AD97" s="1"/>
      <c r="AE97" s="1"/>
      <c r="AF97" s="1"/>
      <c r="AG97" s="1"/>
      <c r="AH97" s="1"/>
      <c r="AI97" s="1"/>
      <c r="AJ97" s="1"/>
      <c r="AK97" s="1"/>
      <c r="AL97" s="1"/>
      <c r="AM97" s="1"/>
      <c r="AN97" s="1"/>
      <c r="AO97" s="1"/>
      <c r="AP97" s="1"/>
      <c r="AQ97" s="1"/>
      <c r="AR97" s="1"/>
    </row>
    <row r="98" spans="2:44">
      <c r="B98"/>
      <c r="C98"/>
      <c r="D98"/>
      <c r="E98"/>
      <c r="F98"/>
      <c r="G98"/>
      <c r="H98"/>
      <c r="I98"/>
      <c r="J98"/>
      <c r="K98"/>
      <c r="L98"/>
      <c r="M98"/>
      <c r="N98"/>
      <c r="O98"/>
      <c r="P98"/>
      <c r="Q98"/>
      <c r="R98"/>
      <c r="S98" s="60"/>
      <c r="T98" s="60"/>
      <c r="U98" s="60"/>
      <c r="V98" s="1"/>
      <c r="W98" s="1"/>
      <c r="X98" s="1"/>
      <c r="Y98" s="1"/>
      <c r="Z98" s="1"/>
      <c r="AA98" s="1"/>
      <c r="AB98" s="1"/>
      <c r="AC98" s="1"/>
      <c r="AD98" s="1"/>
      <c r="AE98" s="1"/>
      <c r="AF98" s="1"/>
      <c r="AG98" s="1"/>
      <c r="AH98" s="1"/>
      <c r="AI98" s="1"/>
      <c r="AJ98" s="1"/>
      <c r="AK98" s="1"/>
      <c r="AL98" s="1"/>
      <c r="AM98" s="1"/>
      <c r="AN98" s="1"/>
      <c r="AO98" s="1"/>
      <c r="AP98" s="1"/>
      <c r="AQ98" s="1"/>
      <c r="AR98" s="1"/>
    </row>
    <row r="99" spans="2:44">
      <c r="B99"/>
      <c r="C99"/>
      <c r="D99"/>
      <c r="E99"/>
      <c r="F99"/>
      <c r="G99"/>
      <c r="H99"/>
      <c r="I99"/>
      <c r="J99"/>
      <c r="K99"/>
      <c r="L99"/>
      <c r="M99"/>
      <c r="N99"/>
      <c r="O99"/>
      <c r="P99"/>
      <c r="Q99"/>
      <c r="R99"/>
      <c r="S99" s="60"/>
      <c r="T99" s="60"/>
      <c r="U99" s="60"/>
      <c r="V99" s="1"/>
      <c r="W99" s="1"/>
      <c r="X99" s="1"/>
      <c r="Y99" s="1"/>
      <c r="Z99" s="1"/>
      <c r="AA99" s="1"/>
      <c r="AB99" s="1"/>
      <c r="AC99" s="1"/>
      <c r="AD99" s="1"/>
      <c r="AE99" s="1"/>
      <c r="AF99" s="1"/>
      <c r="AG99" s="1"/>
      <c r="AH99" s="1"/>
      <c r="AI99" s="1"/>
      <c r="AJ99" s="1"/>
      <c r="AK99" s="1"/>
      <c r="AL99" s="1"/>
      <c r="AM99" s="1"/>
      <c r="AN99" s="1"/>
      <c r="AO99" s="1"/>
      <c r="AP99" s="1"/>
      <c r="AQ99" s="1"/>
      <c r="AR99" s="1"/>
    </row>
    <row r="100" spans="2:44">
      <c r="B100"/>
      <c r="C100"/>
      <c r="D100"/>
      <c r="E100"/>
      <c r="F100"/>
      <c r="G100"/>
      <c r="H100"/>
      <c r="I100"/>
      <c r="J100"/>
      <c r="K100"/>
      <c r="L100"/>
      <c r="M100"/>
      <c r="N100"/>
      <c r="O100"/>
      <c r="P100"/>
      <c r="Q100"/>
      <c r="R100"/>
      <c r="S100" s="60"/>
      <c r="T100" s="60"/>
      <c r="U100" s="60"/>
      <c r="V100" s="1"/>
      <c r="W100" s="1"/>
      <c r="X100" s="1"/>
      <c r="Y100" s="1"/>
      <c r="Z100" s="1"/>
      <c r="AA100" s="1"/>
      <c r="AB100" s="1"/>
      <c r="AC100" s="1"/>
      <c r="AD100" s="1"/>
      <c r="AE100" s="1"/>
      <c r="AF100" s="1"/>
      <c r="AG100" s="1"/>
      <c r="AH100" s="1"/>
      <c r="AI100" s="1"/>
      <c r="AJ100" s="1"/>
      <c r="AK100" s="1"/>
      <c r="AL100" s="1"/>
      <c r="AM100" s="1"/>
      <c r="AN100" s="1"/>
      <c r="AO100" s="1"/>
      <c r="AP100" s="1"/>
      <c r="AQ100" s="1"/>
      <c r="AR100" s="1"/>
    </row>
    <row r="101" spans="2:44">
      <c r="B101"/>
      <c r="C101"/>
      <c r="D101"/>
      <c r="E101"/>
      <c r="F101"/>
      <c r="G101"/>
      <c r="H101"/>
      <c r="I101"/>
      <c r="J101"/>
      <c r="K101"/>
      <c r="L101"/>
      <c r="M101"/>
      <c r="N101"/>
      <c r="O101"/>
      <c r="P101"/>
      <c r="Q101"/>
      <c r="R101"/>
      <c r="S101" s="60"/>
      <c r="T101" s="60"/>
      <c r="U101" s="60"/>
      <c r="V101" s="1"/>
      <c r="W101" s="1"/>
      <c r="X101" s="1"/>
      <c r="Y101" s="1"/>
      <c r="Z101" s="1"/>
      <c r="AA101" s="1"/>
      <c r="AB101" s="1"/>
      <c r="AC101" s="1"/>
      <c r="AD101" s="1"/>
      <c r="AE101" s="1"/>
      <c r="AF101" s="1"/>
      <c r="AG101" s="1"/>
      <c r="AH101" s="1"/>
      <c r="AI101" s="1"/>
      <c r="AJ101" s="1"/>
      <c r="AK101" s="1"/>
      <c r="AL101" s="1"/>
      <c r="AM101" s="1"/>
      <c r="AN101" s="1"/>
      <c r="AO101" s="1"/>
      <c r="AP101" s="1"/>
      <c r="AQ101" s="1"/>
      <c r="AR101" s="1"/>
    </row>
    <row r="102" spans="2:44">
      <c r="B102"/>
      <c r="C102"/>
      <c r="D102"/>
      <c r="E102"/>
      <c r="F102"/>
      <c r="G102"/>
      <c r="H102"/>
      <c r="I102"/>
      <c r="J102"/>
      <c r="K102"/>
      <c r="L102"/>
      <c r="M102"/>
      <c r="N102"/>
      <c r="O102"/>
      <c r="P102"/>
      <c r="Q102"/>
      <c r="R102"/>
      <c r="S102" s="60"/>
      <c r="T102" s="60"/>
      <c r="U102" s="60"/>
      <c r="V102" s="1"/>
      <c r="W102" s="1"/>
      <c r="X102" s="1"/>
      <c r="Y102" s="1"/>
      <c r="Z102" s="1"/>
      <c r="AA102" s="1"/>
      <c r="AB102" s="1"/>
      <c r="AC102" s="1"/>
      <c r="AD102" s="1"/>
      <c r="AE102" s="1"/>
      <c r="AF102" s="1"/>
      <c r="AG102" s="1"/>
      <c r="AH102" s="1"/>
      <c r="AI102" s="1"/>
      <c r="AJ102" s="1"/>
      <c r="AK102" s="1"/>
      <c r="AL102" s="1"/>
      <c r="AM102" s="1"/>
      <c r="AN102" s="1"/>
      <c r="AO102" s="1"/>
      <c r="AP102" s="1"/>
      <c r="AQ102" s="1"/>
      <c r="AR102" s="1"/>
    </row>
    <row r="103" spans="2:44">
      <c r="B103"/>
      <c r="C103"/>
      <c r="D103"/>
      <c r="E103"/>
      <c r="F103"/>
      <c r="G103"/>
      <c r="H103"/>
      <c r="I103"/>
      <c r="J103"/>
      <c r="K103"/>
      <c r="L103"/>
      <c r="M103"/>
      <c r="N103"/>
      <c r="O103"/>
      <c r="P103"/>
      <c r="Q103"/>
      <c r="R103"/>
      <c r="S103" s="60"/>
      <c r="T103" s="60"/>
      <c r="U103" s="60"/>
      <c r="V103" s="1"/>
      <c r="W103" s="1"/>
      <c r="X103" s="1"/>
      <c r="Y103" s="1"/>
      <c r="Z103" s="1"/>
      <c r="AA103" s="1"/>
      <c r="AB103" s="1"/>
      <c r="AC103" s="1"/>
      <c r="AD103" s="1"/>
      <c r="AE103" s="1"/>
      <c r="AF103" s="1"/>
      <c r="AG103" s="1"/>
      <c r="AH103" s="1"/>
      <c r="AI103" s="1"/>
      <c r="AJ103" s="1"/>
      <c r="AK103" s="1"/>
      <c r="AL103" s="1"/>
      <c r="AM103" s="1"/>
      <c r="AN103" s="1"/>
      <c r="AO103" s="1"/>
      <c r="AP103" s="1"/>
      <c r="AQ103" s="1"/>
      <c r="AR103" s="1"/>
    </row>
    <row r="104" spans="2:44">
      <c r="B104"/>
      <c r="C104"/>
      <c r="D104"/>
      <c r="E104"/>
      <c r="F104"/>
      <c r="G104"/>
      <c r="H104"/>
      <c r="I104"/>
      <c r="J104"/>
      <c r="K104"/>
      <c r="L104"/>
      <c r="M104"/>
      <c r="N104"/>
      <c r="O104"/>
      <c r="P104"/>
      <c r="Q104"/>
      <c r="R104"/>
      <c r="S104" s="60"/>
      <c r="T104" s="60"/>
      <c r="U104" s="60"/>
      <c r="V104" s="1"/>
      <c r="W104" s="1"/>
      <c r="X104" s="1"/>
      <c r="Y104" s="1"/>
      <c r="Z104" s="1"/>
      <c r="AA104" s="1"/>
      <c r="AB104" s="1"/>
      <c r="AC104" s="1"/>
      <c r="AD104" s="1"/>
      <c r="AE104" s="1"/>
      <c r="AF104" s="1"/>
      <c r="AG104" s="1"/>
      <c r="AH104" s="1"/>
      <c r="AI104" s="1"/>
      <c r="AJ104" s="1"/>
      <c r="AK104" s="1"/>
      <c r="AL104" s="1"/>
      <c r="AM104" s="1"/>
      <c r="AN104" s="1"/>
      <c r="AO104" s="1"/>
      <c r="AP104" s="1"/>
      <c r="AQ104" s="1"/>
      <c r="AR104" s="1"/>
    </row>
    <row r="105" spans="2:44">
      <c r="B105"/>
      <c r="C105"/>
      <c r="D105"/>
      <c r="E105"/>
      <c r="F105"/>
      <c r="G105"/>
      <c r="H105"/>
      <c r="I105"/>
      <c r="J105"/>
      <c r="K105"/>
      <c r="L105"/>
      <c r="M105"/>
      <c r="N105"/>
      <c r="O105"/>
      <c r="P105"/>
      <c r="Q105"/>
      <c r="R105"/>
      <c r="S105" s="60"/>
      <c r="T105" s="60"/>
      <c r="U105" s="60"/>
      <c r="V105" s="1"/>
      <c r="W105" s="1"/>
      <c r="X105" s="1"/>
      <c r="Y105" s="1"/>
      <c r="Z105" s="1"/>
      <c r="AA105" s="1"/>
      <c r="AB105" s="1"/>
      <c r="AC105" s="1"/>
      <c r="AD105" s="1"/>
      <c r="AE105" s="1"/>
      <c r="AF105" s="1"/>
      <c r="AG105" s="1"/>
      <c r="AH105" s="1"/>
      <c r="AI105" s="1"/>
      <c r="AJ105" s="1"/>
      <c r="AK105" s="1"/>
      <c r="AL105" s="1"/>
      <c r="AM105" s="1"/>
      <c r="AN105" s="1"/>
      <c r="AO105" s="1"/>
      <c r="AP105" s="1"/>
      <c r="AQ105" s="1"/>
      <c r="AR105" s="1"/>
    </row>
    <row r="106" spans="2:44">
      <c r="B106"/>
      <c r="C106"/>
      <c r="D106"/>
      <c r="E106"/>
      <c r="F106"/>
      <c r="G106"/>
      <c r="H106"/>
      <c r="I106"/>
      <c r="J106"/>
      <c r="K106"/>
      <c r="L106"/>
      <c r="M106"/>
      <c r="N106"/>
      <c r="O106"/>
      <c r="P106"/>
      <c r="Q106"/>
      <c r="R106"/>
      <c r="S106" s="60"/>
      <c r="T106" s="60"/>
      <c r="U106" s="60"/>
      <c r="V106" s="1"/>
      <c r="W106" s="1"/>
      <c r="X106" s="1"/>
      <c r="Y106" s="1"/>
      <c r="Z106" s="1"/>
      <c r="AA106" s="1"/>
      <c r="AB106" s="1"/>
      <c r="AC106" s="1"/>
      <c r="AD106" s="1"/>
      <c r="AE106" s="1"/>
      <c r="AF106" s="1"/>
      <c r="AG106" s="1"/>
      <c r="AH106" s="1"/>
      <c r="AI106" s="1"/>
      <c r="AJ106" s="1"/>
      <c r="AK106" s="1"/>
      <c r="AL106" s="1"/>
      <c r="AM106" s="1"/>
      <c r="AN106" s="1"/>
      <c r="AO106" s="1"/>
      <c r="AP106" s="1"/>
      <c r="AQ106" s="1"/>
      <c r="AR106" s="1"/>
    </row>
    <row r="107" spans="2:44">
      <c r="B107"/>
      <c r="C107"/>
      <c r="D107"/>
      <c r="E107"/>
      <c r="F107"/>
      <c r="G107"/>
      <c r="H107"/>
      <c r="I107"/>
      <c r="J107"/>
      <c r="K107"/>
      <c r="L107"/>
      <c r="M107"/>
      <c r="N107"/>
      <c r="O107"/>
      <c r="P107"/>
      <c r="Q107"/>
      <c r="R107"/>
      <c r="S107" s="60"/>
      <c r="T107" s="60"/>
      <c r="U107" s="60"/>
      <c r="V107" s="1"/>
      <c r="W107" s="1"/>
      <c r="X107" s="1"/>
      <c r="Y107" s="1"/>
      <c r="Z107" s="1"/>
      <c r="AA107" s="1"/>
      <c r="AB107" s="1"/>
      <c r="AC107" s="1"/>
      <c r="AD107" s="1"/>
      <c r="AE107" s="1"/>
      <c r="AF107" s="1"/>
      <c r="AG107" s="1"/>
      <c r="AH107" s="1"/>
      <c r="AI107" s="1"/>
      <c r="AJ107" s="1"/>
      <c r="AK107" s="1"/>
      <c r="AL107" s="1"/>
      <c r="AM107" s="1"/>
      <c r="AN107" s="1"/>
      <c r="AO107" s="1"/>
      <c r="AP107" s="1"/>
      <c r="AQ107" s="1"/>
      <c r="AR107" s="1"/>
    </row>
    <row r="108" spans="2:44">
      <c r="B108"/>
      <c r="C108"/>
      <c r="D108"/>
      <c r="E108"/>
      <c r="F108"/>
      <c r="G108"/>
      <c r="H108"/>
      <c r="I108"/>
      <c r="J108"/>
      <c r="K108"/>
      <c r="L108"/>
      <c r="M108"/>
      <c r="N108"/>
      <c r="O108"/>
      <c r="P108"/>
      <c r="Q108"/>
      <c r="R108"/>
      <c r="S108" s="60"/>
      <c r="T108" s="60"/>
      <c r="U108" s="60"/>
      <c r="V108" s="1"/>
      <c r="W108" s="1"/>
      <c r="X108" s="1"/>
      <c r="Y108" s="1"/>
      <c r="Z108" s="1"/>
      <c r="AA108" s="1"/>
      <c r="AB108" s="1"/>
      <c r="AC108" s="1"/>
      <c r="AD108" s="1"/>
      <c r="AE108" s="1"/>
      <c r="AF108" s="1"/>
      <c r="AG108" s="1"/>
      <c r="AH108" s="1"/>
      <c r="AI108" s="1"/>
      <c r="AJ108" s="1"/>
      <c r="AK108" s="1"/>
      <c r="AL108" s="1"/>
      <c r="AM108" s="1"/>
      <c r="AN108" s="1"/>
      <c r="AO108" s="1"/>
      <c r="AP108" s="1"/>
      <c r="AQ108" s="1"/>
      <c r="AR108" s="1"/>
    </row>
    <row r="109" spans="2:44">
      <c r="B109"/>
      <c r="C109"/>
      <c r="D109"/>
      <c r="E109"/>
      <c r="F109"/>
      <c r="G109"/>
      <c r="H109"/>
      <c r="I109"/>
      <c r="J109"/>
      <c r="K109"/>
      <c r="L109"/>
      <c r="M109"/>
      <c r="N109"/>
      <c r="O109"/>
      <c r="P109"/>
      <c r="Q109"/>
      <c r="R109"/>
      <c r="S109" s="60"/>
      <c r="T109" s="60"/>
      <c r="U109" s="60"/>
      <c r="V109" s="1"/>
      <c r="W109" s="1"/>
      <c r="X109" s="1"/>
      <c r="Y109" s="1"/>
      <c r="Z109" s="1"/>
      <c r="AA109" s="1"/>
      <c r="AB109" s="1"/>
      <c r="AC109" s="1"/>
      <c r="AD109" s="1"/>
      <c r="AE109" s="1"/>
      <c r="AF109" s="1"/>
      <c r="AG109" s="1"/>
      <c r="AH109" s="1"/>
      <c r="AI109" s="1"/>
      <c r="AJ109" s="1"/>
      <c r="AK109" s="1"/>
      <c r="AL109" s="1"/>
      <c r="AM109" s="1"/>
      <c r="AN109" s="1"/>
      <c r="AO109" s="1"/>
      <c r="AP109" s="1"/>
      <c r="AQ109" s="1"/>
      <c r="AR109" s="1"/>
    </row>
    <row r="110" spans="2:44">
      <c r="B110"/>
      <c r="C110"/>
      <c r="D110"/>
      <c r="E110"/>
      <c r="F110"/>
      <c r="G110"/>
      <c r="H110"/>
      <c r="I110"/>
      <c r="J110"/>
      <c r="K110"/>
      <c r="L110"/>
      <c r="M110"/>
      <c r="N110"/>
      <c r="O110"/>
      <c r="P110"/>
      <c r="Q110"/>
      <c r="R110"/>
      <c r="S110" s="60"/>
      <c r="T110" s="60"/>
      <c r="U110" s="60"/>
      <c r="V110" s="1"/>
      <c r="W110" s="1"/>
      <c r="X110" s="1"/>
      <c r="Y110" s="1"/>
      <c r="Z110" s="1"/>
      <c r="AA110" s="1"/>
      <c r="AB110" s="1"/>
      <c r="AC110" s="1"/>
      <c r="AD110" s="1"/>
      <c r="AE110" s="1"/>
      <c r="AF110" s="1"/>
      <c r="AG110" s="1"/>
      <c r="AH110" s="1"/>
      <c r="AI110" s="1"/>
      <c r="AJ110" s="1"/>
      <c r="AK110" s="1"/>
      <c r="AL110" s="1"/>
      <c r="AM110" s="1"/>
      <c r="AN110" s="1"/>
      <c r="AO110" s="1"/>
      <c r="AP110" s="1"/>
      <c r="AQ110" s="1"/>
      <c r="AR110" s="1"/>
    </row>
    <row r="111" spans="2:44">
      <c r="B111"/>
      <c r="C111"/>
      <c r="D111"/>
      <c r="E111"/>
      <c r="F111"/>
      <c r="G111"/>
      <c r="H111"/>
      <c r="I111"/>
      <c r="J111"/>
      <c r="K111"/>
      <c r="L111"/>
      <c r="M111"/>
      <c r="N111"/>
      <c r="O111"/>
      <c r="P111"/>
      <c r="Q111"/>
      <c r="R111"/>
      <c r="S111" s="60"/>
      <c r="T111" s="60"/>
      <c r="U111" s="60"/>
      <c r="V111" s="1"/>
      <c r="W111" s="1"/>
      <c r="X111" s="1"/>
      <c r="Y111" s="1"/>
      <c r="Z111" s="1"/>
      <c r="AA111" s="1"/>
      <c r="AB111" s="1"/>
      <c r="AC111" s="1"/>
      <c r="AD111" s="1"/>
      <c r="AE111" s="1"/>
      <c r="AF111" s="1"/>
      <c r="AG111" s="1"/>
      <c r="AH111" s="1"/>
      <c r="AI111" s="1"/>
      <c r="AJ111" s="1"/>
      <c r="AK111" s="1"/>
      <c r="AL111" s="1"/>
      <c r="AM111" s="1"/>
      <c r="AN111" s="1"/>
      <c r="AO111" s="1"/>
      <c r="AP111" s="1"/>
      <c r="AQ111" s="1"/>
      <c r="AR111" s="1"/>
    </row>
    <row r="112" spans="2:44">
      <c r="B112"/>
      <c r="C112"/>
      <c r="D112"/>
      <c r="E112"/>
      <c r="F112"/>
      <c r="G112"/>
      <c r="H112"/>
      <c r="I112"/>
      <c r="J112"/>
      <c r="K112"/>
      <c r="L112"/>
      <c r="M112"/>
      <c r="N112"/>
      <c r="O112"/>
      <c r="P112"/>
      <c r="Q112"/>
      <c r="R112"/>
      <c r="S112" s="60"/>
      <c r="T112" s="60"/>
      <c r="U112" s="60"/>
      <c r="V112" s="1"/>
      <c r="W112" s="1"/>
      <c r="X112" s="1"/>
      <c r="Y112" s="1"/>
      <c r="Z112" s="1"/>
      <c r="AA112" s="1"/>
      <c r="AB112" s="1"/>
      <c r="AC112" s="1"/>
      <c r="AD112" s="1"/>
      <c r="AE112" s="1"/>
      <c r="AF112" s="1"/>
      <c r="AG112" s="1"/>
      <c r="AH112" s="1"/>
      <c r="AI112" s="1"/>
      <c r="AJ112" s="1"/>
      <c r="AK112" s="1"/>
      <c r="AL112" s="1"/>
      <c r="AM112" s="1"/>
      <c r="AN112" s="1"/>
      <c r="AO112" s="1"/>
      <c r="AP112" s="1"/>
      <c r="AQ112" s="1"/>
      <c r="AR112" s="1"/>
    </row>
    <row r="113" spans="2:44">
      <c r="B113"/>
      <c r="C113"/>
      <c r="D113"/>
      <c r="E113"/>
      <c r="F113"/>
      <c r="G113"/>
      <c r="H113"/>
      <c r="I113"/>
      <c r="J113"/>
      <c r="K113"/>
      <c r="L113"/>
      <c r="M113"/>
      <c r="N113"/>
      <c r="O113"/>
      <c r="P113"/>
      <c r="Q113"/>
      <c r="R113"/>
      <c r="S113" s="60"/>
      <c r="T113" s="60"/>
      <c r="U113" s="60"/>
      <c r="V113" s="1"/>
      <c r="W113" s="1"/>
      <c r="X113" s="1"/>
      <c r="Y113" s="1"/>
      <c r="Z113" s="1"/>
      <c r="AA113" s="1"/>
      <c r="AB113" s="1"/>
      <c r="AC113" s="1"/>
      <c r="AD113" s="1"/>
      <c r="AE113" s="1"/>
      <c r="AF113" s="1"/>
      <c r="AG113" s="1"/>
      <c r="AH113" s="1"/>
      <c r="AI113" s="1"/>
      <c r="AJ113" s="1"/>
      <c r="AK113" s="1"/>
      <c r="AL113" s="1"/>
      <c r="AM113" s="1"/>
      <c r="AN113" s="1"/>
      <c r="AO113" s="1"/>
      <c r="AP113" s="1"/>
      <c r="AQ113" s="1"/>
      <c r="AR113" s="1"/>
    </row>
    <row r="114" spans="2:44">
      <c r="B114"/>
      <c r="C114"/>
      <c r="D114"/>
      <c r="E114"/>
      <c r="F114"/>
      <c r="G114"/>
      <c r="H114"/>
      <c r="I114"/>
      <c r="J114"/>
      <c r="K114"/>
      <c r="L114"/>
      <c r="M114"/>
      <c r="N114"/>
      <c r="O114"/>
      <c r="P114"/>
      <c r="Q114"/>
      <c r="R114"/>
      <c r="S114" s="60"/>
      <c r="T114" s="60"/>
      <c r="U114" s="60"/>
      <c r="V114" s="1"/>
      <c r="W114" s="1"/>
      <c r="X114" s="1"/>
      <c r="Y114" s="1"/>
      <c r="Z114" s="1"/>
      <c r="AA114" s="1"/>
      <c r="AB114" s="1"/>
      <c r="AC114" s="1"/>
      <c r="AD114" s="1"/>
      <c r="AE114" s="1"/>
      <c r="AF114" s="1"/>
      <c r="AG114" s="1"/>
      <c r="AH114" s="1"/>
      <c r="AI114" s="1"/>
      <c r="AJ114" s="1"/>
      <c r="AK114" s="1"/>
      <c r="AL114" s="1"/>
      <c r="AM114" s="1"/>
      <c r="AN114" s="1"/>
      <c r="AO114" s="1"/>
      <c r="AP114" s="1"/>
      <c r="AQ114" s="1"/>
      <c r="AR114" s="1"/>
    </row>
    <row r="115" spans="2:44">
      <c r="B115"/>
      <c r="C115"/>
      <c r="D115"/>
      <c r="E115"/>
      <c r="F115"/>
      <c r="G115"/>
      <c r="H115"/>
      <c r="I115"/>
      <c r="J115"/>
      <c r="K115"/>
      <c r="L115"/>
      <c r="M115"/>
      <c r="N115"/>
      <c r="O115"/>
      <c r="P115"/>
      <c r="Q115"/>
      <c r="R115"/>
      <c r="S115" s="60"/>
      <c r="T115" s="60"/>
      <c r="U115" s="60"/>
      <c r="V115" s="1"/>
      <c r="W115" s="1"/>
      <c r="X115" s="1"/>
      <c r="Y115" s="1"/>
      <c r="Z115" s="1"/>
      <c r="AA115" s="1"/>
      <c r="AB115" s="1"/>
      <c r="AC115" s="1"/>
      <c r="AD115" s="1"/>
      <c r="AE115" s="1"/>
      <c r="AF115" s="1"/>
      <c r="AG115" s="1"/>
      <c r="AH115" s="1"/>
      <c r="AI115" s="1"/>
      <c r="AJ115" s="1"/>
      <c r="AK115" s="1"/>
      <c r="AL115" s="1"/>
      <c r="AM115" s="1"/>
      <c r="AN115" s="1"/>
      <c r="AO115" s="1"/>
      <c r="AP115" s="1"/>
      <c r="AQ115" s="1"/>
      <c r="AR115" s="1"/>
    </row>
    <row r="116" spans="2:44">
      <c r="B116"/>
      <c r="C116"/>
      <c r="D116"/>
      <c r="E116"/>
      <c r="F116"/>
      <c r="G116"/>
      <c r="H116"/>
      <c r="I116"/>
      <c r="J116"/>
      <c r="K116"/>
      <c r="L116"/>
      <c r="M116"/>
      <c r="N116"/>
      <c r="O116"/>
      <c r="P116"/>
      <c r="Q116"/>
      <c r="R116"/>
      <c r="S116" s="60"/>
      <c r="T116" s="60"/>
      <c r="U116" s="60"/>
      <c r="V116" s="1"/>
      <c r="W116" s="1"/>
      <c r="X116" s="1"/>
      <c r="Y116" s="1"/>
      <c r="Z116" s="1"/>
      <c r="AA116" s="1"/>
      <c r="AB116" s="1"/>
      <c r="AC116" s="1"/>
      <c r="AD116" s="1"/>
      <c r="AE116" s="1"/>
      <c r="AF116" s="1"/>
      <c r="AG116" s="1"/>
      <c r="AH116" s="1"/>
      <c r="AI116" s="1"/>
      <c r="AJ116" s="1"/>
      <c r="AK116" s="1"/>
      <c r="AL116" s="1"/>
      <c r="AM116" s="1"/>
      <c r="AN116" s="1"/>
      <c r="AO116" s="1"/>
      <c r="AP116" s="1"/>
      <c r="AQ116" s="1"/>
      <c r="AR116" s="1"/>
    </row>
    <row r="117" spans="2:44">
      <c r="B117"/>
      <c r="C117"/>
      <c r="D117"/>
      <c r="E117"/>
      <c r="F117"/>
      <c r="G117"/>
      <c r="H117"/>
      <c r="I117"/>
      <c r="J117"/>
      <c r="K117"/>
      <c r="L117"/>
      <c r="M117"/>
      <c r="N117"/>
      <c r="O117"/>
      <c r="P117"/>
      <c r="Q117"/>
      <c r="R117"/>
      <c r="S117" s="60"/>
      <c r="T117" s="60"/>
      <c r="U117" s="60"/>
      <c r="V117" s="1"/>
      <c r="W117" s="1"/>
      <c r="X117" s="1"/>
      <c r="Y117" s="1"/>
      <c r="Z117" s="1"/>
      <c r="AA117" s="1"/>
      <c r="AB117" s="1"/>
      <c r="AC117" s="1"/>
      <c r="AD117" s="1"/>
      <c r="AE117" s="1"/>
      <c r="AF117" s="1"/>
      <c r="AG117" s="1"/>
      <c r="AH117" s="1"/>
      <c r="AI117" s="1"/>
      <c r="AJ117" s="1"/>
      <c r="AK117" s="1"/>
      <c r="AL117" s="1"/>
      <c r="AM117" s="1"/>
      <c r="AN117" s="1"/>
      <c r="AO117" s="1"/>
      <c r="AP117" s="1"/>
      <c r="AQ117" s="1"/>
      <c r="AR117" s="1"/>
    </row>
    <row r="118" spans="2:44">
      <c r="B118"/>
      <c r="C118"/>
      <c r="D118"/>
      <c r="E118"/>
      <c r="F118"/>
      <c r="G118"/>
      <c r="H118"/>
      <c r="I118"/>
      <c r="J118"/>
      <c r="K118"/>
      <c r="L118"/>
      <c r="M118"/>
      <c r="N118"/>
      <c r="O118"/>
      <c r="P118"/>
      <c r="Q118"/>
      <c r="R118"/>
      <c r="S118" s="60"/>
      <c r="T118" s="60"/>
      <c r="U118" s="60"/>
      <c r="V118" s="1"/>
      <c r="W118" s="1"/>
      <c r="X118" s="1"/>
      <c r="Y118" s="1"/>
      <c r="Z118" s="1"/>
      <c r="AA118" s="1"/>
      <c r="AB118" s="1"/>
      <c r="AC118" s="1"/>
      <c r="AD118" s="1"/>
      <c r="AE118" s="1"/>
      <c r="AF118" s="1"/>
      <c r="AG118" s="1"/>
      <c r="AH118" s="1"/>
      <c r="AI118" s="1"/>
      <c r="AJ118" s="1"/>
      <c r="AK118" s="1"/>
      <c r="AL118" s="1"/>
      <c r="AM118" s="1"/>
      <c r="AN118" s="1"/>
      <c r="AO118" s="1"/>
      <c r="AP118" s="1"/>
      <c r="AQ118" s="1"/>
      <c r="AR118" s="1"/>
    </row>
    <row r="119" spans="2:44">
      <c r="B119"/>
      <c r="C119"/>
      <c r="D119"/>
      <c r="E119"/>
      <c r="F119"/>
      <c r="G119"/>
      <c r="H119"/>
      <c r="I119"/>
      <c r="J119"/>
      <c r="K119"/>
      <c r="L119"/>
      <c r="M119"/>
      <c r="N119"/>
      <c r="O119"/>
      <c r="P119"/>
      <c r="Q119"/>
      <c r="R119"/>
      <c r="S119" s="60"/>
      <c r="T119" s="60"/>
      <c r="U119" s="60"/>
      <c r="V119" s="1"/>
      <c r="W119" s="1"/>
      <c r="X119" s="1"/>
      <c r="Y119" s="1"/>
      <c r="Z119" s="1"/>
      <c r="AA119" s="1"/>
      <c r="AB119" s="1"/>
      <c r="AC119" s="1"/>
      <c r="AD119" s="1"/>
      <c r="AE119" s="1"/>
      <c r="AF119" s="1"/>
      <c r="AG119" s="1"/>
      <c r="AH119" s="1"/>
      <c r="AI119" s="1"/>
      <c r="AJ119" s="1"/>
      <c r="AK119" s="1"/>
      <c r="AL119" s="1"/>
      <c r="AM119" s="1"/>
      <c r="AN119" s="1"/>
      <c r="AO119" s="1"/>
      <c r="AP119" s="1"/>
      <c r="AQ119" s="1"/>
      <c r="AR119" s="1"/>
    </row>
    <row r="120" spans="2:44">
      <c r="B120"/>
      <c r="C120"/>
      <c r="D120"/>
      <c r="E120"/>
      <c r="F120"/>
      <c r="G120"/>
      <c r="H120"/>
      <c r="I120"/>
      <c r="J120"/>
      <c r="K120"/>
      <c r="L120"/>
      <c r="M120"/>
      <c r="N120"/>
      <c r="O120"/>
      <c r="P120"/>
      <c r="Q120"/>
      <c r="R120"/>
      <c r="S120" s="60"/>
      <c r="T120" s="60"/>
      <c r="U120" s="60"/>
      <c r="V120" s="1"/>
      <c r="W120" s="1"/>
      <c r="X120" s="1"/>
      <c r="Y120" s="1"/>
      <c r="Z120" s="1"/>
      <c r="AA120" s="1"/>
      <c r="AB120" s="1"/>
      <c r="AC120" s="1"/>
      <c r="AD120" s="1"/>
      <c r="AE120" s="1"/>
      <c r="AF120" s="1"/>
      <c r="AG120" s="1"/>
      <c r="AH120" s="1"/>
      <c r="AI120" s="1"/>
      <c r="AJ120" s="1"/>
      <c r="AK120" s="1"/>
      <c r="AL120" s="1"/>
      <c r="AM120" s="1"/>
      <c r="AN120" s="1"/>
      <c r="AO120" s="1"/>
      <c r="AP120" s="1"/>
      <c r="AQ120" s="1"/>
      <c r="AR120" s="1"/>
    </row>
    <row r="121" spans="2:44">
      <c r="B121"/>
      <c r="C121"/>
      <c r="D121"/>
      <c r="E121"/>
      <c r="F121"/>
      <c r="G121"/>
      <c r="H121"/>
      <c r="I121"/>
      <c r="J121"/>
      <c r="K121"/>
      <c r="L121"/>
      <c r="M121"/>
      <c r="N121"/>
      <c r="O121"/>
      <c r="P121"/>
      <c r="Q121"/>
      <c r="R121"/>
      <c r="S121" s="60"/>
      <c r="T121" s="60"/>
      <c r="U121" s="60"/>
      <c r="V121" s="1"/>
      <c r="W121" s="1"/>
      <c r="X121" s="1"/>
      <c r="Y121" s="1"/>
      <c r="Z121" s="1"/>
      <c r="AA121" s="1"/>
      <c r="AB121" s="1"/>
      <c r="AC121" s="1"/>
      <c r="AD121" s="1"/>
      <c r="AE121" s="1"/>
      <c r="AF121" s="1"/>
      <c r="AG121" s="1"/>
      <c r="AH121" s="1"/>
      <c r="AI121" s="1"/>
      <c r="AJ121" s="1"/>
      <c r="AK121" s="1"/>
      <c r="AL121" s="1"/>
      <c r="AM121" s="1"/>
      <c r="AN121" s="1"/>
      <c r="AO121" s="1"/>
      <c r="AP121" s="1"/>
      <c r="AQ121" s="1"/>
      <c r="AR121" s="1"/>
    </row>
    <row r="122" spans="2:44">
      <c r="B122"/>
      <c r="C122"/>
      <c r="D122"/>
      <c r="E122"/>
      <c r="F122"/>
      <c r="G122"/>
      <c r="H122"/>
      <c r="I122"/>
      <c r="J122"/>
      <c r="K122"/>
      <c r="L122"/>
      <c r="M122"/>
      <c r="N122"/>
      <c r="O122"/>
      <c r="P122"/>
      <c r="Q122"/>
      <c r="R122"/>
      <c r="S122" s="60"/>
      <c r="T122" s="60"/>
      <c r="U122" s="60"/>
      <c r="V122" s="1"/>
      <c r="W122" s="1"/>
      <c r="X122" s="1"/>
      <c r="Y122" s="1"/>
      <c r="Z122" s="1"/>
      <c r="AA122" s="1"/>
      <c r="AB122" s="1"/>
      <c r="AC122" s="1"/>
      <c r="AD122" s="1"/>
      <c r="AE122" s="1"/>
      <c r="AF122" s="1"/>
      <c r="AG122" s="1"/>
      <c r="AH122" s="1"/>
      <c r="AI122" s="1"/>
      <c r="AJ122" s="1"/>
      <c r="AK122" s="1"/>
      <c r="AL122" s="1"/>
      <c r="AM122" s="1"/>
      <c r="AN122" s="1"/>
      <c r="AO122" s="1"/>
      <c r="AP122" s="1"/>
      <c r="AQ122" s="1"/>
      <c r="AR122" s="1"/>
    </row>
    <row r="123" spans="2:44">
      <c r="B123"/>
      <c r="C123"/>
      <c r="D123"/>
      <c r="E123"/>
      <c r="F123"/>
      <c r="G123"/>
      <c r="H123"/>
      <c r="I123"/>
      <c r="J123"/>
      <c r="K123"/>
      <c r="L123"/>
      <c r="M123"/>
      <c r="N123"/>
      <c r="O123"/>
      <c r="P123"/>
      <c r="Q123"/>
      <c r="R123"/>
      <c r="S123" s="60"/>
      <c r="T123" s="60"/>
      <c r="U123" s="60"/>
      <c r="V123" s="1"/>
      <c r="W123" s="1"/>
      <c r="X123" s="1"/>
      <c r="Y123" s="1"/>
      <c r="Z123" s="1"/>
      <c r="AA123" s="1"/>
      <c r="AB123" s="1"/>
      <c r="AC123" s="1"/>
      <c r="AD123" s="1"/>
      <c r="AE123" s="1"/>
      <c r="AF123" s="1"/>
      <c r="AG123" s="1"/>
      <c r="AH123" s="1"/>
      <c r="AI123" s="1"/>
      <c r="AJ123" s="1"/>
      <c r="AK123" s="1"/>
      <c r="AL123" s="1"/>
      <c r="AM123" s="1"/>
      <c r="AN123" s="1"/>
      <c r="AO123" s="1"/>
      <c r="AP123" s="1"/>
      <c r="AQ123" s="1"/>
      <c r="AR123" s="1"/>
    </row>
    <row r="124" spans="2:44">
      <c r="B124"/>
      <c r="C124"/>
      <c r="D124"/>
      <c r="E124"/>
      <c r="F124"/>
      <c r="G124"/>
      <c r="H124"/>
      <c r="I124"/>
      <c r="J124"/>
      <c r="K124"/>
      <c r="L124"/>
      <c r="M124"/>
      <c r="N124"/>
      <c r="O124"/>
      <c r="P124"/>
      <c r="Q124"/>
      <c r="R124"/>
      <c r="S124" s="60"/>
      <c r="T124" s="60"/>
      <c r="U124" s="60"/>
      <c r="V124" s="1"/>
      <c r="W124" s="1"/>
      <c r="X124" s="1"/>
      <c r="Y124" s="1"/>
      <c r="Z124" s="1"/>
      <c r="AA124" s="1"/>
      <c r="AB124" s="1"/>
      <c r="AC124" s="1"/>
      <c r="AD124" s="1"/>
      <c r="AE124" s="1"/>
      <c r="AF124" s="1"/>
      <c r="AG124" s="1"/>
      <c r="AH124" s="1"/>
      <c r="AI124" s="1"/>
      <c r="AJ124" s="1"/>
      <c r="AK124" s="1"/>
      <c r="AL124" s="1"/>
      <c r="AM124" s="1"/>
      <c r="AN124" s="1"/>
      <c r="AO124" s="1"/>
      <c r="AP124" s="1"/>
      <c r="AQ124" s="1"/>
      <c r="AR124" s="1"/>
    </row>
    <row r="125" spans="2:44">
      <c r="B125"/>
      <c r="C125"/>
      <c r="D125"/>
      <c r="E125"/>
      <c r="F125"/>
      <c r="G125"/>
      <c r="H125"/>
      <c r="I125"/>
      <c r="J125"/>
      <c r="K125"/>
      <c r="L125"/>
      <c r="M125"/>
      <c r="N125"/>
      <c r="O125"/>
      <c r="P125"/>
      <c r="Q125"/>
      <c r="R125"/>
      <c r="S125" s="60"/>
      <c r="T125" s="60"/>
      <c r="U125" s="60"/>
      <c r="V125" s="1"/>
      <c r="W125" s="1"/>
      <c r="X125" s="1"/>
      <c r="Y125" s="1"/>
      <c r="Z125" s="1"/>
      <c r="AA125" s="1"/>
      <c r="AB125" s="1"/>
      <c r="AC125" s="1"/>
      <c r="AD125" s="1"/>
      <c r="AE125" s="1"/>
      <c r="AF125" s="1"/>
      <c r="AG125" s="1"/>
      <c r="AH125" s="1"/>
      <c r="AI125" s="1"/>
      <c r="AJ125" s="1"/>
      <c r="AK125" s="1"/>
      <c r="AL125" s="1"/>
      <c r="AM125" s="1"/>
      <c r="AN125" s="1"/>
      <c r="AO125" s="1"/>
      <c r="AP125" s="1"/>
      <c r="AQ125" s="1"/>
      <c r="AR125" s="1"/>
    </row>
    <row r="126" spans="2:44">
      <c r="B126"/>
      <c r="C126"/>
      <c r="D126"/>
      <c r="E126"/>
      <c r="F126"/>
      <c r="G126"/>
      <c r="H126"/>
      <c r="I126"/>
      <c r="J126"/>
      <c r="K126"/>
      <c r="L126"/>
      <c r="M126"/>
      <c r="N126"/>
      <c r="O126"/>
      <c r="P126"/>
      <c r="Q126"/>
      <c r="R126"/>
      <c r="S126" s="60"/>
      <c r="T126" s="60"/>
      <c r="U126" s="60"/>
      <c r="V126" s="1"/>
      <c r="W126" s="1"/>
      <c r="X126" s="1"/>
      <c r="Y126" s="1"/>
      <c r="Z126" s="1"/>
      <c r="AA126" s="1"/>
      <c r="AB126" s="1"/>
      <c r="AC126" s="1"/>
      <c r="AD126" s="1"/>
      <c r="AE126" s="1"/>
      <c r="AF126" s="1"/>
      <c r="AG126" s="1"/>
      <c r="AH126" s="1"/>
      <c r="AI126" s="1"/>
      <c r="AJ126" s="1"/>
      <c r="AK126" s="1"/>
      <c r="AL126" s="1"/>
      <c r="AM126" s="1"/>
      <c r="AN126" s="1"/>
      <c r="AO126" s="1"/>
      <c r="AP126" s="1"/>
      <c r="AQ126" s="1"/>
      <c r="AR126" s="1"/>
    </row>
    <row r="127" spans="2:44">
      <c r="B127"/>
      <c r="C127"/>
      <c r="D127"/>
      <c r="E127"/>
      <c r="F127"/>
      <c r="G127"/>
      <c r="H127"/>
      <c r="I127"/>
      <c r="J127"/>
      <c r="K127"/>
      <c r="L127"/>
      <c r="M127"/>
      <c r="N127"/>
      <c r="O127"/>
      <c r="P127"/>
      <c r="Q127"/>
      <c r="R127"/>
      <c r="S127" s="60"/>
      <c r="T127" s="60"/>
      <c r="U127" s="60"/>
      <c r="V127" s="1"/>
      <c r="W127" s="1"/>
      <c r="X127" s="1"/>
      <c r="Y127" s="1"/>
      <c r="Z127" s="1"/>
      <c r="AA127" s="1"/>
      <c r="AB127" s="1"/>
      <c r="AC127" s="1"/>
      <c r="AD127" s="1"/>
      <c r="AE127" s="1"/>
      <c r="AF127" s="1"/>
      <c r="AG127" s="1"/>
      <c r="AH127" s="1"/>
      <c r="AI127" s="1"/>
      <c r="AJ127" s="1"/>
      <c r="AK127" s="1"/>
      <c r="AL127" s="1"/>
      <c r="AM127" s="1"/>
      <c r="AN127" s="1"/>
      <c r="AO127" s="1"/>
      <c r="AP127" s="1"/>
      <c r="AQ127" s="1"/>
      <c r="AR127" s="1"/>
    </row>
    <row r="128" spans="2:44">
      <c r="B128"/>
      <c r="C128"/>
      <c r="D128"/>
      <c r="E128"/>
      <c r="F128"/>
      <c r="G128"/>
      <c r="H128"/>
      <c r="I128"/>
      <c r="J128"/>
      <c r="K128"/>
      <c r="L128"/>
      <c r="M128"/>
      <c r="N128"/>
      <c r="O128"/>
      <c r="P128"/>
      <c r="Q128"/>
      <c r="R128"/>
      <c r="S128" s="60"/>
      <c r="T128" s="60"/>
      <c r="U128" s="60"/>
      <c r="V128" s="1"/>
      <c r="W128" s="1"/>
      <c r="X128" s="1"/>
      <c r="Y128" s="1"/>
      <c r="Z128" s="1"/>
      <c r="AA128" s="1"/>
      <c r="AB128" s="1"/>
      <c r="AC128" s="1"/>
      <c r="AD128" s="1"/>
      <c r="AE128" s="1"/>
      <c r="AF128" s="1"/>
      <c r="AG128" s="1"/>
      <c r="AH128" s="1"/>
      <c r="AI128" s="1"/>
      <c r="AJ128" s="1"/>
      <c r="AK128" s="1"/>
      <c r="AL128" s="1"/>
      <c r="AM128" s="1"/>
      <c r="AN128" s="1"/>
      <c r="AO128" s="1"/>
      <c r="AP128" s="1"/>
      <c r="AQ128" s="1"/>
      <c r="AR128" s="1"/>
    </row>
    <row r="129" spans="1:44">
      <c r="B129"/>
      <c r="C129"/>
      <c r="D129"/>
      <c r="E129"/>
      <c r="F129"/>
      <c r="G129"/>
      <c r="H129"/>
      <c r="I129"/>
      <c r="J129"/>
      <c r="K129"/>
      <c r="L129"/>
      <c r="M129"/>
      <c r="N129"/>
      <c r="O129"/>
      <c r="P129"/>
      <c r="Q129"/>
      <c r="R129"/>
      <c r="S129" s="60"/>
      <c r="T129" s="60"/>
      <c r="U129" s="60"/>
      <c r="V129" s="1"/>
      <c r="W129" s="1"/>
      <c r="X129" s="1"/>
      <c r="Y129" s="1"/>
      <c r="Z129" s="1"/>
      <c r="AA129" s="1"/>
      <c r="AB129" s="1"/>
      <c r="AC129" s="1"/>
      <c r="AD129" s="1"/>
      <c r="AE129" s="1"/>
      <c r="AF129" s="1"/>
      <c r="AG129" s="1"/>
      <c r="AH129" s="1"/>
      <c r="AI129" s="1"/>
      <c r="AJ129" s="1"/>
      <c r="AK129" s="1"/>
      <c r="AL129" s="1"/>
      <c r="AM129" s="1"/>
      <c r="AN129" s="1"/>
      <c r="AO129" s="1"/>
      <c r="AP129" s="1"/>
      <c r="AQ129" s="1"/>
      <c r="AR129" s="1"/>
    </row>
    <row r="130" spans="1:44">
      <c r="B130"/>
      <c r="C130"/>
      <c r="D130"/>
      <c r="E130"/>
      <c r="F130"/>
      <c r="G130"/>
      <c r="H130"/>
      <c r="I130"/>
      <c r="J130"/>
      <c r="K130"/>
      <c r="L130"/>
      <c r="M130"/>
      <c r="N130"/>
      <c r="O130"/>
      <c r="P130"/>
      <c r="Q130"/>
      <c r="R130"/>
      <c r="S130" s="60"/>
      <c r="T130" s="60"/>
      <c r="U130" s="60"/>
      <c r="V130" s="1"/>
      <c r="W130" s="1"/>
      <c r="X130" s="1"/>
      <c r="Y130" s="1"/>
      <c r="Z130" s="1"/>
      <c r="AA130" s="1"/>
      <c r="AB130" s="1"/>
      <c r="AC130" s="1"/>
      <c r="AD130" s="1"/>
      <c r="AE130" s="1"/>
      <c r="AF130" s="1"/>
      <c r="AG130" s="1"/>
      <c r="AH130" s="1"/>
      <c r="AI130" s="1"/>
      <c r="AJ130" s="1"/>
      <c r="AK130" s="1"/>
      <c r="AL130" s="1"/>
      <c r="AM130" s="1"/>
      <c r="AN130" s="1"/>
      <c r="AO130" s="1"/>
      <c r="AP130" s="1"/>
      <c r="AQ130" s="1"/>
      <c r="AR130" s="1"/>
    </row>
    <row r="131" spans="1:44">
      <c r="B131"/>
      <c r="C131"/>
      <c r="D131"/>
      <c r="E131"/>
      <c r="F131"/>
      <c r="G131"/>
      <c r="H131"/>
      <c r="I131"/>
      <c r="J131"/>
      <c r="K131"/>
      <c r="L131"/>
      <c r="M131"/>
      <c r="N131"/>
      <c r="O131"/>
      <c r="P131"/>
      <c r="Q131"/>
      <c r="R131"/>
      <c r="S131" s="60"/>
      <c r="T131" s="60"/>
      <c r="U131" s="60"/>
      <c r="V131" s="1"/>
      <c r="W131" s="1"/>
      <c r="X131" s="1"/>
      <c r="Y131" s="1"/>
      <c r="Z131" s="1"/>
      <c r="AA131" s="1"/>
      <c r="AB131" s="1"/>
      <c r="AC131" s="1"/>
      <c r="AD131" s="1"/>
      <c r="AE131" s="1"/>
      <c r="AF131" s="1"/>
      <c r="AG131" s="1"/>
      <c r="AH131" s="1"/>
      <c r="AI131" s="1"/>
      <c r="AJ131" s="1"/>
      <c r="AK131" s="1"/>
      <c r="AL131" s="1"/>
      <c r="AM131" s="1"/>
      <c r="AN131" s="1"/>
      <c r="AO131" s="1"/>
      <c r="AP131" s="1"/>
      <c r="AQ131" s="1"/>
      <c r="AR131" s="1"/>
    </row>
    <row r="132" spans="1:44">
      <c r="B132"/>
      <c r="C132"/>
      <c r="D132"/>
      <c r="E132"/>
      <c r="F132"/>
      <c r="G132"/>
      <c r="H132"/>
      <c r="I132"/>
      <c r="J132"/>
      <c r="K132"/>
      <c r="L132"/>
      <c r="M132"/>
      <c r="N132"/>
      <c r="O132"/>
      <c r="P132"/>
      <c r="Q132"/>
      <c r="R132"/>
      <c r="S132" s="60"/>
      <c r="T132" s="60"/>
      <c r="U132" s="60"/>
      <c r="V132" s="1"/>
      <c r="W132" s="1"/>
      <c r="X132" s="1"/>
      <c r="Y132" s="1"/>
      <c r="Z132" s="1"/>
      <c r="AA132" s="1"/>
      <c r="AB132" s="1"/>
      <c r="AC132" s="1"/>
      <c r="AD132" s="1"/>
      <c r="AE132" s="1"/>
      <c r="AF132" s="1"/>
      <c r="AG132" s="1"/>
      <c r="AH132" s="1"/>
      <c r="AI132" s="1"/>
      <c r="AJ132" s="1"/>
      <c r="AK132" s="1"/>
      <c r="AL132" s="1"/>
      <c r="AM132" s="1"/>
      <c r="AN132" s="1"/>
      <c r="AO132" s="1"/>
      <c r="AP132" s="1"/>
      <c r="AQ132" s="1"/>
      <c r="AR132" s="1"/>
    </row>
    <row r="133" spans="1:44">
      <c r="B133"/>
      <c r="C133"/>
      <c r="D133"/>
      <c r="E133"/>
      <c r="F133"/>
      <c r="G133"/>
      <c r="H133"/>
      <c r="I133"/>
      <c r="J133"/>
      <c r="K133"/>
      <c r="L133"/>
      <c r="M133"/>
      <c r="N133"/>
      <c r="O133"/>
      <c r="P133"/>
      <c r="Q133"/>
      <c r="R133"/>
      <c r="S133" s="60"/>
      <c r="T133" s="60"/>
      <c r="U133" s="60"/>
      <c r="V133" s="1"/>
      <c r="W133" s="1"/>
      <c r="X133" s="1"/>
      <c r="Y133" s="1"/>
      <c r="Z133" s="1"/>
      <c r="AA133" s="1"/>
      <c r="AB133" s="1"/>
      <c r="AC133" s="1"/>
      <c r="AD133" s="1"/>
      <c r="AE133" s="1"/>
      <c r="AF133" s="1"/>
      <c r="AG133" s="1"/>
      <c r="AH133" s="1"/>
      <c r="AI133" s="1"/>
      <c r="AJ133" s="1"/>
      <c r="AK133" s="1"/>
      <c r="AL133" s="1"/>
      <c r="AM133" s="1"/>
      <c r="AN133" s="1"/>
      <c r="AO133" s="1"/>
      <c r="AP133" s="1"/>
      <c r="AQ133" s="1"/>
      <c r="AR133" s="1"/>
    </row>
    <row r="134" spans="1:44">
      <c r="B134"/>
      <c r="C134"/>
      <c r="D134"/>
      <c r="E134"/>
      <c r="F134"/>
      <c r="G134"/>
      <c r="H134"/>
      <c r="I134"/>
      <c r="J134"/>
      <c r="K134"/>
      <c r="L134"/>
      <c r="M134"/>
      <c r="N134"/>
      <c r="O134"/>
      <c r="P134"/>
      <c r="Q134"/>
      <c r="R134"/>
      <c r="S134" s="60"/>
      <c r="T134" s="60"/>
      <c r="U134" s="60"/>
      <c r="V134" s="1"/>
      <c r="W134" s="1"/>
      <c r="X134" s="1"/>
      <c r="Y134" s="1"/>
      <c r="Z134" s="1"/>
      <c r="AA134" s="1"/>
      <c r="AB134" s="1"/>
      <c r="AC134" s="1"/>
      <c r="AD134" s="1"/>
      <c r="AE134" s="1"/>
      <c r="AF134" s="1"/>
      <c r="AG134" s="1"/>
      <c r="AH134" s="1"/>
      <c r="AI134" s="1"/>
      <c r="AJ134" s="1"/>
      <c r="AK134" s="1"/>
      <c r="AL134" s="1"/>
      <c r="AM134" s="1"/>
      <c r="AN134" s="1"/>
      <c r="AO134" s="1"/>
      <c r="AP134" s="1"/>
      <c r="AQ134" s="1"/>
      <c r="AR134" s="1"/>
    </row>
    <row r="135" spans="1:44">
      <c r="A135" s="1"/>
      <c r="B135" s="60"/>
      <c r="C135" s="61"/>
      <c r="D135" s="61"/>
      <c r="E135" s="60"/>
      <c r="F135" s="60"/>
      <c r="G135" s="61"/>
      <c r="H135" s="60"/>
      <c r="I135" s="60"/>
      <c r="J135" s="61"/>
      <c r="K135" s="60"/>
      <c r="L135" s="60"/>
      <c r="M135" s="60"/>
      <c r="N135" s="61"/>
      <c r="O135" s="60"/>
      <c r="P135" s="61"/>
      <c r="Q135" s="60"/>
      <c r="R135" s="61"/>
      <c r="S135" s="60"/>
      <c r="T135" s="60"/>
      <c r="U135" s="60"/>
      <c r="V135" s="1"/>
      <c r="W135" s="1"/>
      <c r="X135" s="1"/>
      <c r="Y135" s="1"/>
      <c r="Z135" s="1"/>
      <c r="AA135" s="1"/>
      <c r="AB135" s="1"/>
      <c r="AC135" s="1"/>
      <c r="AD135" s="1"/>
      <c r="AE135" s="1"/>
      <c r="AF135" s="1"/>
      <c r="AG135" s="1"/>
      <c r="AH135" s="1"/>
      <c r="AI135" s="1"/>
      <c r="AJ135" s="1"/>
      <c r="AK135" s="1"/>
      <c r="AL135" s="1"/>
      <c r="AM135" s="1"/>
      <c r="AN135" s="1"/>
      <c r="AO135" s="1"/>
      <c r="AP135" s="1"/>
      <c r="AQ135" s="1"/>
      <c r="AR135" s="1"/>
    </row>
    <row r="136" spans="1:44">
      <c r="A136" s="1" t="s">
        <v>374</v>
      </c>
      <c r="B136" s="65">
        <v>0</v>
      </c>
      <c r="C136" s="67"/>
      <c r="D136" s="67"/>
      <c r="E136" s="65"/>
      <c r="F136" s="65"/>
      <c r="G136" s="67"/>
      <c r="H136" s="65"/>
      <c r="I136" s="65"/>
      <c r="J136" s="67"/>
      <c r="K136" s="65"/>
      <c r="L136" s="65"/>
      <c r="M136" s="65"/>
      <c r="N136" s="67"/>
      <c r="O136" s="65"/>
      <c r="P136" s="67"/>
      <c r="Q136" s="60"/>
      <c r="R136" s="67"/>
      <c r="S136" s="60"/>
      <c r="T136" s="60"/>
      <c r="U136" s="60"/>
      <c r="V136" s="1"/>
      <c r="W136" s="1"/>
      <c r="X136" s="1"/>
      <c r="Y136" s="1"/>
      <c r="Z136" s="1"/>
      <c r="AA136" s="1"/>
      <c r="AB136" s="1"/>
      <c r="AC136" s="1"/>
      <c r="AD136" s="1"/>
      <c r="AE136" s="1"/>
      <c r="AF136" s="1"/>
      <c r="AG136" s="1"/>
      <c r="AH136" s="1"/>
      <c r="AI136" s="1"/>
      <c r="AJ136" s="1"/>
      <c r="AK136" s="1"/>
      <c r="AL136" s="1"/>
      <c r="AM136" s="1"/>
      <c r="AN136" s="1"/>
      <c r="AO136" s="1"/>
      <c r="AP136" s="1"/>
      <c r="AQ136" s="1"/>
      <c r="AR136" s="1"/>
    </row>
    <row r="137" spans="1:44">
      <c r="A137" s="1"/>
      <c r="B137" s="60"/>
      <c r="C137" s="61"/>
      <c r="D137" s="61"/>
      <c r="E137" s="60"/>
      <c r="F137" s="60"/>
      <c r="G137" s="61"/>
      <c r="H137" s="60"/>
      <c r="I137" s="60"/>
      <c r="J137" s="61"/>
      <c r="K137" s="60"/>
      <c r="L137" s="60"/>
      <c r="M137" s="60"/>
      <c r="N137" s="61"/>
      <c r="O137" s="60"/>
      <c r="P137" s="61"/>
      <c r="Q137" s="60"/>
      <c r="R137" s="61"/>
      <c r="S137" s="60"/>
      <c r="T137" s="60"/>
      <c r="U137" s="60"/>
      <c r="V137" s="1"/>
      <c r="W137" s="1"/>
      <c r="X137" s="1"/>
      <c r="Y137" s="1"/>
      <c r="Z137" s="1"/>
      <c r="AA137" s="1"/>
      <c r="AB137" s="1"/>
      <c r="AC137" s="1"/>
      <c r="AD137" s="1"/>
      <c r="AE137" s="1"/>
      <c r="AF137" s="1"/>
      <c r="AG137" s="1"/>
      <c r="AH137" s="1"/>
      <c r="AI137" s="1"/>
      <c r="AJ137" s="1"/>
      <c r="AK137" s="1"/>
      <c r="AL137" s="1"/>
      <c r="AM137" s="1"/>
      <c r="AN137" s="1"/>
      <c r="AO137" s="1"/>
      <c r="AP137" s="1"/>
      <c r="AQ137" s="1"/>
      <c r="AR137" s="1"/>
    </row>
    <row r="138" spans="1:44">
      <c r="A138" s="1" t="s">
        <v>375</v>
      </c>
      <c r="B138" s="65">
        <v>0</v>
      </c>
      <c r="C138" s="67"/>
      <c r="D138" s="67"/>
      <c r="E138" s="65"/>
      <c r="F138" s="65"/>
      <c r="G138" s="67"/>
      <c r="H138" s="65"/>
      <c r="I138" s="65"/>
      <c r="J138" s="67"/>
      <c r="K138" s="65"/>
      <c r="L138" s="65"/>
      <c r="M138" s="65"/>
      <c r="N138" s="67"/>
      <c r="O138" s="65"/>
      <c r="P138" s="67"/>
      <c r="Q138" s="60"/>
      <c r="R138" s="67"/>
      <c r="S138" s="60"/>
      <c r="T138" s="60"/>
      <c r="U138" s="60"/>
      <c r="V138" s="1"/>
      <c r="W138" s="1"/>
      <c r="X138" s="1"/>
      <c r="Y138" s="1"/>
      <c r="Z138" s="1"/>
      <c r="AA138" s="1"/>
      <c r="AB138" s="1"/>
      <c r="AC138" s="1"/>
      <c r="AD138" s="1"/>
      <c r="AE138" s="1"/>
      <c r="AF138" s="1"/>
      <c r="AG138" s="1"/>
      <c r="AH138" s="1"/>
      <c r="AI138" s="1"/>
      <c r="AJ138" s="1"/>
      <c r="AK138" s="1"/>
      <c r="AL138" s="1"/>
      <c r="AM138" s="1"/>
      <c r="AN138" s="1"/>
      <c r="AO138" s="1"/>
      <c r="AP138" s="1"/>
      <c r="AQ138" s="1"/>
      <c r="AR138" s="1"/>
    </row>
    <row r="139" spans="1:44">
      <c r="A139" s="1"/>
      <c r="B139" s="60"/>
      <c r="C139" s="61"/>
      <c r="D139" s="61"/>
      <c r="E139" s="60"/>
      <c r="F139" s="60"/>
      <c r="G139" s="61"/>
      <c r="H139" s="60"/>
      <c r="I139" s="60"/>
      <c r="J139" s="61"/>
      <c r="K139" s="60"/>
      <c r="L139" s="60"/>
      <c r="M139" s="60"/>
      <c r="N139" s="61"/>
      <c r="O139" s="60"/>
      <c r="P139" s="61"/>
      <c r="Q139" s="60"/>
      <c r="R139" s="61"/>
      <c r="S139" s="60"/>
      <c r="T139" s="60"/>
      <c r="U139" s="60"/>
      <c r="V139" s="1"/>
      <c r="W139" s="1"/>
      <c r="X139" s="1"/>
      <c r="Y139" s="1"/>
      <c r="Z139" s="1"/>
      <c r="AA139" s="1"/>
      <c r="AB139" s="1"/>
      <c r="AC139" s="1"/>
      <c r="AD139" s="1"/>
      <c r="AE139" s="1"/>
      <c r="AF139" s="1"/>
      <c r="AG139" s="1"/>
      <c r="AH139" s="1"/>
      <c r="AI139" s="1"/>
      <c r="AJ139" s="1"/>
      <c r="AK139" s="1"/>
      <c r="AL139" s="1"/>
      <c r="AM139" s="1"/>
      <c r="AN139" s="1"/>
      <c r="AO139" s="1"/>
      <c r="AP139" s="1"/>
      <c r="AQ139" s="1"/>
      <c r="AR139" s="1"/>
    </row>
    <row r="140" spans="1:44">
      <c r="A140" s="1" t="s">
        <v>376</v>
      </c>
      <c r="B140" s="65">
        <f>+B143+B144+B145</f>
        <v>0</v>
      </c>
      <c r="C140" s="67"/>
      <c r="D140" s="67"/>
      <c r="E140" s="65"/>
      <c r="F140" s="65"/>
      <c r="G140" s="67"/>
      <c r="H140" s="65"/>
      <c r="I140" s="65"/>
      <c r="J140" s="67"/>
      <c r="K140" s="65"/>
      <c r="L140" s="65"/>
      <c r="M140" s="65"/>
      <c r="N140" s="67"/>
      <c r="O140" s="65"/>
      <c r="P140" s="67"/>
      <c r="Q140" s="60"/>
      <c r="R140" s="67"/>
      <c r="S140" s="60"/>
      <c r="T140" s="60"/>
      <c r="U140" s="60"/>
      <c r="V140" s="1"/>
      <c r="W140" s="1"/>
      <c r="X140" s="1"/>
      <c r="Y140" s="1"/>
      <c r="Z140" s="1"/>
      <c r="AA140" s="1"/>
      <c r="AB140" s="1"/>
      <c r="AC140" s="1"/>
      <c r="AD140" s="1"/>
      <c r="AE140" s="1"/>
      <c r="AF140" s="1"/>
      <c r="AG140" s="1"/>
      <c r="AH140" s="1"/>
      <c r="AI140" s="1"/>
      <c r="AJ140" s="1"/>
      <c r="AK140" s="1"/>
      <c r="AL140" s="1"/>
      <c r="AM140" s="1"/>
      <c r="AN140" s="1"/>
      <c r="AO140" s="1"/>
      <c r="AP140" s="1"/>
      <c r="AQ140" s="1"/>
      <c r="AR140" s="1"/>
    </row>
    <row r="141" spans="1:44">
      <c r="A141" s="1" t="s">
        <v>377</v>
      </c>
      <c r="B141" s="60">
        <v>0</v>
      </c>
      <c r="C141" s="61"/>
      <c r="D141" s="61"/>
      <c r="E141" s="60"/>
      <c r="F141" s="60"/>
      <c r="G141" s="61"/>
      <c r="H141" s="60"/>
      <c r="I141" s="60"/>
      <c r="J141" s="61"/>
      <c r="K141" s="60"/>
      <c r="L141" s="60"/>
      <c r="M141" s="60"/>
      <c r="N141" s="61"/>
      <c r="O141" s="60"/>
      <c r="P141" s="61"/>
      <c r="Q141" s="60"/>
      <c r="R141" s="61"/>
      <c r="S141" s="60"/>
      <c r="T141" s="60"/>
      <c r="U141" s="60"/>
      <c r="V141" s="1"/>
      <c r="W141" s="1"/>
      <c r="X141" s="1"/>
      <c r="Y141" s="1"/>
      <c r="Z141" s="1"/>
      <c r="AA141" s="1"/>
      <c r="AB141" s="1"/>
      <c r="AC141" s="1"/>
      <c r="AD141" s="1"/>
      <c r="AE141" s="1"/>
      <c r="AF141" s="1"/>
      <c r="AG141" s="1"/>
      <c r="AH141" s="1"/>
      <c r="AI141" s="1"/>
      <c r="AJ141" s="1"/>
      <c r="AK141" s="1"/>
      <c r="AL141" s="1"/>
      <c r="AM141" s="1"/>
      <c r="AN141" s="1"/>
      <c r="AO141" s="1"/>
      <c r="AP141" s="1"/>
      <c r="AQ141" s="1"/>
      <c r="AR141" s="1"/>
    </row>
    <row r="142" spans="1:44">
      <c r="A142" s="1" t="s">
        <v>378</v>
      </c>
      <c r="B142" s="60">
        <v>0</v>
      </c>
      <c r="C142" s="61"/>
      <c r="D142" s="61"/>
      <c r="E142" s="60"/>
      <c r="F142" s="60"/>
      <c r="G142" s="61"/>
      <c r="H142" s="60"/>
      <c r="I142" s="60"/>
      <c r="J142" s="61"/>
      <c r="K142" s="60"/>
      <c r="L142" s="60"/>
      <c r="M142" s="60"/>
      <c r="N142" s="61"/>
      <c r="O142" s="60"/>
      <c r="P142" s="61"/>
      <c r="Q142" s="60"/>
      <c r="R142" s="61"/>
      <c r="S142" s="60"/>
      <c r="T142" s="60"/>
      <c r="U142" s="60"/>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c r="A143" s="1" t="s">
        <v>289</v>
      </c>
      <c r="B143" s="65">
        <f>+B141+B142</f>
        <v>0</v>
      </c>
      <c r="C143" s="61"/>
      <c r="D143" s="61"/>
      <c r="E143" s="60"/>
      <c r="F143" s="60"/>
      <c r="G143" s="61"/>
      <c r="H143" s="60"/>
      <c r="I143" s="60"/>
      <c r="J143" s="61"/>
      <c r="K143" s="60"/>
      <c r="L143" s="60"/>
      <c r="M143" s="60"/>
      <c r="N143" s="61"/>
      <c r="O143" s="60"/>
      <c r="P143" s="61"/>
      <c r="Q143" s="60"/>
      <c r="R143" s="61"/>
      <c r="S143" s="60"/>
      <c r="T143" s="60"/>
      <c r="U143" s="60"/>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c r="A144" s="1" t="s">
        <v>379</v>
      </c>
      <c r="B144" s="60">
        <v>0</v>
      </c>
      <c r="C144" s="61"/>
      <c r="D144" s="61"/>
      <c r="E144" s="60"/>
      <c r="F144" s="60"/>
      <c r="G144" s="61"/>
      <c r="H144" s="60"/>
      <c r="I144" s="60"/>
      <c r="J144" s="61"/>
      <c r="K144" s="60"/>
      <c r="L144" s="60"/>
      <c r="M144" s="60"/>
      <c r="N144" s="61"/>
      <c r="O144" s="60"/>
      <c r="P144" s="61"/>
      <c r="Q144" s="60"/>
      <c r="R144" s="61"/>
      <c r="S144" s="60"/>
      <c r="T144" s="60"/>
      <c r="U144" s="60"/>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c r="A145" s="1" t="s">
        <v>380</v>
      </c>
      <c r="B145" s="60">
        <v>0</v>
      </c>
      <c r="C145" s="61"/>
      <c r="D145" s="61"/>
      <c r="E145" s="60"/>
      <c r="F145" s="60"/>
      <c r="G145" s="61"/>
      <c r="H145" s="60"/>
      <c r="I145" s="60"/>
      <c r="J145" s="61"/>
      <c r="K145" s="60"/>
      <c r="L145" s="60"/>
      <c r="M145" s="60"/>
      <c r="N145" s="61"/>
      <c r="O145" s="60"/>
      <c r="P145" s="61"/>
      <c r="Q145" s="60"/>
      <c r="R145" s="61"/>
      <c r="S145" s="60"/>
      <c r="T145" s="60"/>
      <c r="U145" s="60"/>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c r="A146" s="1"/>
      <c r="B146" s="60"/>
      <c r="C146" s="61"/>
      <c r="D146" s="61"/>
      <c r="E146" s="60"/>
      <c r="F146" s="60"/>
      <c r="G146" s="61"/>
      <c r="H146" s="60"/>
      <c r="I146" s="60"/>
      <c r="J146" s="61"/>
      <c r="K146" s="60"/>
      <c r="L146" s="60"/>
      <c r="M146" s="60"/>
      <c r="N146" s="61"/>
      <c r="O146" s="60"/>
      <c r="P146" s="61"/>
      <c r="Q146" s="60"/>
      <c r="R146" s="61"/>
      <c r="S146" s="60"/>
      <c r="T146" s="60"/>
      <c r="U146" s="60"/>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c r="A147" s="1" t="s">
        <v>381</v>
      </c>
      <c r="B147" s="65">
        <f>SUM(B148:B149)</f>
        <v>0</v>
      </c>
      <c r="C147" s="67"/>
      <c r="D147" s="67"/>
      <c r="E147" s="65"/>
      <c r="F147" s="65"/>
      <c r="G147" s="67"/>
      <c r="H147" s="65"/>
      <c r="I147" s="65"/>
      <c r="J147" s="67"/>
      <c r="K147" s="65"/>
      <c r="L147" s="65"/>
      <c r="M147" s="65"/>
      <c r="N147" s="67"/>
      <c r="O147" s="65"/>
      <c r="P147" s="67"/>
      <c r="Q147" s="60"/>
      <c r="R147" s="67"/>
      <c r="S147" s="60"/>
      <c r="T147" s="60"/>
      <c r="U147" s="60"/>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c r="A148" s="1" t="s">
        <v>382</v>
      </c>
      <c r="B148" s="60">
        <v>0</v>
      </c>
      <c r="C148" s="61"/>
      <c r="D148" s="61"/>
      <c r="E148" s="60"/>
      <c r="F148" s="60"/>
      <c r="G148" s="61"/>
      <c r="H148" s="60"/>
      <c r="I148" s="60"/>
      <c r="J148" s="61"/>
      <c r="K148" s="60"/>
      <c r="L148" s="60"/>
      <c r="M148" s="60"/>
      <c r="N148" s="61"/>
      <c r="O148" s="60"/>
      <c r="P148" s="61"/>
      <c r="Q148" s="60"/>
      <c r="R148" s="61"/>
      <c r="S148" s="60"/>
      <c r="T148" s="60"/>
      <c r="U148" s="60"/>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c r="A149" s="1" t="s">
        <v>383</v>
      </c>
      <c r="B149" s="60">
        <v>0</v>
      </c>
      <c r="C149" s="61"/>
      <c r="D149" s="61"/>
      <c r="E149" s="60"/>
      <c r="F149" s="60"/>
      <c r="G149" s="61"/>
      <c r="H149" s="60"/>
      <c r="I149" s="60"/>
      <c r="J149" s="61"/>
      <c r="K149" s="60"/>
      <c r="L149" s="60"/>
      <c r="M149" s="60"/>
      <c r="N149" s="61"/>
      <c r="O149" s="60"/>
      <c r="P149" s="61"/>
      <c r="Q149" s="60"/>
      <c r="R149" s="61"/>
      <c r="S149" s="60"/>
      <c r="T149" s="60"/>
      <c r="U149" s="60"/>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c r="A150" s="1"/>
      <c r="B150" s="60"/>
      <c r="C150" s="61"/>
      <c r="D150" s="61"/>
      <c r="E150" s="60"/>
      <c r="F150" s="60"/>
      <c r="G150" s="61"/>
      <c r="H150" s="60"/>
      <c r="I150" s="60"/>
      <c r="J150" s="61"/>
      <c r="K150" s="60"/>
      <c r="L150" s="60"/>
      <c r="M150" s="60"/>
      <c r="N150" s="61"/>
      <c r="O150" s="60"/>
      <c r="P150" s="61"/>
      <c r="Q150" s="60"/>
      <c r="R150" s="61"/>
      <c r="S150" s="60"/>
      <c r="T150" s="60"/>
      <c r="U150" s="60"/>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c r="A151" s="1" t="s">
        <v>384</v>
      </c>
      <c r="B151" s="65">
        <f t="shared" ref="B151:H151" si="16">+B102+B106+B108+B110+B125+B134+B136+B138+B140+B147</f>
        <v>0</v>
      </c>
      <c r="C151" s="67">
        <f t="shared" si="16"/>
        <v>0</v>
      </c>
      <c r="D151" s="67"/>
      <c r="E151" s="65">
        <f t="shared" si="16"/>
        <v>0</v>
      </c>
      <c r="F151" s="65"/>
      <c r="G151" s="67">
        <f t="shared" si="16"/>
        <v>0</v>
      </c>
      <c r="H151" s="65">
        <f t="shared" si="16"/>
        <v>0</v>
      </c>
      <c r="I151" s="65">
        <f>+I102+I106+I108+I110+I125+I134+I136+I138+I140+I147</f>
        <v>0</v>
      </c>
      <c r="J151" s="67">
        <f>+J102+J106+J108+J110+J125+J134+J136+J138+J140+J147</f>
        <v>0</v>
      </c>
      <c r="K151" s="65"/>
      <c r="L151" s="65"/>
      <c r="M151" s="65"/>
      <c r="N151" s="67">
        <f>+N102+N106+N108+N110+N125+N134+N136+N138+N140+N147</f>
        <v>0</v>
      </c>
      <c r="O151" s="65">
        <f>+O102+O106+O108+O110+O125+O134+O136+O138+O140+O147</f>
        <v>0</v>
      </c>
      <c r="P151" s="67">
        <f>+P102+P106+P108+P110+P125+P134+P136+P138+P140+P147</f>
        <v>0</v>
      </c>
      <c r="Q151" s="60"/>
      <c r="R151" s="67">
        <f>+R102+R106+R108+R110+R125+R134+R136+R138+R140+R147</f>
        <v>0</v>
      </c>
      <c r="S151" s="60"/>
      <c r="T151" s="60"/>
      <c r="U151" s="60"/>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c r="A152" s="1"/>
      <c r="B152" s="60"/>
      <c r="C152" s="61"/>
      <c r="D152" s="61"/>
      <c r="E152" s="60"/>
      <c r="F152" s="60"/>
      <c r="G152" s="61"/>
      <c r="H152" s="60"/>
      <c r="I152" s="60"/>
      <c r="J152" s="61"/>
      <c r="K152" s="60"/>
      <c r="L152" s="60"/>
      <c r="M152" s="60"/>
      <c r="N152" s="61"/>
      <c r="O152" s="60"/>
      <c r="P152" s="61"/>
      <c r="Q152" s="60"/>
      <c r="R152" s="61"/>
      <c r="S152" s="60"/>
      <c r="T152" s="60"/>
      <c r="U152" s="60"/>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c r="A153" s="1"/>
      <c r="B153" s="60"/>
      <c r="C153" s="61"/>
      <c r="D153" s="61"/>
      <c r="E153" s="60"/>
      <c r="F153" s="60"/>
      <c r="G153" s="61"/>
      <c r="H153" s="60"/>
      <c r="I153" s="60"/>
      <c r="J153" s="61"/>
      <c r="K153" s="60"/>
      <c r="L153" s="60"/>
      <c r="M153" s="60"/>
      <c r="N153" s="61"/>
      <c r="O153" s="60"/>
      <c r="P153" s="61"/>
      <c r="Q153" s="60"/>
      <c r="R153" s="61"/>
      <c r="S153" s="60"/>
      <c r="T153" s="60"/>
      <c r="U153" s="60"/>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c r="A154" s="1"/>
      <c r="B154" s="60"/>
      <c r="C154" s="61"/>
      <c r="D154" s="61"/>
      <c r="E154" s="60"/>
      <c r="F154" s="60"/>
      <c r="G154" s="61"/>
      <c r="H154" s="60"/>
      <c r="I154" s="60"/>
      <c r="J154" s="61"/>
      <c r="K154" s="60"/>
      <c r="L154" s="60"/>
      <c r="M154" s="60"/>
      <c r="N154" s="61"/>
      <c r="O154" s="60"/>
      <c r="P154" s="61"/>
      <c r="Q154" s="60"/>
      <c r="R154" s="61"/>
      <c r="S154" s="60"/>
      <c r="T154" s="60"/>
      <c r="U154" s="60"/>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c r="A155" s="1"/>
      <c r="B155" s="60"/>
      <c r="C155" s="61"/>
      <c r="D155" s="61"/>
      <c r="E155" s="60"/>
      <c r="F155" s="60"/>
      <c r="G155" s="61"/>
      <c r="H155" s="60"/>
      <c r="I155" s="60"/>
      <c r="J155" s="61"/>
      <c r="K155" s="60"/>
      <c r="L155" s="60"/>
      <c r="M155" s="60"/>
      <c r="N155" s="61"/>
      <c r="O155" s="60"/>
      <c r="P155" s="61"/>
      <c r="Q155" s="60"/>
      <c r="R155" s="61"/>
      <c r="S155" s="60"/>
      <c r="T155" s="60"/>
      <c r="U155" s="60"/>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c r="A156" s="1"/>
      <c r="B156" s="60"/>
      <c r="C156" s="61"/>
      <c r="D156" s="61"/>
      <c r="E156" s="60"/>
      <c r="F156" s="60"/>
      <c r="G156" s="61"/>
      <c r="H156" s="60"/>
      <c r="I156" s="60"/>
      <c r="J156" s="61"/>
      <c r="K156" s="60"/>
      <c r="L156" s="60"/>
      <c r="M156" s="60"/>
      <c r="N156" s="61"/>
      <c r="O156" s="60"/>
      <c r="P156" s="61"/>
      <c r="Q156" s="60"/>
      <c r="R156" s="61"/>
      <c r="S156" s="60"/>
      <c r="T156" s="60"/>
      <c r="U156" s="60"/>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c r="A157" s="1"/>
      <c r="B157" s="60"/>
      <c r="C157" s="61"/>
      <c r="D157" s="61"/>
      <c r="E157" s="60"/>
      <c r="F157" s="60"/>
      <c r="G157" s="61"/>
      <c r="H157" s="60"/>
      <c r="I157" s="60"/>
      <c r="J157" s="61"/>
      <c r="K157" s="60"/>
      <c r="L157" s="60"/>
      <c r="M157" s="60"/>
      <c r="N157" s="61"/>
      <c r="O157" s="60"/>
      <c r="P157" s="61"/>
      <c r="Q157" s="60"/>
      <c r="R157" s="61"/>
      <c r="S157" s="60"/>
      <c r="T157" s="60"/>
      <c r="U157" s="60"/>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c r="A158" s="1"/>
      <c r="B158" s="60"/>
      <c r="C158" s="61"/>
      <c r="D158" s="61"/>
      <c r="E158" s="60"/>
      <c r="F158" s="60"/>
      <c r="G158" s="61"/>
      <c r="H158" s="60"/>
      <c r="I158" s="60"/>
      <c r="J158" s="61"/>
      <c r="K158" s="60"/>
      <c r="L158" s="60"/>
      <c r="M158" s="60"/>
      <c r="N158" s="61"/>
      <c r="O158" s="60"/>
      <c r="P158" s="61"/>
      <c r="Q158" s="60"/>
      <c r="R158" s="61"/>
      <c r="S158" s="60"/>
      <c r="T158" s="60"/>
      <c r="U158" s="60"/>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c r="A159" s="1"/>
      <c r="B159" s="60"/>
      <c r="C159" s="61"/>
      <c r="D159" s="61"/>
      <c r="E159" s="60"/>
      <c r="F159" s="60"/>
      <c r="G159" s="61"/>
      <c r="H159" s="60"/>
      <c r="I159" s="60"/>
      <c r="J159" s="61"/>
      <c r="K159" s="60"/>
      <c r="L159" s="60"/>
      <c r="M159" s="60"/>
      <c r="N159" s="61"/>
      <c r="O159" s="60"/>
      <c r="P159" s="61"/>
      <c r="Q159" s="60"/>
      <c r="R159" s="61"/>
      <c r="S159" s="60"/>
      <c r="T159" s="60"/>
      <c r="U159" s="60"/>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c r="A160" s="1"/>
      <c r="B160" s="60"/>
      <c r="C160" s="61"/>
      <c r="D160" s="61"/>
      <c r="E160" s="60"/>
      <c r="F160" s="60"/>
      <c r="G160" s="61"/>
      <c r="H160" s="60"/>
      <c r="I160" s="60"/>
      <c r="J160" s="61"/>
      <c r="K160" s="60"/>
      <c r="L160" s="60"/>
      <c r="M160" s="60"/>
      <c r="N160" s="61"/>
      <c r="O160" s="60"/>
      <c r="P160" s="61"/>
      <c r="Q160" s="60"/>
      <c r="R160" s="61"/>
      <c r="S160" s="60"/>
      <c r="T160" s="60"/>
      <c r="U160" s="60"/>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c r="A161" s="1"/>
      <c r="B161" s="60"/>
      <c r="C161" s="61"/>
      <c r="D161" s="61"/>
      <c r="E161" s="60"/>
      <c r="F161" s="60"/>
      <c r="G161" s="61"/>
      <c r="H161" s="60"/>
      <c r="I161" s="60"/>
      <c r="J161" s="61"/>
      <c r="K161" s="60"/>
      <c r="L161" s="60"/>
      <c r="M161" s="60"/>
      <c r="N161" s="61"/>
      <c r="O161" s="60"/>
      <c r="P161" s="61"/>
      <c r="Q161" s="60"/>
      <c r="R161" s="61"/>
      <c r="S161" s="60"/>
      <c r="T161" s="60"/>
      <c r="U161" s="60"/>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c r="A162" s="1"/>
      <c r="B162" s="60"/>
      <c r="C162" s="61"/>
      <c r="D162" s="61"/>
      <c r="E162" s="60"/>
      <c r="F162" s="60"/>
      <c r="G162" s="61"/>
      <c r="H162" s="60"/>
      <c r="I162" s="60"/>
      <c r="J162" s="61"/>
      <c r="K162" s="60"/>
      <c r="L162" s="60"/>
      <c r="M162" s="60"/>
      <c r="N162" s="61"/>
      <c r="O162" s="60"/>
      <c r="P162" s="61"/>
      <c r="Q162" s="60"/>
      <c r="R162" s="61"/>
      <c r="S162" s="60"/>
      <c r="T162" s="60"/>
      <c r="U162" s="60"/>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c r="A163" s="1"/>
      <c r="B163" s="60"/>
      <c r="C163" s="61"/>
      <c r="D163" s="61"/>
      <c r="E163" s="60"/>
      <c r="F163" s="60"/>
      <c r="G163" s="61"/>
      <c r="H163" s="60"/>
      <c r="I163" s="60"/>
      <c r="J163" s="61"/>
      <c r="K163" s="60"/>
      <c r="L163" s="60"/>
      <c r="M163" s="60"/>
      <c r="N163" s="61"/>
      <c r="O163" s="60"/>
      <c r="P163" s="61"/>
      <c r="Q163" s="60"/>
      <c r="R163" s="61"/>
      <c r="S163" s="60"/>
      <c r="T163" s="60"/>
      <c r="U163" s="60"/>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c r="A164" s="1"/>
      <c r="B164" s="60"/>
      <c r="C164" s="61"/>
      <c r="D164" s="61"/>
      <c r="E164" s="60"/>
      <c r="F164" s="60"/>
      <c r="G164" s="61"/>
      <c r="H164" s="60"/>
      <c r="I164" s="60"/>
      <c r="J164" s="61"/>
      <c r="K164" s="60"/>
      <c r="L164" s="60"/>
      <c r="M164" s="60"/>
      <c r="N164" s="61"/>
      <c r="O164" s="60"/>
      <c r="P164" s="61"/>
      <c r="Q164" s="60"/>
      <c r="R164" s="61"/>
      <c r="S164" s="60"/>
      <c r="T164" s="60"/>
      <c r="U164" s="60"/>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c r="A165" s="1"/>
      <c r="B165" s="60"/>
      <c r="C165" s="61"/>
      <c r="D165" s="61"/>
      <c r="E165" s="60"/>
      <c r="F165" s="60"/>
      <c r="G165" s="61"/>
      <c r="H165" s="60"/>
      <c r="I165" s="60"/>
      <c r="J165" s="61"/>
      <c r="K165" s="60"/>
      <c r="L165" s="60"/>
      <c r="M165" s="60"/>
      <c r="N165" s="61"/>
      <c r="O165" s="60"/>
      <c r="P165" s="61"/>
      <c r="Q165" s="60"/>
      <c r="R165" s="61"/>
      <c r="S165" s="60"/>
      <c r="T165" s="60"/>
      <c r="U165" s="60"/>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c r="A166" s="1"/>
      <c r="B166" s="60"/>
      <c r="C166" s="61"/>
      <c r="D166" s="61"/>
      <c r="E166" s="60"/>
      <c r="F166" s="60"/>
      <c r="G166" s="61"/>
      <c r="H166" s="60"/>
      <c r="I166" s="60"/>
      <c r="J166" s="61"/>
      <c r="K166" s="60"/>
      <c r="L166" s="60"/>
      <c r="M166" s="60"/>
      <c r="N166" s="61"/>
      <c r="O166" s="60"/>
      <c r="P166" s="61"/>
      <c r="Q166" s="60"/>
      <c r="R166" s="61"/>
      <c r="S166" s="60"/>
      <c r="T166" s="60"/>
      <c r="U166" s="60"/>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c r="A167" s="1"/>
      <c r="B167" s="60"/>
      <c r="C167" s="61"/>
      <c r="D167" s="61"/>
      <c r="E167" s="60"/>
      <c r="F167" s="60"/>
      <c r="G167" s="61"/>
      <c r="H167" s="60"/>
      <c r="I167" s="60"/>
      <c r="J167" s="61"/>
      <c r="K167" s="60"/>
      <c r="L167" s="60"/>
      <c r="M167" s="60"/>
      <c r="N167" s="61"/>
      <c r="O167" s="60"/>
      <c r="P167" s="61"/>
      <c r="Q167" s="60"/>
      <c r="R167" s="61"/>
      <c r="S167" s="60"/>
      <c r="T167" s="60"/>
      <c r="U167" s="60"/>
      <c r="V167" s="1"/>
      <c r="W167" s="1"/>
      <c r="X167" s="1"/>
      <c r="Y167" s="1"/>
      <c r="Z167" s="1"/>
      <c r="AA167" s="1"/>
      <c r="AB167" s="1"/>
      <c r="AC167" s="1"/>
      <c r="AD167" s="1"/>
      <c r="AE167" s="1"/>
      <c r="AF167" s="1"/>
      <c r="AG167" s="1"/>
      <c r="AH167" s="1"/>
      <c r="AI167" s="1"/>
      <c r="AJ167" s="1"/>
      <c r="AK167" s="1"/>
      <c r="AL167" s="1"/>
      <c r="AM167" s="1"/>
      <c r="AN167" s="1"/>
      <c r="AO167" s="1"/>
      <c r="AP167" s="1"/>
      <c r="AQ167" s="1"/>
      <c r="AR167" s="1"/>
    </row>
    <row r="168" spans="1:44">
      <c r="A168" s="1"/>
      <c r="B168" s="60"/>
      <c r="C168" s="61"/>
      <c r="D168" s="61"/>
      <c r="E168" s="60"/>
      <c r="F168" s="60"/>
      <c r="G168" s="61"/>
      <c r="H168" s="60"/>
      <c r="I168" s="60"/>
      <c r="J168" s="61"/>
      <c r="K168" s="60"/>
      <c r="L168" s="60"/>
      <c r="M168" s="60"/>
      <c r="N168" s="61"/>
      <c r="O168" s="60"/>
      <c r="P168" s="61"/>
      <c r="Q168" s="60"/>
      <c r="R168" s="61"/>
      <c r="S168" s="60"/>
      <c r="T168" s="60"/>
      <c r="U168" s="60"/>
      <c r="V168" s="1"/>
      <c r="W168" s="1"/>
      <c r="X168" s="1"/>
      <c r="Y168" s="1"/>
      <c r="Z168" s="1"/>
      <c r="AA168" s="1"/>
      <c r="AB168" s="1"/>
      <c r="AC168" s="1"/>
      <c r="AD168" s="1"/>
      <c r="AE168" s="1"/>
      <c r="AF168" s="1"/>
      <c r="AG168" s="1"/>
      <c r="AH168" s="1"/>
      <c r="AI168" s="1"/>
      <c r="AJ168" s="1"/>
      <c r="AK168" s="1"/>
      <c r="AL168" s="1"/>
      <c r="AM168" s="1"/>
      <c r="AN168" s="1"/>
      <c r="AO168" s="1"/>
      <c r="AP168" s="1"/>
      <c r="AQ168" s="1"/>
      <c r="AR168" s="1"/>
    </row>
    <row r="169" spans="1:44">
      <c r="A169" s="1"/>
      <c r="B169" s="60"/>
      <c r="C169" s="61"/>
      <c r="D169" s="61"/>
      <c r="E169" s="60"/>
      <c r="F169" s="60"/>
      <c r="G169" s="61"/>
      <c r="H169" s="60"/>
      <c r="I169" s="60"/>
      <c r="J169" s="61"/>
      <c r="K169" s="60"/>
      <c r="L169" s="60"/>
      <c r="M169" s="60"/>
      <c r="N169" s="61"/>
      <c r="O169" s="60"/>
      <c r="P169" s="61"/>
      <c r="Q169" s="60"/>
      <c r="R169" s="61"/>
      <c r="S169" s="60"/>
      <c r="T169" s="60"/>
      <c r="U169" s="60"/>
      <c r="V169" s="1"/>
      <c r="W169" s="1"/>
      <c r="X169" s="1"/>
      <c r="Y169" s="1"/>
      <c r="Z169" s="1"/>
      <c r="AA169" s="1"/>
      <c r="AB169" s="1"/>
      <c r="AC169" s="1"/>
      <c r="AD169" s="1"/>
      <c r="AE169" s="1"/>
      <c r="AF169" s="1"/>
      <c r="AG169" s="1"/>
      <c r="AH169" s="1"/>
      <c r="AI169" s="1"/>
      <c r="AJ169" s="1"/>
      <c r="AK169" s="1"/>
      <c r="AL169" s="1"/>
      <c r="AM169" s="1"/>
      <c r="AN169" s="1"/>
      <c r="AO169" s="1"/>
      <c r="AP169" s="1"/>
      <c r="AQ169" s="1"/>
      <c r="AR169" s="1"/>
    </row>
    <row r="170" spans="1:44">
      <c r="A170" s="1"/>
      <c r="B170" s="60"/>
      <c r="C170" s="61"/>
      <c r="D170" s="61"/>
      <c r="E170" s="60"/>
      <c r="F170" s="60"/>
      <c r="G170" s="61"/>
      <c r="H170" s="60"/>
      <c r="I170" s="60"/>
      <c r="J170" s="61"/>
      <c r="K170" s="60"/>
      <c r="L170" s="60"/>
      <c r="M170" s="60"/>
      <c r="N170" s="61"/>
      <c r="O170" s="60"/>
      <c r="P170" s="61"/>
      <c r="Q170" s="60"/>
      <c r="R170" s="61"/>
      <c r="S170" s="60"/>
      <c r="T170" s="60"/>
      <c r="U170" s="60"/>
      <c r="V170" s="1"/>
      <c r="W170" s="1"/>
      <c r="X170" s="1"/>
      <c r="Y170" s="1"/>
      <c r="Z170" s="1"/>
      <c r="AA170" s="1"/>
      <c r="AB170" s="1"/>
      <c r="AC170" s="1"/>
      <c r="AD170" s="1"/>
      <c r="AE170" s="1"/>
      <c r="AF170" s="1"/>
      <c r="AG170" s="1"/>
      <c r="AH170" s="1"/>
      <c r="AI170" s="1"/>
      <c r="AJ170" s="1"/>
      <c r="AK170" s="1"/>
      <c r="AL170" s="1"/>
      <c r="AM170" s="1"/>
      <c r="AN170" s="1"/>
      <c r="AO170" s="1"/>
      <c r="AP170" s="1"/>
      <c r="AQ170" s="1"/>
      <c r="AR170" s="1"/>
    </row>
    <row r="171" spans="1:44">
      <c r="A171" s="1"/>
      <c r="B171" s="60"/>
      <c r="C171" s="61"/>
      <c r="D171" s="61"/>
      <c r="E171" s="60"/>
      <c r="F171" s="60"/>
      <c r="G171" s="61"/>
      <c r="H171" s="60"/>
      <c r="I171" s="60"/>
      <c r="J171" s="61"/>
      <c r="K171" s="60"/>
      <c r="L171" s="60"/>
      <c r="M171" s="60"/>
      <c r="N171" s="61"/>
      <c r="O171" s="60"/>
      <c r="P171" s="61"/>
      <c r="Q171" s="60"/>
      <c r="R171" s="61"/>
      <c r="S171" s="60"/>
      <c r="T171" s="60"/>
      <c r="U171" s="60"/>
      <c r="V171" s="1"/>
      <c r="W171" s="1"/>
      <c r="X171" s="1"/>
      <c r="Y171" s="1"/>
      <c r="Z171" s="1"/>
      <c r="AA171" s="1"/>
      <c r="AB171" s="1"/>
      <c r="AC171" s="1"/>
      <c r="AD171" s="1"/>
      <c r="AE171" s="1"/>
      <c r="AF171" s="1"/>
      <c r="AG171" s="1"/>
      <c r="AH171" s="1"/>
      <c r="AI171" s="1"/>
      <c r="AJ171" s="1"/>
      <c r="AK171" s="1"/>
      <c r="AL171" s="1"/>
      <c r="AM171" s="1"/>
      <c r="AN171" s="1"/>
      <c r="AO171" s="1"/>
      <c r="AP171" s="1"/>
      <c r="AQ171" s="1"/>
      <c r="AR171" s="1"/>
    </row>
    <row r="172" spans="1:44">
      <c r="A172" s="1"/>
      <c r="B172" s="60"/>
      <c r="C172" s="61"/>
      <c r="D172" s="61"/>
      <c r="E172" s="60"/>
      <c r="F172" s="60"/>
      <c r="G172" s="61"/>
      <c r="H172" s="60"/>
      <c r="I172" s="60"/>
      <c r="J172" s="61"/>
      <c r="K172" s="60"/>
      <c r="L172" s="60"/>
      <c r="M172" s="60"/>
      <c r="N172" s="61"/>
      <c r="O172" s="60"/>
      <c r="P172" s="61"/>
      <c r="Q172" s="60"/>
      <c r="R172" s="61"/>
      <c r="S172" s="60"/>
      <c r="T172" s="60"/>
      <c r="U172" s="60"/>
      <c r="V172" s="1"/>
      <c r="W172" s="1"/>
      <c r="X172" s="1"/>
      <c r="Y172" s="1"/>
      <c r="Z172" s="1"/>
      <c r="AA172" s="1"/>
      <c r="AB172" s="1"/>
      <c r="AC172" s="1"/>
      <c r="AD172" s="1"/>
      <c r="AE172" s="1"/>
      <c r="AF172" s="1"/>
      <c r="AG172" s="1"/>
      <c r="AH172" s="1"/>
      <c r="AI172" s="1"/>
      <c r="AJ172" s="1"/>
      <c r="AK172" s="1"/>
      <c r="AL172" s="1"/>
      <c r="AM172" s="1"/>
      <c r="AN172" s="1"/>
      <c r="AO172" s="1"/>
      <c r="AP172" s="1"/>
      <c r="AQ172" s="1"/>
      <c r="AR172" s="1"/>
    </row>
    <row r="173" spans="1:44">
      <c r="A173" s="1"/>
      <c r="B173" s="60"/>
      <c r="C173" s="61"/>
      <c r="D173" s="61"/>
      <c r="E173" s="60"/>
      <c r="F173" s="60"/>
      <c r="G173" s="61"/>
      <c r="H173" s="60"/>
      <c r="I173" s="60"/>
      <c r="J173" s="61"/>
      <c r="K173" s="60"/>
      <c r="L173" s="60"/>
      <c r="M173" s="60"/>
      <c r="N173" s="61"/>
      <c r="O173" s="60"/>
      <c r="P173" s="61"/>
      <c r="Q173" s="60"/>
      <c r="R173" s="61"/>
      <c r="S173" s="60"/>
      <c r="T173" s="60"/>
      <c r="U173" s="60"/>
      <c r="V173" s="1"/>
      <c r="W173" s="1"/>
      <c r="X173" s="1"/>
      <c r="Y173" s="1"/>
      <c r="Z173" s="1"/>
      <c r="AA173" s="1"/>
      <c r="AB173" s="1"/>
      <c r="AC173" s="1"/>
      <c r="AD173" s="1"/>
      <c r="AE173" s="1"/>
      <c r="AF173" s="1"/>
      <c r="AG173" s="1"/>
      <c r="AH173" s="1"/>
      <c r="AI173" s="1"/>
      <c r="AJ173" s="1"/>
      <c r="AK173" s="1"/>
      <c r="AL173" s="1"/>
      <c r="AM173" s="1"/>
      <c r="AN173" s="1"/>
      <c r="AO173" s="1"/>
      <c r="AP173" s="1"/>
      <c r="AQ173" s="1"/>
      <c r="AR173" s="1"/>
    </row>
    <row r="174" spans="1:44">
      <c r="A174" s="1"/>
      <c r="B174" s="60"/>
      <c r="C174" s="61"/>
      <c r="D174" s="61"/>
      <c r="E174" s="60"/>
      <c r="F174" s="60"/>
      <c r="G174" s="61"/>
      <c r="H174" s="60"/>
      <c r="I174" s="60"/>
      <c r="J174" s="61"/>
      <c r="K174" s="60"/>
      <c r="L174" s="60"/>
      <c r="M174" s="60"/>
      <c r="N174" s="61"/>
      <c r="O174" s="60"/>
      <c r="P174" s="61"/>
      <c r="Q174" s="60"/>
      <c r="R174" s="61"/>
      <c r="S174" s="60"/>
      <c r="T174" s="60"/>
      <c r="U174" s="60"/>
      <c r="V174" s="1"/>
      <c r="W174" s="1"/>
      <c r="X174" s="1"/>
      <c r="Y174" s="1"/>
      <c r="Z174" s="1"/>
      <c r="AA174" s="1"/>
      <c r="AB174" s="1"/>
      <c r="AC174" s="1"/>
      <c r="AD174" s="1"/>
      <c r="AE174" s="1"/>
      <c r="AF174" s="1"/>
      <c r="AG174" s="1"/>
      <c r="AH174" s="1"/>
      <c r="AI174" s="1"/>
      <c r="AJ174" s="1"/>
      <c r="AK174" s="1"/>
      <c r="AL174" s="1"/>
      <c r="AM174" s="1"/>
      <c r="AN174" s="1"/>
      <c r="AO174" s="1"/>
      <c r="AP174" s="1"/>
      <c r="AQ174" s="1"/>
      <c r="AR174" s="1"/>
    </row>
    <row r="175" spans="1:44">
      <c r="A175" s="1"/>
      <c r="B175" s="60"/>
      <c r="C175" s="61"/>
      <c r="D175" s="61"/>
      <c r="E175" s="60"/>
      <c r="F175" s="60"/>
      <c r="G175" s="61"/>
      <c r="H175" s="60"/>
      <c r="I175" s="60"/>
      <c r="J175" s="61"/>
      <c r="K175" s="60"/>
      <c r="L175" s="60"/>
      <c r="M175" s="60"/>
      <c r="N175" s="61"/>
      <c r="O175" s="60"/>
      <c r="P175" s="61"/>
      <c r="Q175" s="60"/>
      <c r="R175" s="61"/>
      <c r="S175" s="60"/>
      <c r="T175" s="60"/>
      <c r="U175" s="60"/>
      <c r="V175" s="1"/>
      <c r="W175" s="1"/>
      <c r="X175" s="1"/>
      <c r="Y175" s="1"/>
      <c r="Z175" s="1"/>
      <c r="AA175" s="1"/>
      <c r="AB175" s="1"/>
      <c r="AC175" s="1"/>
      <c r="AD175" s="1"/>
      <c r="AE175" s="1"/>
      <c r="AF175" s="1"/>
      <c r="AG175" s="1"/>
      <c r="AH175" s="1"/>
      <c r="AI175" s="1"/>
      <c r="AJ175" s="1"/>
      <c r="AK175" s="1"/>
      <c r="AL175" s="1"/>
      <c r="AM175" s="1"/>
      <c r="AN175" s="1"/>
      <c r="AO175" s="1"/>
      <c r="AP175" s="1"/>
      <c r="AQ175" s="1"/>
      <c r="AR175" s="1"/>
    </row>
    <row r="176" spans="1:44">
      <c r="A176" s="1"/>
      <c r="B176" s="60"/>
      <c r="C176" s="61"/>
      <c r="D176" s="61"/>
      <c r="E176" s="60"/>
      <c r="F176" s="60"/>
      <c r="G176" s="61"/>
      <c r="H176" s="60"/>
      <c r="I176" s="60"/>
      <c r="J176" s="61"/>
      <c r="K176" s="60"/>
      <c r="L176" s="60"/>
      <c r="M176" s="60"/>
      <c r="N176" s="61"/>
      <c r="O176" s="60"/>
      <c r="P176" s="61"/>
      <c r="Q176" s="60"/>
      <c r="R176" s="61"/>
      <c r="S176" s="60"/>
      <c r="T176" s="60"/>
      <c r="U176" s="60"/>
      <c r="V176" s="1"/>
      <c r="W176" s="1"/>
      <c r="X176" s="1"/>
      <c r="Y176" s="1"/>
      <c r="Z176" s="1"/>
      <c r="AA176" s="1"/>
      <c r="AB176" s="1"/>
      <c r="AC176" s="1"/>
      <c r="AD176" s="1"/>
      <c r="AE176" s="1"/>
      <c r="AF176" s="1"/>
      <c r="AG176" s="1"/>
      <c r="AH176" s="1"/>
      <c r="AI176" s="1"/>
      <c r="AJ176" s="1"/>
      <c r="AK176" s="1"/>
      <c r="AL176" s="1"/>
      <c r="AM176" s="1"/>
      <c r="AN176" s="1"/>
      <c r="AO176" s="1"/>
      <c r="AP176" s="1"/>
      <c r="AQ176" s="1"/>
      <c r="AR176" s="1"/>
    </row>
    <row r="177" spans="1:44">
      <c r="A177" s="1"/>
      <c r="B177" s="60"/>
      <c r="C177" s="61"/>
      <c r="D177" s="61"/>
      <c r="E177" s="60"/>
      <c r="F177" s="60"/>
      <c r="G177" s="61"/>
      <c r="H177" s="60"/>
      <c r="I177" s="60"/>
      <c r="J177" s="61"/>
      <c r="K177" s="60"/>
      <c r="L177" s="60"/>
      <c r="M177" s="60"/>
      <c r="N177" s="61"/>
      <c r="O177" s="60"/>
      <c r="P177" s="61"/>
      <c r="Q177" s="60"/>
      <c r="R177" s="61"/>
      <c r="S177" s="60"/>
      <c r="T177" s="60"/>
      <c r="U177" s="60"/>
      <c r="V177" s="1"/>
      <c r="W177" s="1"/>
      <c r="X177" s="1"/>
      <c r="Y177" s="1"/>
      <c r="Z177" s="1"/>
      <c r="AA177" s="1"/>
      <c r="AB177" s="1"/>
      <c r="AC177" s="1"/>
      <c r="AD177" s="1"/>
      <c r="AE177" s="1"/>
      <c r="AF177" s="1"/>
      <c r="AG177" s="1"/>
      <c r="AH177" s="1"/>
      <c r="AI177" s="1"/>
      <c r="AJ177" s="1"/>
      <c r="AK177" s="1"/>
      <c r="AL177" s="1"/>
      <c r="AM177" s="1"/>
      <c r="AN177" s="1"/>
      <c r="AO177" s="1"/>
      <c r="AP177" s="1"/>
      <c r="AQ177" s="1"/>
      <c r="AR177" s="1"/>
    </row>
    <row r="178" spans="1:44">
      <c r="A178" s="1"/>
      <c r="B178" s="60"/>
      <c r="C178" s="61"/>
      <c r="D178" s="61"/>
      <c r="E178" s="60"/>
      <c r="F178" s="60"/>
      <c r="G178" s="61"/>
      <c r="H178" s="60"/>
      <c r="I178" s="60"/>
      <c r="J178" s="61"/>
      <c r="K178" s="60"/>
      <c r="L178" s="60"/>
      <c r="M178" s="60"/>
      <c r="N178" s="61"/>
      <c r="O178" s="60"/>
      <c r="P178" s="61"/>
      <c r="Q178" s="60"/>
      <c r="R178" s="61"/>
      <c r="S178" s="60"/>
      <c r="T178" s="60"/>
      <c r="U178" s="60"/>
      <c r="V178" s="1"/>
      <c r="W178" s="1"/>
      <c r="X178" s="1"/>
      <c r="Y178" s="1"/>
      <c r="Z178" s="1"/>
      <c r="AA178" s="1"/>
      <c r="AB178" s="1"/>
      <c r="AC178" s="1"/>
      <c r="AD178" s="1"/>
      <c r="AE178" s="1"/>
      <c r="AF178" s="1"/>
      <c r="AG178" s="1"/>
      <c r="AH178" s="1"/>
      <c r="AI178" s="1"/>
      <c r="AJ178" s="1"/>
      <c r="AK178" s="1"/>
      <c r="AL178" s="1"/>
      <c r="AM178" s="1"/>
      <c r="AN178" s="1"/>
      <c r="AO178" s="1"/>
      <c r="AP178" s="1"/>
      <c r="AQ178" s="1"/>
      <c r="AR178" s="1"/>
    </row>
    <row r="179" spans="1:44">
      <c r="A179" s="1"/>
      <c r="B179" s="60"/>
      <c r="C179" s="61"/>
      <c r="D179" s="61"/>
      <c r="E179" s="60"/>
      <c r="F179" s="60"/>
      <c r="G179" s="61"/>
      <c r="H179" s="60"/>
      <c r="I179" s="60"/>
      <c r="J179" s="61"/>
      <c r="K179" s="60"/>
      <c r="L179" s="60"/>
      <c r="M179" s="60"/>
      <c r="N179" s="61"/>
      <c r="O179" s="60"/>
      <c r="P179" s="61"/>
      <c r="Q179" s="60"/>
      <c r="R179" s="61"/>
      <c r="S179" s="60"/>
      <c r="T179" s="60"/>
      <c r="U179" s="60"/>
      <c r="V179" s="1"/>
      <c r="W179" s="1"/>
      <c r="X179" s="1"/>
      <c r="Y179" s="1"/>
      <c r="Z179" s="1"/>
      <c r="AA179" s="1"/>
      <c r="AB179" s="1"/>
      <c r="AC179" s="1"/>
      <c r="AD179" s="1"/>
      <c r="AE179" s="1"/>
      <c r="AF179" s="1"/>
      <c r="AG179" s="1"/>
      <c r="AH179" s="1"/>
      <c r="AI179" s="1"/>
      <c r="AJ179" s="1"/>
      <c r="AK179" s="1"/>
      <c r="AL179" s="1"/>
      <c r="AM179" s="1"/>
      <c r="AN179" s="1"/>
      <c r="AO179" s="1"/>
      <c r="AP179" s="1"/>
      <c r="AQ179" s="1"/>
      <c r="AR179" s="1"/>
    </row>
    <row r="180" spans="1:44">
      <c r="A180" s="1"/>
      <c r="B180" s="60"/>
      <c r="C180" s="61"/>
      <c r="D180" s="61"/>
      <c r="E180" s="60"/>
      <c r="F180" s="60"/>
      <c r="G180" s="61"/>
      <c r="H180" s="60"/>
      <c r="I180" s="60"/>
      <c r="J180" s="61"/>
      <c r="K180" s="60"/>
      <c r="L180" s="60"/>
      <c r="M180" s="60"/>
      <c r="N180" s="61"/>
      <c r="O180" s="60"/>
      <c r="P180" s="61"/>
      <c r="Q180" s="60"/>
      <c r="R180" s="61"/>
      <c r="S180" s="60"/>
      <c r="T180" s="60"/>
      <c r="U180" s="60"/>
      <c r="V180" s="1"/>
      <c r="W180" s="1"/>
      <c r="X180" s="1"/>
      <c r="Y180" s="1"/>
      <c r="Z180" s="1"/>
      <c r="AA180" s="1"/>
      <c r="AB180" s="1"/>
      <c r="AC180" s="1"/>
      <c r="AD180" s="1"/>
      <c r="AE180" s="1"/>
      <c r="AF180" s="1"/>
      <c r="AG180" s="1"/>
      <c r="AH180" s="1"/>
      <c r="AI180" s="1"/>
      <c r="AJ180" s="1"/>
      <c r="AK180" s="1"/>
      <c r="AL180" s="1"/>
      <c r="AM180" s="1"/>
      <c r="AN180" s="1"/>
      <c r="AO180" s="1"/>
      <c r="AP180" s="1"/>
      <c r="AQ180" s="1"/>
      <c r="AR180" s="1"/>
    </row>
    <row r="181" spans="1:44">
      <c r="A181" s="1"/>
      <c r="B181" s="60"/>
      <c r="C181" s="61"/>
      <c r="D181" s="61"/>
      <c r="E181" s="60"/>
      <c r="F181" s="60"/>
      <c r="G181" s="61"/>
      <c r="H181" s="60"/>
      <c r="I181" s="60"/>
      <c r="J181" s="61"/>
      <c r="K181" s="60"/>
      <c r="L181" s="60"/>
      <c r="M181" s="60"/>
      <c r="N181" s="61"/>
      <c r="O181" s="60"/>
      <c r="P181" s="61"/>
      <c r="Q181" s="60"/>
      <c r="R181" s="61"/>
      <c r="S181" s="60"/>
      <c r="T181" s="60"/>
      <c r="U181" s="60"/>
      <c r="V181" s="1"/>
      <c r="W181" s="1"/>
      <c r="X181" s="1"/>
      <c r="Y181" s="1"/>
      <c r="Z181" s="1"/>
      <c r="AA181" s="1"/>
      <c r="AB181" s="1"/>
      <c r="AC181" s="1"/>
      <c r="AD181" s="1"/>
      <c r="AE181" s="1"/>
      <c r="AF181" s="1"/>
      <c r="AG181" s="1"/>
      <c r="AH181" s="1"/>
      <c r="AI181" s="1"/>
      <c r="AJ181" s="1"/>
      <c r="AK181" s="1"/>
      <c r="AL181" s="1"/>
      <c r="AM181" s="1"/>
      <c r="AN181" s="1"/>
      <c r="AO181" s="1"/>
      <c r="AP181" s="1"/>
      <c r="AQ181" s="1"/>
      <c r="AR181" s="1"/>
    </row>
    <row r="182" spans="1:44">
      <c r="A182" s="1"/>
      <c r="B182" s="60"/>
      <c r="C182" s="61"/>
      <c r="D182" s="61"/>
      <c r="E182" s="60"/>
      <c r="F182" s="60"/>
      <c r="G182" s="61"/>
      <c r="H182" s="60"/>
      <c r="I182" s="60"/>
      <c r="J182" s="61"/>
      <c r="K182" s="60"/>
      <c r="L182" s="60"/>
      <c r="M182" s="60"/>
      <c r="N182" s="61"/>
      <c r="O182" s="60"/>
      <c r="P182" s="61"/>
      <c r="Q182" s="60"/>
      <c r="R182" s="61"/>
      <c r="S182" s="60"/>
      <c r="T182" s="60"/>
      <c r="U182" s="60"/>
      <c r="V182" s="1"/>
      <c r="W182" s="1"/>
      <c r="X182" s="1"/>
      <c r="Y182" s="1"/>
      <c r="Z182" s="1"/>
      <c r="AA182" s="1"/>
      <c r="AB182" s="1"/>
      <c r="AC182" s="1"/>
      <c r="AD182" s="1"/>
      <c r="AE182" s="1"/>
      <c r="AF182" s="1"/>
      <c r="AG182" s="1"/>
      <c r="AH182" s="1"/>
      <c r="AI182" s="1"/>
      <c r="AJ182" s="1"/>
      <c r="AK182" s="1"/>
      <c r="AL182" s="1"/>
      <c r="AM182" s="1"/>
      <c r="AN182" s="1"/>
      <c r="AO182" s="1"/>
      <c r="AP182" s="1"/>
      <c r="AQ182" s="1"/>
      <c r="AR182" s="1"/>
    </row>
    <row r="183" spans="1:44">
      <c r="A183" s="1"/>
      <c r="B183" s="60"/>
      <c r="C183" s="61"/>
      <c r="D183" s="61"/>
      <c r="E183" s="60"/>
      <c r="F183" s="60"/>
      <c r="G183" s="61"/>
      <c r="H183" s="60"/>
      <c r="I183" s="60"/>
      <c r="J183" s="61"/>
      <c r="K183" s="60"/>
      <c r="L183" s="60"/>
      <c r="M183" s="60"/>
      <c r="N183" s="61"/>
      <c r="O183" s="60"/>
      <c r="P183" s="61"/>
      <c r="Q183" s="60"/>
      <c r="R183" s="61"/>
      <c r="S183" s="60"/>
      <c r="T183" s="60"/>
      <c r="U183" s="60"/>
      <c r="V183" s="1"/>
      <c r="W183" s="1"/>
      <c r="X183" s="1"/>
      <c r="Y183" s="1"/>
      <c r="Z183" s="1"/>
      <c r="AA183" s="1"/>
      <c r="AB183" s="1"/>
      <c r="AC183" s="1"/>
      <c r="AD183" s="1"/>
      <c r="AE183" s="1"/>
      <c r="AF183" s="1"/>
      <c r="AG183" s="1"/>
      <c r="AH183" s="1"/>
      <c r="AI183" s="1"/>
      <c r="AJ183" s="1"/>
      <c r="AK183" s="1"/>
      <c r="AL183" s="1"/>
      <c r="AM183" s="1"/>
      <c r="AN183" s="1"/>
      <c r="AO183" s="1"/>
      <c r="AP183" s="1"/>
      <c r="AQ183" s="1"/>
      <c r="AR183" s="1"/>
    </row>
  </sheetData>
  <pageMargins left="0.2" right="0.21" top="0.9" bottom="0.69" header="0.5" footer="0.5"/>
  <pageSetup scale="42" orientation="landscape" r:id="rId1"/>
  <headerFooter alignWithMargins="0">
    <oddFooter>&amp;L&amp;"CG Times,Bold"&amp;16 &amp;R&amp;16&amp;P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188"/>
  <sheetViews>
    <sheetView topLeftCell="A34" workbookViewId="0"/>
  </sheetViews>
  <sheetFormatPr defaultRowHeight="15.75"/>
  <cols>
    <col min="1" max="1" width="32.75" style="555" customWidth="1"/>
    <col min="2" max="2" width="13.625" style="12" customWidth="1"/>
    <col min="3" max="3" width="13.75" style="12" customWidth="1"/>
    <col min="4" max="4" width="13.75" style="13" customWidth="1"/>
    <col min="5" max="7" width="13.75" style="12" customWidth="1"/>
    <col min="8" max="8" width="13.75" style="13" customWidth="1"/>
    <col min="9" max="11" width="13.75" style="12" customWidth="1"/>
    <col min="12" max="12" width="13.625" style="12" customWidth="1"/>
    <col min="13" max="14" width="13.75" style="12" customWidth="1"/>
    <col min="15" max="15" width="13.75" style="13" customWidth="1"/>
    <col min="16" max="17" width="13.75" style="12" customWidth="1"/>
    <col min="18" max="18" width="14.375" style="12" customWidth="1"/>
    <col min="19" max="23" width="14.375" style="555" customWidth="1"/>
    <col min="24" max="256" width="11" style="555" customWidth="1"/>
    <col min="257" max="16384" width="9" style="555"/>
  </cols>
  <sheetData>
    <row r="1" spans="1:41">
      <c r="A1" s="554" t="s">
        <v>163</v>
      </c>
      <c r="B1" s="37"/>
      <c r="C1" s="37"/>
      <c r="D1" s="38"/>
      <c r="E1" s="37"/>
      <c r="F1" s="37"/>
      <c r="G1" s="37"/>
      <c r="H1" s="38"/>
      <c r="I1" s="37"/>
      <c r="J1" s="37"/>
      <c r="K1" s="37"/>
      <c r="L1" s="37"/>
      <c r="M1" s="37"/>
      <c r="N1" s="37"/>
      <c r="O1" s="38"/>
      <c r="P1" s="37"/>
    </row>
    <row r="2" spans="1:41">
      <c r="A2" s="554" t="s">
        <v>360</v>
      </c>
      <c r="B2" s="37"/>
      <c r="C2" s="37"/>
      <c r="D2" s="38"/>
      <c r="E2" s="37"/>
      <c r="F2" s="37"/>
      <c r="G2" s="37"/>
      <c r="H2" s="38"/>
      <c r="I2" s="37"/>
      <c r="J2" s="37"/>
      <c r="K2" s="37"/>
      <c r="L2" s="37"/>
      <c r="M2" s="37"/>
      <c r="N2" s="37"/>
      <c r="O2" s="38"/>
      <c r="P2" s="37"/>
    </row>
    <row r="3" spans="1:41">
      <c r="A3" s="554" t="s">
        <v>403</v>
      </c>
      <c r="B3" s="37"/>
      <c r="C3" s="37"/>
      <c r="D3" s="38"/>
      <c r="E3" s="37"/>
      <c r="F3" s="37"/>
      <c r="G3" s="37"/>
      <c r="H3" s="38"/>
      <c r="I3" s="37"/>
      <c r="J3" s="37"/>
      <c r="K3" s="37"/>
      <c r="L3" s="37"/>
      <c r="M3" s="37"/>
      <c r="N3" s="37"/>
      <c r="O3" s="38"/>
      <c r="P3" s="37"/>
    </row>
    <row r="4" spans="1:41">
      <c r="A4" s="554" t="s">
        <v>251</v>
      </c>
      <c r="B4" s="37"/>
      <c r="C4" s="37"/>
      <c r="D4" s="38"/>
      <c r="E4" s="37"/>
      <c r="F4" s="37"/>
      <c r="G4" s="37"/>
      <c r="H4" s="38"/>
      <c r="I4" s="37"/>
      <c r="J4" s="37"/>
      <c r="K4" s="37"/>
      <c r="L4" s="37"/>
      <c r="M4" s="37"/>
      <c r="N4" s="37"/>
      <c r="O4" s="38"/>
      <c r="P4" s="37"/>
    </row>
    <row r="5" spans="1:41">
      <c r="A5" s="554" t="s">
        <v>179</v>
      </c>
      <c r="B5" s="37"/>
      <c r="C5" s="37"/>
      <c r="D5" s="38"/>
      <c r="E5" s="37"/>
      <c r="F5" s="37"/>
      <c r="G5" s="37"/>
      <c r="H5" s="38"/>
      <c r="I5" s="37"/>
      <c r="J5" s="37"/>
      <c r="K5" s="37"/>
      <c r="L5" s="37"/>
      <c r="M5" s="37"/>
      <c r="N5" s="37"/>
      <c r="O5" s="38"/>
      <c r="P5" s="37"/>
    </row>
    <row r="6" spans="1:41">
      <c r="A6" s="556"/>
      <c r="B6" s="60"/>
      <c r="C6" s="60"/>
      <c r="D6" s="61"/>
      <c r="E6" s="60"/>
      <c r="F6" s="60"/>
      <c r="G6" s="60"/>
      <c r="H6" s="61"/>
      <c r="I6" s="60"/>
      <c r="J6" s="60"/>
      <c r="K6" s="60"/>
      <c r="L6" s="60"/>
      <c r="M6" s="60"/>
      <c r="N6" s="60"/>
      <c r="O6" s="61"/>
      <c r="P6" s="60"/>
      <c r="Q6" s="60"/>
      <c r="R6" s="60"/>
      <c r="S6" s="556"/>
      <c r="T6" s="556"/>
      <c r="U6" s="556"/>
      <c r="V6" s="556"/>
      <c r="W6" s="556"/>
      <c r="X6" s="556"/>
      <c r="Y6" s="556"/>
      <c r="Z6" s="556"/>
      <c r="AA6" s="556"/>
      <c r="AB6" s="556"/>
      <c r="AC6" s="556"/>
      <c r="AD6" s="556"/>
      <c r="AE6" s="556"/>
      <c r="AF6" s="556"/>
      <c r="AG6" s="556"/>
      <c r="AH6" s="556"/>
      <c r="AI6" s="556"/>
      <c r="AJ6" s="556"/>
      <c r="AK6" s="556"/>
      <c r="AL6" s="556"/>
      <c r="AM6" s="556"/>
      <c r="AN6" s="556"/>
      <c r="AO6" s="556"/>
    </row>
    <row r="7" spans="1:41" s="558" customFormat="1" ht="16.5" thickBot="1">
      <c r="A7" s="557"/>
      <c r="B7" s="150" t="s">
        <v>98</v>
      </c>
      <c r="C7" s="151" t="s">
        <v>405</v>
      </c>
      <c r="D7" s="151" t="s">
        <v>101</v>
      </c>
      <c r="E7" s="150" t="s">
        <v>102</v>
      </c>
      <c r="F7" s="151" t="s">
        <v>107</v>
      </c>
      <c r="G7" s="151" t="s">
        <v>103</v>
      </c>
      <c r="H7" s="151" t="s">
        <v>104</v>
      </c>
      <c r="I7" s="150" t="s">
        <v>105</v>
      </c>
      <c r="J7" s="150" t="s">
        <v>361</v>
      </c>
      <c r="K7" s="297" t="s">
        <v>362</v>
      </c>
      <c r="L7" s="150" t="s">
        <v>108</v>
      </c>
      <c r="M7" s="297" t="s">
        <v>362</v>
      </c>
      <c r="N7" s="150" t="s">
        <v>109</v>
      </c>
      <c r="O7" s="151" t="s">
        <v>110</v>
      </c>
      <c r="P7" s="297" t="s">
        <v>362</v>
      </c>
      <c r="Q7" s="150" t="s">
        <v>111</v>
      </c>
      <c r="R7" s="68"/>
      <c r="S7" s="557"/>
      <c r="T7" s="557"/>
      <c r="U7" s="557"/>
      <c r="V7" s="557"/>
      <c r="W7" s="557"/>
      <c r="X7" s="557"/>
      <c r="Y7" s="557"/>
      <c r="Z7" s="557"/>
      <c r="AA7" s="557"/>
      <c r="AB7" s="557"/>
      <c r="AC7" s="557"/>
      <c r="AD7" s="557"/>
      <c r="AE7" s="557"/>
      <c r="AF7" s="557"/>
      <c r="AG7" s="557"/>
      <c r="AH7" s="557"/>
      <c r="AI7" s="557"/>
      <c r="AJ7" s="557"/>
      <c r="AK7" s="557"/>
      <c r="AL7" s="557"/>
      <c r="AM7" s="557"/>
      <c r="AN7" s="557"/>
      <c r="AO7" s="557"/>
    </row>
    <row r="8" spans="1:41">
      <c r="A8" s="558" t="s">
        <v>243</v>
      </c>
      <c r="B8" s="556"/>
      <c r="C8" s="556"/>
      <c r="D8" s="556"/>
      <c r="E8" s="556"/>
      <c r="F8" s="556"/>
      <c r="G8" s="556"/>
      <c r="H8" s="556"/>
      <c r="I8" s="556"/>
      <c r="J8" s="556"/>
      <c r="K8" s="559"/>
      <c r="L8" s="556"/>
      <c r="M8" s="559"/>
      <c r="N8" s="556"/>
      <c r="O8" s="556"/>
      <c r="P8" s="559"/>
      <c r="Q8" s="62"/>
      <c r="R8" s="62"/>
      <c r="S8" s="560"/>
      <c r="T8" s="560"/>
      <c r="U8" s="560"/>
      <c r="V8" s="556"/>
      <c r="W8" s="556"/>
      <c r="X8" s="556"/>
      <c r="Y8" s="556"/>
      <c r="Z8" s="556"/>
      <c r="AA8" s="556"/>
      <c r="AB8" s="556"/>
      <c r="AC8" s="556"/>
      <c r="AD8" s="556"/>
      <c r="AE8" s="556"/>
      <c r="AF8" s="556"/>
      <c r="AG8" s="556"/>
      <c r="AH8" s="556"/>
      <c r="AI8" s="556"/>
      <c r="AJ8" s="556"/>
      <c r="AK8" s="556"/>
      <c r="AL8" s="556"/>
      <c r="AM8" s="556"/>
      <c r="AN8" s="556"/>
      <c r="AO8" s="556"/>
    </row>
    <row r="9" spans="1:41">
      <c r="A9" s="556" t="s">
        <v>264</v>
      </c>
      <c r="B9" s="60"/>
      <c r="C9" s="61"/>
      <c r="D9" s="61"/>
      <c r="E9" s="556"/>
      <c r="F9" s="61"/>
      <c r="G9" s="61"/>
      <c r="H9" s="61"/>
      <c r="I9" s="60"/>
      <c r="J9" s="60"/>
      <c r="K9" s="84"/>
      <c r="L9" s="60"/>
      <c r="M9" s="84"/>
      <c r="N9" s="60"/>
      <c r="O9" s="61"/>
      <c r="P9" s="84"/>
      <c r="Q9" s="60"/>
      <c r="R9" s="60"/>
      <c r="S9" s="556"/>
      <c r="T9" s="556"/>
      <c r="U9" s="556"/>
      <c r="V9" s="556"/>
      <c r="W9" s="556"/>
      <c r="X9" s="556"/>
      <c r="Y9" s="556"/>
      <c r="Z9" s="556"/>
      <c r="AA9" s="556"/>
      <c r="AB9" s="556"/>
      <c r="AC9" s="556"/>
      <c r="AD9" s="556"/>
      <c r="AE9" s="556"/>
      <c r="AF9" s="556"/>
      <c r="AG9" s="556"/>
      <c r="AH9" s="556"/>
      <c r="AI9" s="556"/>
      <c r="AJ9" s="556"/>
      <c r="AK9" s="556"/>
      <c r="AL9" s="556"/>
      <c r="AM9" s="556"/>
      <c r="AN9" s="556"/>
      <c r="AO9" s="556"/>
    </row>
    <row r="10" spans="1:41">
      <c r="A10" s="556" t="s">
        <v>265</v>
      </c>
      <c r="B10" s="88">
        <f>+bichvar!J10</f>
        <v>353.1</v>
      </c>
      <c r="C10" s="88">
        <f>+bncvar!J10</f>
        <v>197213</v>
      </c>
      <c r="D10" s="88">
        <f>+bphvar!J10</f>
        <v>47805.4</v>
      </c>
      <c r="E10" s="88">
        <f>+buhvar!J10</f>
        <v>212528</v>
      </c>
      <c r="F10" s="88">
        <f>+capitalbkvar!J10</f>
        <v>22990</v>
      </c>
      <c r="G10" s="88">
        <f>+promobkvar!J10</f>
        <v>79458</v>
      </c>
      <c r="H10" s="88">
        <f>+socabkvar!J10</f>
        <v>59961.4</v>
      </c>
      <c r="I10" s="88">
        <f>+sogebkvar!J10</f>
        <v>301146</v>
      </c>
      <c r="J10" s="88">
        <f>+unibkvar!J10</f>
        <v>69863.3</v>
      </c>
      <c r="K10" s="90">
        <f>SUM(B10:J10)</f>
        <v>991318.20000000007</v>
      </c>
      <c r="L10" s="88">
        <f>+sgbelvar!J10</f>
        <v>14187</v>
      </c>
      <c r="M10" s="117">
        <f t="shared" ref="M10:M15" si="0">+L10</f>
        <v>14187</v>
      </c>
      <c r="N10" s="88">
        <f>+cbnavar!J10</f>
        <v>26307</v>
      </c>
      <c r="O10" s="88">
        <f>+scotiavar!J10</f>
        <v>27686</v>
      </c>
      <c r="P10" s="117">
        <f>SUM(N10:O10)</f>
        <v>53993</v>
      </c>
      <c r="Q10" s="91">
        <f>+K10+L10+P10</f>
        <v>1059498.2000000002</v>
      </c>
      <c r="R10" s="60"/>
      <c r="S10" s="556"/>
      <c r="T10" s="556"/>
      <c r="U10" s="556"/>
      <c r="V10" s="556"/>
      <c r="W10" s="556"/>
      <c r="X10" s="556"/>
      <c r="Y10" s="556"/>
      <c r="Z10" s="556"/>
      <c r="AA10" s="556"/>
      <c r="AB10" s="556"/>
      <c r="AC10" s="556"/>
      <c r="AD10" s="556"/>
      <c r="AE10" s="556"/>
      <c r="AF10" s="556"/>
      <c r="AG10" s="556"/>
      <c r="AH10" s="556"/>
      <c r="AI10" s="556"/>
      <c r="AJ10" s="556"/>
      <c r="AK10" s="556"/>
      <c r="AL10" s="556"/>
      <c r="AM10" s="556"/>
      <c r="AN10" s="556"/>
      <c r="AO10" s="556"/>
    </row>
    <row r="11" spans="1:41">
      <c r="A11" s="556" t="s">
        <v>266</v>
      </c>
      <c r="B11" s="88">
        <f>+bichvar!J11</f>
        <v>3134.9</v>
      </c>
      <c r="C11" s="88">
        <f>+bncvar!J11</f>
        <v>381338</v>
      </c>
      <c r="D11" s="88">
        <f>+bphvar!J11</f>
        <v>162923</v>
      </c>
      <c r="E11" s="88">
        <f>+buhvar!J11</f>
        <v>288048</v>
      </c>
      <c r="F11" s="88">
        <f>+capitalbkvar!J11</f>
        <v>145519</v>
      </c>
      <c r="G11" s="88">
        <f>+promobkvar!J11</f>
        <v>262885</v>
      </c>
      <c r="H11" s="88">
        <f>+socabkvar!J11</f>
        <v>115950.8</v>
      </c>
      <c r="I11" s="88">
        <f>+sogebkvar!J11</f>
        <v>906002</v>
      </c>
      <c r="J11" s="88">
        <f>+unibkvar!J11</f>
        <v>409799.5</v>
      </c>
      <c r="K11" s="90">
        <f>SUM(B11:J11)</f>
        <v>2675600.2000000002</v>
      </c>
      <c r="L11" s="88">
        <f>+sgbelvar!J11</f>
        <v>64623.4</v>
      </c>
      <c r="M11" s="117">
        <f t="shared" si="0"/>
        <v>64623.4</v>
      </c>
      <c r="N11" s="88">
        <f>+cbnavar!J11</f>
        <v>270441</v>
      </c>
      <c r="O11" s="88">
        <f>+scotiavar!J11</f>
        <v>261014</v>
      </c>
      <c r="P11" s="117">
        <f>SUM(N11:O11)</f>
        <v>531455</v>
      </c>
      <c r="Q11" s="91">
        <f>+K11+L11+P11</f>
        <v>3271678.6</v>
      </c>
      <c r="R11" s="60"/>
      <c r="S11" s="556"/>
      <c r="T11" s="556"/>
      <c r="U11" s="556"/>
      <c r="V11" s="556"/>
      <c r="W11" s="556"/>
      <c r="X11" s="556"/>
      <c r="Y11" s="556"/>
      <c r="Z11" s="556"/>
      <c r="AA11" s="556"/>
      <c r="AB11" s="556"/>
      <c r="AC11" s="556"/>
      <c r="AD11" s="556"/>
      <c r="AE11" s="556"/>
      <c r="AF11" s="556"/>
      <c r="AG11" s="556"/>
      <c r="AH11" s="556"/>
      <c r="AI11" s="556"/>
      <c r="AJ11" s="556"/>
      <c r="AK11" s="556"/>
      <c r="AL11" s="556"/>
      <c r="AM11" s="556"/>
      <c r="AN11" s="556"/>
      <c r="AO11" s="556"/>
    </row>
    <row r="12" spans="1:41">
      <c r="A12" s="556" t="s">
        <v>267</v>
      </c>
      <c r="B12" s="88">
        <f>+bichvar!J12</f>
        <v>422.8</v>
      </c>
      <c r="C12" s="88">
        <f>+bncvar!J12</f>
        <v>51083</v>
      </c>
      <c r="D12" s="88">
        <f>+bphvar!J12</f>
        <v>50505.5</v>
      </c>
      <c r="E12" s="88">
        <f>+buhvar!J12</f>
        <v>124018</v>
      </c>
      <c r="F12" s="88">
        <f>+capitalbkvar!J12</f>
        <v>40178</v>
      </c>
      <c r="G12" s="88">
        <f>+promobkvar!J12</f>
        <v>115976</v>
      </c>
      <c r="H12" s="88">
        <f>+socabkvar!J12</f>
        <v>40988.300000000003</v>
      </c>
      <c r="I12" s="88">
        <f>+sogebkvar!J12</f>
        <v>205468</v>
      </c>
      <c r="J12" s="88">
        <f>+unibkvar!J12</f>
        <v>168614.9</v>
      </c>
      <c r="K12" s="90">
        <f>SUM(B12:J12)</f>
        <v>797254.5</v>
      </c>
      <c r="L12" s="88">
        <f>+sgbelvar!J12</f>
        <v>0</v>
      </c>
      <c r="M12" s="117">
        <f t="shared" si="0"/>
        <v>0</v>
      </c>
      <c r="N12" s="88">
        <f>+cbnavar!J12</f>
        <v>14900</v>
      </c>
      <c r="O12" s="88">
        <f>+scotiavar!J12</f>
        <v>59961</v>
      </c>
      <c r="P12" s="117">
        <f>SUM(N12:O12)</f>
        <v>74861</v>
      </c>
      <c r="Q12" s="91">
        <f>+K12+L12+P12</f>
        <v>872115.5</v>
      </c>
      <c r="R12" s="60"/>
      <c r="S12" s="556"/>
      <c r="T12" s="556"/>
      <c r="U12" s="556"/>
      <c r="V12" s="556"/>
      <c r="W12" s="556"/>
      <c r="X12" s="556"/>
      <c r="Y12" s="556"/>
      <c r="Z12" s="556"/>
      <c r="AA12" s="556"/>
      <c r="AB12" s="556"/>
      <c r="AC12" s="556"/>
      <c r="AD12" s="556"/>
      <c r="AE12" s="556"/>
      <c r="AF12" s="556"/>
      <c r="AG12" s="556"/>
      <c r="AH12" s="556"/>
      <c r="AI12" s="556"/>
      <c r="AJ12" s="556"/>
      <c r="AK12" s="556"/>
      <c r="AL12" s="556"/>
      <c r="AM12" s="556"/>
      <c r="AN12" s="556"/>
      <c r="AO12" s="556"/>
    </row>
    <row r="13" spans="1:41">
      <c r="A13" s="556" t="s">
        <v>268</v>
      </c>
      <c r="B13" s="88">
        <f>+bichvar!J13</f>
        <v>1500</v>
      </c>
      <c r="C13" s="88">
        <f>+bncvar!J13</f>
        <v>0</v>
      </c>
      <c r="D13" s="88">
        <f>+bphvar!J13</f>
        <v>0</v>
      </c>
      <c r="E13" s="88">
        <f>+buhvar!J13</f>
        <v>190023</v>
      </c>
      <c r="F13" s="88">
        <f>+capitalbkvar!J13</f>
        <v>0</v>
      </c>
      <c r="G13" s="88">
        <f>+promobkvar!J13</f>
        <v>25411</v>
      </c>
      <c r="H13" s="88">
        <f>+socabkvar!J13</f>
        <v>5464.9</v>
      </c>
      <c r="I13" s="88">
        <f>+sogebkvar!J13</f>
        <v>0</v>
      </c>
      <c r="J13" s="88">
        <f>+unibkvar!J13</f>
        <v>7209.5</v>
      </c>
      <c r="K13" s="90">
        <f>SUM(B13:J13)</f>
        <v>229608.4</v>
      </c>
      <c r="L13" s="88">
        <f>+sgbelvar!J13</f>
        <v>722.7</v>
      </c>
      <c r="M13" s="117">
        <f t="shared" si="0"/>
        <v>722.7</v>
      </c>
      <c r="N13" s="88">
        <f>+cbnavar!J13</f>
        <v>0</v>
      </c>
      <c r="O13" s="88">
        <f>+scotiavar!J13</f>
        <v>10000</v>
      </c>
      <c r="P13" s="117">
        <f>SUM(N13:O13)</f>
        <v>10000</v>
      </c>
      <c r="Q13" s="91">
        <f>+K13+L13+P13</f>
        <v>240331.1</v>
      </c>
      <c r="R13" s="60"/>
      <c r="S13" s="556"/>
      <c r="T13" s="556"/>
      <c r="U13" s="556"/>
      <c r="V13" s="556"/>
      <c r="W13" s="556"/>
      <c r="X13" s="556"/>
      <c r="Y13" s="556"/>
      <c r="Z13" s="556"/>
      <c r="AA13" s="556"/>
      <c r="AB13" s="556"/>
      <c r="AC13" s="556"/>
      <c r="AD13" s="556"/>
      <c r="AE13" s="556"/>
      <c r="AF13" s="556"/>
      <c r="AG13" s="556"/>
      <c r="AH13" s="556"/>
      <c r="AI13" s="556"/>
      <c r="AJ13" s="556"/>
      <c r="AK13" s="556"/>
      <c r="AL13" s="556"/>
      <c r="AM13" s="556"/>
      <c r="AN13" s="556"/>
      <c r="AO13" s="556"/>
    </row>
    <row r="14" spans="1:41">
      <c r="A14" s="556" t="s">
        <v>269</v>
      </c>
      <c r="B14" s="221">
        <f>+bichvar!J14</f>
        <v>291.3</v>
      </c>
      <c r="C14" s="221">
        <f>+bncvar!J14</f>
        <v>23702</v>
      </c>
      <c r="D14" s="221">
        <f>+bphvar!J14</f>
        <v>5139.6000000000004</v>
      </c>
      <c r="E14" s="221">
        <f>+buhvar!J14</f>
        <v>10594</v>
      </c>
      <c r="F14" s="221">
        <f>+capitalbkvar!J14</f>
        <v>35126</v>
      </c>
      <c r="G14" s="221">
        <f>+promobkvar!J14</f>
        <v>29120</v>
      </c>
      <c r="H14" s="221">
        <f>+socabkvar!J14</f>
        <v>110583.1</v>
      </c>
      <c r="I14" s="221">
        <f>+sogebkvar!J14</f>
        <v>110823</v>
      </c>
      <c r="J14" s="1090">
        <f>+unibkvar!J14</f>
        <v>82831.3</v>
      </c>
      <c r="K14" s="286">
        <f>SUM(B14:J14)</f>
        <v>408210.3</v>
      </c>
      <c r="L14" s="1090">
        <f>+sgbelvar!J14</f>
        <v>4338.2</v>
      </c>
      <c r="M14" s="1065">
        <f t="shared" si="0"/>
        <v>4338.2</v>
      </c>
      <c r="N14" s="221">
        <f>+cbnavar!J14</f>
        <v>49641</v>
      </c>
      <c r="O14" s="1090">
        <f>+scotiavar!J14</f>
        <v>5872</v>
      </c>
      <c r="P14" s="286">
        <f>SUM(N14:O14)</f>
        <v>55513</v>
      </c>
      <c r="Q14" s="288">
        <f>+K14+L14+P14</f>
        <v>468061.5</v>
      </c>
      <c r="R14" s="60"/>
      <c r="S14" s="556"/>
      <c r="T14" s="556"/>
      <c r="U14" s="556"/>
      <c r="V14" s="556"/>
      <c r="W14" s="556"/>
      <c r="X14" s="556"/>
      <c r="Y14" s="556"/>
      <c r="Z14" s="556"/>
      <c r="AA14" s="556"/>
      <c r="AB14" s="556"/>
      <c r="AC14" s="556"/>
      <c r="AD14" s="556"/>
      <c r="AE14" s="556"/>
      <c r="AF14" s="556"/>
      <c r="AG14" s="556"/>
      <c r="AH14" s="556"/>
      <c r="AI14" s="556"/>
      <c r="AJ14" s="556"/>
      <c r="AK14" s="556"/>
      <c r="AL14" s="556"/>
      <c r="AM14" s="556"/>
      <c r="AN14" s="556"/>
      <c r="AO14" s="556"/>
    </row>
    <row r="15" spans="1:41" ht="15.6" customHeight="1">
      <c r="A15" s="556"/>
      <c r="B15" s="88">
        <f t="shared" ref="B15:L15" si="1">SUM(B10:B14)</f>
        <v>5702.1</v>
      </c>
      <c r="C15" s="88">
        <f t="shared" si="1"/>
        <v>653336</v>
      </c>
      <c r="D15" s="88">
        <f t="shared" si="1"/>
        <v>266373.5</v>
      </c>
      <c r="E15" s="88">
        <f t="shared" si="1"/>
        <v>825211</v>
      </c>
      <c r="F15" s="143">
        <f t="shared" si="1"/>
        <v>243813</v>
      </c>
      <c r="G15" s="88">
        <f t="shared" si="1"/>
        <v>512850</v>
      </c>
      <c r="H15" s="88">
        <f t="shared" si="1"/>
        <v>332948.5</v>
      </c>
      <c r="I15" s="88">
        <f t="shared" si="1"/>
        <v>1523439</v>
      </c>
      <c r="J15" s="88">
        <f t="shared" si="1"/>
        <v>738318.5</v>
      </c>
      <c r="K15" s="90">
        <f t="shared" si="1"/>
        <v>5101991.6000000006</v>
      </c>
      <c r="L15" s="16">
        <f t="shared" si="1"/>
        <v>83871.299999999988</v>
      </c>
      <c r="M15" s="117">
        <f t="shared" si="0"/>
        <v>83871.299999999988</v>
      </c>
      <c r="N15" s="88">
        <f>SUM(N10:N14)</f>
        <v>361289</v>
      </c>
      <c r="O15" s="88">
        <f>SUM(O10:O14)</f>
        <v>364533</v>
      </c>
      <c r="P15" s="117">
        <f>SUM(P10:P14)</f>
        <v>725822</v>
      </c>
      <c r="Q15" s="91">
        <f>SUM(Q10:Q14)</f>
        <v>5911684.9000000004</v>
      </c>
      <c r="R15" s="60"/>
      <c r="S15" s="556"/>
      <c r="T15" s="556"/>
      <c r="U15" s="556"/>
      <c r="V15" s="556"/>
      <c r="W15" s="556"/>
      <c r="X15" s="556"/>
      <c r="Y15" s="556"/>
      <c r="Z15" s="556"/>
      <c r="AA15" s="556"/>
      <c r="AB15" s="556"/>
      <c r="AC15" s="556"/>
      <c r="AD15" s="556"/>
      <c r="AE15" s="556"/>
      <c r="AF15" s="556"/>
      <c r="AG15" s="556"/>
      <c r="AH15" s="556"/>
      <c r="AI15" s="556"/>
      <c r="AJ15" s="556"/>
      <c r="AK15" s="556"/>
      <c r="AL15" s="556"/>
      <c r="AM15" s="556"/>
      <c r="AN15" s="556"/>
      <c r="AO15" s="556"/>
    </row>
    <row r="16" spans="1:41" ht="7.9" customHeight="1">
      <c r="A16" s="556"/>
      <c r="B16" s="88"/>
      <c r="C16" s="100" t="s">
        <v>0</v>
      </c>
      <c r="D16" s="89" t="s">
        <v>0</v>
      </c>
      <c r="E16" s="88"/>
      <c r="F16" s="88" t="s">
        <v>0</v>
      </c>
      <c r="G16" s="89" t="s">
        <v>0</v>
      </c>
      <c r="H16" s="89" t="s">
        <v>0</v>
      </c>
      <c r="I16" s="88"/>
      <c r="J16" s="88"/>
      <c r="K16" s="90"/>
      <c r="L16" s="88"/>
      <c r="M16" s="117"/>
      <c r="N16" s="88"/>
      <c r="O16" s="88" t="s">
        <v>0</v>
      </c>
      <c r="P16" s="117"/>
      <c r="Q16" s="91"/>
      <c r="R16" s="60"/>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row>
    <row r="17" spans="1:41" ht="15.6" customHeight="1">
      <c r="A17" s="556" t="s">
        <v>270</v>
      </c>
      <c r="B17" s="88">
        <f>+bichvar!J17</f>
        <v>0</v>
      </c>
      <c r="C17" s="88">
        <f>+bncvar!J17</f>
        <v>496981</v>
      </c>
      <c r="D17" s="88">
        <f>+bphvar!J17</f>
        <v>165000</v>
      </c>
      <c r="E17" s="88">
        <f>+buhvar!J17</f>
        <v>80000</v>
      </c>
      <c r="F17" s="88">
        <f>+capitalbkvar!J17</f>
        <v>75000</v>
      </c>
      <c r="G17" s="88">
        <f>+promobkvar!J17</f>
        <v>110000</v>
      </c>
      <c r="H17" s="88">
        <f>+socabkvar!J17</f>
        <v>490000</v>
      </c>
      <c r="I17" s="88">
        <f>+sogebkvar!J17</f>
        <v>1020000</v>
      </c>
      <c r="J17" s="88">
        <f>+unibkvar!J17</f>
        <v>400000</v>
      </c>
      <c r="K17" s="90">
        <f>SUM(B17:J17)</f>
        <v>2836981</v>
      </c>
      <c r="L17" s="88">
        <f>+sgbelvar!J17</f>
        <v>35000</v>
      </c>
      <c r="M17" s="117">
        <f t="shared" ref="M17:M22" si="2">+L17</f>
        <v>35000</v>
      </c>
      <c r="N17" s="88">
        <f>+cbnavar!J17</f>
        <v>177623</v>
      </c>
      <c r="O17" s="88">
        <f>+scotiavar!J17</f>
        <v>50000</v>
      </c>
      <c r="P17" s="117">
        <f>SUM(N17:O17)</f>
        <v>227623</v>
      </c>
      <c r="Q17" s="91">
        <f>+K17+L17+P17</f>
        <v>3099604</v>
      </c>
      <c r="R17" s="60"/>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row>
    <row r="18" spans="1:41">
      <c r="A18" s="556" t="s">
        <v>271</v>
      </c>
      <c r="B18" s="88">
        <f>+bichvar!J18</f>
        <v>0</v>
      </c>
      <c r="C18" s="88">
        <f>+bncvar!J18</f>
        <v>196730</v>
      </c>
      <c r="D18" s="88">
        <f>+bphvar!J18</f>
        <v>38287</v>
      </c>
      <c r="E18" s="88">
        <f>+buhvar!J18</f>
        <v>55257</v>
      </c>
      <c r="F18" s="88">
        <f>+capitalbkvar!J18</f>
        <v>64258</v>
      </c>
      <c r="G18" s="88">
        <f>+promobkvar!J18</f>
        <v>19324</v>
      </c>
      <c r="H18" s="88">
        <f>+socabkvar!J18</f>
        <v>120843.8</v>
      </c>
      <c r="I18" s="88">
        <f>+sogebkvar!J18</f>
        <v>308444</v>
      </c>
      <c r="J18" s="88">
        <f>+unibkvar!J18</f>
        <v>542714.6</v>
      </c>
      <c r="K18" s="90">
        <f>SUM(B18:J18)</f>
        <v>1345858.4</v>
      </c>
      <c r="L18" s="88">
        <f>+sgbelvar!J18</f>
        <v>23295.3</v>
      </c>
      <c r="M18" s="117">
        <f t="shared" si="2"/>
        <v>23295.3</v>
      </c>
      <c r="N18" s="88">
        <f>+cbnavar!J18</f>
        <v>0</v>
      </c>
      <c r="O18" s="88">
        <f>+scotiavar!J18</f>
        <v>0</v>
      </c>
      <c r="P18" s="117">
        <f>SUM(N18:O18)</f>
        <v>0</v>
      </c>
      <c r="Q18" s="91">
        <f>+K18+L18+P18</f>
        <v>1369153.7</v>
      </c>
      <c r="R18" s="60"/>
      <c r="S18" s="556"/>
      <c r="T18" s="556"/>
      <c r="U18" s="556"/>
      <c r="V18" s="556"/>
      <c r="W18" s="556"/>
      <c r="X18" s="556"/>
      <c r="Y18" s="556"/>
      <c r="Z18" s="556"/>
      <c r="AA18" s="556"/>
      <c r="AB18" s="556"/>
      <c r="AC18" s="556"/>
      <c r="AD18" s="556"/>
      <c r="AE18" s="556"/>
      <c r="AF18" s="556"/>
      <c r="AG18" s="556"/>
      <c r="AH18" s="556"/>
      <c r="AI18" s="556"/>
      <c r="AJ18" s="556"/>
      <c r="AK18" s="556"/>
      <c r="AL18" s="556"/>
      <c r="AM18" s="556"/>
      <c r="AN18" s="556"/>
      <c r="AO18" s="556"/>
    </row>
    <row r="19" spans="1:41">
      <c r="A19" s="556" t="s">
        <v>406</v>
      </c>
      <c r="B19" s="88">
        <f>+bichvar!J19</f>
        <v>3761.7</v>
      </c>
      <c r="C19" s="88">
        <f>+bncvar!J19</f>
        <v>358557</v>
      </c>
      <c r="D19" s="88">
        <f>+bphvar!J19</f>
        <v>300990.2</v>
      </c>
      <c r="E19" s="88">
        <f>+buhvar!J19</f>
        <v>698170</v>
      </c>
      <c r="F19" s="88">
        <f>+capitalbkvar!J19</f>
        <v>507741</v>
      </c>
      <c r="G19" s="88">
        <f>+promobkvar!J19</f>
        <v>679763</v>
      </c>
      <c r="H19" s="88">
        <f>+socabkvar!J19</f>
        <v>1235113.8</v>
      </c>
      <c r="I19" s="88">
        <f>+sogebkvar!J19</f>
        <v>1695365</v>
      </c>
      <c r="J19" s="88">
        <f>+unibkvar!J19</f>
        <v>1508389.5</v>
      </c>
      <c r="K19" s="90">
        <f>SUM(B19:J19)</f>
        <v>6987851.2000000002</v>
      </c>
      <c r="L19" s="88">
        <f>+sgbelvar!J19</f>
        <v>333096.40000000002</v>
      </c>
      <c r="M19" s="117">
        <f t="shared" si="2"/>
        <v>333096.40000000002</v>
      </c>
      <c r="N19" s="88">
        <f>+cbnavar!J19</f>
        <v>741436</v>
      </c>
      <c r="O19" s="88">
        <f>+scotiavar!J19</f>
        <v>484024</v>
      </c>
      <c r="P19" s="117">
        <f>SUM(N19:O19)</f>
        <v>1225460</v>
      </c>
      <c r="Q19" s="91">
        <f>+K19+L19+P19</f>
        <v>8546407.6000000015</v>
      </c>
      <c r="R19" s="60"/>
      <c r="S19" s="556"/>
      <c r="T19" s="556"/>
      <c r="U19" s="556"/>
      <c r="V19" s="556"/>
      <c r="W19" s="556"/>
      <c r="X19" s="556"/>
      <c r="Y19" s="556"/>
      <c r="Z19" s="556"/>
      <c r="AA19" s="556"/>
      <c r="AB19" s="556"/>
      <c r="AC19" s="556"/>
      <c r="AD19" s="556"/>
      <c r="AE19" s="556"/>
      <c r="AF19" s="556"/>
      <c r="AG19" s="556"/>
      <c r="AH19" s="556"/>
      <c r="AI19" s="556"/>
      <c r="AJ19" s="556"/>
      <c r="AK19" s="556"/>
      <c r="AL19" s="556"/>
      <c r="AM19" s="556"/>
      <c r="AN19" s="556"/>
      <c r="AO19" s="556"/>
    </row>
    <row r="20" spans="1:41">
      <c r="A20" s="556" t="s">
        <v>273</v>
      </c>
      <c r="B20" s="88">
        <f>+bichvar!J20</f>
        <v>179.8</v>
      </c>
      <c r="C20" s="88">
        <f>+bncvar!J20</f>
        <v>147955</v>
      </c>
      <c r="D20" s="88">
        <f>+bphvar!J20</f>
        <v>32760.3</v>
      </c>
      <c r="E20" s="88">
        <f>+buhvar!J20</f>
        <v>232527</v>
      </c>
      <c r="F20" s="88">
        <f>+capitalbkvar!J20</f>
        <v>75327</v>
      </c>
      <c r="G20" s="88">
        <f>+promobkvar!J20</f>
        <v>101074</v>
      </c>
      <c r="H20" s="88">
        <f>+socabkvar!J20</f>
        <v>65168.6</v>
      </c>
      <c r="I20" s="88">
        <f>+sogebkvar!J20</f>
        <v>357956</v>
      </c>
      <c r="J20" s="88">
        <f>+unibkvar!J20</f>
        <v>126232.1</v>
      </c>
      <c r="K20" s="90">
        <f>SUM(B20:J20)</f>
        <v>1139179.8</v>
      </c>
      <c r="L20" s="88">
        <f>+sgbelvar!J20</f>
        <v>26298.1</v>
      </c>
      <c r="M20" s="117">
        <f t="shared" si="2"/>
        <v>26298.1</v>
      </c>
      <c r="N20" s="88">
        <f>+cbnavar!J20</f>
        <v>26667</v>
      </c>
      <c r="O20" s="88">
        <f>+scotiavar!J20</f>
        <v>15660</v>
      </c>
      <c r="P20" s="117">
        <f>SUM(N20:O20)</f>
        <v>42327</v>
      </c>
      <c r="Q20" s="91">
        <f>+K20+L20+P20</f>
        <v>1207804.9000000001</v>
      </c>
      <c r="R20" s="60"/>
      <c r="S20" s="556"/>
      <c r="T20" s="556"/>
      <c r="U20" s="556"/>
      <c r="V20" s="556"/>
      <c r="W20" s="556"/>
      <c r="X20" s="556"/>
      <c r="Y20" s="556"/>
      <c r="Z20" s="556"/>
      <c r="AA20" s="556"/>
      <c r="AB20" s="556"/>
      <c r="AC20" s="556"/>
      <c r="AD20" s="556"/>
      <c r="AE20" s="556"/>
      <c r="AF20" s="556"/>
      <c r="AG20" s="556"/>
      <c r="AH20" s="556"/>
      <c r="AI20" s="556"/>
      <c r="AJ20" s="556"/>
      <c r="AK20" s="556"/>
      <c r="AL20" s="556"/>
      <c r="AM20" s="556"/>
      <c r="AN20" s="556"/>
      <c r="AO20" s="556"/>
    </row>
    <row r="21" spans="1:41" ht="16.5" thickBot="1">
      <c r="A21" s="556" t="s">
        <v>274</v>
      </c>
      <c r="B21" s="99">
        <f>+bichvar!J21</f>
        <v>435</v>
      </c>
      <c r="C21" s="99">
        <f>+bncvar!J21</f>
        <v>50870</v>
      </c>
      <c r="D21" s="99">
        <f>+bphvar!J21</f>
        <v>16248.6</v>
      </c>
      <c r="E21" s="99">
        <f>+buhvar!J21</f>
        <v>177774</v>
      </c>
      <c r="F21" s="99">
        <f>+capitalbkvar!J21</f>
        <v>63744</v>
      </c>
      <c r="G21" s="99">
        <f>+promobkvar!J21</f>
        <v>85791</v>
      </c>
      <c r="H21" s="99">
        <f>+socabkvar!J21</f>
        <v>50025</v>
      </c>
      <c r="I21" s="99">
        <f>+sogebkvar!J21</f>
        <v>272033</v>
      </c>
      <c r="J21" s="1091">
        <f>+unibkvar!J21</f>
        <v>85201.600000000006</v>
      </c>
      <c r="K21" s="97">
        <f>SUM(B21:J21)</f>
        <v>802122.2</v>
      </c>
      <c r="L21" s="1091">
        <f>+sgbelvar!J21</f>
        <v>7645.1</v>
      </c>
      <c r="M21" s="119">
        <f t="shared" si="2"/>
        <v>7645.1</v>
      </c>
      <c r="N21" s="99">
        <f>+cbnavar!J21</f>
        <v>146777</v>
      </c>
      <c r="O21" s="1091">
        <f>+scotiavar!J21</f>
        <v>5983</v>
      </c>
      <c r="P21" s="97">
        <f>SUM(N21:O21)</f>
        <v>152760</v>
      </c>
      <c r="Q21" s="96">
        <f>+K21+L21+P21</f>
        <v>962527.29999999993</v>
      </c>
      <c r="R21" s="60"/>
      <c r="S21" s="556"/>
      <c r="T21" s="556"/>
      <c r="U21" s="556"/>
      <c r="V21" s="556"/>
      <c r="W21" s="556"/>
      <c r="X21" s="556"/>
      <c r="Y21" s="556"/>
      <c r="Z21" s="556"/>
      <c r="AA21" s="556"/>
      <c r="AB21" s="556"/>
      <c r="AC21" s="556"/>
      <c r="AD21" s="556"/>
      <c r="AE21" s="556"/>
      <c r="AF21" s="556"/>
      <c r="AG21" s="556"/>
      <c r="AH21" s="556"/>
      <c r="AI21" s="556"/>
      <c r="AJ21" s="556"/>
      <c r="AK21" s="556"/>
      <c r="AL21" s="556"/>
      <c r="AM21" s="556"/>
      <c r="AN21" s="556"/>
      <c r="AO21" s="556"/>
    </row>
    <row r="22" spans="1:41">
      <c r="A22" s="556" t="s">
        <v>275</v>
      </c>
      <c r="B22" s="91">
        <f t="shared" ref="B22:L22" si="3">SUM(B15:B21)</f>
        <v>10078.599999999999</v>
      </c>
      <c r="C22" s="91">
        <f t="shared" si="3"/>
        <v>1904429</v>
      </c>
      <c r="D22" s="91">
        <f t="shared" si="3"/>
        <v>819659.6</v>
      </c>
      <c r="E22" s="91">
        <f t="shared" si="3"/>
        <v>2068939</v>
      </c>
      <c r="F22" s="4">
        <f t="shared" si="3"/>
        <v>1029883</v>
      </c>
      <c r="G22" s="91">
        <f t="shared" si="3"/>
        <v>1508802</v>
      </c>
      <c r="H22" s="91">
        <f t="shared" si="3"/>
        <v>2294099.7000000002</v>
      </c>
      <c r="I22" s="91">
        <f t="shared" si="3"/>
        <v>5177237</v>
      </c>
      <c r="J22" s="91">
        <f t="shared" si="3"/>
        <v>3400856.3000000003</v>
      </c>
      <c r="K22" s="90">
        <f t="shared" si="3"/>
        <v>18213984.199999999</v>
      </c>
      <c r="L22" s="91">
        <f t="shared" si="3"/>
        <v>509206.19999999995</v>
      </c>
      <c r="M22" s="117">
        <f t="shared" si="2"/>
        <v>509206.19999999995</v>
      </c>
      <c r="N22" s="4">
        <f>SUM(N15:N21)</f>
        <v>1453792</v>
      </c>
      <c r="O22" s="4">
        <f>SUM(O15:O21)</f>
        <v>920200</v>
      </c>
      <c r="P22" s="117">
        <f>SUM(P15:P21)</f>
        <v>2373992</v>
      </c>
      <c r="Q22" s="91">
        <f>SUM(Q15:Q21)</f>
        <v>21097182.400000002</v>
      </c>
      <c r="R22" s="60"/>
      <c r="S22" s="556"/>
      <c r="T22" s="556"/>
      <c r="U22" s="556"/>
      <c r="V22" s="556"/>
      <c r="W22" s="556"/>
      <c r="X22" s="556"/>
      <c r="Y22" s="556"/>
      <c r="Z22" s="556"/>
      <c r="AA22" s="556"/>
      <c r="AB22" s="556"/>
      <c r="AC22" s="556"/>
      <c r="AD22" s="556"/>
      <c r="AE22" s="556"/>
      <c r="AF22" s="556"/>
      <c r="AG22" s="556"/>
      <c r="AH22" s="556"/>
      <c r="AI22" s="556"/>
      <c r="AJ22" s="556"/>
      <c r="AK22" s="556"/>
      <c r="AL22" s="556"/>
      <c r="AM22" s="556"/>
      <c r="AN22" s="556"/>
      <c r="AO22" s="556"/>
    </row>
    <row r="23" spans="1:41" ht="15.6" customHeight="1">
      <c r="A23" s="556"/>
      <c r="B23" s="88"/>
      <c r="C23" s="100" t="s">
        <v>0</v>
      </c>
      <c r="D23" s="89" t="s">
        <v>0</v>
      </c>
      <c r="E23" s="88"/>
      <c r="F23" s="89" t="s">
        <v>0</v>
      </c>
      <c r="G23" s="89" t="s">
        <v>0</v>
      </c>
      <c r="H23" s="89" t="s">
        <v>0</v>
      </c>
      <c r="I23" s="88"/>
      <c r="J23" s="88"/>
      <c r="K23" s="94"/>
      <c r="L23" s="88"/>
      <c r="M23" s="1066"/>
      <c r="N23" s="88"/>
      <c r="O23" s="88" t="s">
        <v>0</v>
      </c>
      <c r="P23" s="118"/>
      <c r="Q23" s="91"/>
      <c r="R23" s="60"/>
      <c r="S23" s="556"/>
      <c r="T23" s="556"/>
      <c r="U23" s="556"/>
      <c r="V23" s="556"/>
      <c r="W23" s="556"/>
      <c r="X23" s="556"/>
      <c r="Y23" s="556"/>
      <c r="Z23" s="556"/>
      <c r="AA23" s="556"/>
      <c r="AB23" s="556"/>
      <c r="AC23" s="556"/>
      <c r="AD23" s="556"/>
      <c r="AE23" s="556"/>
      <c r="AF23" s="556"/>
      <c r="AG23" s="556"/>
      <c r="AH23" s="556"/>
      <c r="AI23" s="556"/>
      <c r="AJ23" s="556"/>
      <c r="AK23" s="556"/>
      <c r="AL23" s="556"/>
      <c r="AM23" s="556"/>
      <c r="AN23" s="556"/>
      <c r="AO23" s="556"/>
    </row>
    <row r="24" spans="1:41">
      <c r="A24" s="558" t="s">
        <v>276</v>
      </c>
      <c r="B24" s="88"/>
      <c r="C24" s="100" t="s">
        <v>0</v>
      </c>
      <c r="D24" s="89" t="s">
        <v>0</v>
      </c>
      <c r="E24" s="88"/>
      <c r="F24" s="89" t="s">
        <v>0</v>
      </c>
      <c r="G24" s="89" t="s">
        <v>0</v>
      </c>
      <c r="H24" s="89" t="s">
        <v>0</v>
      </c>
      <c r="I24" s="88"/>
      <c r="J24" s="88"/>
      <c r="K24" s="94"/>
      <c r="L24" s="88"/>
      <c r="M24" s="1066"/>
      <c r="N24" s="88"/>
      <c r="O24" s="88" t="s">
        <v>0</v>
      </c>
      <c r="P24" s="118"/>
      <c r="Q24" s="91"/>
      <c r="R24" s="60"/>
      <c r="S24" s="556"/>
      <c r="T24" s="556"/>
      <c r="U24" s="556"/>
      <c r="V24" s="556"/>
      <c r="W24" s="556"/>
      <c r="X24" s="556"/>
      <c r="Y24" s="556"/>
      <c r="Z24" s="556"/>
      <c r="AA24" s="556"/>
      <c r="AB24" s="556"/>
      <c r="AC24" s="556"/>
      <c r="AD24" s="556"/>
      <c r="AE24" s="556"/>
      <c r="AF24" s="556"/>
      <c r="AG24" s="556"/>
      <c r="AH24" s="556"/>
      <c r="AI24" s="556"/>
      <c r="AJ24" s="556"/>
      <c r="AK24" s="556"/>
      <c r="AL24" s="556"/>
      <c r="AM24" s="556"/>
      <c r="AN24" s="556"/>
      <c r="AO24" s="556"/>
    </row>
    <row r="25" spans="1:41">
      <c r="A25" s="556" t="s">
        <v>277</v>
      </c>
      <c r="B25" s="88"/>
      <c r="C25" s="100" t="s">
        <v>0</v>
      </c>
      <c r="D25" s="89" t="s">
        <v>0</v>
      </c>
      <c r="E25" s="88"/>
      <c r="F25" s="89" t="s">
        <v>0</v>
      </c>
      <c r="G25" s="89" t="s">
        <v>0</v>
      </c>
      <c r="H25" s="89" t="s">
        <v>0</v>
      </c>
      <c r="I25" s="88"/>
      <c r="J25" s="88"/>
      <c r="K25" s="94"/>
      <c r="L25" s="88"/>
      <c r="M25" s="1066"/>
      <c r="N25" s="88"/>
      <c r="O25" s="88" t="s">
        <v>0</v>
      </c>
      <c r="P25" s="118"/>
      <c r="Q25" s="91"/>
      <c r="R25" s="60"/>
      <c r="S25" s="556"/>
      <c r="T25" s="556"/>
      <c r="U25" s="556"/>
      <c r="V25" s="556"/>
      <c r="W25" s="556"/>
      <c r="X25" s="556"/>
      <c r="Y25" s="556"/>
      <c r="Z25" s="556"/>
      <c r="AA25" s="556"/>
      <c r="AB25" s="556"/>
      <c r="AC25" s="556"/>
      <c r="AD25" s="556"/>
      <c r="AE25" s="556"/>
      <c r="AF25" s="556"/>
      <c r="AG25" s="556"/>
      <c r="AH25" s="556"/>
      <c r="AI25" s="556"/>
      <c r="AJ25" s="556"/>
      <c r="AK25" s="556"/>
      <c r="AL25" s="556"/>
      <c r="AM25" s="556"/>
      <c r="AN25" s="556"/>
      <c r="AO25" s="556"/>
    </row>
    <row r="26" spans="1:41">
      <c r="A26" s="556" t="s">
        <v>278</v>
      </c>
      <c r="B26" s="88">
        <f>+bichvar!J26</f>
        <v>1096</v>
      </c>
      <c r="C26" s="88">
        <f>+bncvar!J26</f>
        <v>366554</v>
      </c>
      <c r="D26" s="88">
        <f>+bphvar!J26</f>
        <v>456254</v>
      </c>
      <c r="E26" s="88">
        <f>+buhvar!J26</f>
        <v>391213</v>
      </c>
      <c r="F26" s="88">
        <f>+capitalbkvar!J26</f>
        <v>284586</v>
      </c>
      <c r="G26" s="88">
        <f>+promobkvar!J26</f>
        <v>376139</v>
      </c>
      <c r="H26" s="88">
        <f>+socabkvar!J26</f>
        <v>185542.9</v>
      </c>
      <c r="I26" s="88">
        <f>+sogebkvar!J26</f>
        <v>1111277</v>
      </c>
      <c r="J26" s="88">
        <f>+unibkvar!J26</f>
        <v>888080.9</v>
      </c>
      <c r="K26" s="90">
        <f>SUM(B26:J26)</f>
        <v>4060742.8</v>
      </c>
      <c r="L26" s="88">
        <f>+sgbelvar!J26</f>
        <v>67606.5</v>
      </c>
      <c r="M26" s="117">
        <f>+L26</f>
        <v>67606.5</v>
      </c>
      <c r="N26" s="88">
        <f>+cbnavar!J26</f>
        <v>266032</v>
      </c>
      <c r="O26" s="88">
        <f>+scotiavar!J26</f>
        <v>166352</v>
      </c>
      <c r="P26" s="117">
        <f>SUM(N26:O26)</f>
        <v>432384</v>
      </c>
      <c r="Q26" s="91">
        <f>+K26+L26+P26</f>
        <v>4560733.3</v>
      </c>
      <c r="R26" s="60"/>
      <c r="S26" s="556"/>
      <c r="T26" s="556"/>
      <c r="U26" s="556"/>
      <c r="V26" s="556"/>
      <c r="W26" s="556"/>
      <c r="X26" s="556"/>
      <c r="Y26" s="556"/>
      <c r="Z26" s="556"/>
      <c r="AA26" s="556"/>
      <c r="AB26" s="556"/>
      <c r="AC26" s="556"/>
      <c r="AD26" s="556"/>
      <c r="AE26" s="556"/>
      <c r="AF26" s="556"/>
      <c r="AG26" s="556"/>
      <c r="AH26" s="556"/>
      <c r="AI26" s="556"/>
      <c r="AJ26" s="556"/>
      <c r="AK26" s="556"/>
      <c r="AL26" s="556"/>
      <c r="AM26" s="556"/>
      <c r="AN26" s="556"/>
      <c r="AO26" s="556"/>
    </row>
    <row r="27" spans="1:41">
      <c r="A27" s="556" t="s">
        <v>279</v>
      </c>
      <c r="B27" s="88">
        <f>+bichvar!J27</f>
        <v>3062.5</v>
      </c>
      <c r="C27" s="88">
        <f>+bncvar!J27</f>
        <v>957899</v>
      </c>
      <c r="D27" s="88">
        <f>+bphvar!J27</f>
        <v>155776.1</v>
      </c>
      <c r="E27" s="88">
        <f>+buhvar!J27</f>
        <v>863562</v>
      </c>
      <c r="F27" s="88">
        <f>+capitalbkvar!J27</f>
        <v>178498</v>
      </c>
      <c r="G27" s="88">
        <f>+promobkvar!J27</f>
        <v>391147</v>
      </c>
      <c r="H27" s="88">
        <f>+socabkvar!J27</f>
        <v>497536.8</v>
      </c>
      <c r="I27" s="88">
        <f>+sogebkvar!J27</f>
        <v>2307093</v>
      </c>
      <c r="J27" s="88">
        <f>+unibkvar!J27</f>
        <v>1432076.3</v>
      </c>
      <c r="K27" s="90">
        <f>SUM(B27:J27)</f>
        <v>6786650.7000000002</v>
      </c>
      <c r="L27" s="88">
        <f>+sgbelvar!J27</f>
        <v>187556.8</v>
      </c>
      <c r="M27" s="117">
        <f>+L27</f>
        <v>187556.8</v>
      </c>
      <c r="N27" s="88">
        <f>+cbnavar!J27</f>
        <v>285203</v>
      </c>
      <c r="O27" s="88">
        <f>+scotiavar!J27</f>
        <v>487409</v>
      </c>
      <c r="P27" s="117">
        <f>SUM(N27:O27)</f>
        <v>772612</v>
      </c>
      <c r="Q27" s="91">
        <f>+K27+L27+P27</f>
        <v>7746819.5</v>
      </c>
      <c r="R27" s="60"/>
      <c r="S27" s="556"/>
      <c r="T27" s="556"/>
      <c r="U27" s="556"/>
      <c r="V27" s="556"/>
      <c r="W27" s="556"/>
      <c r="X27" s="556"/>
      <c r="Y27" s="556"/>
      <c r="Z27" s="556"/>
      <c r="AA27" s="556"/>
      <c r="AB27" s="556"/>
      <c r="AC27" s="556"/>
      <c r="AD27" s="556"/>
      <c r="AE27" s="556"/>
      <c r="AF27" s="556"/>
      <c r="AG27" s="556"/>
      <c r="AH27" s="556"/>
      <c r="AI27" s="556"/>
      <c r="AJ27" s="556"/>
      <c r="AK27" s="556"/>
      <c r="AL27" s="556"/>
      <c r="AM27" s="556"/>
      <c r="AN27" s="556"/>
      <c r="AO27" s="556"/>
    </row>
    <row r="28" spans="1:41">
      <c r="A28" s="556" t="s">
        <v>280</v>
      </c>
      <c r="B28" s="221">
        <f>+bichvar!J28</f>
        <v>0</v>
      </c>
      <c r="C28" s="221">
        <f>+bncvar!J28</f>
        <v>115758</v>
      </c>
      <c r="D28" s="221">
        <f>+bphvar!J28</f>
        <v>84107.4</v>
      </c>
      <c r="E28" s="221">
        <f>+buhvar!J28</f>
        <v>565481</v>
      </c>
      <c r="F28" s="221">
        <f>+capitalbkvar!J28</f>
        <v>338616</v>
      </c>
      <c r="G28" s="221">
        <f>+promobkvar!J28</f>
        <v>502430</v>
      </c>
      <c r="H28" s="221">
        <f>+socabkvar!J28</f>
        <v>1334198.1000000001</v>
      </c>
      <c r="I28" s="221">
        <f>+sogebkvar!J28</f>
        <v>1155069</v>
      </c>
      <c r="J28" s="1090">
        <f>+unibkvar!J28</f>
        <v>739038.8</v>
      </c>
      <c r="K28" s="286">
        <f>SUM(B28:J28)</f>
        <v>4834698.3</v>
      </c>
      <c r="L28" s="1090">
        <f>+sgbelvar!J28</f>
        <v>170488.3</v>
      </c>
      <c r="M28" s="1065">
        <f>+L28</f>
        <v>170488.3</v>
      </c>
      <c r="N28" s="221">
        <f>+cbnavar!J28</f>
        <v>653817</v>
      </c>
      <c r="O28" s="1090">
        <f>+scotiavar!J28</f>
        <v>229932</v>
      </c>
      <c r="P28" s="286">
        <f>SUM(N28:O28)</f>
        <v>883749</v>
      </c>
      <c r="Q28" s="288">
        <f>+K28+L28+P28</f>
        <v>5888935.5999999996</v>
      </c>
      <c r="R28" s="60"/>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row>
    <row r="29" spans="1:41">
      <c r="A29" s="556"/>
      <c r="B29" s="88">
        <f t="shared" ref="B29:L29" si="4">SUM(B26:B28)</f>
        <v>4158.5</v>
      </c>
      <c r="C29" s="88">
        <f t="shared" si="4"/>
        <v>1440211</v>
      </c>
      <c r="D29" s="88">
        <f t="shared" si="4"/>
        <v>696137.5</v>
      </c>
      <c r="E29" s="88">
        <f t="shared" si="4"/>
        <v>1820256</v>
      </c>
      <c r="F29" s="88">
        <f t="shared" si="4"/>
        <v>801700</v>
      </c>
      <c r="G29" s="88">
        <f t="shared" si="4"/>
        <v>1269716</v>
      </c>
      <c r="H29" s="88">
        <f t="shared" si="4"/>
        <v>2017277.8</v>
      </c>
      <c r="I29" s="88">
        <f t="shared" si="4"/>
        <v>4573439</v>
      </c>
      <c r="J29" s="88">
        <f t="shared" si="4"/>
        <v>3059196</v>
      </c>
      <c r="K29" s="90">
        <f t="shared" si="4"/>
        <v>15682091.800000001</v>
      </c>
      <c r="L29" s="88">
        <f t="shared" si="4"/>
        <v>425651.6</v>
      </c>
      <c r="M29" s="117">
        <f>+L29</f>
        <v>425651.6</v>
      </c>
      <c r="N29" s="88">
        <f>SUM(N26:N28)</f>
        <v>1205052</v>
      </c>
      <c r="O29" s="88">
        <f>SUM(O26:O28)</f>
        <v>883693</v>
      </c>
      <c r="P29" s="117">
        <f>SUM(P26:P28)</f>
        <v>2088745</v>
      </c>
      <c r="Q29" s="91">
        <f>SUM(Q26:Q28)</f>
        <v>18196488.399999999</v>
      </c>
      <c r="R29" s="60"/>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row>
    <row r="30" spans="1:41" ht="7.9" customHeight="1">
      <c r="A30" s="556"/>
      <c r="B30" s="88"/>
      <c r="C30" s="100" t="s">
        <v>0</v>
      </c>
      <c r="D30" s="89" t="s">
        <v>0</v>
      </c>
      <c r="E30" s="88"/>
      <c r="F30" s="89" t="s">
        <v>0</v>
      </c>
      <c r="G30" s="89" t="s">
        <v>0</v>
      </c>
      <c r="H30" s="89" t="s">
        <v>0</v>
      </c>
      <c r="I30" s="88"/>
      <c r="J30" s="88"/>
      <c r="K30" s="90"/>
      <c r="L30" s="88"/>
      <c r="M30" s="117"/>
      <c r="N30" s="88"/>
      <c r="O30" s="88" t="s">
        <v>0</v>
      </c>
      <c r="P30" s="117"/>
      <c r="Q30" s="91"/>
      <c r="R30" s="60"/>
      <c r="S30" s="556"/>
      <c r="T30" s="556"/>
      <c r="U30" s="556"/>
      <c r="V30" s="556"/>
      <c r="W30" s="556"/>
      <c r="X30" s="556"/>
      <c r="Y30" s="556"/>
      <c r="Z30" s="556"/>
      <c r="AA30" s="556"/>
      <c r="AB30" s="556"/>
      <c r="AC30" s="556"/>
      <c r="AD30" s="556"/>
      <c r="AE30" s="556"/>
      <c r="AF30" s="556"/>
      <c r="AG30" s="556"/>
      <c r="AH30" s="556"/>
      <c r="AI30" s="556"/>
      <c r="AJ30" s="556"/>
      <c r="AK30" s="556"/>
      <c r="AL30" s="556"/>
      <c r="AM30" s="556"/>
      <c r="AN30" s="556"/>
      <c r="AO30" s="556"/>
    </row>
    <row r="31" spans="1:41">
      <c r="A31" s="556" t="s">
        <v>281</v>
      </c>
      <c r="B31" s="88"/>
      <c r="C31" s="100" t="s">
        <v>0</v>
      </c>
      <c r="D31" s="89" t="s">
        <v>0</v>
      </c>
      <c r="E31" s="88"/>
      <c r="F31" s="89" t="s">
        <v>0</v>
      </c>
      <c r="G31" s="89" t="s">
        <v>0</v>
      </c>
      <c r="H31" s="89" t="s">
        <v>0</v>
      </c>
      <c r="I31" s="88"/>
      <c r="J31" s="88"/>
      <c r="K31" s="90"/>
      <c r="L31" s="88"/>
      <c r="M31" s="117"/>
      <c r="N31" s="88"/>
      <c r="O31" s="88" t="s">
        <v>0</v>
      </c>
      <c r="P31" s="117"/>
      <c r="Q31" s="91"/>
      <c r="R31" s="60"/>
      <c r="S31" s="556"/>
      <c r="T31" s="556"/>
      <c r="U31" s="556"/>
      <c r="V31" s="556"/>
      <c r="W31" s="556"/>
      <c r="X31" s="556"/>
      <c r="Y31" s="556"/>
      <c r="Z31" s="556"/>
      <c r="AA31" s="556"/>
      <c r="AB31" s="556"/>
      <c r="AC31" s="556"/>
      <c r="AD31" s="556"/>
      <c r="AE31" s="556"/>
      <c r="AF31" s="556"/>
      <c r="AG31" s="556"/>
      <c r="AH31" s="556"/>
      <c r="AI31" s="556"/>
      <c r="AJ31" s="556"/>
      <c r="AK31" s="556"/>
      <c r="AL31" s="556"/>
      <c r="AM31" s="556"/>
      <c r="AN31" s="556"/>
      <c r="AO31" s="556"/>
    </row>
    <row r="32" spans="1:41">
      <c r="A32" s="556" t="s">
        <v>282</v>
      </c>
      <c r="B32" s="88">
        <f>+bichvar!J32</f>
        <v>0</v>
      </c>
      <c r="C32" s="88">
        <f>+bncvar!J32</f>
        <v>3000</v>
      </c>
      <c r="D32" s="88">
        <f>+bphvar!J32</f>
        <v>26000</v>
      </c>
      <c r="E32" s="88">
        <f>+buhvar!J32</f>
        <v>0</v>
      </c>
      <c r="F32" s="88">
        <f>+capitalbkvar!J32</f>
        <v>20000</v>
      </c>
      <c r="G32" s="88">
        <f>+promobkvar!J32</f>
        <v>1500</v>
      </c>
      <c r="H32" s="88">
        <f>+socabkvar!J32</f>
        <v>0</v>
      </c>
      <c r="I32" s="88">
        <f>+sogebkvar!J32</f>
        <v>0</v>
      </c>
      <c r="J32" s="88">
        <f>+unibkvar!J32</f>
        <v>0</v>
      </c>
      <c r="K32" s="90">
        <f>SUM(B32:J32)</f>
        <v>50500</v>
      </c>
      <c r="L32" s="88">
        <f>+sgbelvar!J32</f>
        <v>0</v>
      </c>
      <c r="M32" s="117">
        <f>+L32</f>
        <v>0</v>
      </c>
      <c r="N32" s="88">
        <f>+cbnavar!J32</f>
        <v>10000</v>
      </c>
      <c r="O32" s="88">
        <f>+scotiavar!J32</f>
        <v>0</v>
      </c>
      <c r="P32" s="117">
        <f>SUM(N32:O32)</f>
        <v>10000</v>
      </c>
      <c r="Q32" s="91">
        <f>+K32+L32+P32</f>
        <v>60500</v>
      </c>
      <c r="R32" s="60"/>
      <c r="S32" s="556"/>
      <c r="T32" s="556"/>
      <c r="U32" s="556"/>
      <c r="V32" s="556"/>
      <c r="W32" s="556"/>
      <c r="X32" s="556"/>
      <c r="Y32" s="556"/>
      <c r="Z32" s="556"/>
      <c r="AA32" s="556"/>
      <c r="AB32" s="556"/>
      <c r="AC32" s="556"/>
      <c r="AD32" s="556"/>
      <c r="AE32" s="556"/>
      <c r="AF32" s="556"/>
      <c r="AG32" s="556"/>
      <c r="AH32" s="556"/>
      <c r="AI32" s="556"/>
      <c r="AJ32" s="556"/>
      <c r="AK32" s="556"/>
      <c r="AL32" s="556"/>
      <c r="AM32" s="556"/>
      <c r="AN32" s="556"/>
      <c r="AO32" s="556"/>
    </row>
    <row r="33" spans="1:41">
      <c r="A33" s="556" t="s">
        <v>283</v>
      </c>
      <c r="B33" s="88">
        <f>+bichvar!J33</f>
        <v>0</v>
      </c>
      <c r="C33" s="88">
        <f>+bncvar!J33</f>
        <v>0</v>
      </c>
      <c r="D33" s="88">
        <f>+bphvar!J33</f>
        <v>0</v>
      </c>
      <c r="E33" s="88">
        <f>+buhvar!J33</f>
        <v>0</v>
      </c>
      <c r="F33" s="88">
        <f>+capitalbkvar!J33</f>
        <v>0</v>
      </c>
      <c r="G33" s="88">
        <f>+promobkvar!J33</f>
        <v>0</v>
      </c>
      <c r="H33" s="88">
        <f>+socabkvar!J33</f>
        <v>0</v>
      </c>
      <c r="I33" s="88">
        <f>+sogebkvar!J33</f>
        <v>0</v>
      </c>
      <c r="J33" s="88">
        <f>+unibkvar!J33</f>
        <v>0</v>
      </c>
      <c r="K33" s="90">
        <f>SUM(B33:J33)</f>
        <v>0</v>
      </c>
      <c r="L33" s="88">
        <f>+sgbelvar!J33</f>
        <v>0</v>
      </c>
      <c r="M33" s="117">
        <f>+L33</f>
        <v>0</v>
      </c>
      <c r="N33" s="88">
        <f>+cbnavar!J33</f>
        <v>0</v>
      </c>
      <c r="O33" s="88">
        <f>+scotiavar!J33</f>
        <v>0</v>
      </c>
      <c r="P33" s="117">
        <f>SUM(N33:O33)</f>
        <v>0</v>
      </c>
      <c r="Q33" s="91">
        <f>+K33+L33+P33</f>
        <v>0</v>
      </c>
      <c r="R33" s="60"/>
      <c r="S33" s="556"/>
      <c r="T33" s="556"/>
      <c r="U33" s="556"/>
      <c r="V33" s="556"/>
      <c r="W33" s="556"/>
      <c r="X33" s="556"/>
      <c r="Y33" s="556"/>
      <c r="Z33" s="556"/>
      <c r="AA33" s="556"/>
      <c r="AB33" s="556"/>
      <c r="AC33" s="556"/>
      <c r="AD33" s="556"/>
      <c r="AE33" s="556"/>
      <c r="AF33" s="556"/>
      <c r="AG33" s="556"/>
      <c r="AH33" s="556"/>
      <c r="AI33" s="556"/>
      <c r="AJ33" s="556"/>
      <c r="AK33" s="556"/>
      <c r="AL33" s="556"/>
      <c r="AM33" s="556"/>
      <c r="AN33" s="556"/>
      <c r="AO33" s="556"/>
    </row>
    <row r="34" spans="1:41" ht="17.25">
      <c r="A34" s="556" t="s">
        <v>284</v>
      </c>
      <c r="B34" s="221">
        <f>+bichvar!J34</f>
        <v>162.6</v>
      </c>
      <c r="C34" s="221">
        <f>+bncvar!J34</f>
        <v>404674</v>
      </c>
      <c r="D34" s="221">
        <f>+bphvar!J34</f>
        <v>46074.8</v>
      </c>
      <c r="E34" s="221">
        <f>+buhvar!J34</f>
        <v>94673</v>
      </c>
      <c r="F34" s="221">
        <f>+capitalbkvar!J34</f>
        <v>28161</v>
      </c>
      <c r="G34" s="221">
        <f>+promobkvar!J34</f>
        <v>63863</v>
      </c>
      <c r="H34" s="221">
        <f>+socabkvar!J34</f>
        <v>145763.5</v>
      </c>
      <c r="I34" s="221">
        <f>+sogebkvar!J34</f>
        <v>95615</v>
      </c>
      <c r="J34" s="1090">
        <f>+unibkvar!J34</f>
        <v>92571.7</v>
      </c>
      <c r="K34" s="286">
        <f>SUM(B34:J34)</f>
        <v>971558.59999999986</v>
      </c>
      <c r="L34" s="1090">
        <f>+sgbelvar!J34</f>
        <v>25394.400000000001</v>
      </c>
      <c r="M34" s="1065">
        <f>+L34</f>
        <v>25394.400000000001</v>
      </c>
      <c r="N34" s="221">
        <f>+cbnavar!J34</f>
        <v>175834</v>
      </c>
      <c r="O34" s="1090">
        <f>+scotiavar!J34</f>
        <v>25891</v>
      </c>
      <c r="P34" s="286">
        <f>SUM(N34:O34)</f>
        <v>201725</v>
      </c>
      <c r="Q34" s="288">
        <f>+K34+L34+P34</f>
        <v>1198678</v>
      </c>
      <c r="R34" s="64"/>
      <c r="S34" s="561"/>
      <c r="T34" s="561"/>
      <c r="U34" s="561"/>
      <c r="V34" s="556"/>
      <c r="W34" s="556"/>
      <c r="X34" s="556"/>
      <c r="Y34" s="556"/>
      <c r="Z34" s="556"/>
      <c r="AA34" s="556"/>
      <c r="AB34" s="556"/>
      <c r="AC34" s="556"/>
      <c r="AD34" s="556"/>
      <c r="AE34" s="556"/>
      <c r="AF34" s="556"/>
      <c r="AG34" s="556"/>
      <c r="AH34" s="556"/>
      <c r="AI34" s="556"/>
      <c r="AJ34" s="556"/>
      <c r="AK34" s="556"/>
      <c r="AL34" s="556"/>
      <c r="AM34" s="556"/>
      <c r="AN34" s="556"/>
      <c r="AO34" s="556"/>
    </row>
    <row r="35" spans="1:41">
      <c r="A35" s="556"/>
      <c r="B35" s="88">
        <f t="shared" ref="B35:L35" si="5">SUM(B32:B34)</f>
        <v>162.6</v>
      </c>
      <c r="C35" s="88">
        <f t="shared" si="5"/>
        <v>407674</v>
      </c>
      <c r="D35" s="88">
        <f t="shared" si="5"/>
        <v>72074.8</v>
      </c>
      <c r="E35" s="88">
        <f t="shared" si="5"/>
        <v>94673</v>
      </c>
      <c r="F35" s="88">
        <f t="shared" si="5"/>
        <v>48161</v>
      </c>
      <c r="G35" s="88">
        <f t="shared" si="5"/>
        <v>65363</v>
      </c>
      <c r="H35" s="88">
        <f t="shared" si="5"/>
        <v>145763.5</v>
      </c>
      <c r="I35" s="88">
        <f t="shared" si="5"/>
        <v>95615</v>
      </c>
      <c r="J35" s="88">
        <f t="shared" si="5"/>
        <v>92571.7</v>
      </c>
      <c r="K35" s="90">
        <f t="shared" si="5"/>
        <v>1022058.5999999999</v>
      </c>
      <c r="L35" s="88">
        <f t="shared" si="5"/>
        <v>25394.400000000001</v>
      </c>
      <c r="M35" s="117">
        <f>+L35</f>
        <v>25394.400000000001</v>
      </c>
      <c r="N35" s="88">
        <f>SUM(N32:N34)</f>
        <v>185834</v>
      </c>
      <c r="O35" s="88">
        <f>SUM(O32:O34)</f>
        <v>25891</v>
      </c>
      <c r="P35" s="117">
        <f>SUM(P32:P34)</f>
        <v>211725</v>
      </c>
      <c r="Q35" s="91">
        <f>SUM(Q32:Q34)</f>
        <v>1259178</v>
      </c>
      <c r="R35" s="60"/>
      <c r="S35" s="556"/>
      <c r="T35" s="556"/>
      <c r="U35" s="556"/>
      <c r="V35" s="556"/>
      <c r="W35" s="556"/>
      <c r="X35" s="556"/>
      <c r="Y35" s="556"/>
      <c r="Z35" s="556"/>
      <c r="AA35" s="556"/>
      <c r="AB35" s="556"/>
      <c r="AC35" s="556"/>
      <c r="AD35" s="556"/>
      <c r="AE35" s="556"/>
      <c r="AF35" s="556"/>
      <c r="AG35" s="556"/>
      <c r="AH35" s="556"/>
      <c r="AI35" s="556"/>
      <c r="AJ35" s="556"/>
      <c r="AK35" s="556"/>
      <c r="AL35" s="556"/>
      <c r="AM35" s="556"/>
      <c r="AN35" s="556"/>
      <c r="AO35" s="556"/>
    </row>
    <row r="36" spans="1:41" ht="7.15" customHeight="1">
      <c r="A36" s="556"/>
      <c r="B36" s="88"/>
      <c r="C36" s="100" t="s">
        <v>0</v>
      </c>
      <c r="D36" s="89" t="s">
        <v>0</v>
      </c>
      <c r="E36" s="88"/>
      <c r="F36" s="89" t="s">
        <v>0</v>
      </c>
      <c r="G36" s="89" t="s">
        <v>0</v>
      </c>
      <c r="H36" s="89" t="s">
        <v>0</v>
      </c>
      <c r="I36" s="88"/>
      <c r="J36" s="88"/>
      <c r="K36" s="90"/>
      <c r="L36" s="88"/>
      <c r="M36" s="117"/>
      <c r="N36" s="88"/>
      <c r="O36" s="88" t="s">
        <v>0</v>
      </c>
      <c r="P36" s="117"/>
      <c r="Q36" s="91"/>
      <c r="R36" s="60"/>
      <c r="S36" s="556"/>
      <c r="T36" s="556"/>
      <c r="U36" s="556"/>
      <c r="V36" s="556"/>
      <c r="W36" s="556"/>
      <c r="X36" s="556"/>
      <c r="Y36" s="556"/>
      <c r="Z36" s="556"/>
      <c r="AA36" s="556"/>
      <c r="AB36" s="556"/>
      <c r="AC36" s="556"/>
      <c r="AD36" s="556"/>
      <c r="AE36" s="556"/>
      <c r="AF36" s="556"/>
      <c r="AG36" s="556"/>
      <c r="AH36" s="556"/>
      <c r="AI36" s="556"/>
      <c r="AJ36" s="556"/>
      <c r="AK36" s="556"/>
      <c r="AL36" s="556"/>
      <c r="AM36" s="556"/>
      <c r="AN36" s="556"/>
      <c r="AO36" s="556"/>
    </row>
    <row r="37" spans="1:41">
      <c r="A37" s="556" t="s">
        <v>285</v>
      </c>
      <c r="B37" s="88"/>
      <c r="C37" s="100" t="s">
        <v>0</v>
      </c>
      <c r="D37" s="89" t="s">
        <v>0</v>
      </c>
      <c r="E37" s="88"/>
      <c r="F37" s="89" t="s">
        <v>0</v>
      </c>
      <c r="G37" s="89" t="s">
        <v>0</v>
      </c>
      <c r="H37" s="89" t="s">
        <v>0</v>
      </c>
      <c r="I37" s="88"/>
      <c r="J37" s="88"/>
      <c r="K37" s="90"/>
      <c r="L37" s="88"/>
      <c r="M37" s="117"/>
      <c r="N37" s="88"/>
      <c r="O37" s="88" t="s">
        <v>0</v>
      </c>
      <c r="P37" s="117"/>
      <c r="Q37" s="91"/>
      <c r="R37" s="60"/>
      <c r="S37" s="556"/>
      <c r="T37" s="556"/>
      <c r="U37" s="556"/>
      <c r="V37" s="556"/>
      <c r="W37" s="556"/>
      <c r="X37" s="556"/>
      <c r="Y37" s="556"/>
      <c r="Z37" s="556"/>
      <c r="AA37" s="556"/>
      <c r="AB37" s="556"/>
      <c r="AC37" s="556"/>
      <c r="AD37" s="556"/>
      <c r="AE37" s="556"/>
      <c r="AF37" s="556"/>
      <c r="AG37" s="556"/>
      <c r="AH37" s="556"/>
      <c r="AI37" s="556"/>
      <c r="AJ37" s="556"/>
      <c r="AK37" s="556"/>
      <c r="AL37" s="556"/>
      <c r="AM37" s="556"/>
      <c r="AN37" s="556"/>
      <c r="AO37" s="556"/>
    </row>
    <row r="38" spans="1:41">
      <c r="A38" s="556" t="s">
        <v>282</v>
      </c>
      <c r="B38" s="88">
        <f>+bichvar!J38</f>
        <v>0</v>
      </c>
      <c r="C38" s="88">
        <f>+bncvar!J38</f>
        <v>0</v>
      </c>
      <c r="D38" s="88">
        <f>+bphvar!J38</f>
        <v>0</v>
      </c>
      <c r="E38" s="88">
        <f>+buhvar!J38</f>
        <v>31666</v>
      </c>
      <c r="F38" s="88">
        <f>+capitalbkvar!J38</f>
        <v>0</v>
      </c>
      <c r="G38" s="88">
        <f>+promobkvar!J38</f>
        <v>11904</v>
      </c>
      <c r="H38" s="88">
        <f>+socabkvar!J38</f>
        <v>16941.099999999999</v>
      </c>
      <c r="I38" s="88">
        <f>+sogebkvar!J38</f>
        <v>180</v>
      </c>
      <c r="J38" s="88">
        <f>+unibkvar!J38</f>
        <v>0</v>
      </c>
      <c r="K38" s="90">
        <f>SUM(B38:J38)</f>
        <v>60691.1</v>
      </c>
      <c r="L38" s="88">
        <f>+sgbelvar!J38</f>
        <v>0</v>
      </c>
      <c r="M38" s="117">
        <f>+L38</f>
        <v>0</v>
      </c>
      <c r="N38" s="88">
        <f>+cbnavar!J38</f>
        <v>0</v>
      </c>
      <c r="O38" s="88">
        <f>+scotiavar!J38</f>
        <v>0</v>
      </c>
      <c r="P38" s="117">
        <f>SUM(N38:O38)</f>
        <v>0</v>
      </c>
      <c r="Q38" s="91">
        <f>+K38+L38+P38</f>
        <v>60691.1</v>
      </c>
      <c r="R38" s="60"/>
      <c r="S38" s="556"/>
      <c r="T38" s="556"/>
      <c r="U38" s="556"/>
      <c r="V38" s="556"/>
      <c r="W38" s="556"/>
      <c r="X38" s="556"/>
      <c r="Y38" s="556"/>
      <c r="Z38" s="556"/>
      <c r="AA38" s="556"/>
      <c r="AB38" s="556"/>
      <c r="AC38" s="556"/>
      <c r="AD38" s="556"/>
      <c r="AE38" s="556"/>
      <c r="AF38" s="556"/>
      <c r="AG38" s="556"/>
      <c r="AH38" s="556"/>
      <c r="AI38" s="556"/>
      <c r="AJ38" s="556"/>
      <c r="AK38" s="556"/>
      <c r="AL38" s="556"/>
      <c r="AM38" s="556"/>
      <c r="AN38" s="556"/>
      <c r="AO38" s="556"/>
    </row>
    <row r="39" spans="1:41">
      <c r="A39" s="556" t="s">
        <v>286</v>
      </c>
      <c r="B39" s="88">
        <f>+bichvar!J39</f>
        <v>0</v>
      </c>
      <c r="C39" s="88">
        <f>+bncvar!J39</f>
        <v>0</v>
      </c>
      <c r="D39" s="88">
        <f>+bphvar!J39</f>
        <v>0</v>
      </c>
      <c r="E39" s="88">
        <f>+buhvar!J39</f>
        <v>0</v>
      </c>
      <c r="F39" s="88">
        <f>+capitalbkvar!J39</f>
        <v>0</v>
      </c>
      <c r="G39" s="88">
        <f>+promobkvar!J39</f>
        <v>0</v>
      </c>
      <c r="H39" s="88">
        <f>+socabkvar!J39</f>
        <v>0</v>
      </c>
      <c r="I39" s="88">
        <f>+sogebkvar!J39</f>
        <v>0</v>
      </c>
      <c r="J39" s="88">
        <f>+unibkvar!J39</f>
        <v>0</v>
      </c>
      <c r="K39" s="90">
        <f>SUM(B39:J39)</f>
        <v>0</v>
      </c>
      <c r="L39" s="88">
        <f>+sgbelvar!J39</f>
        <v>0</v>
      </c>
      <c r="M39" s="117">
        <f>+L39</f>
        <v>0</v>
      </c>
      <c r="N39" s="88">
        <f>+cbnavar!J39</f>
        <v>0</v>
      </c>
      <c r="O39" s="88">
        <f>+scotiavar!J39</f>
        <v>0</v>
      </c>
      <c r="P39" s="117">
        <f>SUM(N39:O39)</f>
        <v>0</v>
      </c>
      <c r="Q39" s="91">
        <f>+K39+L39+P39</f>
        <v>0</v>
      </c>
      <c r="R39" s="60"/>
      <c r="S39" s="556"/>
      <c r="T39" s="556"/>
      <c r="U39" s="556"/>
      <c r="V39" s="556"/>
      <c r="W39" s="556"/>
      <c r="X39" s="556"/>
      <c r="Y39" s="556"/>
      <c r="Z39" s="556"/>
      <c r="AA39" s="556"/>
      <c r="AB39" s="556"/>
      <c r="AC39" s="556"/>
      <c r="AD39" s="556"/>
      <c r="AE39" s="556"/>
      <c r="AF39" s="556"/>
      <c r="AG39" s="556"/>
      <c r="AH39" s="556"/>
      <c r="AI39" s="556"/>
      <c r="AJ39" s="556"/>
      <c r="AK39" s="556"/>
      <c r="AL39" s="556"/>
      <c r="AM39" s="556"/>
      <c r="AN39" s="556"/>
      <c r="AO39" s="556"/>
    </row>
    <row r="40" spans="1:41">
      <c r="A40" s="556" t="s">
        <v>284</v>
      </c>
      <c r="B40" s="221">
        <f>+bichvar!J40</f>
        <v>0</v>
      </c>
      <c r="C40" s="221">
        <f>+bncvar!J40</f>
        <v>7429</v>
      </c>
      <c r="D40" s="221">
        <f>+bphvar!J40</f>
        <v>19771.900000000001</v>
      </c>
      <c r="E40" s="221">
        <f>+buhvar!J40</f>
        <v>36996</v>
      </c>
      <c r="F40" s="221">
        <f>+capitalbkvar!J40</f>
        <v>21523</v>
      </c>
      <c r="G40" s="221">
        <f>+promobkvar!J40</f>
        <v>22983</v>
      </c>
      <c r="H40" s="221">
        <f>+socabkvar!J40</f>
        <v>0</v>
      </c>
      <c r="I40" s="221">
        <f>+sogebkvar!J40</f>
        <v>80873</v>
      </c>
      <c r="J40" s="1090">
        <f>+unibkvar!J40</f>
        <v>35915.1</v>
      </c>
      <c r="K40" s="286">
        <f>SUM(B40:J40)</f>
        <v>225491</v>
      </c>
      <c r="L40" s="1090">
        <f>+sgbelvar!J40</f>
        <v>17273.900000000001</v>
      </c>
      <c r="M40" s="1065">
        <f>+L40</f>
        <v>17273.900000000001</v>
      </c>
      <c r="N40" s="221">
        <f>+cbnavar!J40</f>
        <v>13226</v>
      </c>
      <c r="O40" s="1090">
        <f>+scotiavar!J40</f>
        <v>16448</v>
      </c>
      <c r="P40" s="286">
        <f>SUM(N40:O40)</f>
        <v>29674</v>
      </c>
      <c r="Q40" s="288">
        <f>+K40+L40+P40</f>
        <v>272438.90000000002</v>
      </c>
      <c r="R40" s="60"/>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row>
    <row r="41" spans="1:41">
      <c r="A41" s="556"/>
      <c r="B41" s="88">
        <f t="shared" ref="B41:L41" si="6">SUM(B38:B40)</f>
        <v>0</v>
      </c>
      <c r="C41" s="88">
        <f t="shared" si="6"/>
        <v>7429</v>
      </c>
      <c r="D41" s="88">
        <f t="shared" si="6"/>
        <v>19771.900000000001</v>
      </c>
      <c r="E41" s="88">
        <f t="shared" si="6"/>
        <v>68662</v>
      </c>
      <c r="F41" s="88">
        <f t="shared" si="6"/>
        <v>21523</v>
      </c>
      <c r="G41" s="88">
        <f t="shared" si="6"/>
        <v>34887</v>
      </c>
      <c r="H41" s="88">
        <f t="shared" si="6"/>
        <v>16941.099999999999</v>
      </c>
      <c r="I41" s="88">
        <f t="shared" si="6"/>
        <v>81053</v>
      </c>
      <c r="J41" s="88">
        <f t="shared" si="6"/>
        <v>35915.1</v>
      </c>
      <c r="K41" s="90">
        <f t="shared" si="6"/>
        <v>286182.09999999998</v>
      </c>
      <c r="L41" s="88">
        <f t="shared" si="6"/>
        <v>17273.900000000001</v>
      </c>
      <c r="M41" s="117">
        <f>+L41</f>
        <v>17273.900000000001</v>
      </c>
      <c r="N41" s="88">
        <f>SUM(N38:N40)</f>
        <v>13226</v>
      </c>
      <c r="O41" s="88">
        <f>SUM(O38:O40)</f>
        <v>16448</v>
      </c>
      <c r="P41" s="117">
        <f>SUM(P38:P40)</f>
        <v>29674</v>
      </c>
      <c r="Q41" s="91">
        <f>SUM(Q38:Q40)</f>
        <v>333130</v>
      </c>
      <c r="R41" s="60"/>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row>
    <row r="42" spans="1:41" ht="8.4499999999999993" customHeight="1">
      <c r="A42" s="556"/>
      <c r="B42" s="88"/>
      <c r="C42" s="100" t="s">
        <v>0</v>
      </c>
      <c r="D42" s="89" t="s">
        <v>0</v>
      </c>
      <c r="E42" s="88"/>
      <c r="F42" s="89" t="s">
        <v>0</v>
      </c>
      <c r="G42" s="89" t="s">
        <v>0</v>
      </c>
      <c r="H42" s="89" t="s">
        <v>0</v>
      </c>
      <c r="I42" s="88"/>
      <c r="J42" s="88"/>
      <c r="K42" s="90"/>
      <c r="L42" s="88"/>
      <c r="M42" s="117"/>
      <c r="N42" s="88"/>
      <c r="O42" s="88" t="s">
        <v>0</v>
      </c>
      <c r="P42" s="117"/>
      <c r="Q42" s="91"/>
      <c r="R42" s="60"/>
      <c r="S42" s="556"/>
      <c r="T42" s="556"/>
      <c r="U42" s="556"/>
      <c r="V42" s="556"/>
      <c r="W42" s="556"/>
      <c r="X42" s="556"/>
      <c r="Y42" s="556"/>
      <c r="Z42" s="556"/>
      <c r="AA42" s="556"/>
      <c r="AB42" s="556"/>
      <c r="AC42" s="556"/>
      <c r="AD42" s="556"/>
      <c r="AE42" s="556"/>
      <c r="AF42" s="556"/>
      <c r="AG42" s="556"/>
      <c r="AH42" s="556"/>
      <c r="AI42" s="556"/>
      <c r="AJ42" s="556"/>
      <c r="AK42" s="556"/>
      <c r="AL42" s="556"/>
      <c r="AM42" s="556"/>
      <c r="AN42" s="556"/>
      <c r="AO42" s="556"/>
    </row>
    <row r="43" spans="1:41" ht="17.25">
      <c r="A43" s="556" t="s">
        <v>287</v>
      </c>
      <c r="B43" s="221">
        <f>+bichvar!J43</f>
        <v>0</v>
      </c>
      <c r="C43" s="221">
        <f>+bncvar!J43</f>
        <v>1753</v>
      </c>
      <c r="D43" s="221">
        <f>+bphvar!J43</f>
        <v>2292.1999999999998</v>
      </c>
      <c r="E43" s="221">
        <f>+buhvar!J43</f>
        <v>1382</v>
      </c>
      <c r="F43" s="221">
        <f>+capitalbkvar!J43</f>
        <v>41874</v>
      </c>
      <c r="G43" s="221">
        <f>+promobkvar!J43</f>
        <v>52313</v>
      </c>
      <c r="H43" s="221">
        <f>+socabkvar!J43</f>
        <v>0</v>
      </c>
      <c r="I43" s="221">
        <f>+sogebkvar!J43</f>
        <v>74297</v>
      </c>
      <c r="J43" s="1090">
        <f>+unibkvar!J43</f>
        <v>22469.3</v>
      </c>
      <c r="K43" s="286">
        <f>SUM(B43:J43)</f>
        <v>196380.5</v>
      </c>
      <c r="L43" s="1090">
        <f>+sgbelvar!J43</f>
        <v>655.7</v>
      </c>
      <c r="M43" s="1065">
        <f>+L43</f>
        <v>655.7</v>
      </c>
      <c r="N43" s="221">
        <f>+cbnavar!J43</f>
        <v>22859</v>
      </c>
      <c r="O43" s="1090">
        <f>+scotiavar!J43</f>
        <v>0</v>
      </c>
      <c r="P43" s="286">
        <f>SUM(N43:O43)</f>
        <v>22859</v>
      </c>
      <c r="Q43" s="288">
        <f>+K43+L43+P43</f>
        <v>219895.2</v>
      </c>
      <c r="R43" s="64"/>
      <c r="S43" s="556"/>
      <c r="T43" s="556"/>
      <c r="U43" s="556"/>
      <c r="V43" s="556"/>
      <c r="W43" s="556"/>
      <c r="X43" s="556"/>
      <c r="Y43" s="556"/>
      <c r="Z43" s="556"/>
      <c r="AA43" s="556"/>
      <c r="AB43" s="556"/>
      <c r="AC43" s="556"/>
      <c r="AD43" s="556"/>
      <c r="AE43" s="556"/>
      <c r="AF43" s="556"/>
      <c r="AG43" s="556"/>
      <c r="AH43" s="556"/>
      <c r="AI43" s="556"/>
      <c r="AJ43" s="556"/>
      <c r="AK43" s="556"/>
      <c r="AL43" s="556"/>
      <c r="AM43" s="556"/>
      <c r="AN43" s="556"/>
      <c r="AO43" s="556"/>
    </row>
    <row r="44" spans="1:41">
      <c r="A44" s="556"/>
      <c r="B44" s="88">
        <f t="shared" ref="B44:J44" si="7">+B29+B35+B41+B43</f>
        <v>4321.1000000000004</v>
      </c>
      <c r="C44" s="88">
        <f t="shared" si="7"/>
        <v>1857067</v>
      </c>
      <c r="D44" s="88">
        <f t="shared" si="7"/>
        <v>790276.4</v>
      </c>
      <c r="E44" s="88">
        <f t="shared" si="7"/>
        <v>1984973</v>
      </c>
      <c r="F44" s="88">
        <f t="shared" si="7"/>
        <v>913258</v>
      </c>
      <c r="G44" s="88">
        <f t="shared" si="7"/>
        <v>1422279</v>
      </c>
      <c r="H44" s="88">
        <f t="shared" si="7"/>
        <v>2179982.4</v>
      </c>
      <c r="I44" s="88">
        <f t="shared" si="7"/>
        <v>4824404</v>
      </c>
      <c r="J44" s="88">
        <f t="shared" si="7"/>
        <v>3210152.1</v>
      </c>
      <c r="K44" s="90">
        <f>SUM(B44:J44)</f>
        <v>17186713</v>
      </c>
      <c r="L44" s="88">
        <f>+L29+L35+L41+L43</f>
        <v>468975.60000000003</v>
      </c>
      <c r="M44" s="117">
        <f>+L44</f>
        <v>468975.60000000003</v>
      </c>
      <c r="N44" s="88">
        <f>+N29+N35+N41+N43</f>
        <v>1426971</v>
      </c>
      <c r="O44" s="88">
        <f>+O29+O35+O41+O43</f>
        <v>926032</v>
      </c>
      <c r="P44" s="117">
        <f>SUM(N44:O44)</f>
        <v>2353003</v>
      </c>
      <c r="Q44" s="91">
        <f>+K44+L44+P44</f>
        <v>20008691.600000001</v>
      </c>
      <c r="R44" s="60"/>
      <c r="S44" s="556"/>
      <c r="T44" s="556"/>
      <c r="U44" s="556"/>
      <c r="V44" s="556"/>
      <c r="W44" s="556"/>
      <c r="X44" s="556"/>
      <c r="Y44" s="556"/>
      <c r="Z44" s="556"/>
      <c r="AA44" s="556"/>
      <c r="AB44" s="556"/>
      <c r="AC44" s="556"/>
      <c r="AD44" s="556"/>
      <c r="AE44" s="556"/>
      <c r="AF44" s="556"/>
      <c r="AG44" s="556"/>
      <c r="AH44" s="556"/>
      <c r="AI44" s="556"/>
      <c r="AJ44" s="556"/>
      <c r="AK44" s="556"/>
      <c r="AL44" s="556"/>
      <c r="AM44" s="556"/>
      <c r="AN44" s="556"/>
      <c r="AO44" s="556"/>
    </row>
    <row r="45" spans="1:41" ht="15.6" customHeight="1">
      <c r="A45" s="556"/>
      <c r="B45" s="88"/>
      <c r="C45" s="100" t="s">
        <v>0</v>
      </c>
      <c r="D45" s="89" t="s">
        <v>0</v>
      </c>
      <c r="E45" s="88"/>
      <c r="F45" s="89" t="s">
        <v>0</v>
      </c>
      <c r="G45" s="89" t="s">
        <v>0</v>
      </c>
      <c r="H45" s="89" t="s">
        <v>0</v>
      </c>
      <c r="I45" s="88"/>
      <c r="J45" s="88"/>
      <c r="K45" s="90"/>
      <c r="L45" s="88"/>
      <c r="M45" s="117"/>
      <c r="N45" s="88"/>
      <c r="O45" s="88" t="s">
        <v>0</v>
      </c>
      <c r="P45" s="117"/>
      <c r="Q45" s="91"/>
      <c r="R45" s="60"/>
      <c r="S45" s="556"/>
      <c r="T45" s="556"/>
      <c r="U45" s="556"/>
      <c r="V45" s="556"/>
      <c r="W45" s="556"/>
      <c r="X45" s="556"/>
      <c r="Y45" s="556"/>
      <c r="Z45" s="556"/>
      <c r="AA45" s="556"/>
      <c r="AB45" s="556"/>
      <c r="AC45" s="556"/>
      <c r="AD45" s="556"/>
      <c r="AE45" s="556"/>
      <c r="AF45" s="556"/>
      <c r="AG45" s="556"/>
      <c r="AH45" s="556"/>
      <c r="AI45" s="556"/>
      <c r="AJ45" s="556"/>
      <c r="AK45" s="556"/>
      <c r="AL45" s="556"/>
      <c r="AM45" s="556"/>
      <c r="AN45" s="556"/>
      <c r="AO45" s="556"/>
    </row>
    <row r="46" spans="1:41">
      <c r="A46" s="562" t="s">
        <v>288</v>
      </c>
      <c r="B46" s="88"/>
      <c r="C46" s="100" t="s">
        <v>0</v>
      </c>
      <c r="D46" s="89" t="s">
        <v>0</v>
      </c>
      <c r="E46" s="88"/>
      <c r="F46" s="89" t="s">
        <v>0</v>
      </c>
      <c r="G46" s="89" t="s">
        <v>0</v>
      </c>
      <c r="H46" s="89" t="s">
        <v>0</v>
      </c>
      <c r="I46" s="88"/>
      <c r="J46" s="88"/>
      <c r="K46" s="90"/>
      <c r="L46" s="88"/>
      <c r="M46" s="117"/>
      <c r="N46" s="88"/>
      <c r="O46" s="88" t="s">
        <v>0</v>
      </c>
      <c r="P46" s="117"/>
      <c r="Q46" s="91"/>
      <c r="R46" s="60"/>
      <c r="S46" s="556"/>
      <c r="T46" s="556"/>
      <c r="U46" s="556"/>
      <c r="V46" s="556"/>
      <c r="W46" s="556"/>
      <c r="X46" s="556"/>
      <c r="Y46" s="556"/>
      <c r="Z46" s="556"/>
      <c r="AA46" s="556"/>
      <c r="AB46" s="556"/>
      <c r="AC46" s="556"/>
      <c r="AD46" s="556"/>
      <c r="AE46" s="556"/>
      <c r="AF46" s="556"/>
      <c r="AG46" s="556"/>
      <c r="AH46" s="556"/>
      <c r="AI46" s="556"/>
      <c r="AJ46" s="556"/>
      <c r="AK46" s="556"/>
      <c r="AL46" s="556"/>
      <c r="AM46" s="556"/>
      <c r="AN46" s="556"/>
      <c r="AO46" s="556"/>
    </row>
    <row r="47" spans="1:41">
      <c r="A47" s="556" t="s">
        <v>289</v>
      </c>
      <c r="B47" s="88">
        <f>+bichvar!J47</f>
        <v>5000</v>
      </c>
      <c r="C47" s="88">
        <f>+bncvar!J47</f>
        <v>25000</v>
      </c>
      <c r="D47" s="88">
        <f>+bphvar!J47</f>
        <v>5000</v>
      </c>
      <c r="E47" s="88">
        <f>+buhvar!J47</f>
        <v>36935</v>
      </c>
      <c r="F47" s="88">
        <f>+capitalbkvar!J47</f>
        <v>89720</v>
      </c>
      <c r="G47" s="88">
        <f>+promobkvar!J47</f>
        <v>43960</v>
      </c>
      <c r="H47" s="88">
        <f>+socabkvar!J47</f>
        <v>91659.8</v>
      </c>
      <c r="I47" s="88">
        <f>+sogebkvar!J47</f>
        <v>207810</v>
      </c>
      <c r="J47" s="88">
        <f>+unibkvar!J47</f>
        <v>100000</v>
      </c>
      <c r="K47" s="90">
        <f>SUM(B47:J47)</f>
        <v>605084.80000000005</v>
      </c>
      <c r="L47" s="88">
        <f>+sgbelvar!J47</f>
        <v>20000</v>
      </c>
      <c r="M47" s="117">
        <f t="shared" ref="M47:M52" si="8">+L47</f>
        <v>20000</v>
      </c>
      <c r="N47" s="88">
        <f>+cbnavar!J47</f>
        <v>5000</v>
      </c>
      <c r="O47" s="88">
        <f>+scotiavar!J47</f>
        <v>5000</v>
      </c>
      <c r="P47" s="117">
        <f>SUM(N47:O47)</f>
        <v>10000</v>
      </c>
      <c r="Q47" s="91">
        <f>+K47+L47+P47</f>
        <v>635084.80000000005</v>
      </c>
      <c r="R47" s="60"/>
      <c r="S47" s="556"/>
      <c r="T47" s="556"/>
      <c r="U47" s="556"/>
      <c r="V47" s="556"/>
      <c r="W47" s="556"/>
      <c r="X47" s="556"/>
      <c r="Y47" s="556"/>
      <c r="Z47" s="556"/>
      <c r="AA47" s="556"/>
      <c r="AB47" s="556"/>
      <c r="AC47" s="556"/>
      <c r="AD47" s="556"/>
      <c r="AE47" s="556"/>
      <c r="AF47" s="556"/>
      <c r="AG47" s="556"/>
      <c r="AH47" s="556"/>
      <c r="AI47" s="556"/>
      <c r="AJ47" s="556"/>
      <c r="AK47" s="556"/>
      <c r="AL47" s="556"/>
      <c r="AM47" s="556"/>
      <c r="AN47" s="556"/>
      <c r="AO47" s="556"/>
    </row>
    <row r="48" spans="1:41">
      <c r="A48" s="556" t="s">
        <v>290</v>
      </c>
      <c r="B48" s="88">
        <f>+bichvar!J48</f>
        <v>177.9</v>
      </c>
      <c r="C48" s="88">
        <f>+bncvar!J48</f>
        <v>10164</v>
      </c>
      <c r="D48" s="88">
        <f>+bphvar!J48</f>
        <v>1771.9</v>
      </c>
      <c r="E48" s="88">
        <f>+buhvar!J48</f>
        <v>1939</v>
      </c>
      <c r="F48" s="88">
        <f>+capitalbkvar!J48</f>
        <v>2745</v>
      </c>
      <c r="G48" s="88">
        <f>+promobkvar!J48</f>
        <v>6969</v>
      </c>
      <c r="H48" s="88">
        <f>+socabkvar!J48</f>
        <v>3568.7</v>
      </c>
      <c r="I48" s="88">
        <f>+sogebkvar!J48</f>
        <v>26569</v>
      </c>
      <c r="J48" s="88">
        <f>+unibkvar!J48</f>
        <v>13107.9</v>
      </c>
      <c r="K48" s="90">
        <f>SUM(B48:J48)</f>
        <v>67012.399999999994</v>
      </c>
      <c r="L48" s="88">
        <f>+sgbelvar!J48</f>
        <v>1993.9</v>
      </c>
      <c r="M48" s="117">
        <f t="shared" si="8"/>
        <v>1993.9</v>
      </c>
      <c r="N48" s="88">
        <f>+cbnavar!J48</f>
        <v>2500</v>
      </c>
      <c r="O48" s="88">
        <f>+scotiavar!J48</f>
        <v>2500</v>
      </c>
      <c r="P48" s="117">
        <f>SUM(N48:O48)</f>
        <v>5000</v>
      </c>
      <c r="Q48" s="91">
        <f>+K48+L48+P48</f>
        <v>74006.299999999988</v>
      </c>
      <c r="R48" s="60"/>
      <c r="S48" s="556"/>
      <c r="T48" s="556"/>
      <c r="U48" s="556"/>
      <c r="V48" s="556"/>
      <c r="W48" s="556"/>
      <c r="X48" s="556"/>
      <c r="Y48" s="556"/>
      <c r="Z48" s="556"/>
      <c r="AA48" s="556"/>
      <c r="AB48" s="556"/>
      <c r="AC48" s="556"/>
      <c r="AD48" s="556"/>
      <c r="AE48" s="556"/>
      <c r="AF48" s="556"/>
      <c r="AG48" s="556"/>
      <c r="AH48" s="556"/>
      <c r="AI48" s="556"/>
      <c r="AJ48" s="556"/>
      <c r="AK48" s="556"/>
      <c r="AL48" s="556"/>
      <c r="AM48" s="556"/>
      <c r="AN48" s="556"/>
      <c r="AO48" s="556"/>
    </row>
    <row r="49" spans="1:41">
      <c r="A49" s="556" t="s">
        <v>291</v>
      </c>
      <c r="B49" s="88">
        <f>+bichvar!J49</f>
        <v>0</v>
      </c>
      <c r="C49" s="88">
        <f>+bncvar!J49</f>
        <v>0</v>
      </c>
      <c r="D49" s="88">
        <f>+bphvar!J49</f>
        <v>0</v>
      </c>
      <c r="E49" s="88">
        <f>+buhvar!J49</f>
        <v>12725</v>
      </c>
      <c r="F49" s="88">
        <f>+capitalbkvar!J49</f>
        <v>755</v>
      </c>
      <c r="G49" s="88">
        <f>+promobkvar!J49</f>
        <v>21551</v>
      </c>
      <c r="H49" s="88">
        <f>+socabkvar!J49</f>
        <v>65.900000000000006</v>
      </c>
      <c r="I49" s="88">
        <f>+sogebkvar!J49</f>
        <v>55819</v>
      </c>
      <c r="J49" s="88">
        <f>+unibkvar!J49</f>
        <v>11786.3</v>
      </c>
      <c r="K49" s="90">
        <f>SUM(B49:J49)</f>
        <v>102702.2</v>
      </c>
      <c r="L49" s="88">
        <f>+sgbelvar!J49</f>
        <v>0</v>
      </c>
      <c r="M49" s="117">
        <f t="shared" si="8"/>
        <v>0</v>
      </c>
      <c r="N49" s="88">
        <f>+cbnavar!J49</f>
        <v>0</v>
      </c>
      <c r="O49" s="88">
        <f>+scotiavar!J49</f>
        <v>0</v>
      </c>
      <c r="P49" s="117">
        <f>SUM(N49:O49)</f>
        <v>0</v>
      </c>
      <c r="Q49" s="91">
        <f>+K49+L49+P49</f>
        <v>102702.2</v>
      </c>
      <c r="R49" s="60"/>
      <c r="S49" s="556"/>
      <c r="T49" s="556"/>
      <c r="U49" s="556"/>
      <c r="V49" s="556"/>
      <c r="W49" s="556"/>
      <c r="X49" s="556"/>
      <c r="Y49" s="556"/>
      <c r="Z49" s="556"/>
      <c r="AA49" s="556"/>
      <c r="AB49" s="556"/>
      <c r="AC49" s="556"/>
      <c r="AD49" s="556"/>
      <c r="AE49" s="556"/>
      <c r="AF49" s="556"/>
      <c r="AG49" s="556"/>
      <c r="AH49" s="556"/>
      <c r="AI49" s="556"/>
      <c r="AJ49" s="556"/>
      <c r="AK49" s="556"/>
      <c r="AL49" s="556"/>
      <c r="AM49" s="556"/>
      <c r="AN49" s="556"/>
      <c r="AO49" s="556"/>
    </row>
    <row r="50" spans="1:41" ht="17.25">
      <c r="A50" s="556" t="s">
        <v>292</v>
      </c>
      <c r="B50" s="221">
        <f>+bichvar!J50</f>
        <v>579.6</v>
      </c>
      <c r="C50" s="221">
        <f>+bncvar!J50</f>
        <v>12198</v>
      </c>
      <c r="D50" s="221">
        <f>+bphvar!J50</f>
        <v>22611.3</v>
      </c>
      <c r="E50" s="221">
        <f>+buhvar!J50</f>
        <v>32367</v>
      </c>
      <c r="F50" s="221">
        <f>+capitalbkvar!J50</f>
        <v>23405</v>
      </c>
      <c r="G50" s="221">
        <f>+promobkvar!J50</f>
        <v>14043</v>
      </c>
      <c r="H50" s="221">
        <f>+socabkvar!J50</f>
        <v>18822.900000000001</v>
      </c>
      <c r="I50" s="221">
        <f>+sogebkvar!J50</f>
        <v>62635</v>
      </c>
      <c r="J50" s="1090">
        <f>+unibkvar!J50</f>
        <v>65810</v>
      </c>
      <c r="K50" s="286">
        <f>SUM(B50:J50)</f>
        <v>252471.8</v>
      </c>
      <c r="L50" s="1090">
        <f>+sgbelvar!J50</f>
        <v>18236.7</v>
      </c>
      <c r="M50" s="1065">
        <f t="shared" si="8"/>
        <v>18236.7</v>
      </c>
      <c r="N50" s="221">
        <f>+cbnavar!J50</f>
        <v>19321</v>
      </c>
      <c r="O50" s="1090">
        <f>+scotiavar!J50</f>
        <v>-13332</v>
      </c>
      <c r="P50" s="286">
        <f>SUM(N50:O50)</f>
        <v>5989</v>
      </c>
      <c r="Q50" s="288">
        <f>+K50+L50+P50</f>
        <v>276697.5</v>
      </c>
      <c r="R50" s="60"/>
      <c r="S50" s="561"/>
      <c r="T50" s="561"/>
      <c r="U50" s="561"/>
      <c r="V50" s="556"/>
      <c r="W50" s="556"/>
      <c r="X50" s="556"/>
      <c r="Y50" s="556"/>
      <c r="Z50" s="556"/>
      <c r="AA50" s="556"/>
      <c r="AB50" s="556"/>
      <c r="AC50" s="556"/>
      <c r="AD50" s="556"/>
      <c r="AE50" s="556"/>
      <c r="AF50" s="556"/>
      <c r="AG50" s="556"/>
      <c r="AH50" s="556"/>
      <c r="AI50" s="556"/>
      <c r="AJ50" s="556"/>
      <c r="AK50" s="556"/>
      <c r="AL50" s="556"/>
      <c r="AM50" s="556"/>
      <c r="AN50" s="556"/>
      <c r="AO50" s="556"/>
    </row>
    <row r="51" spans="1:41" ht="16.5" thickBot="1">
      <c r="A51" s="556" t="s">
        <v>275</v>
      </c>
      <c r="B51" s="99">
        <f t="shared" ref="B51:J51" si="9">SUM(B47:B50)</f>
        <v>5757.5</v>
      </c>
      <c r="C51" s="99">
        <f t="shared" si="9"/>
        <v>47362</v>
      </c>
      <c r="D51" s="99">
        <f t="shared" si="9"/>
        <v>29383.199999999997</v>
      </c>
      <c r="E51" s="99">
        <f t="shared" si="9"/>
        <v>83966</v>
      </c>
      <c r="F51" s="99">
        <f t="shared" si="9"/>
        <v>116625</v>
      </c>
      <c r="G51" s="99">
        <f t="shared" si="9"/>
        <v>86523</v>
      </c>
      <c r="H51" s="99">
        <f t="shared" si="9"/>
        <v>114117.29999999999</v>
      </c>
      <c r="I51" s="99">
        <f t="shared" si="9"/>
        <v>352833</v>
      </c>
      <c r="J51" s="99">
        <f t="shared" si="9"/>
        <v>190704.2</v>
      </c>
      <c r="K51" s="97">
        <f>SUM(B51:J51)</f>
        <v>1027271.2</v>
      </c>
      <c r="L51" s="99">
        <f>SUM(L47:L50)</f>
        <v>40230.600000000006</v>
      </c>
      <c r="M51" s="119">
        <f t="shared" si="8"/>
        <v>40230.600000000006</v>
      </c>
      <c r="N51" s="99">
        <f>SUM(N47:N50)</f>
        <v>26821</v>
      </c>
      <c r="O51" s="99">
        <f>SUM(O47:O50)</f>
        <v>-5832</v>
      </c>
      <c r="P51" s="119">
        <f>SUM(P47:P50)</f>
        <v>20989</v>
      </c>
      <c r="Q51" s="96">
        <f>SUM(Q47:Q50)</f>
        <v>1088490.8</v>
      </c>
      <c r="R51" s="60"/>
      <c r="S51" s="556"/>
      <c r="T51" s="556"/>
      <c r="U51" s="556"/>
      <c r="V51" s="556"/>
      <c r="W51" s="556"/>
      <c r="X51" s="556"/>
      <c r="Y51" s="556"/>
      <c r="Z51" s="556"/>
      <c r="AA51" s="556"/>
      <c r="AB51" s="556"/>
      <c r="AC51" s="556"/>
      <c r="AD51" s="556"/>
      <c r="AE51" s="556"/>
      <c r="AF51" s="556"/>
      <c r="AG51" s="556"/>
      <c r="AH51" s="556"/>
      <c r="AI51" s="556"/>
      <c r="AJ51" s="556"/>
      <c r="AK51" s="556"/>
      <c r="AL51" s="556"/>
      <c r="AM51" s="556"/>
      <c r="AN51" s="556"/>
      <c r="AO51" s="556"/>
    </row>
    <row r="52" spans="1:41">
      <c r="A52" s="556" t="s">
        <v>0</v>
      </c>
      <c r="B52" s="91">
        <f t="shared" ref="B52:L52" si="10">+B29+B35+B41+B43+B51</f>
        <v>10078.6</v>
      </c>
      <c r="C52" s="91">
        <f t="shared" si="10"/>
        <v>1904429</v>
      </c>
      <c r="D52" s="91">
        <f t="shared" si="10"/>
        <v>819659.6</v>
      </c>
      <c r="E52" s="91">
        <f t="shared" si="10"/>
        <v>2068939</v>
      </c>
      <c r="F52" s="91">
        <f t="shared" si="10"/>
        <v>1029883</v>
      </c>
      <c r="G52" s="91">
        <f t="shared" si="10"/>
        <v>1508802</v>
      </c>
      <c r="H52" s="91">
        <f t="shared" si="10"/>
        <v>2294099.6999999997</v>
      </c>
      <c r="I52" s="91">
        <f t="shared" si="10"/>
        <v>5177237</v>
      </c>
      <c r="J52" s="91">
        <f t="shared" si="10"/>
        <v>3400856.3000000003</v>
      </c>
      <c r="K52" s="90">
        <f t="shared" si="10"/>
        <v>18213984.199999999</v>
      </c>
      <c r="L52" s="91">
        <f t="shared" si="10"/>
        <v>509206.20000000007</v>
      </c>
      <c r="M52" s="117">
        <f t="shared" si="8"/>
        <v>509206.20000000007</v>
      </c>
      <c r="N52" s="91">
        <f>+N29+N35+N41+N43+N51</f>
        <v>1453792</v>
      </c>
      <c r="O52" s="91">
        <f>+O29+O35+O41+O43+O51</f>
        <v>920200</v>
      </c>
      <c r="P52" s="117">
        <f>+P29+P35+P41+P43+P51</f>
        <v>2373992</v>
      </c>
      <c r="Q52" s="91">
        <f>(+Q29+Q35+Q41+Q43+Q51)</f>
        <v>21097182.399999999</v>
      </c>
      <c r="R52" s="60"/>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row>
    <row r="53" spans="1:41">
      <c r="A53" s="556"/>
      <c r="B53" s="60"/>
      <c r="C53" s="61"/>
      <c r="D53" s="61"/>
      <c r="E53" s="60"/>
      <c r="F53" s="61"/>
      <c r="G53" s="61"/>
      <c r="H53" s="61"/>
      <c r="I53" s="60"/>
      <c r="J53" s="60"/>
      <c r="K53" s="60"/>
      <c r="L53" s="60"/>
      <c r="M53" s="1067"/>
      <c r="N53" s="60"/>
      <c r="O53" s="61"/>
      <c r="P53" s="60"/>
      <c r="Q53" s="60"/>
      <c r="R53" s="60"/>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row>
    <row r="54" spans="1:41">
      <c r="A54" s="556"/>
      <c r="B54" s="60"/>
      <c r="C54" s="61"/>
      <c r="D54" s="61"/>
      <c r="E54" s="60"/>
      <c r="F54" s="61"/>
      <c r="G54" s="61"/>
      <c r="H54" s="61"/>
      <c r="I54" s="60"/>
      <c r="J54" s="60"/>
      <c r="K54" s="60"/>
      <c r="L54" s="60"/>
      <c r="M54" s="1067"/>
      <c r="N54" s="60"/>
      <c r="O54" s="61"/>
      <c r="P54" s="60"/>
      <c r="Q54" s="60"/>
      <c r="R54" s="60"/>
      <c r="S54" s="556"/>
      <c r="T54" s="556"/>
      <c r="U54" s="556"/>
      <c r="V54" s="556"/>
      <c r="W54" s="556"/>
      <c r="X54" s="556"/>
      <c r="Y54" s="556"/>
      <c r="Z54" s="556"/>
      <c r="AA54" s="556"/>
      <c r="AB54" s="556"/>
      <c r="AC54" s="556"/>
      <c r="AD54" s="556"/>
      <c r="AE54" s="556"/>
      <c r="AF54" s="556"/>
      <c r="AG54" s="556"/>
      <c r="AH54" s="556"/>
      <c r="AI54" s="556"/>
      <c r="AJ54" s="556"/>
      <c r="AK54" s="556"/>
      <c r="AL54" s="556"/>
      <c r="AM54" s="556"/>
      <c r="AN54" s="556"/>
      <c r="AO54" s="556"/>
    </row>
    <row r="55" spans="1:41">
      <c r="A55" s="563" t="s">
        <v>293</v>
      </c>
      <c r="B55" s="555"/>
      <c r="C55" s="555"/>
      <c r="D55" s="555"/>
      <c r="E55" s="555"/>
      <c r="F55" s="555"/>
      <c r="G55" s="555"/>
      <c r="H55" s="555"/>
      <c r="I55" s="555"/>
      <c r="J55" s="555"/>
      <c r="K55" s="555"/>
      <c r="L55" s="555"/>
      <c r="M55" s="1068"/>
      <c r="N55" s="555"/>
      <c r="O55" s="555"/>
      <c r="P55" s="60"/>
      <c r="Q55" s="60"/>
      <c r="R55" s="60"/>
      <c r="S55" s="556"/>
      <c r="T55" s="556"/>
      <c r="U55" s="556"/>
      <c r="V55" s="556"/>
      <c r="W55" s="556"/>
      <c r="X55" s="556"/>
      <c r="Y55" s="556"/>
      <c r="Z55" s="556"/>
      <c r="AA55" s="556"/>
      <c r="AB55" s="556"/>
      <c r="AC55" s="556"/>
      <c r="AD55" s="556"/>
      <c r="AE55" s="556"/>
      <c r="AF55" s="556"/>
      <c r="AG55" s="556"/>
      <c r="AH55" s="556"/>
      <c r="AI55" s="556"/>
      <c r="AJ55" s="556"/>
      <c r="AK55" s="556"/>
      <c r="AL55" s="556"/>
      <c r="AM55" s="556"/>
      <c r="AN55" s="556"/>
      <c r="AO55" s="556"/>
    </row>
    <row r="56" spans="1:41">
      <c r="A56" s="555" t="s">
        <v>407</v>
      </c>
      <c r="B56" s="88">
        <f>+bichvar!J56</f>
        <v>0</v>
      </c>
      <c r="C56" s="88">
        <f>+bncvar!J56</f>
        <v>0</v>
      </c>
      <c r="D56" s="88">
        <f>+bphvar!J56</f>
        <v>0</v>
      </c>
      <c r="E56" s="88">
        <f>+buhvar!J56</f>
        <v>63</v>
      </c>
      <c r="F56" s="88">
        <f>+capitalbkvar!J56</f>
        <v>0</v>
      </c>
      <c r="G56" s="88">
        <f>+promobkvar!J56</f>
        <v>10361</v>
      </c>
      <c r="H56" s="88">
        <f>+socabkvar!J56</f>
        <v>0</v>
      </c>
      <c r="I56" s="88">
        <f>+sogebkvar!J56</f>
        <v>41294.199999999997</v>
      </c>
      <c r="J56" s="88">
        <f>+unibkvar!J56</f>
        <v>4292.8</v>
      </c>
      <c r="K56" s="90">
        <f>SUM(B56:J56)</f>
        <v>56011</v>
      </c>
      <c r="L56" s="88">
        <f>+sgbelvar!J56</f>
        <v>0</v>
      </c>
      <c r="M56" s="117">
        <f>+L56</f>
        <v>0</v>
      </c>
      <c r="N56" s="88">
        <f>+cbnavar!J56</f>
        <v>2603</v>
      </c>
      <c r="O56" s="88">
        <f>+scotiavar!J56</f>
        <v>0</v>
      </c>
      <c r="P56" s="117">
        <f>SUM(N56:O56)</f>
        <v>2603</v>
      </c>
      <c r="Q56" s="91">
        <f>+K56+L56+P56</f>
        <v>58614</v>
      </c>
      <c r="R56" s="60"/>
      <c r="S56" s="556"/>
      <c r="T56" s="556"/>
      <c r="U56" s="556"/>
      <c r="V56" s="556"/>
      <c r="W56" s="556"/>
      <c r="X56" s="556"/>
      <c r="Y56" s="556"/>
      <c r="Z56" s="556"/>
      <c r="AA56" s="556"/>
      <c r="AB56" s="556"/>
      <c r="AC56" s="556"/>
      <c r="AD56" s="556"/>
      <c r="AE56" s="556"/>
      <c r="AF56" s="556"/>
      <c r="AG56" s="556"/>
      <c r="AH56" s="556"/>
      <c r="AI56" s="556"/>
      <c r="AJ56" s="556"/>
      <c r="AK56" s="556"/>
      <c r="AL56" s="556"/>
      <c r="AM56" s="556"/>
      <c r="AN56" s="556"/>
      <c r="AO56" s="556"/>
    </row>
    <row r="57" spans="1:41">
      <c r="A57" s="555" t="s">
        <v>408</v>
      </c>
      <c r="B57" s="88">
        <f>+bichvar!J57</f>
        <v>0</v>
      </c>
      <c r="C57" s="88">
        <f>+bncvar!J57</f>
        <v>0</v>
      </c>
      <c r="D57" s="88">
        <f>+bphvar!J57</f>
        <v>0</v>
      </c>
      <c r="E57" s="88">
        <f>+buhvar!J57</f>
        <v>0</v>
      </c>
      <c r="F57" s="88">
        <f>+capitalbkvar!J57</f>
        <v>0</v>
      </c>
      <c r="G57" s="88">
        <f>+promobkvar!J57</f>
        <v>39752</v>
      </c>
      <c r="H57" s="88">
        <f>+socabkvar!J57</f>
        <v>108895.3</v>
      </c>
      <c r="I57" s="88">
        <f>+sogebkvar!J57</f>
        <v>145522.6</v>
      </c>
      <c r="J57" s="88">
        <f>+unibkvar!J57</f>
        <v>117892.2</v>
      </c>
      <c r="K57" s="90">
        <f>SUM(B57:J57)</f>
        <v>412062.10000000003</v>
      </c>
      <c r="L57" s="88">
        <f>+sgbelvar!J57</f>
        <v>0</v>
      </c>
      <c r="M57" s="117">
        <f>+L57</f>
        <v>0</v>
      </c>
      <c r="N57" s="88">
        <f>+cbnavar!J57</f>
        <v>79001</v>
      </c>
      <c r="O57" s="88">
        <f>+scotiavar!J57</f>
        <v>0</v>
      </c>
      <c r="P57" s="117">
        <f>SUM(N57:O57)</f>
        <v>79001</v>
      </c>
      <c r="Q57" s="91">
        <f>+K57+L57+P57</f>
        <v>491063.10000000003</v>
      </c>
      <c r="R57" s="60"/>
      <c r="S57" s="556"/>
      <c r="T57" s="556"/>
      <c r="U57" s="556"/>
      <c r="V57" s="556"/>
      <c r="W57" s="556"/>
      <c r="X57" s="556"/>
      <c r="Y57" s="556"/>
      <c r="Z57" s="556"/>
      <c r="AA57" s="556"/>
      <c r="AB57" s="556"/>
      <c r="AC57" s="556"/>
      <c r="AD57" s="556"/>
      <c r="AE57" s="556"/>
      <c r="AF57" s="556"/>
      <c r="AG57" s="556"/>
      <c r="AH57" s="556"/>
      <c r="AI57" s="556"/>
      <c r="AJ57" s="556"/>
      <c r="AK57" s="556"/>
      <c r="AL57" s="556"/>
      <c r="AM57" s="556"/>
      <c r="AN57" s="556"/>
      <c r="AO57" s="556"/>
    </row>
    <row r="58" spans="1:41">
      <c r="A58" s="555" t="s">
        <v>409</v>
      </c>
      <c r="B58" s="88">
        <f>+bichvar!J58</f>
        <v>0</v>
      </c>
      <c r="C58" s="88">
        <f>+bncvar!J58</f>
        <v>0</v>
      </c>
      <c r="D58" s="88">
        <f>+bphvar!J58</f>
        <v>35128.1</v>
      </c>
      <c r="E58" s="88">
        <f>+buhvar!J58</f>
        <v>82276</v>
      </c>
      <c r="F58" s="88">
        <f>+capitalbkvar!J58</f>
        <v>28062</v>
      </c>
      <c r="G58" s="88">
        <f>+promobkvar!J58</f>
        <v>105933</v>
      </c>
      <c r="H58" s="88">
        <f>+socabkvar!J58</f>
        <v>109465.2</v>
      </c>
      <c r="I58" s="88">
        <f>+sogebkvar!J58</f>
        <v>63982.1</v>
      </c>
      <c r="J58" s="88">
        <f>+unibkvar!J58</f>
        <v>36661.300000000003</v>
      </c>
      <c r="K58" s="90">
        <f>SUM(B58:J58)</f>
        <v>461507.69999999995</v>
      </c>
      <c r="L58" s="88">
        <f>+sgbelvar!J58</f>
        <v>79528</v>
      </c>
      <c r="M58" s="117">
        <f>+L58</f>
        <v>79528</v>
      </c>
      <c r="N58" s="88">
        <f>+cbnavar!J58</f>
        <v>124246</v>
      </c>
      <c r="O58" s="88">
        <f>+scotiavar!J58</f>
        <v>7925</v>
      </c>
      <c r="P58" s="117">
        <f>SUM(N58:O58)</f>
        <v>132171</v>
      </c>
      <c r="Q58" s="91">
        <f>+K58+L58+P58</f>
        <v>673206.7</v>
      </c>
      <c r="R58" s="60"/>
      <c r="S58" s="556"/>
      <c r="T58" s="556"/>
      <c r="U58" s="556"/>
      <c r="V58" s="556"/>
      <c r="W58" s="556"/>
      <c r="X58" s="556"/>
      <c r="Y58" s="556"/>
      <c r="Z58" s="556"/>
      <c r="AA58" s="556"/>
      <c r="AB58" s="556"/>
      <c r="AC58" s="556"/>
      <c r="AD58" s="556"/>
      <c r="AE58" s="556"/>
      <c r="AF58" s="556"/>
      <c r="AG58" s="556"/>
      <c r="AH58" s="556"/>
      <c r="AI58" s="556"/>
      <c r="AJ58" s="556"/>
      <c r="AK58" s="556"/>
      <c r="AL58" s="556"/>
      <c r="AM58" s="556"/>
      <c r="AN58" s="556"/>
      <c r="AO58" s="556"/>
    </row>
    <row r="59" spans="1:41">
      <c r="B59" s="88"/>
      <c r="C59" s="88" t="s">
        <v>0</v>
      </c>
      <c r="D59" s="88"/>
      <c r="F59" s="89"/>
      <c r="G59" s="88"/>
      <c r="H59" s="88"/>
      <c r="I59" s="88"/>
      <c r="J59" s="88"/>
      <c r="K59" s="94"/>
      <c r="L59" s="88"/>
      <c r="M59" s="1066"/>
      <c r="N59" s="88"/>
      <c r="O59" s="88"/>
      <c r="P59" s="118"/>
      <c r="Q59" s="91"/>
      <c r="R59" s="60"/>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row>
    <row r="60" spans="1:41">
      <c r="A60" s="882" t="s">
        <v>410</v>
      </c>
      <c r="B60" s="88">
        <f>+bichvar!J60</f>
        <v>3761.7</v>
      </c>
      <c r="C60" s="88">
        <f>+bncvar!J60</f>
        <v>476103</v>
      </c>
      <c r="D60" s="88">
        <f>+bphvar!J60</f>
        <v>333313.7</v>
      </c>
      <c r="E60" s="88">
        <f>+buhvar!J60</f>
        <v>737060</v>
      </c>
      <c r="F60" s="88">
        <f>+capitalbkvar!J60</f>
        <v>514316</v>
      </c>
      <c r="G60" s="88">
        <f>+promobkvar!J60</f>
        <v>740189</v>
      </c>
      <c r="H60" s="88">
        <f>+socabkvar!J60</f>
        <v>1265008.2</v>
      </c>
      <c r="I60" s="88">
        <f>+sogebkvar!J60</f>
        <v>1773624</v>
      </c>
      <c r="J60" s="88">
        <f>+unibkvar!J60</f>
        <v>1530776.8</v>
      </c>
      <c r="K60" s="90">
        <f>SUM(B60:J60)</f>
        <v>7374152.3999999994</v>
      </c>
      <c r="L60" s="88">
        <f>+sgbelvar!J60</f>
        <v>342138.7</v>
      </c>
      <c r="M60" s="117">
        <f>+L60</f>
        <v>342138.7</v>
      </c>
      <c r="N60" s="88">
        <f>+cbnavar!J60</f>
        <v>768118</v>
      </c>
      <c r="O60" s="88">
        <f>+scotiavar!J60</f>
        <v>506411</v>
      </c>
      <c r="P60" s="117">
        <f>SUM(N60:O60)</f>
        <v>1274529</v>
      </c>
      <c r="Q60" s="91">
        <f>+K60+L60+P60</f>
        <v>8990820.0999999996</v>
      </c>
      <c r="R60" s="60"/>
      <c r="S60" s="556"/>
      <c r="T60" s="556"/>
      <c r="U60" s="556"/>
      <c r="V60" s="556"/>
      <c r="W60" s="556"/>
      <c r="X60" s="556"/>
      <c r="Y60" s="556"/>
      <c r="Z60" s="556"/>
      <c r="AA60" s="556"/>
      <c r="AB60" s="556"/>
      <c r="AC60" s="556"/>
      <c r="AD60" s="556"/>
      <c r="AE60" s="556"/>
      <c r="AF60" s="556"/>
      <c r="AG60" s="556"/>
      <c r="AH60" s="556"/>
      <c r="AI60" s="556"/>
      <c r="AJ60" s="556"/>
      <c r="AK60" s="556"/>
      <c r="AL60" s="556"/>
      <c r="AM60" s="556"/>
      <c r="AN60" s="556"/>
      <c r="AO60" s="556"/>
    </row>
    <row r="61" spans="1:41">
      <c r="A61" s="564" t="s">
        <v>411</v>
      </c>
      <c r="B61" s="88">
        <f>+bichvar!J61</f>
        <v>0</v>
      </c>
      <c r="C61" s="88">
        <f>+bncvar!J61</f>
        <v>117546</v>
      </c>
      <c r="D61" s="88">
        <f>+bphvar!J61</f>
        <v>32323.5</v>
      </c>
      <c r="E61" s="88">
        <f>+buhvar!J61</f>
        <v>38890</v>
      </c>
      <c r="F61" s="88">
        <f>+capitalbkvar!J61</f>
        <v>6575</v>
      </c>
      <c r="G61" s="88">
        <f>+promobkvar!J61</f>
        <v>60426</v>
      </c>
      <c r="H61" s="88">
        <f>+socabkvar!J61</f>
        <v>29894.400000000001</v>
      </c>
      <c r="I61" s="88">
        <f>+sogebkvar!J61</f>
        <v>78259</v>
      </c>
      <c r="J61" s="88">
        <f>+unibkvar!J61</f>
        <v>22387.4</v>
      </c>
      <c r="K61" s="90">
        <f>SUM(B61:J61)</f>
        <v>386301.30000000005</v>
      </c>
      <c r="L61" s="88">
        <f>+sgbelvar!J61</f>
        <v>9042.2000000000007</v>
      </c>
      <c r="M61" s="117">
        <f>+L61</f>
        <v>9042.2000000000007</v>
      </c>
      <c r="N61" s="88">
        <f>+cbnavar!J61</f>
        <v>26682</v>
      </c>
      <c r="O61" s="88">
        <f>+scotiavar!J61</f>
        <v>22387</v>
      </c>
      <c r="P61" s="117">
        <f>SUM(N61:O61)</f>
        <v>49069</v>
      </c>
      <c r="Q61" s="91">
        <f>+K61+L61+P61</f>
        <v>444412.50000000006</v>
      </c>
      <c r="R61" s="60"/>
      <c r="S61" s="556"/>
      <c r="T61" s="556"/>
      <c r="U61" s="556"/>
      <c r="V61" s="556"/>
      <c r="W61" s="556"/>
      <c r="X61" s="556"/>
      <c r="Y61" s="556"/>
      <c r="Z61" s="556"/>
      <c r="AA61" s="556"/>
      <c r="AB61" s="556"/>
      <c r="AC61" s="556"/>
      <c r="AD61" s="556"/>
      <c r="AE61" s="556"/>
      <c r="AF61" s="556"/>
      <c r="AG61" s="556"/>
      <c r="AH61" s="556"/>
      <c r="AI61" s="556"/>
      <c r="AJ61" s="556"/>
      <c r="AK61" s="556"/>
      <c r="AL61" s="556"/>
      <c r="AM61" s="556"/>
      <c r="AN61" s="556"/>
      <c r="AO61" s="556"/>
    </row>
    <row r="62" spans="1:41">
      <c r="A62" s="882" t="s">
        <v>412</v>
      </c>
      <c r="B62" s="88">
        <f>+bichvar!J62</f>
        <v>0</v>
      </c>
      <c r="C62" s="88">
        <f>+bncvar!J62</f>
        <v>164194</v>
      </c>
      <c r="D62" s="88">
        <f>+bphvar!J62</f>
        <v>83375.8</v>
      </c>
      <c r="E62" s="88">
        <f>+buhvar!J62</f>
        <v>66797</v>
      </c>
      <c r="F62" s="88">
        <f>+capitalbkvar!J62</f>
        <v>4782</v>
      </c>
      <c r="G62" s="88">
        <f>+promobkvar!J62</f>
        <v>63504</v>
      </c>
      <c r="H62" s="88">
        <f>+socabkvar!J62</f>
        <v>68839</v>
      </c>
      <c r="I62" s="88">
        <f>+sogebkvar!J62</f>
        <v>104039.8</v>
      </c>
      <c r="J62" s="88">
        <f>+unibkvar!J62</f>
        <v>6894</v>
      </c>
      <c r="K62" s="90">
        <f>SUM(B62:J62)</f>
        <v>562425.59999999998</v>
      </c>
      <c r="L62" s="88">
        <f>+sgbelvar!J62</f>
        <v>33953.599999999999</v>
      </c>
      <c r="M62" s="117">
        <f>+L62</f>
        <v>33953.599999999999</v>
      </c>
      <c r="N62" s="88">
        <f>+cbnavar!J62</f>
        <v>37322</v>
      </c>
      <c r="O62" s="88">
        <f>+scotiavar!J62</f>
        <v>79504</v>
      </c>
      <c r="P62" s="117">
        <f>SUM(N62:O62)</f>
        <v>116826</v>
      </c>
      <c r="Q62" s="91">
        <f>+K62+L62+P62</f>
        <v>713205.2</v>
      </c>
      <c r="R62" s="60"/>
      <c r="S62" s="556"/>
      <c r="T62" s="556"/>
      <c r="U62" s="556"/>
      <c r="V62" s="556"/>
      <c r="W62" s="556"/>
      <c r="X62" s="556"/>
      <c r="Y62" s="556"/>
      <c r="Z62" s="556"/>
      <c r="AA62" s="556"/>
      <c r="AB62" s="556"/>
      <c r="AC62" s="556"/>
      <c r="AD62" s="556"/>
      <c r="AE62" s="556"/>
      <c r="AF62" s="556"/>
      <c r="AG62" s="556"/>
      <c r="AH62" s="556"/>
      <c r="AI62" s="556"/>
      <c r="AJ62" s="556"/>
      <c r="AK62" s="556"/>
      <c r="AL62" s="556"/>
      <c r="AM62" s="556"/>
      <c r="AN62" s="556"/>
      <c r="AO62" s="556"/>
    </row>
    <row r="63" spans="1:41">
      <c r="B63" s="555"/>
      <c r="C63" s="555"/>
      <c r="D63" s="555"/>
      <c r="E63" s="555"/>
      <c r="F63" s="555"/>
      <c r="G63" s="555"/>
      <c r="H63" s="555"/>
      <c r="I63" s="555"/>
      <c r="J63" s="555"/>
      <c r="K63" s="555"/>
      <c r="L63" s="555"/>
      <c r="M63" s="555"/>
      <c r="N63" s="555"/>
      <c r="O63" s="555"/>
      <c r="P63" s="60"/>
      <c r="Q63" s="60"/>
      <c r="R63" s="60"/>
      <c r="S63" s="556"/>
      <c r="T63" s="556"/>
      <c r="U63" s="556"/>
      <c r="V63" s="556"/>
      <c r="W63" s="556"/>
      <c r="X63" s="556"/>
      <c r="Y63" s="556"/>
      <c r="Z63" s="556"/>
      <c r="AA63" s="556"/>
      <c r="AB63" s="556"/>
      <c r="AC63" s="556"/>
      <c r="AD63" s="556"/>
      <c r="AE63" s="556"/>
      <c r="AF63" s="556"/>
      <c r="AG63" s="556"/>
      <c r="AH63" s="556"/>
      <c r="AI63" s="556"/>
      <c r="AJ63" s="556"/>
      <c r="AK63" s="556"/>
      <c r="AL63" s="556"/>
      <c r="AM63" s="556"/>
      <c r="AN63" s="556"/>
      <c r="AO63" s="556"/>
    </row>
    <row r="64" spans="1:41">
      <c r="B64" s="555"/>
      <c r="C64" s="555"/>
      <c r="D64" s="555"/>
      <c r="E64" s="555"/>
      <c r="F64" s="555"/>
      <c r="G64" s="555"/>
      <c r="H64" s="555"/>
      <c r="I64" s="555"/>
      <c r="J64" s="555"/>
      <c r="K64" s="555"/>
      <c r="L64" s="555"/>
      <c r="M64" s="555"/>
      <c r="N64" s="555"/>
      <c r="O64" s="555"/>
      <c r="P64" s="60"/>
      <c r="Q64" s="60"/>
      <c r="R64" s="60"/>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row>
    <row r="65" spans="1:41">
      <c r="B65" s="555"/>
      <c r="C65" s="555"/>
      <c r="D65" s="555"/>
      <c r="E65" s="555"/>
      <c r="F65" s="555"/>
      <c r="G65" s="555"/>
      <c r="H65" s="555"/>
      <c r="I65" s="555"/>
      <c r="J65" s="555"/>
      <c r="K65" s="555"/>
      <c r="L65" s="555"/>
      <c r="M65" s="555"/>
      <c r="N65" s="555"/>
      <c r="O65" s="555"/>
      <c r="P65" s="60"/>
      <c r="Q65" s="60"/>
      <c r="R65" s="60"/>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row>
    <row r="66" spans="1:41">
      <c r="B66" s="555"/>
      <c r="C66" s="555"/>
      <c r="D66" s="555"/>
      <c r="E66" s="555"/>
      <c r="F66" s="555"/>
      <c r="G66" s="555"/>
      <c r="H66" s="555"/>
      <c r="I66" s="555"/>
      <c r="J66" s="555"/>
      <c r="K66" s="555"/>
      <c r="L66" s="555"/>
      <c r="M66" s="555"/>
      <c r="N66" s="555"/>
      <c r="O66" s="555"/>
      <c r="P66" s="60"/>
      <c r="Q66" s="60"/>
      <c r="R66" s="60"/>
      <c r="S66" s="556"/>
      <c r="T66" s="556"/>
      <c r="U66" s="556"/>
      <c r="V66" s="556"/>
      <c r="W66" s="556"/>
      <c r="X66" s="556"/>
      <c r="Y66" s="556"/>
      <c r="Z66" s="556"/>
      <c r="AA66" s="556"/>
      <c r="AB66" s="556"/>
      <c r="AC66" s="556"/>
      <c r="AD66" s="556"/>
      <c r="AE66" s="556"/>
      <c r="AF66" s="556"/>
      <c r="AG66" s="556"/>
      <c r="AH66" s="556"/>
      <c r="AI66" s="556"/>
      <c r="AJ66" s="556"/>
      <c r="AK66" s="556"/>
      <c r="AL66" s="556"/>
      <c r="AM66" s="556"/>
      <c r="AN66" s="556"/>
      <c r="AO66" s="556"/>
    </row>
    <row r="67" spans="1:41">
      <c r="B67" s="555"/>
      <c r="C67" s="555"/>
      <c r="D67" s="555"/>
      <c r="E67" s="555"/>
      <c r="F67" s="555"/>
      <c r="G67" s="555"/>
      <c r="H67" s="555"/>
      <c r="I67" s="555"/>
      <c r="J67" s="555"/>
      <c r="K67" s="555"/>
      <c r="L67" s="555"/>
      <c r="M67" s="555"/>
      <c r="N67" s="555"/>
      <c r="O67" s="555"/>
      <c r="P67" s="60"/>
      <c r="Q67" s="60"/>
      <c r="R67" s="60"/>
      <c r="S67" s="556"/>
      <c r="T67" s="556"/>
      <c r="U67" s="556"/>
      <c r="V67" s="556"/>
      <c r="W67" s="556"/>
      <c r="X67" s="556"/>
      <c r="Y67" s="556"/>
      <c r="Z67" s="556"/>
      <c r="AA67" s="556"/>
      <c r="AB67" s="556"/>
      <c r="AC67" s="556"/>
      <c r="AD67" s="556"/>
      <c r="AE67" s="556"/>
      <c r="AF67" s="556"/>
      <c r="AG67" s="556"/>
      <c r="AH67" s="556"/>
      <c r="AI67" s="556"/>
      <c r="AJ67" s="556"/>
      <c r="AK67" s="556"/>
      <c r="AL67" s="556"/>
      <c r="AM67" s="556"/>
      <c r="AN67" s="556"/>
      <c r="AO67" s="556"/>
    </row>
    <row r="68" spans="1:41">
      <c r="B68" s="16" t="s">
        <v>0</v>
      </c>
      <c r="C68" s="16" t="s">
        <v>0</v>
      </c>
      <c r="D68" s="16" t="s">
        <v>0</v>
      </c>
      <c r="E68" s="16" t="s">
        <v>0</v>
      </c>
      <c r="F68" s="16" t="s">
        <v>0</v>
      </c>
      <c r="G68" s="16" t="s">
        <v>275</v>
      </c>
      <c r="H68" s="16" t="s">
        <v>0</v>
      </c>
      <c r="I68" s="16" t="s">
        <v>0</v>
      </c>
      <c r="J68" s="16" t="s">
        <v>0</v>
      </c>
      <c r="K68" s="90" t="s">
        <v>0</v>
      </c>
      <c r="L68" s="16" t="s">
        <v>0</v>
      </c>
      <c r="M68" s="16" t="s">
        <v>0</v>
      </c>
      <c r="N68" s="16" t="s">
        <v>0</v>
      </c>
      <c r="O68" s="16" t="s">
        <v>0</v>
      </c>
      <c r="P68" s="117" t="s">
        <v>0</v>
      </c>
      <c r="Q68" s="91" t="s">
        <v>0</v>
      </c>
      <c r="R68" s="60"/>
      <c r="S68" s="556"/>
      <c r="T68" s="556"/>
      <c r="U68" s="556"/>
      <c r="V68" s="556"/>
      <c r="W68" s="556"/>
      <c r="X68" s="556"/>
      <c r="Y68" s="556"/>
      <c r="Z68" s="556"/>
      <c r="AA68" s="556"/>
      <c r="AB68" s="556"/>
      <c r="AC68" s="556"/>
      <c r="AD68" s="556"/>
      <c r="AE68" s="556"/>
      <c r="AF68" s="556"/>
      <c r="AG68" s="556"/>
      <c r="AH68" s="556"/>
      <c r="AI68" s="556"/>
      <c r="AJ68" s="556"/>
      <c r="AK68" s="556"/>
      <c r="AL68" s="556"/>
      <c r="AM68" s="556"/>
      <c r="AN68" s="556"/>
      <c r="AO68" s="556"/>
    </row>
    <row r="69" spans="1:41">
      <c r="A69" s="555" t="s">
        <v>413</v>
      </c>
      <c r="B69" s="12">
        <f>+'bichgdes&amp;$'!B29</f>
        <v>0</v>
      </c>
      <c r="C69" s="12">
        <f>+'bncgdes&amp;$ '!B29</f>
        <v>63845</v>
      </c>
      <c r="D69" s="12">
        <f>+'bphgdes&amp;$'!B29</f>
        <v>69658.7</v>
      </c>
      <c r="E69" s="12">
        <f>+'buhgdes&amp;$'!B29</f>
        <v>512195</v>
      </c>
      <c r="F69" s="12">
        <f>+'capitalbkgdes&amp;$'!B29</f>
        <v>339704</v>
      </c>
      <c r="G69" s="12">
        <f>+'promobkgdes&amp;$'!B29</f>
        <v>575210</v>
      </c>
      <c r="H69" s="12">
        <f>+'socabkgdes&amp;$ '!B29</f>
        <v>1037123.2000000001</v>
      </c>
      <c r="I69" s="12">
        <f>+'sogebkgdes&amp;$  '!B29</f>
        <v>1435058</v>
      </c>
      <c r="J69" s="12">
        <f>+'unibkgdes&amp;$'!B29</f>
        <v>1623639.9000000001</v>
      </c>
      <c r="K69" s="90">
        <f>SUM(B69:J69)</f>
        <v>5656433.7999999998</v>
      </c>
      <c r="L69" s="12">
        <f>+'sgbelgdes&amp;$'!B29</f>
        <v>125932.3</v>
      </c>
      <c r="M69" s="91">
        <f>SUM(L69)</f>
        <v>125932.3</v>
      </c>
      <c r="N69" s="12">
        <f>+'cbnagdes&amp;$'!B29</f>
        <v>636523</v>
      </c>
      <c r="O69" s="12">
        <f>+'scotiagdes&amp;$'!B29</f>
        <v>111867</v>
      </c>
      <c r="P69" s="117">
        <f>SUM(N69:O69)</f>
        <v>748390</v>
      </c>
      <c r="Q69" s="91">
        <f>+K69+M69+P69</f>
        <v>6530756.0999999996</v>
      </c>
      <c r="R69" s="60"/>
      <c r="S69" s="556"/>
      <c r="T69" s="556"/>
      <c r="U69" s="556"/>
      <c r="V69" s="556"/>
      <c r="W69" s="556"/>
      <c r="X69" s="556"/>
      <c r="Y69" s="556"/>
      <c r="Z69" s="556"/>
      <c r="AA69" s="556"/>
      <c r="AB69" s="556"/>
      <c r="AC69" s="556"/>
      <c r="AD69" s="556"/>
      <c r="AE69" s="556"/>
      <c r="AF69" s="556"/>
      <c r="AG69" s="556"/>
      <c r="AH69" s="556"/>
      <c r="AI69" s="556"/>
      <c r="AJ69" s="556"/>
      <c r="AK69" s="556"/>
      <c r="AL69" s="556"/>
      <c r="AM69" s="556"/>
      <c r="AN69" s="556"/>
      <c r="AO69" s="556"/>
    </row>
    <row r="70" spans="1:41">
      <c r="B70" s="555"/>
      <c r="C70" s="555"/>
      <c r="D70" s="555"/>
      <c r="E70" s="555"/>
      <c r="F70" s="555"/>
      <c r="G70" s="555"/>
      <c r="H70" s="555"/>
      <c r="I70" s="555"/>
      <c r="J70" s="555"/>
      <c r="K70" s="555"/>
      <c r="L70" s="555"/>
      <c r="M70" s="555"/>
      <c r="N70" s="555"/>
      <c r="O70" s="555"/>
      <c r="P70" s="60"/>
      <c r="Q70" s="60"/>
      <c r="R70" s="60"/>
      <c r="S70" s="556"/>
      <c r="T70" s="556"/>
      <c r="U70" s="556"/>
      <c r="V70" s="556"/>
      <c r="W70" s="556"/>
      <c r="X70" s="556"/>
      <c r="Y70" s="556"/>
      <c r="Z70" s="556"/>
      <c r="AA70" s="556"/>
      <c r="AB70" s="556"/>
      <c r="AC70" s="556"/>
      <c r="AD70" s="556"/>
      <c r="AE70" s="556"/>
      <c r="AF70" s="556"/>
      <c r="AG70" s="556"/>
      <c r="AH70" s="556"/>
      <c r="AI70" s="556"/>
      <c r="AJ70" s="556"/>
      <c r="AK70" s="556"/>
      <c r="AL70" s="556"/>
      <c r="AM70" s="556"/>
      <c r="AN70" s="556"/>
      <c r="AO70" s="556"/>
    </row>
    <row r="71" spans="1:41">
      <c r="B71" s="555"/>
      <c r="C71" s="555"/>
      <c r="D71" s="555"/>
      <c r="E71" s="555"/>
      <c r="F71" s="555"/>
      <c r="G71" s="555"/>
      <c r="H71" s="555"/>
      <c r="I71" s="555"/>
      <c r="J71" s="555"/>
      <c r="K71" s="555"/>
      <c r="L71" s="555"/>
      <c r="M71" s="555"/>
      <c r="N71" s="555"/>
      <c r="O71" s="555"/>
      <c r="P71" s="60"/>
      <c r="Q71" s="60"/>
      <c r="R71" s="60"/>
      <c r="S71" s="556"/>
      <c r="T71" s="556"/>
      <c r="U71" s="556"/>
      <c r="V71" s="556"/>
      <c r="W71" s="556"/>
      <c r="X71" s="556"/>
      <c r="Y71" s="556"/>
      <c r="Z71" s="556"/>
      <c r="AA71" s="556"/>
      <c r="AB71" s="556"/>
      <c r="AC71" s="556"/>
      <c r="AD71" s="556"/>
      <c r="AE71" s="556"/>
      <c r="AF71" s="556"/>
      <c r="AG71" s="556"/>
      <c r="AH71" s="556"/>
      <c r="AI71" s="556"/>
      <c r="AJ71" s="556"/>
      <c r="AK71" s="556"/>
      <c r="AL71" s="556"/>
      <c r="AM71" s="556"/>
      <c r="AN71" s="556"/>
      <c r="AO71" s="556"/>
    </row>
    <row r="72" spans="1:41">
      <c r="B72" s="555"/>
      <c r="C72" s="555"/>
      <c r="D72" s="555"/>
      <c r="E72" s="555"/>
      <c r="F72" s="555"/>
      <c r="G72" s="555"/>
      <c r="H72" s="555"/>
      <c r="I72" s="555"/>
      <c r="J72" s="555"/>
      <c r="K72" s="555"/>
      <c r="L72" s="555"/>
      <c r="M72" s="555"/>
      <c r="N72" s="555"/>
      <c r="O72" s="555"/>
      <c r="P72" s="60"/>
      <c r="Q72" s="60"/>
      <c r="R72" s="60"/>
      <c r="S72" s="556"/>
      <c r="T72" s="556"/>
      <c r="U72" s="556"/>
      <c r="V72" s="556"/>
      <c r="W72" s="556"/>
      <c r="X72" s="556"/>
      <c r="Y72" s="556"/>
      <c r="Z72" s="556"/>
      <c r="AA72" s="556"/>
      <c r="AB72" s="556"/>
      <c r="AC72" s="556"/>
      <c r="AD72" s="556"/>
      <c r="AE72" s="556"/>
      <c r="AF72" s="556"/>
      <c r="AG72" s="556"/>
      <c r="AH72" s="556"/>
      <c r="AI72" s="556"/>
      <c r="AJ72" s="556"/>
      <c r="AK72" s="556"/>
      <c r="AL72" s="556"/>
      <c r="AM72" s="556"/>
      <c r="AN72" s="556"/>
      <c r="AO72" s="556"/>
    </row>
    <row r="73" spans="1:41">
      <c r="B73" s="555"/>
      <c r="C73" s="555"/>
      <c r="D73" s="555"/>
      <c r="E73" s="555"/>
      <c r="F73" s="555"/>
      <c r="G73" s="555"/>
      <c r="H73" s="555"/>
      <c r="I73" s="555"/>
      <c r="J73" s="555"/>
      <c r="K73" s="555"/>
      <c r="L73" s="555"/>
      <c r="M73" s="555"/>
      <c r="N73" s="555"/>
      <c r="O73" s="555"/>
      <c r="P73" s="60"/>
      <c r="Q73" s="60"/>
      <c r="R73" s="60"/>
      <c r="S73" s="556"/>
      <c r="T73" s="556"/>
      <c r="U73" s="556"/>
      <c r="V73" s="556"/>
      <c r="W73" s="556"/>
      <c r="X73" s="556"/>
      <c r="Y73" s="556"/>
      <c r="Z73" s="556"/>
      <c r="AA73" s="556"/>
      <c r="AB73" s="556"/>
      <c r="AC73" s="556"/>
      <c r="AD73" s="556"/>
      <c r="AE73" s="556"/>
      <c r="AF73" s="556"/>
      <c r="AG73" s="556"/>
      <c r="AH73" s="556"/>
      <c r="AI73" s="556"/>
      <c r="AJ73" s="556"/>
      <c r="AK73" s="556"/>
      <c r="AL73" s="556"/>
      <c r="AM73" s="556"/>
      <c r="AN73" s="556"/>
      <c r="AO73" s="556"/>
    </row>
    <row r="74" spans="1:41">
      <c r="A74" s="554" t="s">
        <v>0</v>
      </c>
      <c r="B74" s="569"/>
      <c r="C74" s="569"/>
      <c r="D74" s="555"/>
      <c r="E74" s="554" t="s">
        <v>0</v>
      </c>
      <c r="F74" s="554"/>
      <c r="G74" s="569"/>
      <c r="H74" s="555"/>
      <c r="I74" s="554" t="s">
        <v>0</v>
      </c>
      <c r="J74" s="569"/>
      <c r="K74" s="555"/>
      <c r="L74" s="555"/>
      <c r="M74" s="555"/>
      <c r="N74" s="555"/>
      <c r="O74" s="555"/>
      <c r="P74" s="60"/>
      <c r="Q74" s="60"/>
      <c r="R74" s="60"/>
      <c r="S74" s="556"/>
      <c r="T74" s="556"/>
      <c r="U74" s="556"/>
      <c r="V74" s="556"/>
      <c r="W74" s="556"/>
      <c r="X74" s="556"/>
      <c r="Y74" s="556"/>
      <c r="Z74" s="556"/>
      <c r="AA74" s="556"/>
      <c r="AB74" s="556"/>
      <c r="AC74" s="556"/>
      <c r="AD74" s="556"/>
      <c r="AE74" s="556"/>
      <c r="AF74" s="556"/>
      <c r="AG74" s="556"/>
      <c r="AH74" s="556"/>
      <c r="AI74" s="556"/>
      <c r="AJ74" s="556"/>
      <c r="AK74" s="556"/>
      <c r="AL74" s="556"/>
      <c r="AM74" s="556"/>
      <c r="AN74" s="556"/>
      <c r="AO74" s="556"/>
    </row>
    <row r="75" spans="1:41">
      <c r="A75" s="554"/>
      <c r="B75" s="569"/>
      <c r="C75" s="882" t="s">
        <v>275</v>
      </c>
      <c r="D75" s="555"/>
      <c r="E75" s="555"/>
      <c r="F75" s="555"/>
      <c r="G75" s="882" t="s">
        <v>0</v>
      </c>
      <c r="H75" s="555"/>
      <c r="I75" s="555"/>
      <c r="J75" s="882" t="s">
        <v>0</v>
      </c>
      <c r="K75" s="555"/>
      <c r="L75" s="555"/>
      <c r="M75" s="555"/>
      <c r="N75" s="555"/>
      <c r="O75" s="555"/>
      <c r="P75" s="60"/>
      <c r="Q75" s="60"/>
      <c r="R75" s="60"/>
      <c r="S75" s="556"/>
      <c r="T75" s="556"/>
      <c r="U75" s="556"/>
      <c r="V75" s="556"/>
      <c r="W75" s="556"/>
      <c r="X75" s="556"/>
      <c r="Y75" s="556"/>
      <c r="Z75" s="556"/>
      <c r="AA75" s="556"/>
      <c r="AB75" s="556"/>
      <c r="AC75" s="556"/>
      <c r="AD75" s="556"/>
      <c r="AE75" s="556"/>
      <c r="AF75" s="556"/>
      <c r="AG75" s="556"/>
      <c r="AH75" s="556"/>
      <c r="AI75" s="556"/>
      <c r="AJ75" s="556"/>
      <c r="AK75" s="556"/>
      <c r="AL75" s="556"/>
      <c r="AM75" s="556"/>
      <c r="AN75" s="556"/>
      <c r="AO75" s="556"/>
    </row>
    <row r="76" spans="1:41">
      <c r="A76" s="571" t="s">
        <v>0</v>
      </c>
      <c r="B76" s="1154" t="s">
        <v>0</v>
      </c>
      <c r="C76" s="1154" t="s">
        <v>0</v>
      </c>
      <c r="D76" s="555"/>
      <c r="E76" s="571" t="s">
        <v>0</v>
      </c>
      <c r="F76" s="571"/>
      <c r="G76" s="1154" t="s">
        <v>0</v>
      </c>
      <c r="H76" s="555"/>
      <c r="I76" s="571" t="s">
        <v>0</v>
      </c>
      <c r="J76" s="1154" t="s">
        <v>0</v>
      </c>
      <c r="K76" s="555"/>
      <c r="L76" s="555"/>
      <c r="M76" s="555"/>
      <c r="N76" s="555"/>
      <c r="O76" s="555"/>
      <c r="P76" s="60"/>
      <c r="Q76" s="60"/>
      <c r="R76" s="60"/>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row>
    <row r="77" spans="1:41">
      <c r="A77" s="571" t="s">
        <v>0</v>
      </c>
      <c r="B77" s="1154" t="s">
        <v>0</v>
      </c>
      <c r="C77" s="1154" t="s">
        <v>0</v>
      </c>
      <c r="D77" s="555"/>
      <c r="E77" s="571" t="s">
        <v>0</v>
      </c>
      <c r="F77" s="571"/>
      <c r="G77" s="1154" t="s">
        <v>0</v>
      </c>
      <c r="H77" s="555"/>
      <c r="I77" s="571" t="s">
        <v>0</v>
      </c>
      <c r="J77" s="1154" t="s">
        <v>0</v>
      </c>
      <c r="K77" s="555"/>
      <c r="L77" s="555"/>
      <c r="M77" s="555"/>
      <c r="N77" s="555"/>
      <c r="O77" s="555"/>
      <c r="P77" s="60"/>
      <c r="Q77" s="60"/>
      <c r="R77" s="60"/>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row>
    <row r="78" spans="1:41">
      <c r="A78" s="571" t="s">
        <v>0</v>
      </c>
      <c r="B78" s="1154" t="s">
        <v>0</v>
      </c>
      <c r="C78" s="1154" t="s">
        <v>0</v>
      </c>
      <c r="D78" s="555"/>
      <c r="E78" s="571" t="s">
        <v>0</v>
      </c>
      <c r="F78" s="571"/>
      <c r="G78" s="1154" t="s">
        <v>0</v>
      </c>
      <c r="H78" s="555"/>
      <c r="I78" s="571" t="s">
        <v>0</v>
      </c>
      <c r="J78" s="1154" t="s">
        <v>0</v>
      </c>
      <c r="K78" s="555"/>
      <c r="L78" s="555"/>
      <c r="M78" s="555"/>
      <c r="N78" s="555"/>
      <c r="O78" s="555"/>
      <c r="P78" s="60"/>
      <c r="Q78" s="60"/>
      <c r="R78" s="60"/>
      <c r="S78" s="556"/>
      <c r="T78" s="556"/>
      <c r="U78" s="556"/>
      <c r="V78" s="556"/>
      <c r="W78" s="556"/>
      <c r="X78" s="556"/>
      <c r="Y78" s="556"/>
      <c r="Z78" s="556"/>
      <c r="AA78" s="556"/>
      <c r="AB78" s="556"/>
      <c r="AC78" s="556"/>
      <c r="AD78" s="556"/>
      <c r="AE78" s="556"/>
      <c r="AF78" s="556"/>
      <c r="AG78" s="556"/>
      <c r="AH78" s="556"/>
      <c r="AI78" s="556"/>
      <c r="AJ78" s="556"/>
      <c r="AK78" s="556"/>
      <c r="AL78" s="556"/>
      <c r="AM78" s="556"/>
      <c r="AN78" s="556"/>
      <c r="AO78" s="556"/>
    </row>
    <row r="79" spans="1:41">
      <c r="A79" s="571" t="s">
        <v>0</v>
      </c>
      <c r="B79" s="1154" t="s">
        <v>0</v>
      </c>
      <c r="C79" s="1154" t="s">
        <v>0</v>
      </c>
      <c r="D79" s="555"/>
      <c r="E79" s="571" t="s">
        <v>0</v>
      </c>
      <c r="F79" s="571"/>
      <c r="G79" s="1154" t="s">
        <v>0</v>
      </c>
      <c r="H79" s="555"/>
      <c r="I79" s="571" t="s">
        <v>0</v>
      </c>
      <c r="J79" s="1154" t="s">
        <v>0</v>
      </c>
      <c r="K79" s="555"/>
      <c r="L79" s="555"/>
      <c r="M79" s="555"/>
      <c r="N79" s="555"/>
      <c r="O79" s="555"/>
      <c r="P79" s="60"/>
      <c r="Q79" s="60"/>
      <c r="R79" s="60"/>
      <c r="S79" s="556"/>
      <c r="T79" s="556"/>
      <c r="U79" s="556"/>
      <c r="V79" s="556"/>
      <c r="W79" s="556"/>
      <c r="X79" s="556"/>
      <c r="Y79" s="556"/>
      <c r="Z79" s="556"/>
      <c r="AA79" s="556"/>
      <c r="AB79" s="556"/>
      <c r="AC79" s="556"/>
      <c r="AD79" s="556"/>
      <c r="AE79" s="556"/>
      <c r="AF79" s="556"/>
      <c r="AG79" s="556"/>
      <c r="AH79" s="556"/>
      <c r="AI79" s="556"/>
      <c r="AJ79" s="556"/>
      <c r="AK79" s="556"/>
      <c r="AL79" s="556"/>
      <c r="AM79" s="556"/>
      <c r="AN79" s="556"/>
      <c r="AO79" s="556"/>
    </row>
    <row r="80" spans="1:41">
      <c r="A80" s="571" t="s">
        <v>0</v>
      </c>
      <c r="B80" s="1154" t="s">
        <v>0</v>
      </c>
      <c r="C80" s="1154" t="s">
        <v>0</v>
      </c>
      <c r="D80" s="555"/>
      <c r="E80" s="571" t="s">
        <v>0</v>
      </c>
      <c r="F80" s="571"/>
      <c r="G80" s="1154" t="s">
        <v>0</v>
      </c>
      <c r="H80" s="555"/>
      <c r="I80" s="571" t="s">
        <v>0</v>
      </c>
      <c r="J80" s="1154" t="s">
        <v>0</v>
      </c>
      <c r="K80" s="555"/>
      <c r="L80" s="555"/>
      <c r="M80" s="555"/>
      <c r="N80" s="555"/>
      <c r="O80" s="555"/>
      <c r="P80" s="60"/>
      <c r="Q80" s="60"/>
      <c r="R80" s="60"/>
      <c r="S80" s="556"/>
      <c r="T80" s="556"/>
      <c r="U80" s="556"/>
      <c r="V80" s="556"/>
      <c r="W80" s="556"/>
      <c r="X80" s="556"/>
      <c r="Y80" s="556"/>
      <c r="Z80" s="556"/>
      <c r="AA80" s="556"/>
      <c r="AB80" s="556"/>
      <c r="AC80" s="556"/>
      <c r="AD80" s="556"/>
      <c r="AE80" s="556"/>
      <c r="AF80" s="556"/>
      <c r="AG80" s="556"/>
      <c r="AH80" s="556"/>
      <c r="AI80" s="556"/>
      <c r="AJ80" s="556"/>
      <c r="AK80" s="556"/>
      <c r="AL80" s="556"/>
      <c r="AM80" s="556"/>
      <c r="AN80" s="556"/>
      <c r="AO80" s="556"/>
    </row>
    <row r="81" spans="1:41">
      <c r="A81" s="571" t="s">
        <v>275</v>
      </c>
      <c r="B81" s="1154" t="s">
        <v>0</v>
      </c>
      <c r="C81" s="1154" t="s">
        <v>0</v>
      </c>
      <c r="D81" s="555"/>
      <c r="E81" s="571" t="s">
        <v>0</v>
      </c>
      <c r="F81" s="571"/>
      <c r="G81" s="1154" t="s">
        <v>0</v>
      </c>
      <c r="H81" s="555"/>
      <c r="I81" s="571" t="s">
        <v>0</v>
      </c>
      <c r="J81" s="1154" t="s">
        <v>0</v>
      </c>
      <c r="K81" s="555"/>
      <c r="L81" s="555"/>
      <c r="M81" s="555"/>
      <c r="N81" s="555"/>
      <c r="O81" s="555"/>
      <c r="P81" s="60"/>
      <c r="Q81" s="60"/>
      <c r="R81" s="60"/>
      <c r="S81" s="556"/>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row>
    <row r="82" spans="1:41">
      <c r="A82" s="571" t="s">
        <v>0</v>
      </c>
      <c r="B82" s="1154" t="s">
        <v>0</v>
      </c>
      <c r="C82" s="1154" t="s">
        <v>0</v>
      </c>
      <c r="D82" s="555"/>
      <c r="E82" s="571" t="s">
        <v>0</v>
      </c>
      <c r="F82" s="571"/>
      <c r="G82" s="1154" t="s">
        <v>0</v>
      </c>
      <c r="H82" s="555"/>
      <c r="I82" s="571" t="s">
        <v>0</v>
      </c>
      <c r="J82" s="1154" t="s">
        <v>0</v>
      </c>
      <c r="K82" s="555"/>
      <c r="L82" s="555"/>
      <c r="M82" s="555"/>
      <c r="N82" s="555"/>
      <c r="O82" s="555"/>
      <c r="P82" s="60"/>
      <c r="Q82" s="60"/>
      <c r="R82" s="60"/>
      <c r="S82" s="556"/>
      <c r="T82" s="556"/>
      <c r="U82" s="556"/>
      <c r="V82" s="556"/>
      <c r="W82" s="556"/>
      <c r="X82" s="556"/>
      <c r="Y82" s="556"/>
      <c r="Z82" s="556"/>
      <c r="AA82" s="556"/>
      <c r="AB82" s="556"/>
      <c r="AC82" s="556"/>
      <c r="AD82" s="556"/>
      <c r="AE82" s="556"/>
      <c r="AF82" s="556"/>
      <c r="AG82" s="556"/>
      <c r="AH82" s="556"/>
      <c r="AI82" s="556"/>
      <c r="AJ82" s="556"/>
      <c r="AK82" s="556"/>
      <c r="AL82" s="556"/>
      <c r="AM82" s="556"/>
      <c r="AN82" s="556"/>
      <c r="AO82" s="556"/>
    </row>
    <row r="83" spans="1:41">
      <c r="A83" s="571" t="s">
        <v>0</v>
      </c>
      <c r="B83" s="1154" t="s">
        <v>0</v>
      </c>
      <c r="C83" s="1154" t="s">
        <v>0</v>
      </c>
      <c r="D83" s="555"/>
      <c r="E83" s="571" t="s">
        <v>0</v>
      </c>
      <c r="F83" s="571"/>
      <c r="G83" s="1154" t="s">
        <v>0</v>
      </c>
      <c r="H83" s="555"/>
      <c r="I83" s="571" t="s">
        <v>0</v>
      </c>
      <c r="J83" s="1154" t="s">
        <v>275</v>
      </c>
      <c r="K83" s="555"/>
      <c r="L83" s="555"/>
      <c r="M83" s="555"/>
      <c r="N83" s="555"/>
      <c r="O83" s="555"/>
      <c r="P83" s="60"/>
      <c r="Q83" s="60"/>
      <c r="R83" s="60"/>
      <c r="S83" s="556"/>
      <c r="T83" s="556"/>
      <c r="U83" s="556"/>
      <c r="V83" s="556"/>
      <c r="W83" s="556"/>
      <c r="X83" s="556"/>
      <c r="Y83" s="556"/>
      <c r="Z83" s="556"/>
      <c r="AA83" s="556"/>
      <c r="AB83" s="556"/>
      <c r="AC83" s="556"/>
      <c r="AD83" s="556"/>
      <c r="AE83" s="556"/>
      <c r="AF83" s="556"/>
      <c r="AG83" s="556"/>
      <c r="AH83" s="556"/>
      <c r="AI83" s="556"/>
      <c r="AJ83" s="556"/>
      <c r="AK83" s="556"/>
      <c r="AL83" s="556"/>
      <c r="AM83" s="556"/>
      <c r="AN83" s="556"/>
      <c r="AO83" s="556"/>
    </row>
    <row r="84" spans="1:41">
      <c r="A84" s="571" t="s">
        <v>0</v>
      </c>
      <c r="B84" s="1154" t="s">
        <v>0</v>
      </c>
      <c r="C84" s="1154" t="s">
        <v>0</v>
      </c>
      <c r="D84" s="555"/>
      <c r="E84" s="571" t="s">
        <v>0</v>
      </c>
      <c r="F84" s="571"/>
      <c r="G84" s="1154" t="s">
        <v>0</v>
      </c>
      <c r="H84" s="555"/>
      <c r="I84" s="571" t="s">
        <v>0</v>
      </c>
      <c r="J84" s="1154" t="s">
        <v>0</v>
      </c>
      <c r="K84" s="555"/>
      <c r="L84" s="555"/>
      <c r="M84" s="555"/>
      <c r="N84" s="555"/>
      <c r="O84" s="555"/>
      <c r="P84" s="60"/>
      <c r="Q84" s="60"/>
      <c r="R84" s="60"/>
      <c r="S84" s="556"/>
      <c r="T84" s="556"/>
      <c r="U84" s="556"/>
      <c r="V84" s="556"/>
      <c r="W84" s="556"/>
      <c r="X84" s="556"/>
      <c r="Y84" s="556"/>
      <c r="Z84" s="556"/>
      <c r="AA84" s="556"/>
      <c r="AB84" s="556"/>
      <c r="AC84" s="556"/>
      <c r="AD84" s="556"/>
      <c r="AE84" s="556"/>
      <c r="AF84" s="556"/>
      <c r="AG84" s="556"/>
      <c r="AH84" s="556"/>
      <c r="AI84" s="556"/>
      <c r="AJ84" s="556"/>
      <c r="AK84" s="556"/>
      <c r="AL84" s="556"/>
      <c r="AM84" s="556"/>
      <c r="AN84" s="556"/>
      <c r="AO84" s="556"/>
    </row>
    <row r="85" spans="1:41">
      <c r="A85" s="571" t="s">
        <v>0</v>
      </c>
      <c r="B85" s="1154" t="s">
        <v>0</v>
      </c>
      <c r="C85" s="1154" t="s">
        <v>0</v>
      </c>
      <c r="D85" s="555"/>
      <c r="E85" s="571" t="s">
        <v>0</v>
      </c>
      <c r="F85" s="571"/>
      <c r="G85" s="1154" t="s">
        <v>0</v>
      </c>
      <c r="H85" s="555"/>
      <c r="I85" s="571" t="s">
        <v>0</v>
      </c>
      <c r="J85" s="1154" t="s">
        <v>0</v>
      </c>
      <c r="K85" s="555"/>
      <c r="L85" s="555"/>
      <c r="M85" s="555"/>
      <c r="N85" s="555"/>
      <c r="O85" s="555"/>
      <c r="P85" s="60"/>
      <c r="Q85" s="60"/>
      <c r="R85" s="60"/>
      <c r="S85" s="556"/>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row>
    <row r="86" spans="1:41">
      <c r="A86" s="571" t="s">
        <v>0</v>
      </c>
      <c r="B86" s="1154" t="s">
        <v>0</v>
      </c>
      <c r="C86" s="1154" t="s">
        <v>0</v>
      </c>
      <c r="D86" s="555"/>
      <c r="E86" s="571" t="s">
        <v>0</v>
      </c>
      <c r="F86" s="571"/>
      <c r="G86" s="1154" t="s">
        <v>0</v>
      </c>
      <c r="H86" s="555"/>
      <c r="I86" s="571" t="s">
        <v>0</v>
      </c>
      <c r="J86" s="1154" t="s">
        <v>0</v>
      </c>
      <c r="K86" s="555"/>
      <c r="L86" s="555"/>
      <c r="M86" s="555"/>
      <c r="N86" s="555"/>
      <c r="O86" s="555"/>
      <c r="P86" s="60"/>
      <c r="Q86" s="60"/>
      <c r="R86" s="60"/>
      <c r="S86" s="556"/>
      <c r="T86" s="556"/>
      <c r="U86" s="556"/>
      <c r="V86" s="556"/>
      <c r="W86" s="556"/>
      <c r="X86" s="556"/>
      <c r="Y86" s="556"/>
      <c r="Z86" s="556"/>
      <c r="AA86" s="556"/>
      <c r="AB86" s="556"/>
      <c r="AC86" s="556"/>
      <c r="AD86" s="556"/>
      <c r="AE86" s="556"/>
      <c r="AF86" s="556"/>
      <c r="AG86" s="556"/>
      <c r="AH86" s="556"/>
      <c r="AI86" s="556"/>
      <c r="AJ86" s="556"/>
      <c r="AK86" s="556"/>
      <c r="AL86" s="556"/>
      <c r="AM86" s="556"/>
      <c r="AN86" s="556"/>
      <c r="AO86" s="556"/>
    </row>
    <row r="87" spans="1:41">
      <c r="A87" s="571" t="s">
        <v>0</v>
      </c>
      <c r="B87" s="1154" t="s">
        <v>0</v>
      </c>
      <c r="C87" s="1154" t="s">
        <v>0</v>
      </c>
      <c r="D87" s="555"/>
      <c r="E87" s="571" t="s">
        <v>0</v>
      </c>
      <c r="F87" s="571"/>
      <c r="G87" s="1154" t="s">
        <v>0</v>
      </c>
      <c r="H87" s="555"/>
      <c r="I87" s="571" t="s">
        <v>0</v>
      </c>
      <c r="J87" s="1154" t="s">
        <v>0</v>
      </c>
      <c r="K87" s="555"/>
      <c r="L87" s="555"/>
      <c r="M87" s="555"/>
      <c r="N87" s="555"/>
      <c r="O87" s="555"/>
      <c r="P87" s="60"/>
      <c r="Q87" s="60"/>
      <c r="R87" s="60"/>
      <c r="S87" s="556"/>
      <c r="T87" s="556"/>
      <c r="U87" s="556"/>
      <c r="V87" s="556"/>
      <c r="W87" s="556"/>
      <c r="X87" s="556"/>
      <c r="Y87" s="556"/>
      <c r="Z87" s="556"/>
      <c r="AA87" s="556"/>
      <c r="AB87" s="556"/>
      <c r="AC87" s="556"/>
      <c r="AD87" s="556"/>
      <c r="AE87" s="556"/>
      <c r="AF87" s="556"/>
      <c r="AG87" s="556"/>
      <c r="AH87" s="556"/>
      <c r="AI87" s="556"/>
      <c r="AJ87" s="556"/>
      <c r="AK87" s="556"/>
      <c r="AL87" s="556"/>
      <c r="AM87" s="556"/>
      <c r="AN87" s="556"/>
      <c r="AO87" s="556"/>
    </row>
    <row r="88" spans="1:41">
      <c r="A88" s="571" t="s">
        <v>0</v>
      </c>
      <c r="B88" s="1154" t="s">
        <v>0</v>
      </c>
      <c r="C88" s="1154" t="s">
        <v>0</v>
      </c>
      <c r="D88" s="555"/>
      <c r="E88" s="571" t="s">
        <v>0</v>
      </c>
      <c r="F88" s="571"/>
      <c r="G88" s="1154" t="s">
        <v>0</v>
      </c>
      <c r="H88" s="555"/>
      <c r="I88" s="571" t="s">
        <v>0</v>
      </c>
      <c r="J88" s="1154" t="s">
        <v>0</v>
      </c>
      <c r="K88" s="555"/>
      <c r="L88" s="555"/>
      <c r="M88" s="555"/>
      <c r="N88" s="555"/>
      <c r="O88" s="555"/>
      <c r="P88" s="60"/>
      <c r="Q88" s="60"/>
      <c r="R88" s="60"/>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row>
    <row r="89" spans="1:41">
      <c r="A89" s="571" t="s">
        <v>275</v>
      </c>
      <c r="B89" s="1154" t="s">
        <v>0</v>
      </c>
      <c r="C89" s="1154" t="s">
        <v>0</v>
      </c>
      <c r="D89" s="555"/>
      <c r="E89" s="571" t="s">
        <v>0</v>
      </c>
      <c r="F89" s="571"/>
      <c r="G89" s="1154" t="s">
        <v>0</v>
      </c>
      <c r="H89" s="555"/>
      <c r="I89" s="571" t="s">
        <v>0</v>
      </c>
      <c r="J89" s="1154" t="s">
        <v>0</v>
      </c>
      <c r="K89" s="555"/>
      <c r="L89" s="555"/>
      <c r="M89" s="555"/>
      <c r="N89" s="555"/>
      <c r="O89" s="555"/>
      <c r="P89" s="60"/>
      <c r="Q89" s="60"/>
      <c r="R89" s="60"/>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row>
    <row r="90" spans="1:41">
      <c r="B90" s="555"/>
      <c r="C90" s="555"/>
      <c r="D90" s="555"/>
      <c r="E90" s="555"/>
      <c r="F90" s="555"/>
      <c r="G90" s="555"/>
      <c r="H90" s="555"/>
      <c r="I90" s="555"/>
      <c r="J90" s="555"/>
      <c r="K90" s="555"/>
      <c r="L90" s="555"/>
      <c r="M90" s="555"/>
      <c r="N90" s="555"/>
      <c r="O90" s="555"/>
      <c r="P90" s="60"/>
      <c r="Q90" s="60"/>
      <c r="R90" s="60"/>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row>
    <row r="91" spans="1:41">
      <c r="B91" s="555"/>
      <c r="C91" s="555"/>
      <c r="D91" s="555"/>
      <c r="E91" s="555"/>
      <c r="F91" s="555"/>
      <c r="G91" s="555"/>
      <c r="H91" s="555"/>
      <c r="I91" s="555"/>
      <c r="J91" s="555"/>
      <c r="K91" s="555"/>
      <c r="L91" s="555"/>
      <c r="M91" s="555"/>
      <c r="N91" s="555"/>
      <c r="O91" s="555"/>
      <c r="P91" s="60"/>
      <c r="Q91" s="60"/>
      <c r="R91" s="60"/>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row>
    <row r="92" spans="1:41">
      <c r="B92" s="555"/>
      <c r="C92" s="555"/>
      <c r="D92" s="555"/>
      <c r="E92" s="555"/>
      <c r="F92" s="555"/>
      <c r="G92" s="555"/>
      <c r="H92" s="555"/>
      <c r="I92" s="555"/>
      <c r="J92" s="555"/>
      <c r="K92" s="555"/>
      <c r="L92" s="555"/>
      <c r="M92" s="555"/>
      <c r="N92" s="555"/>
      <c r="O92" s="555"/>
      <c r="P92" s="60"/>
      <c r="Q92" s="60"/>
      <c r="R92" s="60"/>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row>
    <row r="93" spans="1:41">
      <c r="B93" s="555"/>
      <c r="C93" s="555"/>
      <c r="D93" s="555"/>
      <c r="E93" s="555"/>
      <c r="F93" s="555"/>
      <c r="G93" s="555"/>
      <c r="H93" s="555"/>
      <c r="I93" s="555"/>
      <c r="J93" s="555"/>
      <c r="K93" s="555"/>
      <c r="L93" s="555"/>
      <c r="M93" s="555"/>
      <c r="N93" s="555"/>
      <c r="O93" s="555"/>
      <c r="P93" s="60"/>
      <c r="Q93" s="60"/>
      <c r="R93" s="60"/>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row>
    <row r="94" spans="1:41">
      <c r="B94" s="555"/>
      <c r="C94" s="555"/>
      <c r="D94" s="555"/>
      <c r="E94" s="555"/>
      <c r="F94" s="555"/>
      <c r="G94" s="555"/>
      <c r="H94" s="555"/>
      <c r="I94" s="555"/>
      <c r="J94" s="555"/>
      <c r="K94" s="555"/>
      <c r="L94" s="555"/>
      <c r="M94" s="555"/>
      <c r="N94" s="555"/>
      <c r="O94" s="555"/>
      <c r="P94" s="60"/>
      <c r="Q94" s="60"/>
      <c r="R94" s="60"/>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row>
    <row r="95" spans="1:41">
      <c r="B95" s="555"/>
      <c r="C95" s="555"/>
      <c r="D95" s="555"/>
      <c r="E95" s="555"/>
      <c r="F95" s="555"/>
      <c r="G95" s="555"/>
      <c r="H95" s="555"/>
      <c r="I95" s="555"/>
      <c r="J95" s="555"/>
      <c r="K95" s="555"/>
      <c r="L95" s="555"/>
      <c r="M95" s="555"/>
      <c r="N95" s="555"/>
      <c r="O95" s="555"/>
      <c r="P95" s="60"/>
      <c r="Q95" s="60"/>
      <c r="R95" s="60"/>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row>
    <row r="96" spans="1:41">
      <c r="B96" s="555"/>
      <c r="C96" s="555"/>
      <c r="D96" s="555"/>
      <c r="E96" s="555"/>
      <c r="F96" s="555"/>
      <c r="G96" s="555"/>
      <c r="H96" s="555"/>
      <c r="I96" s="555"/>
      <c r="J96" s="555"/>
      <c r="K96" s="555"/>
      <c r="L96" s="555"/>
      <c r="M96" s="555"/>
      <c r="N96" s="555"/>
      <c r="O96" s="555"/>
      <c r="P96" s="60"/>
      <c r="Q96" s="60"/>
      <c r="R96" s="60"/>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row>
    <row r="97" spans="2:41">
      <c r="B97" s="555"/>
      <c r="C97" s="555"/>
      <c r="D97" s="555"/>
      <c r="E97" s="555"/>
      <c r="F97" s="555"/>
      <c r="G97" s="555"/>
      <c r="H97" s="555"/>
      <c r="I97" s="555"/>
      <c r="J97" s="555"/>
      <c r="K97" s="555"/>
      <c r="L97" s="555"/>
      <c r="M97" s="555"/>
      <c r="N97" s="555"/>
      <c r="O97" s="555"/>
      <c r="P97" s="60"/>
      <c r="Q97" s="60"/>
      <c r="R97" s="60"/>
      <c r="S97" s="556"/>
      <c r="T97" s="556"/>
      <c r="U97" s="556"/>
      <c r="V97" s="556"/>
      <c r="W97" s="556"/>
      <c r="X97" s="556"/>
      <c r="Y97" s="556"/>
      <c r="Z97" s="556"/>
      <c r="AA97" s="556"/>
      <c r="AB97" s="556"/>
      <c r="AC97" s="556"/>
      <c r="AD97" s="556"/>
      <c r="AE97" s="556"/>
      <c r="AF97" s="556"/>
      <c r="AG97" s="556"/>
      <c r="AH97" s="556"/>
      <c r="AI97" s="556"/>
      <c r="AJ97" s="556"/>
      <c r="AK97" s="556"/>
      <c r="AL97" s="556"/>
      <c r="AM97" s="556"/>
      <c r="AN97" s="556"/>
      <c r="AO97" s="556"/>
    </row>
    <row r="98" spans="2:41">
      <c r="B98" s="555"/>
      <c r="C98" s="555"/>
      <c r="D98" s="555"/>
      <c r="E98" s="555"/>
      <c r="F98" s="555"/>
      <c r="G98" s="555"/>
      <c r="H98" s="555"/>
      <c r="I98" s="555"/>
      <c r="J98" s="555"/>
      <c r="K98" s="555"/>
      <c r="L98" s="555"/>
      <c r="M98" s="555"/>
      <c r="N98" s="555"/>
      <c r="O98" s="555"/>
      <c r="P98" s="60"/>
      <c r="Q98" s="60"/>
      <c r="R98" s="60"/>
      <c r="S98" s="556"/>
      <c r="T98" s="556"/>
      <c r="U98" s="556"/>
      <c r="V98" s="556"/>
      <c r="W98" s="556"/>
      <c r="X98" s="556"/>
      <c r="Y98" s="556"/>
      <c r="Z98" s="556"/>
      <c r="AA98" s="556"/>
      <c r="AB98" s="556"/>
      <c r="AC98" s="556"/>
      <c r="AD98" s="556"/>
      <c r="AE98" s="556"/>
      <c r="AF98" s="556"/>
      <c r="AG98" s="556"/>
      <c r="AH98" s="556"/>
      <c r="AI98" s="556"/>
      <c r="AJ98" s="556"/>
      <c r="AK98" s="556"/>
      <c r="AL98" s="556"/>
      <c r="AM98" s="556"/>
      <c r="AN98" s="556"/>
      <c r="AO98" s="556"/>
    </row>
    <row r="99" spans="2:41">
      <c r="B99" s="555"/>
      <c r="C99" s="555"/>
      <c r="D99" s="555"/>
      <c r="E99" s="555"/>
      <c r="F99" s="555"/>
      <c r="G99" s="555"/>
      <c r="H99" s="555"/>
      <c r="I99" s="555"/>
      <c r="J99" s="555"/>
      <c r="K99" s="555"/>
      <c r="L99" s="555"/>
      <c r="M99" s="555"/>
      <c r="N99" s="555"/>
      <c r="O99" s="555"/>
      <c r="P99" s="60"/>
      <c r="Q99" s="60"/>
      <c r="R99" s="60"/>
      <c r="S99" s="556"/>
      <c r="T99" s="556"/>
      <c r="U99" s="556"/>
      <c r="V99" s="556"/>
      <c r="W99" s="556"/>
      <c r="X99" s="556"/>
      <c r="Y99" s="556"/>
      <c r="Z99" s="556"/>
      <c r="AA99" s="556"/>
      <c r="AB99" s="556"/>
      <c r="AC99" s="556"/>
      <c r="AD99" s="556"/>
      <c r="AE99" s="556"/>
      <c r="AF99" s="556"/>
      <c r="AG99" s="556"/>
      <c r="AH99" s="556"/>
      <c r="AI99" s="556"/>
      <c r="AJ99" s="556"/>
      <c r="AK99" s="556"/>
      <c r="AL99" s="556"/>
      <c r="AM99" s="556"/>
      <c r="AN99" s="556"/>
      <c r="AO99" s="556"/>
    </row>
    <row r="100" spans="2:41">
      <c r="B100" s="555"/>
      <c r="C100" s="555"/>
      <c r="D100" s="555"/>
      <c r="E100" s="555"/>
      <c r="F100" s="555"/>
      <c r="G100" s="555"/>
      <c r="H100" s="555"/>
      <c r="I100" s="555"/>
      <c r="J100" s="555"/>
      <c r="K100" s="555"/>
      <c r="L100" s="555"/>
      <c r="M100" s="555"/>
      <c r="N100" s="555"/>
      <c r="O100" s="555"/>
      <c r="P100" s="60"/>
      <c r="Q100" s="60"/>
      <c r="R100" s="60"/>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row>
    <row r="101" spans="2:41">
      <c r="B101" s="555"/>
      <c r="C101" s="555"/>
      <c r="D101" s="555"/>
      <c r="E101" s="555"/>
      <c r="F101" s="555"/>
      <c r="G101" s="555"/>
      <c r="H101" s="555"/>
      <c r="I101" s="555"/>
      <c r="J101" s="555"/>
      <c r="K101" s="555"/>
      <c r="L101" s="555"/>
      <c r="M101" s="555"/>
      <c r="N101" s="555"/>
      <c r="O101" s="555"/>
      <c r="P101" s="60"/>
      <c r="Q101" s="60"/>
      <c r="R101" s="60"/>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row>
    <row r="102" spans="2:41">
      <c r="B102" s="555"/>
      <c r="C102" s="555"/>
      <c r="D102" s="555"/>
      <c r="E102" s="555"/>
      <c r="F102" s="555"/>
      <c r="G102" s="555"/>
      <c r="H102" s="555"/>
      <c r="I102" s="555"/>
      <c r="J102" s="555"/>
      <c r="K102" s="555"/>
      <c r="L102" s="555"/>
      <c r="M102" s="555"/>
      <c r="N102" s="555"/>
      <c r="O102" s="555"/>
      <c r="P102" s="60"/>
      <c r="Q102" s="60"/>
      <c r="R102" s="60"/>
      <c r="S102" s="556"/>
      <c r="T102" s="556"/>
      <c r="U102" s="556"/>
      <c r="V102" s="556"/>
      <c r="W102" s="556"/>
      <c r="X102" s="556"/>
      <c r="Y102" s="556"/>
      <c r="Z102" s="556"/>
      <c r="AA102" s="556"/>
      <c r="AB102" s="556"/>
      <c r="AC102" s="556"/>
      <c r="AD102" s="556"/>
      <c r="AE102" s="556"/>
      <c r="AF102" s="556"/>
      <c r="AG102" s="556"/>
      <c r="AH102" s="556"/>
      <c r="AI102" s="556"/>
      <c r="AJ102" s="556"/>
      <c r="AK102" s="556"/>
      <c r="AL102" s="556"/>
      <c r="AM102" s="556"/>
      <c r="AN102" s="556"/>
      <c r="AO102" s="556"/>
    </row>
    <row r="103" spans="2:41">
      <c r="B103" s="555"/>
      <c r="C103" s="555"/>
      <c r="D103" s="555"/>
      <c r="E103" s="555"/>
      <c r="F103" s="555"/>
      <c r="G103" s="555"/>
      <c r="H103" s="555"/>
      <c r="I103" s="555"/>
      <c r="J103" s="555"/>
      <c r="K103" s="555"/>
      <c r="L103" s="555"/>
      <c r="M103" s="555"/>
      <c r="N103" s="555"/>
      <c r="O103" s="555"/>
      <c r="P103" s="60"/>
      <c r="Q103" s="60"/>
      <c r="R103" s="60"/>
      <c r="S103" s="556"/>
      <c r="T103" s="556"/>
      <c r="U103" s="556"/>
      <c r="V103" s="556"/>
      <c r="W103" s="556"/>
      <c r="X103" s="556"/>
      <c r="Y103" s="556"/>
      <c r="Z103" s="556"/>
      <c r="AA103" s="556"/>
      <c r="AB103" s="556"/>
      <c r="AC103" s="556"/>
      <c r="AD103" s="556"/>
      <c r="AE103" s="556"/>
      <c r="AF103" s="556"/>
      <c r="AG103" s="556"/>
      <c r="AH103" s="556"/>
      <c r="AI103" s="556"/>
      <c r="AJ103" s="556"/>
      <c r="AK103" s="556"/>
      <c r="AL103" s="556"/>
      <c r="AM103" s="556"/>
      <c r="AN103" s="556"/>
      <c r="AO103" s="556"/>
    </row>
    <row r="104" spans="2:41">
      <c r="B104" s="555"/>
      <c r="C104" s="555"/>
      <c r="D104" s="555"/>
      <c r="E104" s="555"/>
      <c r="F104" s="555"/>
      <c r="G104" s="555"/>
      <c r="H104" s="555"/>
      <c r="I104" s="555"/>
      <c r="J104" s="555"/>
      <c r="K104" s="555"/>
      <c r="L104" s="555"/>
      <c r="M104" s="555"/>
      <c r="N104" s="555"/>
      <c r="O104" s="555"/>
      <c r="P104" s="60"/>
      <c r="Q104" s="60"/>
      <c r="R104" s="60"/>
      <c r="S104" s="556"/>
      <c r="T104" s="556"/>
      <c r="U104" s="556"/>
      <c r="V104" s="556"/>
      <c r="W104" s="556"/>
      <c r="X104" s="556"/>
      <c r="Y104" s="556"/>
      <c r="Z104" s="556"/>
      <c r="AA104" s="556"/>
      <c r="AB104" s="556"/>
      <c r="AC104" s="556"/>
      <c r="AD104" s="556"/>
      <c r="AE104" s="556"/>
      <c r="AF104" s="556"/>
      <c r="AG104" s="556"/>
      <c r="AH104" s="556"/>
      <c r="AI104" s="556"/>
      <c r="AJ104" s="556"/>
      <c r="AK104" s="556"/>
      <c r="AL104" s="556"/>
      <c r="AM104" s="556"/>
      <c r="AN104" s="556"/>
      <c r="AO104" s="556"/>
    </row>
    <row r="105" spans="2:41">
      <c r="B105" s="555"/>
      <c r="C105" s="555"/>
      <c r="D105" s="555"/>
      <c r="E105" s="555"/>
      <c r="F105" s="555"/>
      <c r="G105" s="555"/>
      <c r="H105" s="555"/>
      <c r="I105" s="555"/>
      <c r="J105" s="555"/>
      <c r="K105" s="555"/>
      <c r="L105" s="555"/>
      <c r="M105" s="555"/>
      <c r="N105" s="555"/>
      <c r="O105" s="555"/>
      <c r="P105" s="60"/>
      <c r="Q105" s="60"/>
      <c r="R105" s="60"/>
      <c r="S105" s="556"/>
      <c r="T105" s="556"/>
      <c r="U105" s="556"/>
      <c r="V105" s="556"/>
      <c r="W105" s="556"/>
      <c r="X105" s="556"/>
      <c r="Y105" s="556"/>
      <c r="Z105" s="556"/>
      <c r="AA105" s="556"/>
      <c r="AB105" s="556"/>
      <c r="AC105" s="556"/>
      <c r="AD105" s="556"/>
      <c r="AE105" s="556"/>
      <c r="AF105" s="556"/>
      <c r="AG105" s="556"/>
      <c r="AH105" s="556"/>
      <c r="AI105" s="556"/>
      <c r="AJ105" s="556"/>
      <c r="AK105" s="556"/>
      <c r="AL105" s="556"/>
      <c r="AM105" s="556"/>
      <c r="AN105" s="556"/>
      <c r="AO105" s="556"/>
    </row>
    <row r="106" spans="2:41">
      <c r="B106" s="555"/>
      <c r="C106" s="555"/>
      <c r="D106" s="555"/>
      <c r="E106" s="555"/>
      <c r="F106" s="555"/>
      <c r="G106" s="555"/>
      <c r="H106" s="555"/>
      <c r="I106" s="555"/>
      <c r="J106" s="555"/>
      <c r="K106" s="555"/>
      <c r="L106" s="555"/>
      <c r="M106" s="555"/>
      <c r="N106" s="555"/>
      <c r="O106" s="555"/>
      <c r="P106" s="60"/>
      <c r="Q106" s="60"/>
      <c r="R106" s="60"/>
      <c r="S106" s="556"/>
      <c r="T106" s="556"/>
      <c r="U106" s="556"/>
      <c r="V106" s="556"/>
      <c r="W106" s="556"/>
      <c r="X106" s="556"/>
      <c r="Y106" s="556"/>
      <c r="Z106" s="556"/>
      <c r="AA106" s="556"/>
      <c r="AB106" s="556"/>
      <c r="AC106" s="556"/>
      <c r="AD106" s="556"/>
      <c r="AE106" s="556"/>
      <c r="AF106" s="556"/>
      <c r="AG106" s="556"/>
      <c r="AH106" s="556"/>
      <c r="AI106" s="556"/>
      <c r="AJ106" s="556"/>
      <c r="AK106" s="556"/>
      <c r="AL106" s="556"/>
      <c r="AM106" s="556"/>
      <c r="AN106" s="556"/>
      <c r="AO106" s="556"/>
    </row>
    <row r="107" spans="2:41">
      <c r="B107" s="555"/>
      <c r="C107" s="555"/>
      <c r="D107" s="555"/>
      <c r="E107" s="555"/>
      <c r="F107" s="555"/>
      <c r="G107" s="555"/>
      <c r="H107" s="555"/>
      <c r="I107" s="555"/>
      <c r="J107" s="555"/>
      <c r="K107" s="555"/>
      <c r="L107" s="555"/>
      <c r="M107" s="555"/>
      <c r="N107" s="555"/>
      <c r="O107" s="555"/>
      <c r="P107" s="60"/>
      <c r="Q107" s="60"/>
      <c r="R107" s="60"/>
      <c r="S107" s="556"/>
      <c r="T107" s="556"/>
      <c r="U107" s="556"/>
      <c r="V107" s="556"/>
      <c r="W107" s="556"/>
      <c r="X107" s="556"/>
      <c r="Y107" s="556"/>
      <c r="Z107" s="556"/>
      <c r="AA107" s="556"/>
      <c r="AB107" s="556"/>
      <c r="AC107" s="556"/>
      <c r="AD107" s="556"/>
      <c r="AE107" s="556"/>
      <c r="AF107" s="556"/>
      <c r="AG107" s="556"/>
      <c r="AH107" s="556"/>
      <c r="AI107" s="556"/>
      <c r="AJ107" s="556"/>
      <c r="AK107" s="556"/>
      <c r="AL107" s="556"/>
      <c r="AM107" s="556"/>
      <c r="AN107" s="556"/>
      <c r="AO107" s="556"/>
    </row>
    <row r="108" spans="2:41">
      <c r="B108" s="555"/>
      <c r="C108" s="555"/>
      <c r="D108" s="555"/>
      <c r="E108" s="555"/>
      <c r="F108" s="555"/>
      <c r="G108" s="555"/>
      <c r="H108" s="555"/>
      <c r="I108" s="555"/>
      <c r="J108" s="555"/>
      <c r="K108" s="555"/>
      <c r="L108" s="555"/>
      <c r="M108" s="555"/>
      <c r="N108" s="555"/>
      <c r="O108" s="555"/>
      <c r="P108" s="60"/>
      <c r="Q108" s="60"/>
      <c r="R108" s="60"/>
      <c r="S108" s="556"/>
      <c r="T108" s="556"/>
      <c r="U108" s="556"/>
      <c r="V108" s="556"/>
      <c r="W108" s="556"/>
      <c r="X108" s="556"/>
      <c r="Y108" s="556"/>
      <c r="Z108" s="556"/>
      <c r="AA108" s="556"/>
      <c r="AB108" s="556"/>
      <c r="AC108" s="556"/>
      <c r="AD108" s="556"/>
      <c r="AE108" s="556"/>
      <c r="AF108" s="556"/>
      <c r="AG108" s="556"/>
      <c r="AH108" s="556"/>
      <c r="AI108" s="556"/>
      <c r="AJ108" s="556"/>
      <c r="AK108" s="556"/>
      <c r="AL108" s="556"/>
      <c r="AM108" s="556"/>
      <c r="AN108" s="556"/>
      <c r="AO108" s="556"/>
    </row>
    <row r="109" spans="2:41">
      <c r="B109" s="555"/>
      <c r="C109" s="555"/>
      <c r="D109" s="555"/>
      <c r="E109" s="555"/>
      <c r="F109" s="555"/>
      <c r="G109" s="555"/>
      <c r="H109" s="555"/>
      <c r="I109" s="555"/>
      <c r="J109" s="555"/>
      <c r="K109" s="555"/>
      <c r="L109" s="555"/>
      <c r="M109" s="555"/>
      <c r="N109" s="555"/>
      <c r="O109" s="555"/>
      <c r="P109" s="60"/>
      <c r="Q109" s="60"/>
      <c r="R109" s="60"/>
      <c r="S109" s="556"/>
      <c r="T109" s="556"/>
      <c r="U109" s="556"/>
      <c r="V109" s="556"/>
      <c r="W109" s="556"/>
      <c r="X109" s="556"/>
      <c r="Y109" s="556"/>
      <c r="Z109" s="556"/>
      <c r="AA109" s="556"/>
      <c r="AB109" s="556"/>
      <c r="AC109" s="556"/>
      <c r="AD109" s="556"/>
      <c r="AE109" s="556"/>
      <c r="AF109" s="556"/>
      <c r="AG109" s="556"/>
      <c r="AH109" s="556"/>
      <c r="AI109" s="556"/>
      <c r="AJ109" s="556"/>
      <c r="AK109" s="556"/>
      <c r="AL109" s="556"/>
      <c r="AM109" s="556"/>
      <c r="AN109" s="556"/>
      <c r="AO109" s="556"/>
    </row>
    <row r="110" spans="2:41">
      <c r="B110" s="555"/>
      <c r="C110" s="555"/>
      <c r="D110" s="555"/>
      <c r="E110" s="555"/>
      <c r="F110" s="555"/>
      <c r="G110" s="555"/>
      <c r="H110" s="555"/>
      <c r="I110" s="555"/>
      <c r="J110" s="555"/>
      <c r="K110" s="555"/>
      <c r="L110" s="555"/>
      <c r="M110" s="555"/>
      <c r="N110" s="555"/>
      <c r="O110" s="555"/>
      <c r="P110" s="60"/>
      <c r="Q110" s="60"/>
      <c r="R110" s="60"/>
      <c r="S110" s="556"/>
      <c r="T110" s="556"/>
      <c r="U110" s="556"/>
      <c r="V110" s="556"/>
      <c r="W110" s="556"/>
      <c r="X110" s="556"/>
      <c r="Y110" s="556"/>
      <c r="Z110" s="556"/>
      <c r="AA110" s="556"/>
      <c r="AB110" s="556"/>
      <c r="AC110" s="556"/>
      <c r="AD110" s="556"/>
      <c r="AE110" s="556"/>
      <c r="AF110" s="556"/>
      <c r="AG110" s="556"/>
      <c r="AH110" s="556"/>
      <c r="AI110" s="556"/>
      <c r="AJ110" s="556"/>
      <c r="AK110" s="556"/>
      <c r="AL110" s="556"/>
      <c r="AM110" s="556"/>
      <c r="AN110" s="556"/>
      <c r="AO110" s="556"/>
    </row>
    <row r="111" spans="2:41">
      <c r="B111" s="555"/>
      <c r="C111" s="555"/>
      <c r="D111" s="555"/>
      <c r="E111" s="555"/>
      <c r="F111" s="555"/>
      <c r="G111" s="555"/>
      <c r="H111" s="555"/>
      <c r="I111" s="555"/>
      <c r="J111" s="555"/>
      <c r="K111" s="555"/>
      <c r="L111" s="555"/>
      <c r="M111" s="555"/>
      <c r="N111" s="555"/>
      <c r="O111" s="555"/>
      <c r="P111" s="60"/>
      <c r="Q111" s="60"/>
      <c r="R111" s="60"/>
      <c r="S111" s="556"/>
      <c r="T111" s="556"/>
      <c r="U111" s="556"/>
      <c r="V111" s="556"/>
      <c r="W111" s="556"/>
      <c r="X111" s="556"/>
      <c r="Y111" s="556"/>
      <c r="Z111" s="556"/>
      <c r="AA111" s="556"/>
      <c r="AB111" s="556"/>
      <c r="AC111" s="556"/>
      <c r="AD111" s="556"/>
      <c r="AE111" s="556"/>
      <c r="AF111" s="556"/>
      <c r="AG111" s="556"/>
      <c r="AH111" s="556"/>
      <c r="AI111" s="556"/>
      <c r="AJ111" s="556"/>
      <c r="AK111" s="556"/>
      <c r="AL111" s="556"/>
      <c r="AM111" s="556"/>
      <c r="AN111" s="556"/>
      <c r="AO111" s="556"/>
    </row>
    <row r="112" spans="2:41">
      <c r="B112" s="555"/>
      <c r="C112" s="555"/>
      <c r="D112" s="555"/>
      <c r="E112" s="555"/>
      <c r="F112" s="555"/>
      <c r="G112" s="555"/>
      <c r="H112" s="555"/>
      <c r="I112" s="555"/>
      <c r="J112" s="555"/>
      <c r="K112" s="555"/>
      <c r="L112" s="555"/>
      <c r="M112" s="555"/>
      <c r="N112" s="555"/>
      <c r="O112" s="555"/>
      <c r="P112" s="60"/>
      <c r="Q112" s="60"/>
      <c r="R112" s="60"/>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row>
    <row r="113" spans="2:41">
      <c r="B113" s="555"/>
      <c r="C113" s="555"/>
      <c r="D113" s="555"/>
      <c r="E113" s="555"/>
      <c r="F113" s="555"/>
      <c r="G113" s="555"/>
      <c r="H113" s="555"/>
      <c r="I113" s="555"/>
      <c r="J113" s="555"/>
      <c r="K113" s="555"/>
      <c r="L113" s="555"/>
      <c r="M113" s="555"/>
      <c r="N113" s="555"/>
      <c r="O113" s="555"/>
      <c r="P113" s="60"/>
      <c r="Q113" s="60"/>
      <c r="R113" s="60"/>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row>
    <row r="114" spans="2:41">
      <c r="B114" s="555"/>
      <c r="C114" s="555"/>
      <c r="D114" s="555"/>
      <c r="E114" s="555"/>
      <c r="F114" s="555"/>
      <c r="G114" s="555"/>
      <c r="H114" s="555"/>
      <c r="I114" s="555"/>
      <c r="J114" s="555"/>
      <c r="K114" s="555"/>
      <c r="L114" s="555"/>
      <c r="M114" s="555"/>
      <c r="N114" s="555"/>
      <c r="O114" s="555"/>
      <c r="P114" s="60"/>
      <c r="Q114" s="60"/>
      <c r="R114" s="60"/>
      <c r="S114" s="556"/>
      <c r="T114" s="556"/>
      <c r="U114" s="556"/>
      <c r="V114" s="556"/>
      <c r="W114" s="556"/>
      <c r="X114" s="556"/>
      <c r="Y114" s="556"/>
      <c r="Z114" s="556"/>
      <c r="AA114" s="556"/>
      <c r="AB114" s="556"/>
      <c r="AC114" s="556"/>
      <c r="AD114" s="556"/>
      <c r="AE114" s="556"/>
      <c r="AF114" s="556"/>
      <c r="AG114" s="556"/>
      <c r="AH114" s="556"/>
      <c r="AI114" s="556"/>
      <c r="AJ114" s="556"/>
      <c r="AK114" s="556"/>
      <c r="AL114" s="556"/>
      <c r="AM114" s="556"/>
      <c r="AN114" s="556"/>
      <c r="AO114" s="556"/>
    </row>
    <row r="115" spans="2:41">
      <c r="B115" s="555"/>
      <c r="C115" s="555"/>
      <c r="D115" s="555"/>
      <c r="E115" s="555"/>
      <c r="F115" s="555"/>
      <c r="G115" s="555"/>
      <c r="H115" s="555"/>
      <c r="I115" s="555"/>
      <c r="J115" s="555"/>
      <c r="K115" s="555"/>
      <c r="L115" s="555"/>
      <c r="M115" s="555"/>
      <c r="N115" s="555"/>
      <c r="O115" s="555"/>
      <c r="P115" s="60"/>
      <c r="Q115" s="60"/>
      <c r="R115" s="60"/>
      <c r="S115" s="556"/>
      <c r="T115" s="556"/>
      <c r="U115" s="556"/>
      <c r="V115" s="556"/>
      <c r="W115" s="556"/>
      <c r="X115" s="556"/>
      <c r="Y115" s="556"/>
      <c r="Z115" s="556"/>
      <c r="AA115" s="556"/>
      <c r="AB115" s="556"/>
      <c r="AC115" s="556"/>
      <c r="AD115" s="556"/>
      <c r="AE115" s="556"/>
      <c r="AF115" s="556"/>
      <c r="AG115" s="556"/>
      <c r="AH115" s="556"/>
      <c r="AI115" s="556"/>
      <c r="AJ115" s="556"/>
      <c r="AK115" s="556"/>
      <c r="AL115" s="556"/>
      <c r="AM115" s="556"/>
      <c r="AN115" s="556"/>
      <c r="AO115" s="556"/>
    </row>
    <row r="116" spans="2:41">
      <c r="B116" s="555"/>
      <c r="C116" s="555"/>
      <c r="D116" s="555"/>
      <c r="E116" s="555"/>
      <c r="F116" s="555"/>
      <c r="G116" s="555"/>
      <c r="H116" s="555"/>
      <c r="I116" s="555"/>
      <c r="J116" s="555"/>
      <c r="K116" s="555"/>
      <c r="L116" s="555"/>
      <c r="M116" s="555"/>
      <c r="N116" s="555"/>
      <c r="O116" s="555"/>
      <c r="P116" s="60"/>
      <c r="Q116" s="60"/>
      <c r="R116" s="60"/>
      <c r="S116" s="556"/>
      <c r="T116" s="556"/>
      <c r="U116" s="556"/>
      <c r="V116" s="556"/>
      <c r="W116" s="556"/>
      <c r="X116" s="556"/>
      <c r="Y116" s="556"/>
      <c r="Z116" s="556"/>
      <c r="AA116" s="556"/>
      <c r="AB116" s="556"/>
      <c r="AC116" s="556"/>
      <c r="AD116" s="556"/>
      <c r="AE116" s="556"/>
      <c r="AF116" s="556"/>
      <c r="AG116" s="556"/>
      <c r="AH116" s="556"/>
      <c r="AI116" s="556"/>
      <c r="AJ116" s="556"/>
      <c r="AK116" s="556"/>
      <c r="AL116" s="556"/>
      <c r="AM116" s="556"/>
      <c r="AN116" s="556"/>
      <c r="AO116" s="556"/>
    </row>
    <row r="117" spans="2:41">
      <c r="B117" s="555"/>
      <c r="C117" s="555"/>
      <c r="D117" s="555"/>
      <c r="E117" s="555"/>
      <c r="F117" s="555"/>
      <c r="G117" s="555"/>
      <c r="H117" s="555"/>
      <c r="I117" s="555"/>
      <c r="J117" s="555"/>
      <c r="K117" s="555"/>
      <c r="L117" s="555"/>
      <c r="M117" s="555"/>
      <c r="N117" s="555"/>
      <c r="O117" s="555"/>
      <c r="P117" s="60"/>
      <c r="Q117" s="60"/>
      <c r="R117" s="60"/>
      <c r="S117" s="556"/>
      <c r="T117" s="556"/>
      <c r="U117" s="556"/>
      <c r="V117" s="556"/>
      <c r="W117" s="556"/>
      <c r="X117" s="556"/>
      <c r="Y117" s="556"/>
      <c r="Z117" s="556"/>
      <c r="AA117" s="556"/>
      <c r="AB117" s="556"/>
      <c r="AC117" s="556"/>
      <c r="AD117" s="556"/>
      <c r="AE117" s="556"/>
      <c r="AF117" s="556"/>
      <c r="AG117" s="556"/>
      <c r="AH117" s="556"/>
      <c r="AI117" s="556"/>
      <c r="AJ117" s="556"/>
      <c r="AK117" s="556"/>
      <c r="AL117" s="556"/>
      <c r="AM117" s="556"/>
      <c r="AN117" s="556"/>
      <c r="AO117" s="556"/>
    </row>
    <row r="118" spans="2:41">
      <c r="B118" s="555"/>
      <c r="C118" s="555"/>
      <c r="D118" s="555"/>
      <c r="E118" s="555"/>
      <c r="F118" s="555"/>
      <c r="G118" s="555"/>
      <c r="H118" s="555"/>
      <c r="I118" s="555"/>
      <c r="J118" s="555"/>
      <c r="K118" s="555"/>
      <c r="L118" s="555"/>
      <c r="M118" s="555"/>
      <c r="N118" s="555"/>
      <c r="O118" s="555"/>
      <c r="P118" s="60"/>
      <c r="Q118" s="60"/>
      <c r="R118" s="60"/>
      <c r="S118" s="556"/>
      <c r="T118" s="556"/>
      <c r="U118" s="556"/>
      <c r="V118" s="556"/>
      <c r="W118" s="556"/>
      <c r="X118" s="556"/>
      <c r="Y118" s="556"/>
      <c r="Z118" s="556"/>
      <c r="AA118" s="556"/>
      <c r="AB118" s="556"/>
      <c r="AC118" s="556"/>
      <c r="AD118" s="556"/>
      <c r="AE118" s="556"/>
      <c r="AF118" s="556"/>
      <c r="AG118" s="556"/>
      <c r="AH118" s="556"/>
      <c r="AI118" s="556"/>
      <c r="AJ118" s="556"/>
      <c r="AK118" s="556"/>
      <c r="AL118" s="556"/>
      <c r="AM118" s="556"/>
      <c r="AN118" s="556"/>
      <c r="AO118" s="556"/>
    </row>
    <row r="119" spans="2:41">
      <c r="B119" s="555"/>
      <c r="C119" s="555"/>
      <c r="D119" s="555"/>
      <c r="E119" s="555"/>
      <c r="F119" s="555"/>
      <c r="G119" s="555"/>
      <c r="H119" s="555"/>
      <c r="I119" s="555"/>
      <c r="J119" s="555"/>
      <c r="K119" s="555"/>
      <c r="L119" s="555"/>
      <c r="M119" s="555"/>
      <c r="N119" s="555"/>
      <c r="O119" s="555"/>
      <c r="P119" s="60"/>
      <c r="Q119" s="60"/>
      <c r="R119" s="60"/>
      <c r="S119" s="556"/>
      <c r="T119" s="556"/>
      <c r="U119" s="556"/>
      <c r="V119" s="556"/>
      <c r="W119" s="556"/>
      <c r="X119" s="556"/>
      <c r="Y119" s="556"/>
      <c r="Z119" s="556"/>
      <c r="AA119" s="556"/>
      <c r="AB119" s="556"/>
      <c r="AC119" s="556"/>
      <c r="AD119" s="556"/>
      <c r="AE119" s="556"/>
      <c r="AF119" s="556"/>
      <c r="AG119" s="556"/>
      <c r="AH119" s="556"/>
      <c r="AI119" s="556"/>
      <c r="AJ119" s="556"/>
      <c r="AK119" s="556"/>
      <c r="AL119" s="556"/>
      <c r="AM119" s="556"/>
      <c r="AN119" s="556"/>
      <c r="AO119" s="556"/>
    </row>
    <row r="120" spans="2:41">
      <c r="B120" s="555"/>
      <c r="C120" s="555"/>
      <c r="D120" s="555"/>
      <c r="E120" s="555"/>
      <c r="F120" s="555"/>
      <c r="G120" s="555"/>
      <c r="H120" s="555"/>
      <c r="I120" s="555"/>
      <c r="J120" s="555"/>
      <c r="K120" s="555"/>
      <c r="L120" s="555"/>
      <c r="M120" s="555"/>
      <c r="N120" s="555"/>
      <c r="O120" s="555"/>
      <c r="P120" s="60"/>
      <c r="Q120" s="60"/>
      <c r="R120" s="60"/>
      <c r="S120" s="556"/>
      <c r="T120" s="556"/>
      <c r="U120" s="556"/>
      <c r="V120" s="556"/>
      <c r="W120" s="556"/>
      <c r="X120" s="556"/>
      <c r="Y120" s="556"/>
      <c r="Z120" s="556"/>
      <c r="AA120" s="556"/>
      <c r="AB120" s="556"/>
      <c r="AC120" s="556"/>
      <c r="AD120" s="556"/>
      <c r="AE120" s="556"/>
      <c r="AF120" s="556"/>
      <c r="AG120" s="556"/>
      <c r="AH120" s="556"/>
      <c r="AI120" s="556"/>
      <c r="AJ120" s="556"/>
      <c r="AK120" s="556"/>
      <c r="AL120" s="556"/>
      <c r="AM120" s="556"/>
      <c r="AN120" s="556"/>
      <c r="AO120" s="556"/>
    </row>
    <row r="121" spans="2:41">
      <c r="B121" s="555"/>
      <c r="C121" s="555"/>
      <c r="D121" s="555"/>
      <c r="E121" s="555"/>
      <c r="F121" s="555"/>
      <c r="G121" s="555"/>
      <c r="H121" s="555"/>
      <c r="I121" s="555"/>
      <c r="J121" s="555"/>
      <c r="K121" s="555"/>
      <c r="L121" s="555"/>
      <c r="M121" s="555"/>
      <c r="N121" s="555"/>
      <c r="O121" s="555"/>
      <c r="P121" s="60"/>
      <c r="Q121" s="60"/>
      <c r="R121" s="60"/>
      <c r="S121" s="556"/>
      <c r="T121" s="556"/>
      <c r="U121" s="556"/>
      <c r="V121" s="556"/>
      <c r="W121" s="556"/>
      <c r="X121" s="556"/>
      <c r="Y121" s="556"/>
      <c r="Z121" s="556"/>
      <c r="AA121" s="556"/>
      <c r="AB121" s="556"/>
      <c r="AC121" s="556"/>
      <c r="AD121" s="556"/>
      <c r="AE121" s="556"/>
      <c r="AF121" s="556"/>
      <c r="AG121" s="556"/>
      <c r="AH121" s="556"/>
      <c r="AI121" s="556"/>
      <c r="AJ121" s="556"/>
      <c r="AK121" s="556"/>
      <c r="AL121" s="556"/>
      <c r="AM121" s="556"/>
      <c r="AN121" s="556"/>
      <c r="AO121" s="556"/>
    </row>
    <row r="122" spans="2:41">
      <c r="B122" s="555"/>
      <c r="C122" s="555"/>
      <c r="D122" s="555"/>
      <c r="E122" s="555"/>
      <c r="F122" s="555"/>
      <c r="G122" s="555"/>
      <c r="H122" s="555"/>
      <c r="I122" s="555"/>
      <c r="J122" s="555"/>
      <c r="K122" s="555"/>
      <c r="L122" s="555"/>
      <c r="M122" s="555"/>
      <c r="N122" s="555"/>
      <c r="O122" s="555"/>
      <c r="P122" s="60"/>
      <c r="Q122" s="60"/>
      <c r="R122" s="60"/>
      <c r="S122" s="556"/>
      <c r="T122" s="556"/>
      <c r="U122" s="556"/>
      <c r="V122" s="556"/>
      <c r="W122" s="556"/>
      <c r="X122" s="556"/>
      <c r="Y122" s="556"/>
      <c r="Z122" s="556"/>
      <c r="AA122" s="556"/>
      <c r="AB122" s="556"/>
      <c r="AC122" s="556"/>
      <c r="AD122" s="556"/>
      <c r="AE122" s="556"/>
      <c r="AF122" s="556"/>
      <c r="AG122" s="556"/>
      <c r="AH122" s="556"/>
      <c r="AI122" s="556"/>
      <c r="AJ122" s="556"/>
      <c r="AK122" s="556"/>
      <c r="AL122" s="556"/>
      <c r="AM122" s="556"/>
      <c r="AN122" s="556"/>
      <c r="AO122" s="556"/>
    </row>
    <row r="123" spans="2:41">
      <c r="B123" s="555"/>
      <c r="C123" s="555"/>
      <c r="D123" s="555"/>
      <c r="E123" s="555"/>
      <c r="F123" s="555"/>
      <c r="G123" s="555"/>
      <c r="H123" s="555"/>
      <c r="I123" s="555"/>
      <c r="J123" s="555"/>
      <c r="K123" s="555"/>
      <c r="L123" s="555"/>
      <c r="M123" s="555"/>
      <c r="N123" s="555"/>
      <c r="O123" s="555"/>
      <c r="P123" s="60"/>
      <c r="Q123" s="60"/>
      <c r="R123" s="60"/>
      <c r="S123" s="556"/>
      <c r="T123" s="556"/>
      <c r="U123" s="556"/>
      <c r="V123" s="556"/>
      <c r="W123" s="556"/>
      <c r="X123" s="556"/>
      <c r="Y123" s="556"/>
      <c r="Z123" s="556"/>
      <c r="AA123" s="556"/>
      <c r="AB123" s="556"/>
      <c r="AC123" s="556"/>
      <c r="AD123" s="556"/>
      <c r="AE123" s="556"/>
      <c r="AF123" s="556"/>
      <c r="AG123" s="556"/>
      <c r="AH123" s="556"/>
      <c r="AI123" s="556"/>
      <c r="AJ123" s="556"/>
      <c r="AK123" s="556"/>
      <c r="AL123" s="556"/>
      <c r="AM123" s="556"/>
      <c r="AN123" s="556"/>
      <c r="AO123" s="556"/>
    </row>
    <row r="124" spans="2:41">
      <c r="B124" s="555"/>
      <c r="C124" s="555"/>
      <c r="D124" s="555"/>
      <c r="E124" s="555"/>
      <c r="F124" s="555"/>
      <c r="G124" s="555"/>
      <c r="H124" s="555"/>
      <c r="I124" s="555"/>
      <c r="J124" s="555"/>
      <c r="K124" s="555"/>
      <c r="L124" s="555"/>
      <c r="M124" s="555"/>
      <c r="N124" s="555"/>
      <c r="O124" s="555"/>
      <c r="P124" s="60"/>
      <c r="Q124" s="60"/>
      <c r="R124" s="60"/>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row>
    <row r="125" spans="2:41">
      <c r="B125" s="555"/>
      <c r="C125" s="555"/>
      <c r="D125" s="555"/>
      <c r="E125" s="555"/>
      <c r="F125" s="555"/>
      <c r="G125" s="555"/>
      <c r="H125" s="555"/>
      <c r="I125" s="555"/>
      <c r="J125" s="555"/>
      <c r="K125" s="555"/>
      <c r="L125" s="555"/>
      <c r="M125" s="555"/>
      <c r="N125" s="555"/>
      <c r="O125" s="555"/>
      <c r="P125" s="60"/>
      <c r="Q125" s="60"/>
      <c r="R125" s="60"/>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row>
    <row r="126" spans="2:41">
      <c r="B126" s="555"/>
      <c r="C126" s="555"/>
      <c r="D126" s="555"/>
      <c r="E126" s="555"/>
      <c r="F126" s="555"/>
      <c r="G126" s="555"/>
      <c r="H126" s="555"/>
      <c r="I126" s="555"/>
      <c r="J126" s="555"/>
      <c r="K126" s="555"/>
      <c r="L126" s="555"/>
      <c r="M126" s="555"/>
      <c r="N126" s="555"/>
      <c r="O126" s="555"/>
      <c r="P126" s="60"/>
      <c r="Q126" s="60"/>
      <c r="R126" s="60"/>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row>
    <row r="127" spans="2:41">
      <c r="B127" s="555"/>
      <c r="C127" s="555"/>
      <c r="D127" s="555"/>
      <c r="E127" s="555"/>
      <c r="F127" s="555"/>
      <c r="G127" s="555"/>
      <c r="H127" s="555"/>
      <c r="I127" s="555"/>
      <c r="J127" s="555"/>
      <c r="K127" s="555"/>
      <c r="L127" s="555"/>
      <c r="M127" s="555"/>
      <c r="N127" s="555"/>
      <c r="O127" s="555"/>
      <c r="P127" s="60"/>
      <c r="Q127" s="60"/>
      <c r="R127" s="60"/>
      <c r="S127" s="556"/>
      <c r="T127" s="556"/>
      <c r="U127" s="556"/>
      <c r="V127" s="556"/>
      <c r="W127" s="556"/>
      <c r="X127" s="556"/>
      <c r="Y127" s="556"/>
      <c r="Z127" s="556"/>
      <c r="AA127" s="556"/>
      <c r="AB127" s="556"/>
      <c r="AC127" s="556"/>
      <c r="AD127" s="556"/>
      <c r="AE127" s="556"/>
      <c r="AF127" s="556"/>
      <c r="AG127" s="556"/>
      <c r="AH127" s="556"/>
      <c r="AI127" s="556"/>
      <c r="AJ127" s="556"/>
      <c r="AK127" s="556"/>
      <c r="AL127" s="556"/>
      <c r="AM127" s="556"/>
      <c r="AN127" s="556"/>
      <c r="AO127" s="556"/>
    </row>
    <row r="128" spans="2:41">
      <c r="B128" s="555"/>
      <c r="C128" s="555"/>
      <c r="D128" s="555"/>
      <c r="E128" s="555"/>
      <c r="F128" s="555"/>
      <c r="G128" s="555"/>
      <c r="H128" s="555"/>
      <c r="I128" s="555"/>
      <c r="J128" s="555"/>
      <c r="K128" s="555"/>
      <c r="L128" s="555"/>
      <c r="M128" s="555"/>
      <c r="N128" s="555"/>
      <c r="O128" s="555"/>
      <c r="P128" s="60"/>
      <c r="Q128" s="60"/>
      <c r="R128" s="60"/>
      <c r="S128" s="556"/>
      <c r="T128" s="556"/>
      <c r="U128" s="556"/>
      <c r="V128" s="556"/>
      <c r="W128" s="556"/>
      <c r="X128" s="556"/>
      <c r="Y128" s="556"/>
      <c r="Z128" s="556"/>
      <c r="AA128" s="556"/>
      <c r="AB128" s="556"/>
      <c r="AC128" s="556"/>
      <c r="AD128" s="556"/>
      <c r="AE128" s="556"/>
      <c r="AF128" s="556"/>
      <c r="AG128" s="556"/>
      <c r="AH128" s="556"/>
      <c r="AI128" s="556"/>
      <c r="AJ128" s="556"/>
      <c r="AK128" s="556"/>
      <c r="AL128" s="556"/>
      <c r="AM128" s="556"/>
      <c r="AN128" s="556"/>
      <c r="AO128" s="556"/>
    </row>
    <row r="129" spans="1:41">
      <c r="B129" s="555"/>
      <c r="C129" s="555"/>
      <c r="D129" s="555"/>
      <c r="E129" s="555"/>
      <c r="F129" s="555"/>
      <c r="G129" s="555"/>
      <c r="H129" s="555"/>
      <c r="I129" s="555"/>
      <c r="J129" s="555"/>
      <c r="K129" s="555"/>
      <c r="L129" s="555"/>
      <c r="M129" s="555"/>
      <c r="N129" s="555"/>
      <c r="O129" s="555"/>
      <c r="P129" s="60"/>
      <c r="Q129" s="60"/>
      <c r="R129" s="60"/>
      <c r="S129" s="556"/>
      <c r="T129" s="556"/>
      <c r="U129" s="556"/>
      <c r="V129" s="556"/>
      <c r="W129" s="556"/>
      <c r="X129" s="556"/>
      <c r="Y129" s="556"/>
      <c r="Z129" s="556"/>
      <c r="AA129" s="556"/>
      <c r="AB129" s="556"/>
      <c r="AC129" s="556"/>
      <c r="AD129" s="556"/>
      <c r="AE129" s="556"/>
      <c r="AF129" s="556"/>
      <c r="AG129" s="556"/>
      <c r="AH129" s="556"/>
      <c r="AI129" s="556"/>
      <c r="AJ129" s="556"/>
      <c r="AK129" s="556"/>
      <c r="AL129" s="556"/>
      <c r="AM129" s="556"/>
      <c r="AN129" s="556"/>
      <c r="AO129" s="556"/>
    </row>
    <row r="130" spans="1:41">
      <c r="B130" s="555"/>
      <c r="C130" s="555"/>
      <c r="D130" s="555"/>
      <c r="E130" s="555"/>
      <c r="F130" s="555"/>
      <c r="G130" s="555"/>
      <c r="H130" s="555"/>
      <c r="I130" s="555"/>
      <c r="J130" s="555"/>
      <c r="K130" s="555"/>
      <c r="L130" s="555"/>
      <c r="M130" s="555"/>
      <c r="N130" s="555"/>
      <c r="O130" s="555"/>
      <c r="P130" s="60"/>
      <c r="Q130" s="60"/>
      <c r="R130" s="60"/>
      <c r="S130" s="556"/>
      <c r="T130" s="556"/>
      <c r="U130" s="556"/>
      <c r="V130" s="556"/>
      <c r="W130" s="556"/>
      <c r="X130" s="556"/>
      <c r="Y130" s="556"/>
      <c r="Z130" s="556"/>
      <c r="AA130" s="556"/>
      <c r="AB130" s="556"/>
      <c r="AC130" s="556"/>
      <c r="AD130" s="556"/>
      <c r="AE130" s="556"/>
      <c r="AF130" s="556"/>
      <c r="AG130" s="556"/>
      <c r="AH130" s="556"/>
      <c r="AI130" s="556"/>
      <c r="AJ130" s="556"/>
      <c r="AK130" s="556"/>
      <c r="AL130" s="556"/>
      <c r="AM130" s="556"/>
      <c r="AN130" s="556"/>
      <c r="AO130" s="556"/>
    </row>
    <row r="131" spans="1:41">
      <c r="B131" s="555"/>
      <c r="C131" s="555"/>
      <c r="D131" s="555"/>
      <c r="E131" s="555"/>
      <c r="F131" s="555"/>
      <c r="G131" s="555"/>
      <c r="H131" s="555"/>
      <c r="I131" s="555"/>
      <c r="J131" s="555"/>
      <c r="K131" s="555"/>
      <c r="L131" s="555"/>
      <c r="M131" s="555"/>
      <c r="N131" s="555"/>
      <c r="O131" s="555"/>
      <c r="P131" s="60"/>
      <c r="Q131" s="60"/>
      <c r="R131" s="60"/>
      <c r="S131" s="556"/>
      <c r="T131" s="556"/>
      <c r="U131" s="556"/>
      <c r="V131" s="556"/>
      <c r="W131" s="556"/>
      <c r="X131" s="556"/>
      <c r="Y131" s="556"/>
      <c r="Z131" s="556"/>
      <c r="AA131" s="556"/>
      <c r="AB131" s="556"/>
      <c r="AC131" s="556"/>
      <c r="AD131" s="556"/>
      <c r="AE131" s="556"/>
      <c r="AF131" s="556"/>
      <c r="AG131" s="556"/>
      <c r="AH131" s="556"/>
      <c r="AI131" s="556"/>
      <c r="AJ131" s="556"/>
      <c r="AK131" s="556"/>
      <c r="AL131" s="556"/>
      <c r="AM131" s="556"/>
      <c r="AN131" s="556"/>
      <c r="AO131" s="556"/>
    </row>
    <row r="132" spans="1:41">
      <c r="B132" s="555"/>
      <c r="C132" s="555"/>
      <c r="D132" s="555"/>
      <c r="E132" s="555"/>
      <c r="F132" s="555"/>
      <c r="G132" s="555"/>
      <c r="H132" s="555"/>
      <c r="I132" s="555"/>
      <c r="J132" s="555"/>
      <c r="K132" s="555"/>
      <c r="L132" s="555"/>
      <c r="M132" s="555"/>
      <c r="N132" s="555"/>
      <c r="O132" s="555"/>
      <c r="P132" s="60"/>
      <c r="Q132" s="60"/>
      <c r="R132" s="60"/>
      <c r="S132" s="556"/>
      <c r="T132" s="556"/>
      <c r="U132" s="556"/>
      <c r="V132" s="556"/>
      <c r="W132" s="556"/>
      <c r="X132" s="556"/>
      <c r="Y132" s="556"/>
      <c r="Z132" s="556"/>
      <c r="AA132" s="556"/>
      <c r="AB132" s="556"/>
      <c r="AC132" s="556"/>
      <c r="AD132" s="556"/>
      <c r="AE132" s="556"/>
      <c r="AF132" s="556"/>
      <c r="AG132" s="556"/>
      <c r="AH132" s="556"/>
      <c r="AI132" s="556"/>
      <c r="AJ132" s="556"/>
      <c r="AK132" s="556"/>
      <c r="AL132" s="556"/>
      <c r="AM132" s="556"/>
      <c r="AN132" s="556"/>
      <c r="AO132" s="556"/>
    </row>
    <row r="133" spans="1:41">
      <c r="B133" s="555"/>
      <c r="C133" s="555"/>
      <c r="D133" s="555"/>
      <c r="E133" s="555"/>
      <c r="F133" s="555"/>
      <c r="G133" s="555"/>
      <c r="H133" s="555"/>
      <c r="I133" s="555"/>
      <c r="J133" s="555"/>
      <c r="K133" s="555"/>
      <c r="L133" s="555"/>
      <c r="M133" s="555"/>
      <c r="N133" s="555"/>
      <c r="O133" s="555"/>
      <c r="P133" s="60"/>
      <c r="Q133" s="60"/>
      <c r="R133" s="60"/>
      <c r="S133" s="556"/>
      <c r="T133" s="556"/>
      <c r="U133" s="556"/>
      <c r="V133" s="556"/>
      <c r="W133" s="556"/>
      <c r="X133" s="556"/>
      <c r="Y133" s="556"/>
      <c r="Z133" s="556"/>
      <c r="AA133" s="556"/>
      <c r="AB133" s="556"/>
      <c r="AC133" s="556"/>
      <c r="AD133" s="556"/>
      <c r="AE133" s="556"/>
      <c r="AF133" s="556"/>
      <c r="AG133" s="556"/>
      <c r="AH133" s="556"/>
      <c r="AI133" s="556"/>
      <c r="AJ133" s="556"/>
      <c r="AK133" s="556"/>
      <c r="AL133" s="556"/>
      <c r="AM133" s="556"/>
      <c r="AN133" s="556"/>
      <c r="AO133" s="556"/>
    </row>
    <row r="134" spans="1:41">
      <c r="B134" s="555"/>
      <c r="C134" s="555"/>
      <c r="D134" s="555"/>
      <c r="E134" s="555"/>
      <c r="F134" s="555"/>
      <c r="G134" s="555"/>
      <c r="H134" s="555"/>
      <c r="I134" s="555"/>
      <c r="J134" s="555"/>
      <c r="K134" s="555"/>
      <c r="L134" s="555"/>
      <c r="M134" s="555"/>
      <c r="N134" s="555"/>
      <c r="O134" s="555"/>
      <c r="P134" s="60"/>
      <c r="Q134" s="60"/>
      <c r="R134" s="60"/>
      <c r="S134" s="556"/>
      <c r="T134" s="556"/>
      <c r="U134" s="556"/>
      <c r="V134" s="556"/>
      <c r="W134" s="556"/>
      <c r="X134" s="556"/>
      <c r="Y134" s="556"/>
      <c r="Z134" s="556"/>
      <c r="AA134" s="556"/>
      <c r="AB134" s="556"/>
      <c r="AC134" s="556"/>
      <c r="AD134" s="556"/>
      <c r="AE134" s="556"/>
      <c r="AF134" s="556"/>
      <c r="AG134" s="556"/>
      <c r="AH134" s="556"/>
      <c r="AI134" s="556"/>
      <c r="AJ134" s="556"/>
      <c r="AK134" s="556"/>
      <c r="AL134" s="556"/>
      <c r="AM134" s="556"/>
      <c r="AN134" s="556"/>
      <c r="AO134" s="556"/>
    </row>
    <row r="135" spans="1:41">
      <c r="B135" s="555"/>
      <c r="C135" s="555"/>
      <c r="D135" s="555"/>
      <c r="E135" s="555"/>
      <c r="F135" s="555"/>
      <c r="G135" s="555"/>
      <c r="H135" s="555"/>
      <c r="I135" s="555"/>
      <c r="J135" s="555"/>
      <c r="K135" s="555"/>
      <c r="L135" s="555"/>
      <c r="M135" s="555"/>
      <c r="N135" s="555"/>
      <c r="O135" s="555"/>
      <c r="P135" s="60"/>
      <c r="Q135" s="60"/>
      <c r="R135" s="60"/>
      <c r="S135" s="556"/>
      <c r="T135" s="556"/>
      <c r="U135" s="556"/>
      <c r="V135" s="556"/>
      <c r="W135" s="556"/>
      <c r="X135" s="556"/>
      <c r="Y135" s="556"/>
      <c r="Z135" s="556"/>
      <c r="AA135" s="556"/>
      <c r="AB135" s="556"/>
      <c r="AC135" s="556"/>
      <c r="AD135" s="556"/>
      <c r="AE135" s="556"/>
      <c r="AF135" s="556"/>
      <c r="AG135" s="556"/>
      <c r="AH135" s="556"/>
      <c r="AI135" s="556"/>
      <c r="AJ135" s="556"/>
      <c r="AK135" s="556"/>
      <c r="AL135" s="556"/>
      <c r="AM135" s="556"/>
      <c r="AN135" s="556"/>
      <c r="AO135" s="556"/>
    </row>
    <row r="136" spans="1:41">
      <c r="B136" s="555"/>
      <c r="C136" s="555"/>
      <c r="D136" s="555"/>
      <c r="E136" s="555"/>
      <c r="F136" s="555"/>
      <c r="G136" s="555"/>
      <c r="H136" s="555"/>
      <c r="I136" s="555"/>
      <c r="J136" s="555"/>
      <c r="K136" s="555"/>
      <c r="L136" s="555"/>
      <c r="M136" s="555"/>
      <c r="N136" s="555"/>
      <c r="O136" s="555"/>
      <c r="P136" s="60"/>
      <c r="Q136" s="60"/>
      <c r="R136" s="60"/>
      <c r="S136" s="556"/>
      <c r="T136" s="556"/>
      <c r="U136" s="556"/>
      <c r="V136" s="556"/>
      <c r="W136" s="556"/>
      <c r="X136" s="556"/>
      <c r="Y136" s="556"/>
      <c r="Z136" s="556"/>
      <c r="AA136" s="556"/>
      <c r="AB136" s="556"/>
      <c r="AC136" s="556"/>
      <c r="AD136" s="556"/>
      <c r="AE136" s="556"/>
      <c r="AF136" s="556"/>
      <c r="AG136" s="556"/>
      <c r="AH136" s="556"/>
      <c r="AI136" s="556"/>
      <c r="AJ136" s="556"/>
      <c r="AK136" s="556"/>
      <c r="AL136" s="556"/>
      <c r="AM136" s="556"/>
      <c r="AN136" s="556"/>
      <c r="AO136" s="556"/>
    </row>
    <row r="137" spans="1:41">
      <c r="B137" s="555"/>
      <c r="C137" s="555"/>
      <c r="D137" s="555"/>
      <c r="E137" s="555"/>
      <c r="F137" s="555"/>
      <c r="G137" s="555"/>
      <c r="H137" s="555"/>
      <c r="I137" s="555"/>
      <c r="J137" s="555"/>
      <c r="K137" s="555"/>
      <c r="L137" s="555"/>
      <c r="M137" s="555"/>
      <c r="N137" s="555"/>
      <c r="O137" s="555"/>
      <c r="P137" s="60"/>
      <c r="Q137" s="60"/>
      <c r="R137" s="60"/>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row>
    <row r="138" spans="1:41">
      <c r="B138" s="555"/>
      <c r="C138" s="555"/>
      <c r="D138" s="555"/>
      <c r="E138" s="555"/>
      <c r="F138" s="555"/>
      <c r="G138" s="555"/>
      <c r="H138" s="555"/>
      <c r="I138" s="555"/>
      <c r="J138" s="555"/>
      <c r="K138" s="555"/>
      <c r="L138" s="555"/>
      <c r="M138" s="555"/>
      <c r="N138" s="555"/>
      <c r="O138" s="555"/>
      <c r="P138" s="60"/>
      <c r="Q138" s="60"/>
      <c r="R138" s="60"/>
      <c r="S138" s="556"/>
      <c r="T138" s="556"/>
      <c r="U138" s="556"/>
      <c r="V138" s="556"/>
      <c r="W138" s="556"/>
      <c r="X138" s="556"/>
      <c r="Y138" s="556"/>
      <c r="Z138" s="556"/>
      <c r="AA138" s="556"/>
      <c r="AB138" s="556"/>
      <c r="AC138" s="556"/>
      <c r="AD138" s="556"/>
      <c r="AE138" s="556"/>
      <c r="AF138" s="556"/>
      <c r="AG138" s="556"/>
      <c r="AH138" s="556"/>
      <c r="AI138" s="556"/>
      <c r="AJ138" s="556"/>
      <c r="AK138" s="556"/>
      <c r="AL138" s="556"/>
      <c r="AM138" s="556"/>
      <c r="AN138" s="556"/>
      <c r="AO138" s="556"/>
    </row>
    <row r="139" spans="1:41">
      <c r="B139" s="555"/>
      <c r="C139" s="555"/>
      <c r="D139" s="555"/>
      <c r="E139" s="555"/>
      <c r="F139" s="555"/>
      <c r="G139" s="555"/>
      <c r="H139" s="555"/>
      <c r="I139" s="555"/>
      <c r="J139" s="555"/>
      <c r="K139" s="555"/>
      <c r="L139" s="555"/>
      <c r="M139" s="555"/>
      <c r="N139" s="555"/>
      <c r="O139" s="555"/>
      <c r="P139" s="60"/>
      <c r="Q139" s="60"/>
      <c r="R139" s="60"/>
      <c r="S139" s="556"/>
      <c r="T139" s="556"/>
      <c r="U139" s="556"/>
      <c r="V139" s="556"/>
      <c r="W139" s="556"/>
      <c r="X139" s="556"/>
      <c r="Y139" s="556"/>
      <c r="Z139" s="556"/>
      <c r="AA139" s="556"/>
      <c r="AB139" s="556"/>
      <c r="AC139" s="556"/>
      <c r="AD139" s="556"/>
      <c r="AE139" s="556"/>
      <c r="AF139" s="556"/>
      <c r="AG139" s="556"/>
      <c r="AH139" s="556"/>
      <c r="AI139" s="556"/>
      <c r="AJ139" s="556"/>
      <c r="AK139" s="556"/>
      <c r="AL139" s="556"/>
      <c r="AM139" s="556"/>
      <c r="AN139" s="556"/>
      <c r="AO139" s="556"/>
    </row>
    <row r="140" spans="1:41">
      <c r="A140" s="556"/>
      <c r="B140" s="60"/>
      <c r="C140" s="60"/>
      <c r="D140" s="61"/>
      <c r="E140" s="60"/>
      <c r="F140" s="60"/>
      <c r="G140" s="60"/>
      <c r="H140" s="61"/>
      <c r="I140" s="60"/>
      <c r="J140" s="60"/>
      <c r="K140" s="60"/>
      <c r="L140" s="60"/>
      <c r="M140" s="60"/>
      <c r="N140" s="60"/>
      <c r="O140" s="61"/>
      <c r="P140" s="60"/>
      <c r="Q140" s="60"/>
      <c r="R140" s="60"/>
      <c r="S140" s="556"/>
      <c r="T140" s="556"/>
      <c r="U140" s="556"/>
      <c r="V140" s="556"/>
      <c r="W140" s="556"/>
      <c r="X140" s="556"/>
      <c r="Y140" s="556"/>
      <c r="Z140" s="556"/>
      <c r="AA140" s="556"/>
      <c r="AB140" s="556"/>
      <c r="AC140" s="556"/>
      <c r="AD140" s="556"/>
      <c r="AE140" s="556"/>
      <c r="AF140" s="556"/>
      <c r="AG140" s="556"/>
      <c r="AH140" s="556"/>
      <c r="AI140" s="556"/>
      <c r="AJ140" s="556"/>
      <c r="AK140" s="556"/>
      <c r="AL140" s="556"/>
      <c r="AM140" s="556"/>
      <c r="AN140" s="556"/>
      <c r="AO140" s="556"/>
    </row>
    <row r="141" spans="1:41">
      <c r="A141" s="556" t="s">
        <v>374</v>
      </c>
      <c r="B141" s="65">
        <v>0</v>
      </c>
      <c r="C141" s="65"/>
      <c r="D141" s="67"/>
      <c r="E141" s="65"/>
      <c r="F141" s="65"/>
      <c r="G141" s="65"/>
      <c r="H141" s="67"/>
      <c r="I141" s="65"/>
      <c r="J141" s="65"/>
      <c r="K141" s="65"/>
      <c r="L141" s="65"/>
      <c r="M141" s="65"/>
      <c r="N141" s="60"/>
      <c r="O141" s="67"/>
      <c r="P141" s="60"/>
      <c r="Q141" s="60"/>
      <c r="R141" s="60"/>
      <c r="S141" s="556"/>
      <c r="T141" s="556"/>
      <c r="U141" s="556"/>
      <c r="V141" s="556"/>
      <c r="W141" s="556"/>
      <c r="X141" s="556"/>
      <c r="Y141" s="556"/>
      <c r="Z141" s="556"/>
      <c r="AA141" s="556"/>
      <c r="AB141" s="556"/>
      <c r="AC141" s="556"/>
      <c r="AD141" s="556"/>
      <c r="AE141" s="556"/>
      <c r="AF141" s="556"/>
      <c r="AG141" s="556"/>
      <c r="AH141" s="556"/>
      <c r="AI141" s="556"/>
      <c r="AJ141" s="556"/>
      <c r="AK141" s="556"/>
      <c r="AL141" s="556"/>
      <c r="AM141" s="556"/>
      <c r="AN141" s="556"/>
      <c r="AO141" s="556"/>
    </row>
    <row r="142" spans="1:41">
      <c r="A142" s="556"/>
      <c r="B142" s="60"/>
      <c r="C142" s="60"/>
      <c r="D142" s="61"/>
      <c r="E142" s="60"/>
      <c r="F142" s="60"/>
      <c r="G142" s="60"/>
      <c r="H142" s="61"/>
      <c r="I142" s="60"/>
      <c r="J142" s="60"/>
      <c r="K142" s="60"/>
      <c r="L142" s="60"/>
      <c r="M142" s="60"/>
      <c r="N142" s="60"/>
      <c r="O142" s="61"/>
      <c r="P142" s="60"/>
      <c r="Q142" s="60"/>
      <c r="R142" s="60"/>
      <c r="S142" s="556"/>
      <c r="T142" s="556"/>
      <c r="U142" s="556"/>
      <c r="V142" s="556"/>
      <c r="W142" s="556"/>
      <c r="X142" s="556"/>
      <c r="Y142" s="556"/>
      <c r="Z142" s="556"/>
      <c r="AA142" s="556"/>
      <c r="AB142" s="556"/>
      <c r="AC142" s="556"/>
      <c r="AD142" s="556"/>
      <c r="AE142" s="556"/>
      <c r="AF142" s="556"/>
      <c r="AG142" s="556"/>
      <c r="AH142" s="556"/>
      <c r="AI142" s="556"/>
      <c r="AJ142" s="556"/>
      <c r="AK142" s="556"/>
      <c r="AL142" s="556"/>
      <c r="AM142" s="556"/>
      <c r="AN142" s="556"/>
      <c r="AO142" s="556"/>
    </row>
    <row r="143" spans="1:41">
      <c r="A143" s="556" t="s">
        <v>375</v>
      </c>
      <c r="B143" s="65">
        <v>0</v>
      </c>
      <c r="C143" s="65"/>
      <c r="D143" s="67"/>
      <c r="E143" s="65"/>
      <c r="F143" s="65"/>
      <c r="G143" s="65"/>
      <c r="H143" s="67"/>
      <c r="I143" s="65"/>
      <c r="J143" s="65"/>
      <c r="K143" s="65"/>
      <c r="L143" s="65"/>
      <c r="M143" s="65"/>
      <c r="N143" s="60"/>
      <c r="O143" s="67"/>
      <c r="P143" s="60"/>
      <c r="Q143" s="60"/>
      <c r="R143" s="60"/>
      <c r="S143" s="556"/>
      <c r="T143" s="556"/>
      <c r="U143" s="556"/>
      <c r="V143" s="556"/>
      <c r="W143" s="556"/>
      <c r="X143" s="556"/>
      <c r="Y143" s="556"/>
      <c r="Z143" s="556"/>
      <c r="AA143" s="556"/>
      <c r="AB143" s="556"/>
      <c r="AC143" s="556"/>
      <c r="AD143" s="556"/>
      <c r="AE143" s="556"/>
      <c r="AF143" s="556"/>
      <c r="AG143" s="556"/>
      <c r="AH143" s="556"/>
      <c r="AI143" s="556"/>
      <c r="AJ143" s="556"/>
      <c r="AK143" s="556"/>
      <c r="AL143" s="556"/>
      <c r="AM143" s="556"/>
      <c r="AN143" s="556"/>
      <c r="AO143" s="556"/>
    </row>
    <row r="144" spans="1:41">
      <c r="A144" s="556"/>
      <c r="B144" s="60"/>
      <c r="C144" s="60"/>
      <c r="D144" s="61"/>
      <c r="E144" s="60"/>
      <c r="F144" s="60"/>
      <c r="G144" s="60"/>
      <c r="H144" s="61"/>
      <c r="I144" s="60"/>
      <c r="J144" s="60"/>
      <c r="K144" s="60"/>
      <c r="L144" s="60"/>
      <c r="M144" s="60"/>
      <c r="N144" s="60"/>
      <c r="O144" s="61"/>
      <c r="P144" s="60"/>
      <c r="Q144" s="60"/>
      <c r="R144" s="60"/>
      <c r="S144" s="556"/>
      <c r="T144" s="556"/>
      <c r="U144" s="556"/>
      <c r="V144" s="556"/>
      <c r="W144" s="556"/>
      <c r="X144" s="556"/>
      <c r="Y144" s="556"/>
      <c r="Z144" s="556"/>
      <c r="AA144" s="556"/>
      <c r="AB144" s="556"/>
      <c r="AC144" s="556"/>
      <c r="AD144" s="556"/>
      <c r="AE144" s="556"/>
      <c r="AF144" s="556"/>
      <c r="AG144" s="556"/>
      <c r="AH144" s="556"/>
      <c r="AI144" s="556"/>
      <c r="AJ144" s="556"/>
      <c r="AK144" s="556"/>
      <c r="AL144" s="556"/>
      <c r="AM144" s="556"/>
      <c r="AN144" s="556"/>
      <c r="AO144" s="556"/>
    </row>
    <row r="145" spans="1:41">
      <c r="A145" s="556" t="s">
        <v>376</v>
      </c>
      <c r="B145" s="65">
        <f>+B148+B149+B150</f>
        <v>0</v>
      </c>
      <c r="C145" s="65"/>
      <c r="D145" s="67"/>
      <c r="E145" s="65"/>
      <c r="F145" s="65"/>
      <c r="G145" s="65"/>
      <c r="H145" s="67"/>
      <c r="I145" s="65"/>
      <c r="J145" s="65"/>
      <c r="K145" s="65"/>
      <c r="L145" s="65"/>
      <c r="M145" s="65"/>
      <c r="N145" s="60"/>
      <c r="O145" s="67"/>
      <c r="P145" s="60"/>
      <c r="Q145" s="60"/>
      <c r="R145" s="60"/>
      <c r="S145" s="556"/>
      <c r="T145" s="556"/>
      <c r="U145" s="556"/>
      <c r="V145" s="556"/>
      <c r="W145" s="556"/>
      <c r="X145" s="556"/>
      <c r="Y145" s="556"/>
      <c r="Z145" s="556"/>
      <c r="AA145" s="556"/>
      <c r="AB145" s="556"/>
      <c r="AC145" s="556"/>
      <c r="AD145" s="556"/>
      <c r="AE145" s="556"/>
      <c r="AF145" s="556"/>
      <c r="AG145" s="556"/>
      <c r="AH145" s="556"/>
      <c r="AI145" s="556"/>
      <c r="AJ145" s="556"/>
      <c r="AK145" s="556"/>
      <c r="AL145" s="556"/>
      <c r="AM145" s="556"/>
      <c r="AN145" s="556"/>
      <c r="AO145" s="556"/>
    </row>
    <row r="146" spans="1:41">
      <c r="A146" s="556" t="s">
        <v>377</v>
      </c>
      <c r="B146" s="60">
        <v>0</v>
      </c>
      <c r="C146" s="60"/>
      <c r="D146" s="61"/>
      <c r="E146" s="60"/>
      <c r="F146" s="60"/>
      <c r="G146" s="60"/>
      <c r="H146" s="61"/>
      <c r="I146" s="60"/>
      <c r="J146" s="60"/>
      <c r="K146" s="60"/>
      <c r="L146" s="60"/>
      <c r="M146" s="60"/>
      <c r="N146" s="60"/>
      <c r="O146" s="61"/>
      <c r="P146" s="60"/>
      <c r="Q146" s="60"/>
      <c r="R146" s="60"/>
      <c r="S146" s="556"/>
      <c r="T146" s="556"/>
      <c r="U146" s="556"/>
      <c r="V146" s="556"/>
      <c r="W146" s="556"/>
      <c r="X146" s="556"/>
      <c r="Y146" s="556"/>
      <c r="Z146" s="556"/>
      <c r="AA146" s="556"/>
      <c r="AB146" s="556"/>
      <c r="AC146" s="556"/>
      <c r="AD146" s="556"/>
      <c r="AE146" s="556"/>
      <c r="AF146" s="556"/>
      <c r="AG146" s="556"/>
      <c r="AH146" s="556"/>
      <c r="AI146" s="556"/>
      <c r="AJ146" s="556"/>
      <c r="AK146" s="556"/>
      <c r="AL146" s="556"/>
      <c r="AM146" s="556"/>
      <c r="AN146" s="556"/>
      <c r="AO146" s="556"/>
    </row>
    <row r="147" spans="1:41">
      <c r="A147" s="556" t="s">
        <v>378</v>
      </c>
      <c r="B147" s="60">
        <v>0</v>
      </c>
      <c r="C147" s="60"/>
      <c r="D147" s="61"/>
      <c r="E147" s="60"/>
      <c r="F147" s="60"/>
      <c r="G147" s="60"/>
      <c r="H147" s="61"/>
      <c r="I147" s="60"/>
      <c r="J147" s="60"/>
      <c r="K147" s="60"/>
      <c r="L147" s="60"/>
      <c r="M147" s="60"/>
      <c r="N147" s="60"/>
      <c r="O147" s="61"/>
      <c r="P147" s="60"/>
      <c r="Q147" s="60"/>
      <c r="R147" s="60"/>
      <c r="S147" s="556"/>
      <c r="T147" s="556"/>
      <c r="U147" s="556"/>
      <c r="V147" s="556"/>
      <c r="W147" s="556"/>
      <c r="X147" s="556"/>
      <c r="Y147" s="556"/>
      <c r="Z147" s="556"/>
      <c r="AA147" s="556"/>
      <c r="AB147" s="556"/>
      <c r="AC147" s="556"/>
      <c r="AD147" s="556"/>
      <c r="AE147" s="556"/>
      <c r="AF147" s="556"/>
      <c r="AG147" s="556"/>
      <c r="AH147" s="556"/>
      <c r="AI147" s="556"/>
      <c r="AJ147" s="556"/>
      <c r="AK147" s="556"/>
      <c r="AL147" s="556"/>
      <c r="AM147" s="556"/>
      <c r="AN147" s="556"/>
      <c r="AO147" s="556"/>
    </row>
    <row r="148" spans="1:41">
      <c r="A148" s="556" t="s">
        <v>289</v>
      </c>
      <c r="B148" s="65">
        <f>+B146+B147</f>
        <v>0</v>
      </c>
      <c r="C148" s="60"/>
      <c r="D148" s="61"/>
      <c r="E148" s="60"/>
      <c r="F148" s="60"/>
      <c r="G148" s="60"/>
      <c r="H148" s="61"/>
      <c r="I148" s="60"/>
      <c r="J148" s="60"/>
      <c r="K148" s="60"/>
      <c r="L148" s="60"/>
      <c r="M148" s="60"/>
      <c r="N148" s="60"/>
      <c r="O148" s="61"/>
      <c r="P148" s="60"/>
      <c r="Q148" s="60"/>
      <c r="R148" s="60"/>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row>
    <row r="149" spans="1:41">
      <c r="A149" s="556" t="s">
        <v>379</v>
      </c>
      <c r="B149" s="60">
        <v>0</v>
      </c>
      <c r="C149" s="60"/>
      <c r="D149" s="61"/>
      <c r="E149" s="60"/>
      <c r="F149" s="60"/>
      <c r="G149" s="60"/>
      <c r="H149" s="61"/>
      <c r="I149" s="60"/>
      <c r="J149" s="60"/>
      <c r="K149" s="60"/>
      <c r="L149" s="60"/>
      <c r="M149" s="60"/>
      <c r="N149" s="60"/>
      <c r="O149" s="61"/>
      <c r="P149" s="60"/>
      <c r="Q149" s="60"/>
      <c r="R149" s="60"/>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row>
    <row r="150" spans="1:41">
      <c r="A150" s="556" t="s">
        <v>380</v>
      </c>
      <c r="B150" s="60">
        <v>0</v>
      </c>
      <c r="C150" s="60"/>
      <c r="D150" s="61"/>
      <c r="E150" s="60"/>
      <c r="F150" s="60"/>
      <c r="G150" s="60"/>
      <c r="H150" s="61"/>
      <c r="I150" s="60"/>
      <c r="J150" s="60"/>
      <c r="K150" s="60"/>
      <c r="L150" s="60"/>
      <c r="M150" s="60"/>
      <c r="N150" s="60"/>
      <c r="O150" s="61"/>
      <c r="P150" s="60"/>
      <c r="Q150" s="60"/>
      <c r="R150" s="60"/>
      <c r="S150" s="556"/>
      <c r="T150" s="556"/>
      <c r="U150" s="556"/>
      <c r="V150" s="556"/>
      <c r="W150" s="556"/>
      <c r="X150" s="556"/>
      <c r="Y150" s="556"/>
      <c r="Z150" s="556"/>
      <c r="AA150" s="556"/>
      <c r="AB150" s="556"/>
      <c r="AC150" s="556"/>
      <c r="AD150" s="556"/>
      <c r="AE150" s="556"/>
      <c r="AF150" s="556"/>
      <c r="AG150" s="556"/>
      <c r="AH150" s="556"/>
      <c r="AI150" s="556"/>
      <c r="AJ150" s="556"/>
      <c r="AK150" s="556"/>
      <c r="AL150" s="556"/>
      <c r="AM150" s="556"/>
      <c r="AN150" s="556"/>
      <c r="AO150" s="556"/>
    </row>
    <row r="151" spans="1:41">
      <c r="A151" s="556"/>
      <c r="B151" s="60"/>
      <c r="C151" s="60"/>
      <c r="D151" s="61"/>
      <c r="E151" s="60"/>
      <c r="F151" s="60"/>
      <c r="G151" s="60"/>
      <c r="H151" s="61"/>
      <c r="I151" s="60"/>
      <c r="J151" s="60"/>
      <c r="K151" s="60"/>
      <c r="L151" s="60"/>
      <c r="M151" s="60"/>
      <c r="N151" s="60"/>
      <c r="O151" s="61"/>
      <c r="P151" s="60"/>
      <c r="Q151" s="60"/>
      <c r="R151" s="60"/>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row>
    <row r="152" spans="1:41">
      <c r="A152" s="556" t="s">
        <v>381</v>
      </c>
      <c r="B152" s="65">
        <f>SUM(B153:B154)</f>
        <v>0</v>
      </c>
      <c r="C152" s="65"/>
      <c r="D152" s="67"/>
      <c r="E152" s="65"/>
      <c r="F152" s="65"/>
      <c r="G152" s="65"/>
      <c r="H152" s="67"/>
      <c r="I152" s="65"/>
      <c r="J152" s="65"/>
      <c r="K152" s="65"/>
      <c r="L152" s="65"/>
      <c r="M152" s="65"/>
      <c r="N152" s="60"/>
      <c r="O152" s="67"/>
      <c r="P152" s="60"/>
      <c r="Q152" s="60"/>
      <c r="R152" s="60"/>
      <c r="S152" s="556"/>
      <c r="T152" s="556"/>
      <c r="U152" s="556"/>
      <c r="V152" s="556"/>
      <c r="W152" s="556"/>
      <c r="X152" s="556"/>
      <c r="Y152" s="556"/>
      <c r="Z152" s="556"/>
      <c r="AA152" s="556"/>
      <c r="AB152" s="556"/>
      <c r="AC152" s="556"/>
      <c r="AD152" s="556"/>
      <c r="AE152" s="556"/>
      <c r="AF152" s="556"/>
      <c r="AG152" s="556"/>
      <c r="AH152" s="556"/>
      <c r="AI152" s="556"/>
      <c r="AJ152" s="556"/>
      <c r="AK152" s="556"/>
      <c r="AL152" s="556"/>
      <c r="AM152" s="556"/>
      <c r="AN152" s="556"/>
      <c r="AO152" s="556"/>
    </row>
    <row r="153" spans="1:41">
      <c r="A153" s="556" t="s">
        <v>382</v>
      </c>
      <c r="B153" s="60">
        <v>0</v>
      </c>
      <c r="C153" s="60"/>
      <c r="D153" s="61"/>
      <c r="E153" s="60"/>
      <c r="F153" s="60"/>
      <c r="G153" s="60"/>
      <c r="H153" s="61"/>
      <c r="I153" s="60"/>
      <c r="J153" s="60"/>
      <c r="K153" s="60"/>
      <c r="L153" s="60"/>
      <c r="M153" s="60"/>
      <c r="N153" s="60"/>
      <c r="O153" s="61"/>
      <c r="P153" s="60"/>
      <c r="Q153" s="60"/>
      <c r="R153" s="60"/>
      <c r="S153" s="556"/>
      <c r="T153" s="556"/>
      <c r="U153" s="556"/>
      <c r="V153" s="556"/>
      <c r="W153" s="556"/>
      <c r="X153" s="556"/>
      <c r="Y153" s="556"/>
      <c r="Z153" s="556"/>
      <c r="AA153" s="556"/>
      <c r="AB153" s="556"/>
      <c r="AC153" s="556"/>
      <c r="AD153" s="556"/>
      <c r="AE153" s="556"/>
      <c r="AF153" s="556"/>
      <c r="AG153" s="556"/>
      <c r="AH153" s="556"/>
      <c r="AI153" s="556"/>
      <c r="AJ153" s="556"/>
      <c r="AK153" s="556"/>
      <c r="AL153" s="556"/>
      <c r="AM153" s="556"/>
      <c r="AN153" s="556"/>
      <c r="AO153" s="556"/>
    </row>
    <row r="154" spans="1:41">
      <c r="A154" s="556" t="s">
        <v>383</v>
      </c>
      <c r="B154" s="60">
        <v>0</v>
      </c>
      <c r="C154" s="60"/>
      <c r="D154" s="61"/>
      <c r="E154" s="60"/>
      <c r="F154" s="60"/>
      <c r="G154" s="60"/>
      <c r="H154" s="61"/>
      <c r="I154" s="60"/>
      <c r="J154" s="60"/>
      <c r="K154" s="60"/>
      <c r="L154" s="60"/>
      <c r="M154" s="60"/>
      <c r="N154" s="60"/>
      <c r="O154" s="61"/>
      <c r="P154" s="60"/>
      <c r="Q154" s="60"/>
      <c r="R154" s="60"/>
      <c r="S154" s="556"/>
      <c r="T154" s="556"/>
      <c r="U154" s="556"/>
      <c r="V154" s="556"/>
      <c r="W154" s="556"/>
      <c r="X154" s="556"/>
      <c r="Y154" s="556"/>
      <c r="Z154" s="556"/>
      <c r="AA154" s="556"/>
      <c r="AB154" s="556"/>
      <c r="AC154" s="556"/>
      <c r="AD154" s="556"/>
      <c r="AE154" s="556"/>
      <c r="AF154" s="556"/>
      <c r="AG154" s="556"/>
      <c r="AH154" s="556"/>
      <c r="AI154" s="556"/>
      <c r="AJ154" s="556"/>
      <c r="AK154" s="556"/>
      <c r="AL154" s="556"/>
      <c r="AM154" s="556"/>
      <c r="AN154" s="556"/>
      <c r="AO154" s="556"/>
    </row>
    <row r="155" spans="1:41">
      <c r="A155" s="556"/>
      <c r="B155" s="60"/>
      <c r="C155" s="60"/>
      <c r="D155" s="61"/>
      <c r="E155" s="60"/>
      <c r="F155" s="60"/>
      <c r="G155" s="60"/>
      <c r="H155" s="61"/>
      <c r="I155" s="60"/>
      <c r="J155" s="60"/>
      <c r="K155" s="60"/>
      <c r="L155" s="60"/>
      <c r="M155" s="60"/>
      <c r="N155" s="60"/>
      <c r="O155" s="61"/>
      <c r="P155" s="60"/>
      <c r="Q155" s="60"/>
      <c r="R155" s="60"/>
      <c r="S155" s="556"/>
      <c r="T155" s="556"/>
      <c r="U155" s="556"/>
      <c r="V155" s="556"/>
      <c r="W155" s="556"/>
      <c r="X155" s="556"/>
      <c r="Y155" s="556"/>
      <c r="Z155" s="556"/>
      <c r="AA155" s="556"/>
      <c r="AB155" s="556"/>
      <c r="AC155" s="556"/>
      <c r="AD155" s="556"/>
      <c r="AE155" s="556"/>
      <c r="AF155" s="556"/>
      <c r="AG155" s="556"/>
      <c r="AH155" s="556"/>
      <c r="AI155" s="556"/>
      <c r="AJ155" s="556"/>
      <c r="AK155" s="556"/>
      <c r="AL155" s="556"/>
      <c r="AM155" s="556"/>
      <c r="AN155" s="556"/>
      <c r="AO155" s="556"/>
    </row>
    <row r="156" spans="1:41">
      <c r="A156" s="556" t="s">
        <v>384</v>
      </c>
      <c r="B156" s="65">
        <f>+B107+B111+B113+B115+B130+B139+B141+B143+B145+B152</f>
        <v>0</v>
      </c>
      <c r="C156" s="65">
        <f>+C107+C111+C113+C115+C130+C139+C141+C143+C145+C152</f>
        <v>0</v>
      </c>
      <c r="D156" s="67">
        <f>+D107+D111+D113+D115+D130+D139+D141+D143+D145+D152</f>
        <v>0</v>
      </c>
      <c r="E156" s="65">
        <f>+E107+E111+E113+E115+E130+E139+E141+E143+E145+E152</f>
        <v>0</v>
      </c>
      <c r="F156" s="65"/>
      <c r="G156" s="65">
        <f>+G107+G111+G113+G115+G130+G139+G141+G143+G145+G152</f>
        <v>0</v>
      </c>
      <c r="H156" s="67">
        <f>+H107+H111+H113+H115+H130+H139+H141+H143+H145+H152</f>
        <v>0</v>
      </c>
      <c r="I156" s="65">
        <f>+I107+I111+I113+I115+I130+I139+I141+I143+I145+I152</f>
        <v>0</v>
      </c>
      <c r="J156" s="65"/>
      <c r="K156" s="65"/>
      <c r="L156" s="65">
        <f>+L107+L111+L113+L115+L130+L139+L141+L143+L145+L152</f>
        <v>0</v>
      </c>
      <c r="M156" s="65"/>
      <c r="N156" s="60"/>
      <c r="O156" s="67">
        <f>+O107+O111+O113+O115+O130+O139+O141+O143+O145+O152</f>
        <v>0</v>
      </c>
      <c r="P156" s="60"/>
      <c r="Q156" s="60"/>
      <c r="R156" s="60"/>
      <c r="S156" s="556"/>
      <c r="T156" s="556"/>
      <c r="U156" s="556"/>
      <c r="V156" s="556"/>
      <c r="W156" s="556"/>
      <c r="X156" s="556"/>
      <c r="Y156" s="556"/>
      <c r="Z156" s="556"/>
      <c r="AA156" s="556"/>
      <c r="AB156" s="556"/>
      <c r="AC156" s="556"/>
      <c r="AD156" s="556"/>
      <c r="AE156" s="556"/>
      <c r="AF156" s="556"/>
      <c r="AG156" s="556"/>
      <c r="AH156" s="556"/>
      <c r="AI156" s="556"/>
      <c r="AJ156" s="556"/>
      <c r="AK156" s="556"/>
      <c r="AL156" s="556"/>
      <c r="AM156" s="556"/>
      <c r="AN156" s="556"/>
      <c r="AO156" s="556"/>
    </row>
    <row r="157" spans="1:41">
      <c r="A157" s="556"/>
      <c r="B157" s="60"/>
      <c r="C157" s="60"/>
      <c r="D157" s="61"/>
      <c r="E157" s="60"/>
      <c r="F157" s="60"/>
      <c r="G157" s="60"/>
      <c r="H157" s="61"/>
      <c r="I157" s="60"/>
      <c r="J157" s="60"/>
      <c r="K157" s="60"/>
      <c r="L157" s="60"/>
      <c r="M157" s="60"/>
      <c r="N157" s="60"/>
      <c r="O157" s="61"/>
      <c r="P157" s="60"/>
      <c r="Q157" s="60"/>
      <c r="R157" s="60"/>
      <c r="S157" s="556"/>
      <c r="T157" s="556"/>
      <c r="U157" s="556"/>
      <c r="V157" s="556"/>
      <c r="W157" s="556"/>
      <c r="X157" s="556"/>
      <c r="Y157" s="556"/>
      <c r="Z157" s="556"/>
      <c r="AA157" s="556"/>
      <c r="AB157" s="556"/>
      <c r="AC157" s="556"/>
      <c r="AD157" s="556"/>
      <c r="AE157" s="556"/>
      <c r="AF157" s="556"/>
      <c r="AG157" s="556"/>
      <c r="AH157" s="556"/>
      <c r="AI157" s="556"/>
      <c r="AJ157" s="556"/>
      <c r="AK157" s="556"/>
      <c r="AL157" s="556"/>
      <c r="AM157" s="556"/>
      <c r="AN157" s="556"/>
      <c r="AO157" s="556"/>
    </row>
    <row r="158" spans="1:41">
      <c r="A158" s="556"/>
      <c r="B158" s="60"/>
      <c r="C158" s="60"/>
      <c r="D158" s="61"/>
      <c r="E158" s="60"/>
      <c r="F158" s="60"/>
      <c r="G158" s="60"/>
      <c r="H158" s="61"/>
      <c r="I158" s="60"/>
      <c r="J158" s="60"/>
      <c r="K158" s="60"/>
      <c r="L158" s="60"/>
      <c r="M158" s="60"/>
      <c r="N158" s="60"/>
      <c r="O158" s="61"/>
      <c r="P158" s="60"/>
      <c r="Q158" s="60"/>
      <c r="R158" s="60"/>
      <c r="S158" s="556"/>
      <c r="T158" s="556"/>
      <c r="U158" s="556"/>
      <c r="V158" s="556"/>
      <c r="W158" s="556"/>
      <c r="X158" s="556"/>
      <c r="Y158" s="556"/>
      <c r="Z158" s="556"/>
      <c r="AA158" s="556"/>
      <c r="AB158" s="556"/>
      <c r="AC158" s="556"/>
      <c r="AD158" s="556"/>
      <c r="AE158" s="556"/>
      <c r="AF158" s="556"/>
      <c r="AG158" s="556"/>
      <c r="AH158" s="556"/>
      <c r="AI158" s="556"/>
      <c r="AJ158" s="556"/>
      <c r="AK158" s="556"/>
      <c r="AL158" s="556"/>
      <c r="AM158" s="556"/>
      <c r="AN158" s="556"/>
      <c r="AO158" s="556"/>
    </row>
    <row r="159" spans="1:41">
      <c r="A159" s="556"/>
      <c r="B159" s="60"/>
      <c r="C159" s="60"/>
      <c r="D159" s="61"/>
      <c r="E159" s="60"/>
      <c r="F159" s="60"/>
      <c r="G159" s="60"/>
      <c r="H159" s="61"/>
      <c r="I159" s="60"/>
      <c r="J159" s="60"/>
      <c r="K159" s="60"/>
      <c r="L159" s="60"/>
      <c r="M159" s="60"/>
      <c r="N159" s="60"/>
      <c r="O159" s="61"/>
      <c r="P159" s="60"/>
      <c r="Q159" s="60"/>
      <c r="R159" s="60"/>
      <c r="S159" s="556"/>
      <c r="T159" s="556"/>
      <c r="U159" s="556"/>
      <c r="V159" s="556"/>
      <c r="W159" s="556"/>
      <c r="X159" s="556"/>
      <c r="Y159" s="556"/>
      <c r="Z159" s="556"/>
      <c r="AA159" s="556"/>
      <c r="AB159" s="556"/>
      <c r="AC159" s="556"/>
      <c r="AD159" s="556"/>
      <c r="AE159" s="556"/>
      <c r="AF159" s="556"/>
      <c r="AG159" s="556"/>
      <c r="AH159" s="556"/>
      <c r="AI159" s="556"/>
      <c r="AJ159" s="556"/>
      <c r="AK159" s="556"/>
      <c r="AL159" s="556"/>
      <c r="AM159" s="556"/>
      <c r="AN159" s="556"/>
      <c r="AO159" s="556"/>
    </row>
    <row r="160" spans="1:41">
      <c r="A160" s="556"/>
      <c r="B160" s="60"/>
      <c r="C160" s="60"/>
      <c r="D160" s="61"/>
      <c r="E160" s="60"/>
      <c r="F160" s="60"/>
      <c r="G160" s="60"/>
      <c r="H160" s="61"/>
      <c r="I160" s="60"/>
      <c r="J160" s="60"/>
      <c r="K160" s="60"/>
      <c r="L160" s="60"/>
      <c r="M160" s="60"/>
      <c r="N160" s="60"/>
      <c r="O160" s="61"/>
      <c r="P160" s="60"/>
      <c r="Q160" s="60"/>
      <c r="R160" s="60"/>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row>
    <row r="161" spans="1:41">
      <c r="A161" s="556"/>
      <c r="B161" s="60"/>
      <c r="C161" s="60"/>
      <c r="D161" s="61"/>
      <c r="E161" s="60"/>
      <c r="F161" s="60"/>
      <c r="G161" s="60"/>
      <c r="H161" s="61"/>
      <c r="I161" s="60"/>
      <c r="J161" s="60"/>
      <c r="K161" s="60"/>
      <c r="L161" s="60"/>
      <c r="M161" s="60"/>
      <c r="N161" s="60"/>
      <c r="O161" s="61"/>
      <c r="P161" s="60"/>
      <c r="Q161" s="60"/>
      <c r="R161" s="60"/>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row>
    <row r="162" spans="1:41">
      <c r="A162" s="556"/>
      <c r="B162" s="60"/>
      <c r="C162" s="60"/>
      <c r="D162" s="61"/>
      <c r="E162" s="60"/>
      <c r="F162" s="60"/>
      <c r="G162" s="60"/>
      <c r="H162" s="61"/>
      <c r="I162" s="60"/>
      <c r="J162" s="60"/>
      <c r="K162" s="60"/>
      <c r="L162" s="60"/>
      <c r="M162" s="60"/>
      <c r="N162" s="60"/>
      <c r="O162" s="61"/>
      <c r="P162" s="60"/>
      <c r="Q162" s="60"/>
      <c r="R162" s="60"/>
      <c r="S162" s="556"/>
      <c r="T162" s="556"/>
      <c r="U162" s="556"/>
      <c r="V162" s="556"/>
      <c r="W162" s="556"/>
      <c r="X162" s="556"/>
      <c r="Y162" s="556"/>
      <c r="Z162" s="556"/>
      <c r="AA162" s="556"/>
      <c r="AB162" s="556"/>
      <c r="AC162" s="556"/>
      <c r="AD162" s="556"/>
      <c r="AE162" s="556"/>
      <c r="AF162" s="556"/>
      <c r="AG162" s="556"/>
      <c r="AH162" s="556"/>
      <c r="AI162" s="556"/>
      <c r="AJ162" s="556"/>
      <c r="AK162" s="556"/>
      <c r="AL162" s="556"/>
      <c r="AM162" s="556"/>
      <c r="AN162" s="556"/>
      <c r="AO162" s="556"/>
    </row>
    <row r="163" spans="1:41">
      <c r="A163" s="556"/>
      <c r="B163" s="60"/>
      <c r="C163" s="60"/>
      <c r="D163" s="61"/>
      <c r="E163" s="60"/>
      <c r="F163" s="60"/>
      <c r="G163" s="60"/>
      <c r="H163" s="61"/>
      <c r="I163" s="60"/>
      <c r="J163" s="60"/>
      <c r="K163" s="60"/>
      <c r="L163" s="60"/>
      <c r="M163" s="60"/>
      <c r="N163" s="60"/>
      <c r="O163" s="61"/>
      <c r="P163" s="60"/>
      <c r="Q163" s="60"/>
      <c r="R163" s="60"/>
      <c r="S163" s="556"/>
      <c r="T163" s="556"/>
      <c r="U163" s="556"/>
      <c r="V163" s="556"/>
      <c r="W163" s="556"/>
      <c r="X163" s="556"/>
      <c r="Y163" s="556"/>
      <c r="Z163" s="556"/>
      <c r="AA163" s="556"/>
      <c r="AB163" s="556"/>
      <c r="AC163" s="556"/>
      <c r="AD163" s="556"/>
      <c r="AE163" s="556"/>
      <c r="AF163" s="556"/>
      <c r="AG163" s="556"/>
      <c r="AH163" s="556"/>
      <c r="AI163" s="556"/>
      <c r="AJ163" s="556"/>
      <c r="AK163" s="556"/>
      <c r="AL163" s="556"/>
      <c r="AM163" s="556"/>
      <c r="AN163" s="556"/>
      <c r="AO163" s="556"/>
    </row>
    <row r="164" spans="1:41">
      <c r="A164" s="556"/>
      <c r="B164" s="60"/>
      <c r="C164" s="60"/>
      <c r="D164" s="61"/>
      <c r="E164" s="60"/>
      <c r="F164" s="60"/>
      <c r="G164" s="60"/>
      <c r="H164" s="61"/>
      <c r="I164" s="60"/>
      <c r="J164" s="60"/>
      <c r="K164" s="60"/>
      <c r="L164" s="60"/>
      <c r="M164" s="60"/>
      <c r="N164" s="60"/>
      <c r="O164" s="61"/>
      <c r="P164" s="60"/>
      <c r="Q164" s="60"/>
      <c r="R164" s="60"/>
      <c r="S164" s="556"/>
      <c r="T164" s="556"/>
      <c r="U164" s="556"/>
      <c r="V164" s="556"/>
      <c r="W164" s="556"/>
      <c r="X164" s="556"/>
      <c r="Y164" s="556"/>
      <c r="Z164" s="556"/>
      <c r="AA164" s="556"/>
      <c r="AB164" s="556"/>
      <c r="AC164" s="556"/>
      <c r="AD164" s="556"/>
      <c r="AE164" s="556"/>
      <c r="AF164" s="556"/>
      <c r="AG164" s="556"/>
      <c r="AH164" s="556"/>
      <c r="AI164" s="556"/>
      <c r="AJ164" s="556"/>
      <c r="AK164" s="556"/>
      <c r="AL164" s="556"/>
      <c r="AM164" s="556"/>
      <c r="AN164" s="556"/>
      <c r="AO164" s="556"/>
    </row>
    <row r="165" spans="1:41">
      <c r="A165" s="556"/>
      <c r="B165" s="60"/>
      <c r="C165" s="60"/>
      <c r="D165" s="61"/>
      <c r="E165" s="60"/>
      <c r="F165" s="60"/>
      <c r="G165" s="60"/>
      <c r="H165" s="61"/>
      <c r="I165" s="60"/>
      <c r="J165" s="60"/>
      <c r="K165" s="60"/>
      <c r="L165" s="60"/>
      <c r="M165" s="60"/>
      <c r="N165" s="60"/>
      <c r="O165" s="61"/>
      <c r="P165" s="60"/>
      <c r="Q165" s="60"/>
      <c r="R165" s="60"/>
      <c r="S165" s="556"/>
      <c r="T165" s="556"/>
      <c r="U165" s="556"/>
      <c r="V165" s="556"/>
      <c r="W165" s="556"/>
      <c r="X165" s="556"/>
      <c r="Y165" s="556"/>
      <c r="Z165" s="556"/>
      <c r="AA165" s="556"/>
      <c r="AB165" s="556"/>
      <c r="AC165" s="556"/>
      <c r="AD165" s="556"/>
      <c r="AE165" s="556"/>
      <c r="AF165" s="556"/>
      <c r="AG165" s="556"/>
      <c r="AH165" s="556"/>
      <c r="AI165" s="556"/>
      <c r="AJ165" s="556"/>
      <c r="AK165" s="556"/>
      <c r="AL165" s="556"/>
      <c r="AM165" s="556"/>
      <c r="AN165" s="556"/>
      <c r="AO165" s="556"/>
    </row>
    <row r="166" spans="1:41">
      <c r="A166" s="556"/>
      <c r="B166" s="60"/>
      <c r="C166" s="60"/>
      <c r="D166" s="61"/>
      <c r="E166" s="60"/>
      <c r="F166" s="60"/>
      <c r="G166" s="60"/>
      <c r="H166" s="61"/>
      <c r="I166" s="60"/>
      <c r="J166" s="60"/>
      <c r="K166" s="60"/>
      <c r="L166" s="60"/>
      <c r="M166" s="60"/>
      <c r="N166" s="60"/>
      <c r="O166" s="61"/>
      <c r="P166" s="60"/>
      <c r="Q166" s="60"/>
      <c r="R166" s="60"/>
      <c r="S166" s="556"/>
      <c r="T166" s="556"/>
      <c r="U166" s="556"/>
      <c r="V166" s="556"/>
      <c r="W166" s="556"/>
      <c r="X166" s="556"/>
      <c r="Y166" s="556"/>
      <c r="Z166" s="556"/>
      <c r="AA166" s="556"/>
      <c r="AB166" s="556"/>
      <c r="AC166" s="556"/>
      <c r="AD166" s="556"/>
      <c r="AE166" s="556"/>
      <c r="AF166" s="556"/>
      <c r="AG166" s="556"/>
      <c r="AH166" s="556"/>
      <c r="AI166" s="556"/>
      <c r="AJ166" s="556"/>
      <c r="AK166" s="556"/>
      <c r="AL166" s="556"/>
      <c r="AM166" s="556"/>
      <c r="AN166" s="556"/>
      <c r="AO166" s="556"/>
    </row>
    <row r="167" spans="1:41">
      <c r="A167" s="556"/>
      <c r="B167" s="60"/>
      <c r="C167" s="60"/>
      <c r="D167" s="61"/>
      <c r="E167" s="60"/>
      <c r="F167" s="60"/>
      <c r="G167" s="60"/>
      <c r="H167" s="61"/>
      <c r="I167" s="60"/>
      <c r="J167" s="60"/>
      <c r="K167" s="60"/>
      <c r="L167" s="60"/>
      <c r="M167" s="60"/>
      <c r="N167" s="60"/>
      <c r="O167" s="61"/>
      <c r="P167" s="60"/>
      <c r="Q167" s="60"/>
      <c r="R167" s="60"/>
      <c r="S167" s="556"/>
      <c r="T167" s="556"/>
      <c r="U167" s="556"/>
      <c r="V167" s="556"/>
      <c r="W167" s="556"/>
      <c r="X167" s="556"/>
      <c r="Y167" s="556"/>
      <c r="Z167" s="556"/>
      <c r="AA167" s="556"/>
      <c r="AB167" s="556"/>
      <c r="AC167" s="556"/>
      <c r="AD167" s="556"/>
      <c r="AE167" s="556"/>
      <c r="AF167" s="556"/>
      <c r="AG167" s="556"/>
      <c r="AH167" s="556"/>
      <c r="AI167" s="556"/>
      <c r="AJ167" s="556"/>
      <c r="AK167" s="556"/>
      <c r="AL167" s="556"/>
      <c r="AM167" s="556"/>
      <c r="AN167" s="556"/>
      <c r="AO167" s="556"/>
    </row>
    <row r="168" spans="1:41">
      <c r="A168" s="556"/>
      <c r="B168" s="60"/>
      <c r="C168" s="60"/>
      <c r="D168" s="61"/>
      <c r="E168" s="60"/>
      <c r="F168" s="60"/>
      <c r="G168" s="60"/>
      <c r="H168" s="61"/>
      <c r="I168" s="60"/>
      <c r="J168" s="60"/>
      <c r="K168" s="60"/>
      <c r="L168" s="60"/>
      <c r="M168" s="60"/>
      <c r="N168" s="60"/>
      <c r="O168" s="61"/>
      <c r="P168" s="60"/>
      <c r="Q168" s="60"/>
      <c r="R168" s="60"/>
      <c r="S168" s="556"/>
      <c r="T168" s="556"/>
      <c r="U168" s="556"/>
      <c r="V168" s="556"/>
      <c r="W168" s="556"/>
      <c r="X168" s="556"/>
      <c r="Y168" s="556"/>
      <c r="Z168" s="556"/>
      <c r="AA168" s="556"/>
      <c r="AB168" s="556"/>
      <c r="AC168" s="556"/>
      <c r="AD168" s="556"/>
      <c r="AE168" s="556"/>
      <c r="AF168" s="556"/>
      <c r="AG168" s="556"/>
      <c r="AH168" s="556"/>
      <c r="AI168" s="556"/>
      <c r="AJ168" s="556"/>
      <c r="AK168" s="556"/>
      <c r="AL168" s="556"/>
      <c r="AM168" s="556"/>
      <c r="AN168" s="556"/>
      <c r="AO168" s="556"/>
    </row>
    <row r="169" spans="1:41">
      <c r="A169" s="556"/>
      <c r="B169" s="60"/>
      <c r="C169" s="60"/>
      <c r="D169" s="61"/>
      <c r="E169" s="60"/>
      <c r="F169" s="60"/>
      <c r="G169" s="60"/>
      <c r="H169" s="61"/>
      <c r="I169" s="60"/>
      <c r="J169" s="60"/>
      <c r="K169" s="60"/>
      <c r="L169" s="60"/>
      <c r="M169" s="60"/>
      <c r="N169" s="60"/>
      <c r="O169" s="61"/>
      <c r="P169" s="60"/>
      <c r="Q169" s="60"/>
      <c r="R169" s="60"/>
      <c r="S169" s="556"/>
      <c r="T169" s="556"/>
      <c r="U169" s="556"/>
      <c r="V169" s="556"/>
      <c r="W169" s="556"/>
      <c r="X169" s="556"/>
      <c r="Y169" s="556"/>
      <c r="Z169" s="556"/>
      <c r="AA169" s="556"/>
      <c r="AB169" s="556"/>
      <c r="AC169" s="556"/>
      <c r="AD169" s="556"/>
      <c r="AE169" s="556"/>
      <c r="AF169" s="556"/>
      <c r="AG169" s="556"/>
      <c r="AH169" s="556"/>
      <c r="AI169" s="556"/>
      <c r="AJ169" s="556"/>
      <c r="AK169" s="556"/>
      <c r="AL169" s="556"/>
      <c r="AM169" s="556"/>
      <c r="AN169" s="556"/>
      <c r="AO169" s="556"/>
    </row>
    <row r="170" spans="1:41">
      <c r="A170" s="556"/>
      <c r="B170" s="60"/>
      <c r="C170" s="60"/>
      <c r="D170" s="61"/>
      <c r="E170" s="60"/>
      <c r="F170" s="60"/>
      <c r="G170" s="60"/>
      <c r="H170" s="61"/>
      <c r="I170" s="60"/>
      <c r="J170" s="60"/>
      <c r="K170" s="60"/>
      <c r="L170" s="60"/>
      <c r="M170" s="60"/>
      <c r="N170" s="60"/>
      <c r="O170" s="61"/>
      <c r="P170" s="60"/>
      <c r="Q170" s="60"/>
      <c r="R170" s="60"/>
      <c r="S170" s="556"/>
      <c r="T170" s="556"/>
      <c r="U170" s="556"/>
      <c r="V170" s="556"/>
      <c r="W170" s="556"/>
      <c r="X170" s="556"/>
      <c r="Y170" s="556"/>
      <c r="Z170" s="556"/>
      <c r="AA170" s="556"/>
      <c r="AB170" s="556"/>
      <c r="AC170" s="556"/>
      <c r="AD170" s="556"/>
      <c r="AE170" s="556"/>
      <c r="AF170" s="556"/>
      <c r="AG170" s="556"/>
      <c r="AH170" s="556"/>
      <c r="AI170" s="556"/>
      <c r="AJ170" s="556"/>
      <c r="AK170" s="556"/>
      <c r="AL170" s="556"/>
      <c r="AM170" s="556"/>
      <c r="AN170" s="556"/>
      <c r="AO170" s="556"/>
    </row>
    <row r="171" spans="1:41">
      <c r="A171" s="556"/>
      <c r="B171" s="60"/>
      <c r="C171" s="60"/>
      <c r="D171" s="61"/>
      <c r="E171" s="60"/>
      <c r="F171" s="60"/>
      <c r="G171" s="60"/>
      <c r="H171" s="61"/>
      <c r="I171" s="60"/>
      <c r="J171" s="60"/>
      <c r="K171" s="60"/>
      <c r="L171" s="60"/>
      <c r="M171" s="60"/>
      <c r="N171" s="60"/>
      <c r="O171" s="61"/>
      <c r="P171" s="60"/>
      <c r="Q171" s="60"/>
      <c r="R171" s="60"/>
      <c r="S171" s="556"/>
      <c r="T171" s="556"/>
      <c r="U171" s="556"/>
      <c r="V171" s="556"/>
      <c r="W171" s="556"/>
      <c r="X171" s="556"/>
      <c r="Y171" s="556"/>
      <c r="Z171" s="556"/>
      <c r="AA171" s="556"/>
      <c r="AB171" s="556"/>
      <c r="AC171" s="556"/>
      <c r="AD171" s="556"/>
      <c r="AE171" s="556"/>
      <c r="AF171" s="556"/>
      <c r="AG171" s="556"/>
      <c r="AH171" s="556"/>
      <c r="AI171" s="556"/>
      <c r="AJ171" s="556"/>
      <c r="AK171" s="556"/>
      <c r="AL171" s="556"/>
      <c r="AM171" s="556"/>
      <c r="AN171" s="556"/>
      <c r="AO171" s="556"/>
    </row>
    <row r="172" spans="1:41">
      <c r="A172" s="556"/>
      <c r="B172" s="60"/>
      <c r="C172" s="60"/>
      <c r="D172" s="61"/>
      <c r="E172" s="60"/>
      <c r="F172" s="60"/>
      <c r="G172" s="60"/>
      <c r="H172" s="61"/>
      <c r="I172" s="60"/>
      <c r="J172" s="60"/>
      <c r="K172" s="60"/>
      <c r="L172" s="60"/>
      <c r="M172" s="60"/>
      <c r="N172" s="60"/>
      <c r="O172" s="61"/>
      <c r="P172" s="60"/>
      <c r="Q172" s="60"/>
      <c r="R172" s="60"/>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row>
    <row r="173" spans="1:41">
      <c r="A173" s="556"/>
      <c r="B173" s="60"/>
      <c r="C173" s="60"/>
      <c r="D173" s="61"/>
      <c r="E173" s="60"/>
      <c r="F173" s="60"/>
      <c r="G173" s="60"/>
      <c r="H173" s="61"/>
      <c r="I173" s="60"/>
      <c r="J173" s="60"/>
      <c r="K173" s="60"/>
      <c r="L173" s="60"/>
      <c r="M173" s="60"/>
      <c r="N173" s="60"/>
      <c r="O173" s="61"/>
      <c r="P173" s="60"/>
      <c r="Q173" s="60"/>
      <c r="R173" s="60"/>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row>
    <row r="174" spans="1:41">
      <c r="A174" s="556"/>
      <c r="B174" s="60"/>
      <c r="C174" s="60"/>
      <c r="D174" s="61"/>
      <c r="E174" s="60"/>
      <c r="F174" s="60"/>
      <c r="G174" s="60"/>
      <c r="H174" s="61"/>
      <c r="I174" s="60"/>
      <c r="J174" s="60"/>
      <c r="K174" s="60"/>
      <c r="L174" s="60"/>
      <c r="M174" s="60"/>
      <c r="N174" s="60"/>
      <c r="O174" s="61"/>
      <c r="P174" s="60"/>
      <c r="Q174" s="60"/>
      <c r="R174" s="60"/>
      <c r="S174" s="556"/>
      <c r="T174" s="556"/>
      <c r="U174" s="556"/>
      <c r="V174" s="556"/>
      <c r="W174" s="556"/>
      <c r="X174" s="556"/>
      <c r="Y174" s="556"/>
      <c r="Z174" s="556"/>
      <c r="AA174" s="556"/>
      <c r="AB174" s="556"/>
      <c r="AC174" s="556"/>
      <c r="AD174" s="556"/>
      <c r="AE174" s="556"/>
      <c r="AF174" s="556"/>
      <c r="AG174" s="556"/>
      <c r="AH174" s="556"/>
      <c r="AI174" s="556"/>
      <c r="AJ174" s="556"/>
      <c r="AK174" s="556"/>
      <c r="AL174" s="556"/>
      <c r="AM174" s="556"/>
      <c r="AN174" s="556"/>
      <c r="AO174" s="556"/>
    </row>
    <row r="175" spans="1:41">
      <c r="A175" s="556"/>
      <c r="B175" s="60"/>
      <c r="C175" s="60"/>
      <c r="D175" s="61"/>
      <c r="E175" s="60"/>
      <c r="F175" s="60"/>
      <c r="G175" s="60"/>
      <c r="H175" s="61"/>
      <c r="I175" s="60"/>
      <c r="J175" s="60"/>
      <c r="K175" s="60"/>
      <c r="L175" s="60"/>
      <c r="M175" s="60"/>
      <c r="N175" s="60"/>
      <c r="O175" s="61"/>
      <c r="P175" s="60"/>
      <c r="Q175" s="60"/>
      <c r="R175" s="60"/>
      <c r="S175" s="556"/>
      <c r="T175" s="556"/>
      <c r="U175" s="556"/>
      <c r="V175" s="556"/>
      <c r="W175" s="556"/>
      <c r="X175" s="556"/>
      <c r="Y175" s="556"/>
      <c r="Z175" s="556"/>
      <c r="AA175" s="556"/>
      <c r="AB175" s="556"/>
      <c r="AC175" s="556"/>
      <c r="AD175" s="556"/>
      <c r="AE175" s="556"/>
      <c r="AF175" s="556"/>
      <c r="AG175" s="556"/>
      <c r="AH175" s="556"/>
      <c r="AI175" s="556"/>
      <c r="AJ175" s="556"/>
      <c r="AK175" s="556"/>
      <c r="AL175" s="556"/>
      <c r="AM175" s="556"/>
      <c r="AN175" s="556"/>
      <c r="AO175" s="556"/>
    </row>
    <row r="176" spans="1:41">
      <c r="A176" s="556"/>
      <c r="B176" s="60"/>
      <c r="C176" s="60"/>
      <c r="D176" s="61"/>
      <c r="E176" s="60"/>
      <c r="F176" s="60"/>
      <c r="G176" s="60"/>
      <c r="H176" s="61"/>
      <c r="I176" s="60"/>
      <c r="J176" s="60"/>
      <c r="K176" s="60"/>
      <c r="L176" s="60"/>
      <c r="M176" s="60"/>
      <c r="N176" s="60"/>
      <c r="O176" s="61"/>
      <c r="P176" s="60"/>
      <c r="Q176" s="60"/>
      <c r="R176" s="60"/>
      <c r="S176" s="556"/>
      <c r="T176" s="556"/>
      <c r="U176" s="556"/>
      <c r="V176" s="556"/>
      <c r="W176" s="556"/>
      <c r="X176" s="556"/>
      <c r="Y176" s="556"/>
      <c r="Z176" s="556"/>
      <c r="AA176" s="556"/>
      <c r="AB176" s="556"/>
      <c r="AC176" s="556"/>
      <c r="AD176" s="556"/>
      <c r="AE176" s="556"/>
      <c r="AF176" s="556"/>
      <c r="AG176" s="556"/>
      <c r="AH176" s="556"/>
      <c r="AI176" s="556"/>
      <c r="AJ176" s="556"/>
      <c r="AK176" s="556"/>
      <c r="AL176" s="556"/>
      <c r="AM176" s="556"/>
      <c r="AN176" s="556"/>
      <c r="AO176" s="556"/>
    </row>
    <row r="177" spans="1:41">
      <c r="A177" s="556"/>
      <c r="B177" s="60"/>
      <c r="C177" s="60"/>
      <c r="D177" s="61"/>
      <c r="E177" s="60"/>
      <c r="F177" s="60"/>
      <c r="G177" s="60"/>
      <c r="H177" s="61"/>
      <c r="I177" s="60"/>
      <c r="J177" s="60"/>
      <c r="K177" s="60"/>
      <c r="L177" s="60"/>
      <c r="M177" s="60"/>
      <c r="N177" s="60"/>
      <c r="O177" s="61"/>
      <c r="P177" s="60"/>
      <c r="Q177" s="60"/>
      <c r="R177" s="60"/>
      <c r="S177" s="556"/>
      <c r="T177" s="556"/>
      <c r="U177" s="556"/>
      <c r="V177" s="556"/>
      <c r="W177" s="556"/>
      <c r="X177" s="556"/>
      <c r="Y177" s="556"/>
      <c r="Z177" s="556"/>
      <c r="AA177" s="556"/>
      <c r="AB177" s="556"/>
      <c r="AC177" s="556"/>
      <c r="AD177" s="556"/>
      <c r="AE177" s="556"/>
      <c r="AF177" s="556"/>
      <c r="AG177" s="556"/>
      <c r="AH177" s="556"/>
      <c r="AI177" s="556"/>
      <c r="AJ177" s="556"/>
      <c r="AK177" s="556"/>
      <c r="AL177" s="556"/>
      <c r="AM177" s="556"/>
      <c r="AN177" s="556"/>
      <c r="AO177" s="556"/>
    </row>
    <row r="178" spans="1:41">
      <c r="A178" s="556"/>
      <c r="B178" s="60"/>
      <c r="C178" s="60"/>
      <c r="D178" s="61"/>
      <c r="E178" s="60"/>
      <c r="F178" s="60"/>
      <c r="G178" s="60"/>
      <c r="H178" s="61"/>
      <c r="I178" s="60"/>
      <c r="J178" s="60"/>
      <c r="K178" s="60"/>
      <c r="L178" s="60"/>
      <c r="M178" s="60"/>
      <c r="N178" s="60"/>
      <c r="O178" s="61"/>
      <c r="P178" s="60"/>
      <c r="Q178" s="60"/>
      <c r="R178" s="60"/>
      <c r="S178" s="556"/>
      <c r="T178" s="556"/>
      <c r="U178" s="556"/>
      <c r="V178" s="556"/>
      <c r="W178" s="556"/>
      <c r="X178" s="556"/>
      <c r="Y178" s="556"/>
      <c r="Z178" s="556"/>
      <c r="AA178" s="556"/>
      <c r="AB178" s="556"/>
      <c r="AC178" s="556"/>
      <c r="AD178" s="556"/>
      <c r="AE178" s="556"/>
      <c r="AF178" s="556"/>
      <c r="AG178" s="556"/>
      <c r="AH178" s="556"/>
      <c r="AI178" s="556"/>
      <c r="AJ178" s="556"/>
      <c r="AK178" s="556"/>
      <c r="AL178" s="556"/>
      <c r="AM178" s="556"/>
      <c r="AN178" s="556"/>
      <c r="AO178" s="556"/>
    </row>
    <row r="179" spans="1:41">
      <c r="A179" s="556"/>
      <c r="B179" s="60"/>
      <c r="C179" s="60"/>
      <c r="D179" s="61"/>
      <c r="E179" s="60"/>
      <c r="F179" s="60"/>
      <c r="G179" s="60"/>
      <c r="H179" s="61"/>
      <c r="I179" s="60"/>
      <c r="J179" s="60"/>
      <c r="K179" s="60"/>
      <c r="L179" s="60"/>
      <c r="M179" s="60"/>
      <c r="N179" s="60"/>
      <c r="O179" s="61"/>
      <c r="P179" s="60"/>
      <c r="Q179" s="60"/>
      <c r="R179" s="60"/>
      <c r="S179" s="556"/>
      <c r="T179" s="556"/>
      <c r="U179" s="556"/>
      <c r="V179" s="556"/>
      <c r="W179" s="556"/>
      <c r="X179" s="556"/>
      <c r="Y179" s="556"/>
      <c r="Z179" s="556"/>
      <c r="AA179" s="556"/>
      <c r="AB179" s="556"/>
      <c r="AC179" s="556"/>
      <c r="AD179" s="556"/>
      <c r="AE179" s="556"/>
      <c r="AF179" s="556"/>
      <c r="AG179" s="556"/>
      <c r="AH179" s="556"/>
      <c r="AI179" s="556"/>
      <c r="AJ179" s="556"/>
      <c r="AK179" s="556"/>
      <c r="AL179" s="556"/>
      <c r="AM179" s="556"/>
      <c r="AN179" s="556"/>
      <c r="AO179" s="556"/>
    </row>
    <row r="180" spans="1:41">
      <c r="A180" s="556"/>
      <c r="B180" s="60"/>
      <c r="C180" s="60"/>
      <c r="D180" s="61"/>
      <c r="E180" s="60"/>
      <c r="F180" s="60"/>
      <c r="G180" s="60"/>
      <c r="H180" s="61"/>
      <c r="I180" s="60"/>
      <c r="J180" s="60"/>
      <c r="K180" s="60"/>
      <c r="L180" s="60"/>
      <c r="M180" s="60"/>
      <c r="N180" s="60"/>
      <c r="O180" s="61"/>
      <c r="P180" s="60"/>
      <c r="Q180" s="60"/>
      <c r="R180" s="60"/>
      <c r="S180" s="556"/>
      <c r="T180" s="556"/>
      <c r="U180" s="556"/>
      <c r="V180" s="556"/>
      <c r="W180" s="556"/>
      <c r="X180" s="556"/>
      <c r="Y180" s="556"/>
      <c r="Z180" s="556"/>
      <c r="AA180" s="556"/>
      <c r="AB180" s="556"/>
      <c r="AC180" s="556"/>
      <c r="AD180" s="556"/>
      <c r="AE180" s="556"/>
      <c r="AF180" s="556"/>
      <c r="AG180" s="556"/>
      <c r="AH180" s="556"/>
      <c r="AI180" s="556"/>
      <c r="AJ180" s="556"/>
      <c r="AK180" s="556"/>
      <c r="AL180" s="556"/>
      <c r="AM180" s="556"/>
      <c r="AN180" s="556"/>
      <c r="AO180" s="556"/>
    </row>
    <row r="181" spans="1:41">
      <c r="A181" s="556"/>
      <c r="B181" s="60"/>
      <c r="C181" s="60"/>
      <c r="D181" s="61"/>
      <c r="E181" s="60"/>
      <c r="F181" s="60"/>
      <c r="G181" s="60"/>
      <c r="H181" s="61"/>
      <c r="I181" s="60"/>
      <c r="J181" s="60"/>
      <c r="K181" s="60"/>
      <c r="L181" s="60"/>
      <c r="M181" s="60"/>
      <c r="N181" s="60"/>
      <c r="O181" s="61"/>
      <c r="P181" s="60"/>
      <c r="Q181" s="60"/>
      <c r="R181" s="60"/>
      <c r="S181" s="556"/>
      <c r="T181" s="556"/>
      <c r="U181" s="556"/>
      <c r="V181" s="556"/>
      <c r="W181" s="556"/>
      <c r="X181" s="556"/>
      <c r="Y181" s="556"/>
      <c r="Z181" s="556"/>
      <c r="AA181" s="556"/>
      <c r="AB181" s="556"/>
      <c r="AC181" s="556"/>
      <c r="AD181" s="556"/>
      <c r="AE181" s="556"/>
      <c r="AF181" s="556"/>
      <c r="AG181" s="556"/>
      <c r="AH181" s="556"/>
      <c r="AI181" s="556"/>
      <c r="AJ181" s="556"/>
      <c r="AK181" s="556"/>
      <c r="AL181" s="556"/>
      <c r="AM181" s="556"/>
      <c r="AN181" s="556"/>
      <c r="AO181" s="556"/>
    </row>
    <row r="182" spans="1:41">
      <c r="A182" s="556"/>
      <c r="B182" s="60"/>
      <c r="C182" s="60"/>
      <c r="D182" s="61"/>
      <c r="E182" s="60"/>
      <c r="F182" s="60"/>
      <c r="G182" s="60"/>
      <c r="H182" s="61"/>
      <c r="I182" s="60"/>
      <c r="J182" s="60"/>
      <c r="K182" s="60"/>
      <c r="L182" s="60"/>
      <c r="M182" s="60"/>
      <c r="N182" s="60"/>
      <c r="O182" s="61"/>
      <c r="P182" s="60"/>
      <c r="Q182" s="60"/>
      <c r="R182" s="60"/>
      <c r="S182" s="556"/>
      <c r="T182" s="556"/>
      <c r="U182" s="556"/>
      <c r="V182" s="556"/>
      <c r="W182" s="556"/>
      <c r="X182" s="556"/>
      <c r="Y182" s="556"/>
      <c r="Z182" s="556"/>
      <c r="AA182" s="556"/>
      <c r="AB182" s="556"/>
      <c r="AC182" s="556"/>
      <c r="AD182" s="556"/>
      <c r="AE182" s="556"/>
      <c r="AF182" s="556"/>
      <c r="AG182" s="556"/>
      <c r="AH182" s="556"/>
      <c r="AI182" s="556"/>
      <c r="AJ182" s="556"/>
      <c r="AK182" s="556"/>
      <c r="AL182" s="556"/>
      <c r="AM182" s="556"/>
      <c r="AN182" s="556"/>
      <c r="AO182" s="556"/>
    </row>
    <row r="183" spans="1:41">
      <c r="A183" s="556"/>
      <c r="B183" s="60"/>
      <c r="C183" s="60"/>
      <c r="D183" s="61"/>
      <c r="E183" s="60"/>
      <c r="F183" s="60"/>
      <c r="G183" s="60"/>
      <c r="H183" s="61"/>
      <c r="I183" s="60"/>
      <c r="J183" s="60"/>
      <c r="K183" s="60"/>
      <c r="L183" s="60"/>
      <c r="M183" s="60"/>
      <c r="N183" s="60"/>
      <c r="O183" s="61"/>
      <c r="P183" s="60"/>
      <c r="Q183" s="60"/>
      <c r="R183" s="60"/>
      <c r="S183" s="556"/>
      <c r="T183" s="556"/>
      <c r="U183" s="556"/>
      <c r="V183" s="556"/>
      <c r="W183" s="556"/>
      <c r="X183" s="556"/>
      <c r="Y183" s="556"/>
      <c r="Z183" s="556"/>
      <c r="AA183" s="556"/>
      <c r="AB183" s="556"/>
      <c r="AC183" s="556"/>
      <c r="AD183" s="556"/>
      <c r="AE183" s="556"/>
      <c r="AF183" s="556"/>
      <c r="AG183" s="556"/>
      <c r="AH183" s="556"/>
      <c r="AI183" s="556"/>
      <c r="AJ183" s="556"/>
      <c r="AK183" s="556"/>
      <c r="AL183" s="556"/>
      <c r="AM183" s="556"/>
      <c r="AN183" s="556"/>
      <c r="AO183" s="556"/>
    </row>
    <row r="184" spans="1:41">
      <c r="A184" s="556"/>
      <c r="B184" s="60"/>
      <c r="C184" s="60"/>
      <c r="D184" s="61"/>
      <c r="E184" s="60"/>
      <c r="F184" s="60"/>
      <c r="G184" s="60"/>
      <c r="H184" s="61"/>
      <c r="I184" s="60"/>
      <c r="J184" s="60"/>
      <c r="K184" s="60"/>
      <c r="L184" s="60"/>
      <c r="M184" s="60"/>
      <c r="N184" s="60"/>
      <c r="O184" s="61"/>
      <c r="P184" s="60"/>
      <c r="Q184" s="60"/>
      <c r="R184" s="60"/>
      <c r="S184" s="556"/>
      <c r="T184" s="556"/>
      <c r="U184" s="556"/>
      <c r="V184" s="556"/>
      <c r="W184" s="556"/>
      <c r="X184" s="556"/>
      <c r="Y184" s="556"/>
      <c r="Z184" s="556"/>
      <c r="AA184" s="556"/>
      <c r="AB184" s="556"/>
      <c r="AC184" s="556"/>
      <c r="AD184" s="556"/>
      <c r="AE184" s="556"/>
      <c r="AF184" s="556"/>
      <c r="AG184" s="556"/>
      <c r="AH184" s="556"/>
      <c r="AI184" s="556"/>
      <c r="AJ184" s="556"/>
      <c r="AK184" s="556"/>
      <c r="AL184" s="556"/>
      <c r="AM184" s="556"/>
      <c r="AN184" s="556"/>
      <c r="AO184" s="556"/>
    </row>
    <row r="185" spans="1:41">
      <c r="A185" s="556"/>
      <c r="B185" s="60"/>
      <c r="C185" s="60"/>
      <c r="D185" s="61"/>
      <c r="E185" s="60"/>
      <c r="F185" s="60"/>
      <c r="G185" s="60"/>
      <c r="H185" s="61"/>
      <c r="I185" s="60"/>
      <c r="J185" s="60"/>
      <c r="K185" s="60"/>
      <c r="L185" s="60"/>
      <c r="M185" s="60"/>
      <c r="N185" s="60"/>
      <c r="O185" s="61"/>
      <c r="P185" s="60"/>
      <c r="Q185" s="60"/>
      <c r="R185" s="60"/>
      <c r="S185" s="556"/>
      <c r="T185" s="556"/>
      <c r="U185" s="556"/>
      <c r="V185" s="556"/>
      <c r="W185" s="556"/>
      <c r="X185" s="556"/>
      <c r="Y185" s="556"/>
      <c r="Z185" s="556"/>
      <c r="AA185" s="556"/>
      <c r="AB185" s="556"/>
      <c r="AC185" s="556"/>
      <c r="AD185" s="556"/>
      <c r="AE185" s="556"/>
      <c r="AF185" s="556"/>
      <c r="AG185" s="556"/>
      <c r="AH185" s="556"/>
      <c r="AI185" s="556"/>
      <c r="AJ185" s="556"/>
      <c r="AK185" s="556"/>
      <c r="AL185" s="556"/>
      <c r="AM185" s="556"/>
      <c r="AN185" s="556"/>
      <c r="AO185" s="556"/>
    </row>
    <row r="186" spans="1:41">
      <c r="A186" s="556"/>
      <c r="B186" s="60"/>
      <c r="C186" s="60"/>
      <c r="D186" s="61"/>
      <c r="E186" s="60"/>
      <c r="F186" s="60"/>
      <c r="G186" s="60"/>
      <c r="H186" s="61"/>
      <c r="I186" s="60"/>
      <c r="J186" s="60"/>
      <c r="K186" s="60"/>
      <c r="L186" s="60"/>
      <c r="M186" s="60"/>
      <c r="N186" s="60"/>
      <c r="O186" s="61"/>
      <c r="P186" s="60"/>
      <c r="Q186" s="60"/>
      <c r="R186" s="60"/>
      <c r="S186" s="556"/>
      <c r="T186" s="556"/>
      <c r="U186" s="556"/>
      <c r="V186" s="556"/>
      <c r="W186" s="556"/>
      <c r="X186" s="556"/>
      <c r="Y186" s="556"/>
      <c r="Z186" s="556"/>
      <c r="AA186" s="556"/>
      <c r="AB186" s="556"/>
      <c r="AC186" s="556"/>
      <c r="AD186" s="556"/>
      <c r="AE186" s="556"/>
      <c r="AF186" s="556"/>
      <c r="AG186" s="556"/>
      <c r="AH186" s="556"/>
      <c r="AI186" s="556"/>
      <c r="AJ186" s="556"/>
      <c r="AK186" s="556"/>
      <c r="AL186" s="556"/>
      <c r="AM186" s="556"/>
      <c r="AN186" s="556"/>
      <c r="AO186" s="556"/>
    </row>
    <row r="187" spans="1:41">
      <c r="A187" s="556"/>
      <c r="B187" s="60"/>
      <c r="C187" s="60"/>
      <c r="D187" s="61"/>
      <c r="E187" s="60"/>
      <c r="F187" s="60"/>
      <c r="G187" s="60"/>
      <c r="H187" s="61"/>
      <c r="I187" s="60"/>
      <c r="J187" s="60"/>
      <c r="K187" s="60"/>
      <c r="L187" s="60"/>
      <c r="M187" s="60"/>
      <c r="N187" s="60"/>
      <c r="O187" s="61"/>
      <c r="P187" s="60"/>
      <c r="Q187" s="60"/>
      <c r="R187" s="60"/>
      <c r="S187" s="556"/>
      <c r="T187" s="556"/>
      <c r="U187" s="556"/>
      <c r="V187" s="556"/>
      <c r="W187" s="556"/>
      <c r="X187" s="556"/>
      <c r="Y187" s="556"/>
      <c r="Z187" s="556"/>
      <c r="AA187" s="556"/>
      <c r="AB187" s="556"/>
      <c r="AC187" s="556"/>
      <c r="AD187" s="556"/>
      <c r="AE187" s="556"/>
      <c r="AF187" s="556"/>
      <c r="AG187" s="556"/>
      <c r="AH187" s="556"/>
      <c r="AI187" s="556"/>
      <c r="AJ187" s="556"/>
      <c r="AK187" s="556"/>
      <c r="AL187" s="556"/>
      <c r="AM187" s="556"/>
      <c r="AN187" s="556"/>
      <c r="AO187" s="556"/>
    </row>
    <row r="188" spans="1:41">
      <c r="A188" s="556"/>
      <c r="B188" s="60"/>
      <c r="C188" s="60"/>
      <c r="D188" s="61"/>
      <c r="E188" s="60"/>
      <c r="F188" s="60"/>
      <c r="G188" s="60"/>
      <c r="H188" s="61"/>
      <c r="I188" s="60"/>
      <c r="J188" s="60"/>
      <c r="K188" s="60"/>
      <c r="L188" s="60"/>
      <c r="M188" s="60"/>
      <c r="N188" s="60"/>
      <c r="O188" s="61"/>
      <c r="P188" s="60"/>
      <c r="Q188" s="60"/>
      <c r="R188" s="60"/>
      <c r="S188" s="556"/>
      <c r="T188" s="556"/>
      <c r="U188" s="556"/>
      <c r="V188" s="556"/>
      <c r="W188" s="556"/>
      <c r="X188" s="556"/>
      <c r="Y188" s="556"/>
      <c r="Z188" s="556"/>
      <c r="AA188" s="556"/>
      <c r="AB188" s="556"/>
      <c r="AC188" s="556"/>
      <c r="AD188" s="556"/>
      <c r="AE188" s="556"/>
      <c r="AF188" s="556"/>
      <c r="AG188" s="556"/>
      <c r="AH188" s="556"/>
      <c r="AI188" s="556"/>
      <c r="AJ188" s="556"/>
      <c r="AK188" s="556"/>
      <c r="AL188" s="556"/>
      <c r="AM188" s="556"/>
      <c r="AN188" s="556"/>
      <c r="AO188" s="556"/>
    </row>
  </sheetData>
  <pageMargins left="0.2" right="0.21" top="0.68" bottom="0.45" header="0.5" footer="0.23"/>
  <pageSetup scale="50" orientation="landscape" r:id="rId1"/>
  <headerFooter alignWithMargins="0">
    <oddFooter>&amp;R&amp;16&amp;P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187"/>
  <sheetViews>
    <sheetView workbookViewId="0"/>
  </sheetViews>
  <sheetFormatPr defaultRowHeight="15.75"/>
  <cols>
    <col min="1" max="1" width="32.75" customWidth="1"/>
    <col min="2" max="2" width="13.625" style="12" customWidth="1"/>
    <col min="3" max="4" width="13.75" style="13" customWidth="1"/>
    <col min="5" max="5" width="13.75" style="12" customWidth="1"/>
    <col min="6" max="6" width="13.75" style="13" customWidth="1"/>
    <col min="7" max="8" width="13.75" style="12" customWidth="1"/>
    <col min="9" max="9" width="13.75" style="13" customWidth="1"/>
    <col min="10" max="12" width="13.75" style="12" customWidth="1"/>
    <col min="13" max="13" width="13.75" style="13" customWidth="1"/>
    <col min="14" max="14" width="13.75" style="12" customWidth="1"/>
    <col min="15" max="15" width="13.75" style="13" customWidth="1"/>
    <col min="16" max="16" width="13.75" style="12" customWidth="1"/>
    <col min="17" max="17" width="13.75" style="13" customWidth="1"/>
    <col min="18" max="19" width="13.75" style="12" customWidth="1"/>
    <col min="20" max="20" width="14.375" style="12" customWidth="1"/>
    <col min="21" max="25" width="14.375" customWidth="1"/>
    <col min="26" max="256" width="11" customWidth="1"/>
  </cols>
  <sheetData>
    <row r="1" spans="1:43">
      <c r="A1" s="114" t="s">
        <v>163</v>
      </c>
      <c r="B1" s="37"/>
      <c r="C1" s="38"/>
      <c r="D1" s="38"/>
      <c r="E1" s="37"/>
      <c r="F1" s="38"/>
      <c r="G1" s="37"/>
      <c r="H1" s="37"/>
      <c r="I1" s="38"/>
      <c r="J1" s="37"/>
      <c r="K1" s="37"/>
      <c r="L1" s="37"/>
      <c r="M1" s="38"/>
      <c r="N1" s="37"/>
      <c r="O1" s="38"/>
      <c r="P1" s="37"/>
      <c r="Q1" s="38"/>
      <c r="R1" s="37"/>
    </row>
    <row r="2" spans="1:43">
      <c r="A2" s="114" t="s">
        <v>360</v>
      </c>
      <c r="B2" s="37"/>
      <c r="C2" s="38"/>
      <c r="D2" s="38"/>
      <c r="E2" s="37"/>
      <c r="F2" s="38"/>
      <c r="G2" s="37"/>
      <c r="H2" s="37"/>
      <c r="I2" s="38"/>
      <c r="J2" s="37"/>
      <c r="K2" s="37"/>
      <c r="L2" s="37"/>
      <c r="M2" s="38"/>
      <c r="N2" s="37"/>
      <c r="O2" s="38"/>
      <c r="P2" s="37"/>
      <c r="Q2" s="38"/>
      <c r="R2" s="37"/>
    </row>
    <row r="3" spans="1:43">
      <c r="A3" s="114" t="s">
        <v>403</v>
      </c>
      <c r="B3" s="37"/>
      <c r="C3" s="38"/>
      <c r="D3" s="38"/>
      <c r="E3" s="37"/>
      <c r="F3" s="38"/>
      <c r="G3" s="37"/>
      <c r="H3" s="37"/>
      <c r="I3" s="38"/>
      <c r="J3" s="37"/>
      <c r="K3" s="37"/>
      <c r="L3" s="37"/>
      <c r="M3" s="38"/>
      <c r="N3" s="37"/>
      <c r="O3" s="38"/>
      <c r="P3" s="37"/>
      <c r="Q3" s="38"/>
      <c r="R3" s="37"/>
    </row>
    <row r="4" spans="1:43">
      <c r="A4" s="114" t="s">
        <v>254</v>
      </c>
      <c r="B4" s="37"/>
      <c r="C4" s="38"/>
      <c r="D4" s="38"/>
      <c r="E4" s="37"/>
      <c r="F4" s="38"/>
      <c r="G4" s="37"/>
      <c r="H4" s="37"/>
      <c r="I4" s="38"/>
      <c r="J4" s="37"/>
      <c r="K4" s="37"/>
      <c r="L4" s="37"/>
      <c r="M4" s="38"/>
      <c r="N4" s="37"/>
      <c r="O4" s="38"/>
      <c r="P4" s="37"/>
      <c r="Q4" s="38"/>
      <c r="R4" s="37"/>
    </row>
    <row r="5" spans="1:43">
      <c r="A5" s="114" t="s">
        <v>179</v>
      </c>
      <c r="B5" s="37"/>
      <c r="C5" s="38"/>
      <c r="D5" s="38"/>
      <c r="E5" s="37"/>
      <c r="F5" s="38"/>
      <c r="G5" s="37"/>
      <c r="H5" s="37"/>
      <c r="I5" s="38"/>
      <c r="J5" s="37"/>
      <c r="K5" s="37"/>
      <c r="L5" s="37"/>
      <c r="M5" s="38"/>
      <c r="N5" s="37"/>
      <c r="O5" s="38"/>
      <c r="P5" s="37"/>
      <c r="Q5" s="38"/>
      <c r="R5" s="37"/>
    </row>
    <row r="6" spans="1:43">
      <c r="A6" s="1"/>
      <c r="B6" s="60"/>
      <c r="C6" s="61"/>
      <c r="D6" s="61"/>
      <c r="E6" s="60"/>
      <c r="F6" s="61"/>
      <c r="G6" s="60"/>
      <c r="H6" s="60"/>
      <c r="I6" s="61"/>
      <c r="J6" s="60"/>
      <c r="K6" s="60"/>
      <c r="L6" s="60"/>
      <c r="M6" s="61"/>
      <c r="N6" s="60"/>
      <c r="O6" s="61"/>
      <c r="P6" s="60"/>
      <c r="Q6" s="61"/>
      <c r="R6" s="60"/>
      <c r="S6" s="60"/>
      <c r="T6" s="60"/>
      <c r="U6" s="1"/>
      <c r="V6" s="1"/>
      <c r="W6" s="1"/>
      <c r="X6" s="1"/>
      <c r="Y6" s="1"/>
      <c r="Z6" s="1"/>
      <c r="AA6" s="1"/>
      <c r="AB6" s="1"/>
      <c r="AC6" s="1"/>
      <c r="AD6" s="1"/>
      <c r="AE6" s="1"/>
      <c r="AF6" s="1"/>
      <c r="AG6" s="1"/>
      <c r="AH6" s="1"/>
      <c r="AI6" s="1"/>
      <c r="AJ6" s="1"/>
      <c r="AK6" s="1"/>
      <c r="AL6" s="1"/>
      <c r="AM6" s="1"/>
      <c r="AN6" s="1"/>
      <c r="AO6" s="1"/>
      <c r="AP6" s="1"/>
      <c r="AQ6" s="1"/>
    </row>
    <row r="7" spans="1:43" s="2" customFormat="1" ht="16.5" thickBot="1">
      <c r="A7" s="87"/>
      <c r="B7" s="150" t="s">
        <v>98</v>
      </c>
      <c r="C7" s="150" t="s">
        <v>99</v>
      </c>
      <c r="D7" s="150" t="s">
        <v>126</v>
      </c>
      <c r="E7" s="151" t="s">
        <v>100</v>
      </c>
      <c r="F7" s="151" t="s">
        <v>101</v>
      </c>
      <c r="G7" s="150" t="s">
        <v>102</v>
      </c>
      <c r="H7" s="151" t="s">
        <v>103</v>
      </c>
      <c r="I7" s="151" t="s">
        <v>104</v>
      </c>
      <c r="J7" s="150" t="s">
        <v>105</v>
      </c>
      <c r="K7" s="150" t="s">
        <v>361</v>
      </c>
      <c r="L7" s="297" t="s">
        <v>362</v>
      </c>
      <c r="M7" s="151" t="s">
        <v>107</v>
      </c>
      <c r="N7" s="150" t="s">
        <v>108</v>
      </c>
      <c r="O7" s="298" t="s">
        <v>362</v>
      </c>
      <c r="P7" s="150" t="s">
        <v>109</v>
      </c>
      <c r="Q7" s="151" t="s">
        <v>110</v>
      </c>
      <c r="R7" s="297" t="s">
        <v>362</v>
      </c>
      <c r="S7" s="150" t="s">
        <v>111</v>
      </c>
      <c r="T7" s="68"/>
      <c r="U7" s="87"/>
      <c r="V7" s="87"/>
      <c r="W7" s="87"/>
      <c r="X7" s="87"/>
      <c r="Y7" s="87"/>
      <c r="Z7" s="87"/>
      <c r="AA7" s="87"/>
      <c r="AB7" s="87"/>
      <c r="AC7" s="87"/>
      <c r="AD7" s="87"/>
      <c r="AE7" s="87"/>
      <c r="AF7" s="87"/>
      <c r="AG7" s="87"/>
      <c r="AH7" s="87"/>
      <c r="AI7" s="87"/>
      <c r="AJ7" s="87"/>
      <c r="AK7" s="87"/>
      <c r="AL7" s="87"/>
      <c r="AM7" s="87"/>
      <c r="AN7" s="87"/>
      <c r="AO7" s="87"/>
      <c r="AP7" s="87"/>
      <c r="AQ7" s="87"/>
    </row>
    <row r="8" spans="1:43">
      <c r="A8" s="2" t="s">
        <v>243</v>
      </c>
      <c r="B8" s="1"/>
      <c r="C8" s="1"/>
      <c r="D8" s="1"/>
      <c r="E8" s="1"/>
      <c r="F8" s="1"/>
      <c r="G8" s="1"/>
      <c r="H8" s="1"/>
      <c r="I8" s="1"/>
      <c r="J8" s="1"/>
      <c r="K8" s="1"/>
      <c r="L8" s="83"/>
      <c r="M8" s="1"/>
      <c r="N8" s="1"/>
      <c r="O8" s="83"/>
      <c r="P8" s="1"/>
      <c r="Q8" s="1"/>
      <c r="R8" s="83"/>
      <c r="S8" s="62"/>
      <c r="T8" s="62"/>
      <c r="U8" s="63"/>
      <c r="V8" s="63"/>
      <c r="W8" s="63"/>
      <c r="X8" s="1"/>
      <c r="Y8" s="1"/>
      <c r="Z8" s="1"/>
      <c r="AA8" s="1"/>
      <c r="AB8" s="1"/>
      <c r="AC8" s="1"/>
      <c r="AD8" s="1"/>
      <c r="AE8" s="1"/>
      <c r="AF8" s="1"/>
      <c r="AG8" s="1"/>
      <c r="AH8" s="1"/>
      <c r="AI8" s="1"/>
      <c r="AJ8" s="1"/>
      <c r="AK8" s="1"/>
      <c r="AL8" s="1"/>
      <c r="AM8" s="1"/>
      <c r="AN8" s="1"/>
      <c r="AO8" s="1"/>
      <c r="AP8" s="1"/>
      <c r="AQ8" s="1"/>
    </row>
    <row r="9" spans="1:43">
      <c r="A9" s="1" t="s">
        <v>264</v>
      </c>
      <c r="B9" s="60"/>
      <c r="C9" s="60"/>
      <c r="D9" s="60"/>
      <c r="E9" s="61"/>
      <c r="F9" s="61"/>
      <c r="G9" s="1"/>
      <c r="H9" s="61"/>
      <c r="I9" s="61"/>
      <c r="J9" s="60"/>
      <c r="K9" s="60"/>
      <c r="L9" s="84"/>
      <c r="M9" s="61"/>
      <c r="N9" s="60"/>
      <c r="O9" s="85"/>
      <c r="P9" s="60"/>
      <c r="Q9" s="61"/>
      <c r="R9" s="84"/>
      <c r="S9" s="60"/>
      <c r="T9" s="60"/>
      <c r="U9" s="1"/>
      <c r="V9" s="1"/>
      <c r="W9" s="1"/>
      <c r="X9" s="1"/>
      <c r="Y9" s="1"/>
      <c r="Z9" s="1"/>
      <c r="AA9" s="1"/>
      <c r="AB9" s="1"/>
      <c r="AC9" s="1"/>
      <c r="AD9" s="1"/>
      <c r="AE9" s="1"/>
      <c r="AF9" s="1"/>
      <c r="AG9" s="1"/>
      <c r="AH9" s="1"/>
      <c r="AI9" s="1"/>
      <c r="AJ9" s="1"/>
      <c r="AK9" s="1"/>
      <c r="AL9" s="1"/>
      <c r="AM9" s="1"/>
      <c r="AN9" s="1"/>
      <c r="AO9" s="1"/>
      <c r="AP9" s="1"/>
      <c r="AQ9" s="1"/>
    </row>
    <row r="10" spans="1:43">
      <c r="A10" s="1" t="s">
        <v>265</v>
      </c>
      <c r="B10" s="88">
        <f>+bichvar!L10</f>
        <v>100.2</v>
      </c>
      <c r="C10" s="88">
        <f>+bidcvar!L10</f>
        <v>66853.3</v>
      </c>
      <c r="D10" s="88">
        <f>+'bmhvar '!L10</f>
        <v>4080.4</v>
      </c>
      <c r="E10" s="88">
        <f>+bncvar!L10</f>
        <v>144720</v>
      </c>
      <c r="F10" s="88">
        <f>+bphvar!L10</f>
        <v>43056.1</v>
      </c>
      <c r="G10" s="88">
        <f>+buhvar!L10</f>
        <v>231069</v>
      </c>
      <c r="H10" s="88">
        <f>+promobkvar!L10</f>
        <v>80084</v>
      </c>
      <c r="I10" s="88">
        <f>+socabkvar!L10</f>
        <v>55808</v>
      </c>
      <c r="J10" s="88">
        <f>+sogebkvar!L10</f>
        <v>149457</v>
      </c>
      <c r="K10" s="88">
        <f>+unibkvar!L10</f>
        <v>90508.6</v>
      </c>
      <c r="L10" s="90">
        <f>SUM(B10:K10)</f>
        <v>865736.6</v>
      </c>
      <c r="M10" s="88">
        <f>+capitalbkvar!L10</f>
        <v>41593</v>
      </c>
      <c r="N10" s="88">
        <f>+sgbelvar!L10</f>
        <v>19605.400000000001</v>
      </c>
      <c r="O10" s="139">
        <f>SUM(M10:N10)</f>
        <v>61198.400000000001</v>
      </c>
      <c r="P10" s="88">
        <f>+cbnavar!L10</f>
        <v>10336</v>
      </c>
      <c r="Q10" s="88">
        <f>+scotiavar!L10</f>
        <v>23892</v>
      </c>
      <c r="R10" s="117">
        <f>SUM(P10:Q10)</f>
        <v>34228</v>
      </c>
      <c r="S10" s="91">
        <f>+L10+O10+R10</f>
        <v>961163</v>
      </c>
      <c r="T10" s="60"/>
      <c r="U10" s="1"/>
      <c r="V10" s="1"/>
      <c r="W10" s="1"/>
      <c r="X10" s="1"/>
      <c r="Y10" s="1"/>
      <c r="Z10" s="1"/>
      <c r="AA10" s="1"/>
      <c r="AB10" s="1"/>
      <c r="AC10" s="1"/>
      <c r="AD10" s="1"/>
      <c r="AE10" s="1"/>
      <c r="AF10" s="1"/>
      <c r="AG10" s="1"/>
      <c r="AH10" s="1"/>
      <c r="AI10" s="1"/>
      <c r="AJ10" s="1"/>
      <c r="AK10" s="1"/>
      <c r="AL10" s="1"/>
      <c r="AM10" s="1"/>
      <c r="AN10" s="1"/>
      <c r="AO10" s="1"/>
      <c r="AP10" s="1"/>
      <c r="AQ10" s="1"/>
    </row>
    <row r="11" spans="1:43">
      <c r="A11" s="1" t="s">
        <v>266</v>
      </c>
      <c r="B11" s="88">
        <f>+bichvar!L11</f>
        <v>4411</v>
      </c>
      <c r="C11" s="88">
        <f>+bidcvar!L11</f>
        <v>266574.7</v>
      </c>
      <c r="D11" s="88">
        <f>+'bmhvar '!L11</f>
        <v>1735.9</v>
      </c>
      <c r="E11" s="88">
        <f>+bncvar!L11</f>
        <v>526213</v>
      </c>
      <c r="F11" s="88">
        <f>+bphvar!L11</f>
        <v>112823.3</v>
      </c>
      <c r="G11" s="88">
        <f>+buhvar!L11</f>
        <v>88788</v>
      </c>
      <c r="H11" s="88">
        <f>+promobkvar!L11</f>
        <v>220205</v>
      </c>
      <c r="I11" s="88">
        <f>+socabkvar!L11</f>
        <v>219963.9</v>
      </c>
      <c r="J11" s="88">
        <f>+sogebkvar!L11</f>
        <v>777660</v>
      </c>
      <c r="K11" s="88">
        <f>+unibkvar!L11</f>
        <v>512268.6</v>
      </c>
      <c r="L11" s="90">
        <f>SUM(B11:K11)</f>
        <v>2730643.4</v>
      </c>
      <c r="M11" s="88">
        <f>+capitalbkvar!L11</f>
        <v>39441</v>
      </c>
      <c r="N11" s="88">
        <f>+sgbelvar!L11</f>
        <v>52546</v>
      </c>
      <c r="O11" s="139">
        <f>SUM(M11:N11)</f>
        <v>91987</v>
      </c>
      <c r="P11" s="88">
        <f>+cbnavar!L11</f>
        <v>257814</v>
      </c>
      <c r="Q11" s="88">
        <f>+scotiavar!L11</f>
        <v>178897</v>
      </c>
      <c r="R11" s="117">
        <f>SUM(P11:Q11)</f>
        <v>436711</v>
      </c>
      <c r="S11" s="91">
        <f>+L11+O11+R11</f>
        <v>3259341.4</v>
      </c>
      <c r="T11" s="60"/>
      <c r="U11" s="1"/>
      <c r="V11" s="1"/>
      <c r="W11" s="1"/>
      <c r="X11" s="1"/>
      <c r="Y11" s="1"/>
      <c r="Z11" s="1"/>
      <c r="AA11" s="1"/>
      <c r="AB11" s="1"/>
      <c r="AC11" s="1"/>
      <c r="AD11" s="1"/>
      <c r="AE11" s="1"/>
      <c r="AF11" s="1"/>
      <c r="AG11" s="1"/>
      <c r="AH11" s="1"/>
      <c r="AI11" s="1"/>
      <c r="AJ11" s="1"/>
      <c r="AK11" s="1"/>
      <c r="AL11" s="1"/>
      <c r="AM11" s="1"/>
      <c r="AN11" s="1"/>
      <c r="AO11" s="1"/>
      <c r="AP11" s="1"/>
      <c r="AQ11" s="1"/>
    </row>
    <row r="12" spans="1:43">
      <c r="A12" s="1" t="s">
        <v>267</v>
      </c>
      <c r="B12" s="88">
        <f>+bichvar!L12</f>
        <v>420.5</v>
      </c>
      <c r="C12" s="88">
        <f>+bidcvar!L12</f>
        <v>96504.5</v>
      </c>
      <c r="D12" s="88">
        <f>+'bmhvar '!L12</f>
        <v>4675.5</v>
      </c>
      <c r="E12" s="88">
        <f>+bncvar!L12</f>
        <v>55874</v>
      </c>
      <c r="F12" s="88">
        <f>+bphvar!L12</f>
        <v>33443.199999999997</v>
      </c>
      <c r="G12" s="88">
        <f>+buhvar!L12</f>
        <v>160302</v>
      </c>
      <c r="H12" s="88">
        <f>+promobkvar!L12</f>
        <v>110767</v>
      </c>
      <c r="I12" s="88">
        <f>+socabkvar!L12</f>
        <v>30075</v>
      </c>
      <c r="J12" s="88">
        <f>+sogebkvar!L12</f>
        <v>278981</v>
      </c>
      <c r="K12" s="88">
        <f>+unibkvar!L12</f>
        <v>10541.2</v>
      </c>
      <c r="L12" s="90">
        <f>SUM(B12:K12)</f>
        <v>781583.89999999991</v>
      </c>
      <c r="M12" s="88">
        <f>+capitalbkvar!L12</f>
        <v>21381</v>
      </c>
      <c r="N12" s="88">
        <f>+sgbelvar!L12</f>
        <v>0</v>
      </c>
      <c r="O12" s="139">
        <f>SUM(M12:N12)</f>
        <v>21381</v>
      </c>
      <c r="P12" s="88">
        <f>+cbnavar!L12</f>
        <v>14809</v>
      </c>
      <c r="Q12" s="88">
        <f>+scotiavar!L12</f>
        <v>86871</v>
      </c>
      <c r="R12" s="117">
        <f>SUM(P12:Q12)</f>
        <v>101680</v>
      </c>
      <c r="S12" s="91">
        <f>+L12+O12+R12</f>
        <v>904644.89999999991</v>
      </c>
      <c r="T12" s="60"/>
      <c r="U12" s="1"/>
      <c r="V12" s="1"/>
      <c r="W12" s="1"/>
      <c r="X12" s="1"/>
      <c r="Y12" s="1"/>
      <c r="Z12" s="1"/>
      <c r="AA12" s="1"/>
      <c r="AB12" s="1"/>
      <c r="AC12" s="1"/>
      <c r="AD12" s="1"/>
      <c r="AE12" s="1"/>
      <c r="AF12" s="1"/>
      <c r="AG12" s="1"/>
      <c r="AH12" s="1"/>
      <c r="AI12" s="1"/>
      <c r="AJ12" s="1"/>
      <c r="AK12" s="1"/>
      <c r="AL12" s="1"/>
      <c r="AM12" s="1"/>
      <c r="AN12" s="1"/>
      <c r="AO12" s="1"/>
      <c r="AP12" s="1"/>
      <c r="AQ12" s="1"/>
    </row>
    <row r="13" spans="1:43">
      <c r="A13" s="1" t="s">
        <v>268</v>
      </c>
      <c r="B13" s="88">
        <f>+bichvar!L13</f>
        <v>1500</v>
      </c>
      <c r="C13" s="88">
        <f>+bidcvar!L13</f>
        <v>12006.4</v>
      </c>
      <c r="D13" s="88">
        <f>+'bmhvar '!L13</f>
        <v>14500</v>
      </c>
      <c r="E13" s="88">
        <f>+bncvar!L13</f>
        <v>0</v>
      </c>
      <c r="F13" s="88">
        <f>+bphvar!L13</f>
        <v>0</v>
      </c>
      <c r="G13" s="88">
        <f>+buhvar!L13</f>
        <v>147766</v>
      </c>
      <c r="H13" s="88">
        <f>+promobkvar!L13</f>
        <v>16848</v>
      </c>
      <c r="I13" s="88">
        <f>+socabkvar!L13</f>
        <v>26594.799999999999</v>
      </c>
      <c r="J13" s="88">
        <f>+sogebkvar!L13</f>
        <v>227</v>
      </c>
      <c r="K13" s="88">
        <f>+unibkvar!L13</f>
        <v>10154</v>
      </c>
      <c r="L13" s="90">
        <f>SUM(B13:K13)</f>
        <v>229596.19999999998</v>
      </c>
      <c r="M13" s="88">
        <f>+capitalbkvar!L13</f>
        <v>0</v>
      </c>
      <c r="N13" s="88">
        <f>+sgbelvar!L13</f>
        <v>744.7</v>
      </c>
      <c r="O13" s="139">
        <f>SUM(M13:N13)</f>
        <v>744.7</v>
      </c>
      <c r="P13" s="88">
        <f>+cbnavar!L13</f>
        <v>0</v>
      </c>
      <c r="Q13" s="88">
        <f>+scotiavar!L13</f>
        <v>0</v>
      </c>
      <c r="R13" s="117">
        <f>SUM(P13:Q13)</f>
        <v>0</v>
      </c>
      <c r="S13" s="91">
        <f>+L13+O13+R13</f>
        <v>230340.9</v>
      </c>
      <c r="T13" s="60"/>
      <c r="U13" s="1"/>
      <c r="V13" s="1"/>
      <c r="W13" s="1"/>
      <c r="X13" s="1"/>
      <c r="Y13" s="1"/>
      <c r="Z13" s="1"/>
      <c r="AA13" s="1"/>
      <c r="AB13" s="1"/>
      <c r="AC13" s="1"/>
      <c r="AD13" s="1"/>
      <c r="AE13" s="1"/>
      <c r="AF13" s="1"/>
      <c r="AG13" s="1"/>
      <c r="AH13" s="1"/>
      <c r="AI13" s="1"/>
      <c r="AJ13" s="1"/>
      <c r="AK13" s="1"/>
      <c r="AL13" s="1"/>
      <c r="AM13" s="1"/>
      <c r="AN13" s="1"/>
      <c r="AO13" s="1"/>
      <c r="AP13" s="1"/>
      <c r="AQ13" s="1"/>
    </row>
    <row r="14" spans="1:43">
      <c r="A14" s="1" t="s">
        <v>269</v>
      </c>
      <c r="B14" s="221">
        <f>+bichvar!L14</f>
        <v>88.9</v>
      </c>
      <c r="C14" s="221">
        <f>+bidcvar!L14</f>
        <v>17523.900000000001</v>
      </c>
      <c r="D14" s="221">
        <f>+'bmhvar '!L14</f>
        <v>1817.3</v>
      </c>
      <c r="E14" s="221">
        <f>+bncvar!L14</f>
        <v>13966</v>
      </c>
      <c r="F14" s="221">
        <f>+bphvar!L14</f>
        <v>11934.899999999998</v>
      </c>
      <c r="G14" s="221">
        <f>+buhvar!L14</f>
        <v>14458</v>
      </c>
      <c r="H14" s="221">
        <f>+promobkvar!L14</f>
        <v>37168</v>
      </c>
      <c r="I14" s="221">
        <f>+socabkvar!L14</f>
        <v>95338.2</v>
      </c>
      <c r="J14" s="221">
        <f>+sogebkvar!L14</f>
        <v>83530</v>
      </c>
      <c r="K14" s="1090">
        <f>+unibkvar!L14</f>
        <v>83109.799999999988</v>
      </c>
      <c r="L14" s="286">
        <f>SUM(B14:K14)</f>
        <v>358935</v>
      </c>
      <c r="M14" s="221">
        <f>+capitalbkvar!L14</f>
        <v>23871</v>
      </c>
      <c r="N14" s="1090">
        <f>+sgbelvar!L14</f>
        <v>3340.9</v>
      </c>
      <c r="O14" s="287">
        <f>SUM(M14:N14)</f>
        <v>27211.9</v>
      </c>
      <c r="P14" s="221">
        <f>+cbnavar!L14</f>
        <v>33412</v>
      </c>
      <c r="Q14" s="1090">
        <f>+scotiavar!L14</f>
        <v>5622</v>
      </c>
      <c r="R14" s="286">
        <f>SUM(P14:Q14)</f>
        <v>39034</v>
      </c>
      <c r="S14" s="288">
        <f>+L14+O14+R14</f>
        <v>425180.9</v>
      </c>
      <c r="T14" s="60"/>
      <c r="U14" s="1"/>
      <c r="V14" s="1"/>
      <c r="W14" s="1"/>
      <c r="X14" s="1"/>
      <c r="Y14" s="1"/>
      <c r="Z14" s="1"/>
      <c r="AA14" s="1"/>
      <c r="AB14" s="1"/>
      <c r="AC14" s="1"/>
      <c r="AD14" s="1"/>
      <c r="AE14" s="1"/>
      <c r="AF14" s="1"/>
      <c r="AG14" s="1"/>
      <c r="AH14" s="1"/>
      <c r="AI14" s="1"/>
      <c r="AJ14" s="1"/>
      <c r="AK14" s="1"/>
      <c r="AL14" s="1"/>
      <c r="AM14" s="1"/>
      <c r="AN14" s="1"/>
      <c r="AO14" s="1"/>
      <c r="AP14" s="1"/>
      <c r="AQ14" s="1"/>
    </row>
    <row r="15" spans="1:43" ht="15.6" customHeight="1">
      <c r="A15" s="1"/>
      <c r="B15" s="88">
        <f>SUM(B10:B14)</f>
        <v>6520.5999999999995</v>
      </c>
      <c r="C15" s="88">
        <f>SUM(C10:C14)</f>
        <v>459462.80000000005</v>
      </c>
      <c r="D15" s="88">
        <f>SUM(D10:D14)</f>
        <v>26809.1</v>
      </c>
      <c r="E15" s="88">
        <f t="shared" ref="E15:L15" si="0">SUM(E10:E14)</f>
        <v>740773</v>
      </c>
      <c r="F15" s="88">
        <f t="shared" si="0"/>
        <v>201257.49999999997</v>
      </c>
      <c r="G15" s="88">
        <f t="shared" si="0"/>
        <v>642383</v>
      </c>
      <c r="H15" s="88">
        <f t="shared" si="0"/>
        <v>465072</v>
      </c>
      <c r="I15" s="88">
        <f t="shared" si="0"/>
        <v>427779.9</v>
      </c>
      <c r="J15" s="88">
        <f t="shared" si="0"/>
        <v>1289855</v>
      </c>
      <c r="K15" s="88">
        <f t="shared" si="0"/>
        <v>706582.2</v>
      </c>
      <c r="L15" s="90">
        <f t="shared" si="0"/>
        <v>4966495.1000000006</v>
      </c>
      <c r="M15" s="143">
        <f t="shared" ref="M15:S15" si="1">SUM(M10:M14)</f>
        <v>126286</v>
      </c>
      <c r="N15" s="16">
        <f t="shared" si="1"/>
        <v>76236.999999999985</v>
      </c>
      <c r="O15" s="139">
        <f t="shared" si="1"/>
        <v>202523</v>
      </c>
      <c r="P15" s="88">
        <f t="shared" si="1"/>
        <v>316371</v>
      </c>
      <c r="Q15" s="88">
        <f t="shared" si="1"/>
        <v>295282</v>
      </c>
      <c r="R15" s="117">
        <f t="shared" si="1"/>
        <v>611653</v>
      </c>
      <c r="S15" s="91">
        <f t="shared" si="1"/>
        <v>5780671.1000000015</v>
      </c>
      <c r="T15" s="60"/>
      <c r="U15" s="1"/>
      <c r="V15" s="1"/>
      <c r="W15" s="1"/>
      <c r="X15" s="1"/>
      <c r="Y15" s="1"/>
      <c r="Z15" s="1"/>
      <c r="AA15" s="1"/>
      <c r="AB15" s="1"/>
      <c r="AC15" s="1"/>
      <c r="AD15" s="1"/>
      <c r="AE15" s="1"/>
      <c r="AF15" s="1"/>
      <c r="AG15" s="1"/>
      <c r="AH15" s="1"/>
      <c r="AI15" s="1"/>
      <c r="AJ15" s="1"/>
      <c r="AK15" s="1"/>
      <c r="AL15" s="1"/>
      <c r="AM15" s="1"/>
      <c r="AN15" s="1"/>
      <c r="AO15" s="1"/>
      <c r="AP15" s="1"/>
      <c r="AQ15" s="1"/>
    </row>
    <row r="16" spans="1:43" ht="7.9" customHeight="1">
      <c r="A16" s="1"/>
      <c r="B16" s="88"/>
      <c r="C16" s="88"/>
      <c r="D16" s="88"/>
      <c r="E16" s="100" t="s">
        <v>0</v>
      </c>
      <c r="F16" s="89" t="s">
        <v>0</v>
      </c>
      <c r="G16" s="88"/>
      <c r="H16" s="89" t="s">
        <v>0</v>
      </c>
      <c r="I16" s="89" t="s">
        <v>0</v>
      </c>
      <c r="J16" s="88"/>
      <c r="K16" s="88"/>
      <c r="L16" s="90"/>
      <c r="M16" s="88" t="s">
        <v>0</v>
      </c>
      <c r="N16" s="88"/>
      <c r="O16" s="139" t="s">
        <v>0</v>
      </c>
      <c r="P16" s="88"/>
      <c r="Q16" s="88" t="s">
        <v>0</v>
      </c>
      <c r="R16" s="117"/>
      <c r="S16" s="91"/>
      <c r="T16" s="60"/>
      <c r="U16" s="1"/>
      <c r="V16" s="1"/>
      <c r="W16" s="1"/>
      <c r="X16" s="1"/>
      <c r="Y16" s="1"/>
      <c r="Z16" s="1"/>
      <c r="AA16" s="1"/>
      <c r="AB16" s="1"/>
      <c r="AC16" s="1"/>
      <c r="AD16" s="1"/>
      <c r="AE16" s="1"/>
      <c r="AF16" s="1"/>
      <c r="AG16" s="1"/>
      <c r="AH16" s="1"/>
      <c r="AI16" s="1"/>
      <c r="AJ16" s="1"/>
      <c r="AK16" s="1"/>
      <c r="AL16" s="1"/>
      <c r="AM16" s="1"/>
      <c r="AN16" s="1"/>
      <c r="AO16" s="1"/>
      <c r="AP16" s="1"/>
      <c r="AQ16" s="1"/>
    </row>
    <row r="17" spans="1:43" ht="15.6" customHeight="1">
      <c r="A17" s="1" t="s">
        <v>270</v>
      </c>
      <c r="B17" s="88">
        <f>+bichvar!L17</f>
        <v>0</v>
      </c>
      <c r="C17" s="88">
        <f>+bidcvar!L17</f>
        <v>29000</v>
      </c>
      <c r="D17" s="88">
        <f>+'bmhvar '!L17</f>
        <v>10000</v>
      </c>
      <c r="E17" s="88">
        <f>+bncvar!L17</f>
        <v>200000</v>
      </c>
      <c r="F17" s="88">
        <f>+bphvar!L17</f>
        <v>232000</v>
      </c>
      <c r="G17" s="88">
        <f>+buhvar!L17</f>
        <v>240000</v>
      </c>
      <c r="H17" s="88">
        <f>+promobkvar!L17</f>
        <v>30000</v>
      </c>
      <c r="I17" s="88">
        <f>+socabkvar!L17</f>
        <v>60000</v>
      </c>
      <c r="J17" s="88">
        <f>+sogebkvar!L17</f>
        <v>620000</v>
      </c>
      <c r="K17" s="88">
        <f>+unibkvar!L17</f>
        <v>190000</v>
      </c>
      <c r="L17" s="90">
        <f>SUM(B17:K17)</f>
        <v>1611000</v>
      </c>
      <c r="M17" s="88">
        <f>+capitalbkvar!L17</f>
        <v>20000</v>
      </c>
      <c r="N17" s="88">
        <f>+sgbelvar!L17</f>
        <v>28000</v>
      </c>
      <c r="O17" s="139">
        <f>SUM(M17:N17)</f>
        <v>48000</v>
      </c>
      <c r="P17" s="88">
        <f>+cbnavar!L17</f>
        <v>0</v>
      </c>
      <c r="Q17" s="88">
        <f>+scotiavar!L17</f>
        <v>0</v>
      </c>
      <c r="R17" s="117">
        <f>SUM(P17:Q17)</f>
        <v>0</v>
      </c>
      <c r="S17" s="91">
        <f>+L17+O17+R17</f>
        <v>1659000</v>
      </c>
      <c r="T17" s="60"/>
      <c r="U17" s="1"/>
      <c r="V17" s="1"/>
      <c r="W17" s="1"/>
      <c r="X17" s="1"/>
      <c r="Y17" s="1"/>
      <c r="Z17" s="1"/>
      <c r="AA17" s="1"/>
      <c r="AB17" s="1"/>
      <c r="AC17" s="1"/>
      <c r="AD17" s="1"/>
      <c r="AE17" s="1"/>
      <c r="AF17" s="1"/>
      <c r="AG17" s="1"/>
      <c r="AH17" s="1"/>
      <c r="AI17" s="1"/>
      <c r="AJ17" s="1"/>
      <c r="AK17" s="1"/>
      <c r="AL17" s="1"/>
      <c r="AM17" s="1"/>
      <c r="AN17" s="1"/>
      <c r="AO17" s="1"/>
      <c r="AP17" s="1"/>
      <c r="AQ17" s="1"/>
    </row>
    <row r="18" spans="1:43">
      <c r="A18" s="1" t="s">
        <v>271</v>
      </c>
      <c r="B18" s="88">
        <f>+bichvar!L18</f>
        <v>0</v>
      </c>
      <c r="C18" s="88">
        <f>+bidcvar!L18</f>
        <v>28652.9</v>
      </c>
      <c r="D18" s="88">
        <f>+'bmhvar '!L18</f>
        <v>0</v>
      </c>
      <c r="E18" s="88">
        <f>+bncvar!L18</f>
        <v>63868</v>
      </c>
      <c r="F18" s="88">
        <f>+bphvar!L18</f>
        <v>8247.1</v>
      </c>
      <c r="G18" s="88">
        <f>+buhvar!L18</f>
        <v>62850</v>
      </c>
      <c r="H18" s="88">
        <f>+promobkvar!L18</f>
        <v>117</v>
      </c>
      <c r="I18" s="88">
        <f>+socabkvar!L18</f>
        <v>100962.3</v>
      </c>
      <c r="J18" s="88">
        <f>+sogebkvar!L18</f>
        <v>226906</v>
      </c>
      <c r="K18" s="88">
        <f>+unibkvar!L18</f>
        <v>510952</v>
      </c>
      <c r="L18" s="90">
        <f>SUM(B18:K18)</f>
        <v>1002555.3</v>
      </c>
      <c r="M18" s="88">
        <f>+capitalbkvar!L18</f>
        <v>45987</v>
      </c>
      <c r="N18" s="88">
        <f>+sgbelvar!L18</f>
        <v>18315.3</v>
      </c>
      <c r="O18" s="139">
        <f>SUM(M18:N18)</f>
        <v>64302.3</v>
      </c>
      <c r="P18" s="88">
        <f>+cbnavar!L18</f>
        <v>0</v>
      </c>
      <c r="Q18" s="88">
        <f>+scotiavar!L18</f>
        <v>0</v>
      </c>
      <c r="R18" s="117">
        <f>SUM(P18:Q18)</f>
        <v>0</v>
      </c>
      <c r="S18" s="91">
        <f>+L18+O18+R18</f>
        <v>1066857.6000000001</v>
      </c>
      <c r="T18" s="60"/>
      <c r="U18" s="1"/>
      <c r="V18" s="1"/>
      <c r="W18" s="1"/>
      <c r="X18" s="1"/>
      <c r="Y18" s="1"/>
      <c r="Z18" s="1"/>
      <c r="AA18" s="1"/>
      <c r="AB18" s="1"/>
      <c r="AC18" s="1"/>
      <c r="AD18" s="1"/>
      <c r="AE18" s="1"/>
      <c r="AF18" s="1"/>
      <c r="AG18" s="1"/>
      <c r="AH18" s="1"/>
      <c r="AI18" s="1"/>
      <c r="AJ18" s="1"/>
      <c r="AK18" s="1"/>
      <c r="AL18" s="1"/>
      <c r="AM18" s="1"/>
      <c r="AN18" s="1"/>
      <c r="AO18" s="1"/>
      <c r="AP18" s="1"/>
      <c r="AQ18" s="1"/>
    </row>
    <row r="19" spans="1:43">
      <c r="A19" s="1" t="s">
        <v>406</v>
      </c>
      <c r="B19" s="88">
        <f>+bichvar!L19</f>
        <v>3150.2999999999997</v>
      </c>
      <c r="C19" s="88">
        <f>+bidcvar!L19</f>
        <v>610786</v>
      </c>
      <c r="D19" s="88">
        <f>+'bmhvar '!L19</f>
        <v>7244.4</v>
      </c>
      <c r="E19" s="88">
        <f>+bncvar!L19</f>
        <v>594121</v>
      </c>
      <c r="F19" s="88">
        <f>+bphvar!L19</f>
        <v>267552.90000000002</v>
      </c>
      <c r="G19" s="88">
        <f>+buhvar!L19</f>
        <v>662542</v>
      </c>
      <c r="H19" s="88">
        <f>+promobkvar!L19</f>
        <v>695272</v>
      </c>
      <c r="I19" s="88">
        <f>+socabkvar!L19</f>
        <v>852468.3</v>
      </c>
      <c r="J19" s="88">
        <f>+sogebkvar!L19</f>
        <v>1255894</v>
      </c>
      <c r="K19" s="88">
        <f>+unibkvar!L19</f>
        <v>1249411.8</v>
      </c>
      <c r="L19" s="90">
        <f>SUM(B19:K19)</f>
        <v>6198442.7000000002</v>
      </c>
      <c r="M19" s="88">
        <f>+capitalbkvar!L19</f>
        <v>376362</v>
      </c>
      <c r="N19" s="88">
        <f>+sgbelvar!L19</f>
        <v>298788.09999999998</v>
      </c>
      <c r="O19" s="139">
        <f>SUM(M19:N19)</f>
        <v>675150.1</v>
      </c>
      <c r="P19" s="88">
        <f>+cbnavar!L19</f>
        <v>652761</v>
      </c>
      <c r="Q19" s="88">
        <f>+scotiavar!L19</f>
        <v>437344</v>
      </c>
      <c r="R19" s="117">
        <f>SUM(P19:Q19)</f>
        <v>1090105</v>
      </c>
      <c r="S19" s="91">
        <f>+L19+O19+R19</f>
        <v>7963697.7999999998</v>
      </c>
      <c r="T19" s="60"/>
      <c r="U19" s="1"/>
      <c r="V19" s="1"/>
      <c r="W19" s="1"/>
      <c r="X19" s="1"/>
      <c r="Y19" s="1"/>
      <c r="Z19" s="1"/>
      <c r="AA19" s="1"/>
      <c r="AB19" s="1"/>
      <c r="AC19" s="1"/>
      <c r="AD19" s="1"/>
      <c r="AE19" s="1"/>
      <c r="AF19" s="1"/>
      <c r="AG19" s="1"/>
      <c r="AH19" s="1"/>
      <c r="AI19" s="1"/>
      <c r="AJ19" s="1"/>
      <c r="AK19" s="1"/>
      <c r="AL19" s="1"/>
      <c r="AM19" s="1"/>
      <c r="AN19" s="1"/>
      <c r="AO19" s="1"/>
      <c r="AP19" s="1"/>
      <c r="AQ19" s="1"/>
    </row>
    <row r="20" spans="1:43">
      <c r="A20" s="1" t="s">
        <v>273</v>
      </c>
      <c r="B20" s="88">
        <f>+bichvar!L20</f>
        <v>189.8</v>
      </c>
      <c r="C20" s="88">
        <f>+bidcvar!L20</f>
        <v>105285</v>
      </c>
      <c r="D20" s="88">
        <f>+'bmhvar '!L20</f>
        <v>6646</v>
      </c>
      <c r="E20" s="88">
        <f>+bncvar!L20</f>
        <v>135109</v>
      </c>
      <c r="F20" s="88">
        <f>+bphvar!L20</f>
        <v>24325.8</v>
      </c>
      <c r="G20" s="88">
        <f>+buhvar!L20</f>
        <v>147760</v>
      </c>
      <c r="H20" s="88">
        <f>+promobkvar!L20</f>
        <v>88855</v>
      </c>
      <c r="I20" s="88">
        <f>+socabkvar!L20</f>
        <v>37755.1</v>
      </c>
      <c r="J20" s="88">
        <f>+sogebkvar!L20</f>
        <v>258385</v>
      </c>
      <c r="K20" s="88">
        <f>+unibkvar!L20</f>
        <v>103087.3</v>
      </c>
      <c r="L20" s="90">
        <f>SUM(B20:K20)</f>
        <v>907398</v>
      </c>
      <c r="M20" s="88">
        <f>+capitalbkvar!L20</f>
        <v>60166</v>
      </c>
      <c r="N20" s="88">
        <f>+sgbelvar!L20</f>
        <v>16253</v>
      </c>
      <c r="O20" s="139">
        <f>SUM(M20:N20)</f>
        <v>76419</v>
      </c>
      <c r="P20" s="88">
        <f>+cbnavar!L20</f>
        <v>18815</v>
      </c>
      <c r="Q20" s="88">
        <f>+scotiavar!L20</f>
        <v>18153</v>
      </c>
      <c r="R20" s="117">
        <f>SUM(P20:Q20)</f>
        <v>36968</v>
      </c>
      <c r="S20" s="91">
        <f>+L20+O20+R20</f>
        <v>1020785</v>
      </c>
      <c r="T20" s="60"/>
      <c r="U20" s="1"/>
      <c r="V20" s="1"/>
      <c r="W20" s="1"/>
      <c r="X20" s="1"/>
      <c r="Y20" s="1"/>
      <c r="Z20" s="1"/>
      <c r="AA20" s="1"/>
      <c r="AB20" s="1"/>
      <c r="AC20" s="1"/>
      <c r="AD20" s="1"/>
      <c r="AE20" s="1"/>
      <c r="AF20" s="1"/>
      <c r="AG20" s="1"/>
      <c r="AH20" s="1"/>
      <c r="AI20" s="1"/>
      <c r="AJ20" s="1"/>
      <c r="AK20" s="1"/>
      <c r="AL20" s="1"/>
      <c r="AM20" s="1"/>
      <c r="AN20" s="1"/>
      <c r="AO20" s="1"/>
      <c r="AP20" s="1"/>
      <c r="AQ20" s="1"/>
    </row>
    <row r="21" spans="1:43" ht="16.5" thickBot="1">
      <c r="A21" s="1" t="s">
        <v>274</v>
      </c>
      <c r="B21" s="99">
        <f>+bichvar!L21</f>
        <v>360.9</v>
      </c>
      <c r="C21" s="99">
        <f>+bidcvar!L21</f>
        <v>79819</v>
      </c>
      <c r="D21" s="99">
        <f>+'bmhvar '!L21</f>
        <v>9163.7000000000007</v>
      </c>
      <c r="E21" s="99">
        <f>+bncvar!L21</f>
        <v>123168</v>
      </c>
      <c r="F21" s="99">
        <f>+bphvar!L21</f>
        <v>23348.6</v>
      </c>
      <c r="G21" s="99">
        <f>+buhvar!L21</f>
        <v>49381</v>
      </c>
      <c r="H21" s="99">
        <f>+promobkvar!L21</f>
        <v>54227</v>
      </c>
      <c r="I21" s="99">
        <f>+socabkvar!L21</f>
        <v>20737</v>
      </c>
      <c r="J21" s="99">
        <f>+sogebkvar!L21</f>
        <v>81307</v>
      </c>
      <c r="K21" s="1091">
        <f>+unibkvar!L21</f>
        <v>88902.399999999994</v>
      </c>
      <c r="L21" s="97">
        <f>SUM(B21:K21)</f>
        <v>530414.6</v>
      </c>
      <c r="M21" s="99">
        <f>+capitalbkvar!L21</f>
        <v>59232</v>
      </c>
      <c r="N21" s="1091">
        <f>+sgbelvar!L21</f>
        <v>7563.6</v>
      </c>
      <c r="O21" s="289">
        <f>SUM(M21:N21)</f>
        <v>66795.600000000006</v>
      </c>
      <c r="P21" s="99">
        <f>+cbnavar!L21</f>
        <v>116658</v>
      </c>
      <c r="Q21" s="1091">
        <f>+scotiavar!L21</f>
        <v>5558</v>
      </c>
      <c r="R21" s="97">
        <f>SUM(P21:Q21)</f>
        <v>122216</v>
      </c>
      <c r="S21" s="96">
        <f>+L21+O21+R21</f>
        <v>719426.2</v>
      </c>
      <c r="T21" s="60"/>
      <c r="U21" s="1"/>
      <c r="V21" s="1"/>
      <c r="W21" s="1"/>
      <c r="X21" s="1"/>
      <c r="Y21" s="1"/>
      <c r="Z21" s="1"/>
      <c r="AA21" s="1"/>
      <c r="AB21" s="1"/>
      <c r="AC21" s="1"/>
      <c r="AD21" s="1"/>
      <c r="AE21" s="1"/>
      <c r="AF21" s="1"/>
      <c r="AG21" s="1"/>
      <c r="AH21" s="1"/>
      <c r="AI21" s="1"/>
      <c r="AJ21" s="1"/>
      <c r="AK21" s="1"/>
      <c r="AL21" s="1"/>
      <c r="AM21" s="1"/>
      <c r="AN21" s="1"/>
      <c r="AO21" s="1"/>
      <c r="AP21" s="1"/>
      <c r="AQ21" s="1"/>
    </row>
    <row r="22" spans="1:43">
      <c r="A22" s="1" t="s">
        <v>275</v>
      </c>
      <c r="B22" s="91">
        <f>SUM(B15:B21)</f>
        <v>10221.599999999999</v>
      </c>
      <c r="C22" s="91">
        <f>SUM(C15:C21)</f>
        <v>1313005.7000000002</v>
      </c>
      <c r="D22" s="91">
        <f>SUM(D15:D21)</f>
        <v>59863.199999999997</v>
      </c>
      <c r="E22" s="91">
        <f t="shared" ref="E22:L22" si="2">SUM(E15:E21)</f>
        <v>1857039</v>
      </c>
      <c r="F22" s="91">
        <f t="shared" si="2"/>
        <v>756731.9</v>
      </c>
      <c r="G22" s="91">
        <f t="shared" si="2"/>
        <v>1804916</v>
      </c>
      <c r="H22" s="91">
        <f t="shared" si="2"/>
        <v>1333543</v>
      </c>
      <c r="I22" s="91">
        <f>SUM(I15:I21)-0.1</f>
        <v>1499702.5</v>
      </c>
      <c r="J22" s="91">
        <f t="shared" si="2"/>
        <v>3732347</v>
      </c>
      <c r="K22" s="91">
        <f t="shared" si="2"/>
        <v>2848935.6999999997</v>
      </c>
      <c r="L22" s="90">
        <f t="shared" si="2"/>
        <v>15216305.700000001</v>
      </c>
      <c r="M22" s="4">
        <f t="shared" ref="M22:S22" si="3">SUM(M15:M21)</f>
        <v>688033</v>
      </c>
      <c r="N22" s="91">
        <f t="shared" si="3"/>
        <v>445156.99999999994</v>
      </c>
      <c r="O22" s="139">
        <f t="shared" si="3"/>
        <v>1133190</v>
      </c>
      <c r="P22" s="4">
        <f t="shared" si="3"/>
        <v>1104605</v>
      </c>
      <c r="Q22" s="4">
        <f>SUM(Q15:Q21)+0.1</f>
        <v>756337.1</v>
      </c>
      <c r="R22" s="117">
        <f t="shared" si="3"/>
        <v>1860942</v>
      </c>
      <c r="S22" s="91">
        <f t="shared" si="3"/>
        <v>18210437.699999999</v>
      </c>
      <c r="T22" s="60"/>
      <c r="U22" s="1"/>
      <c r="V22" s="1"/>
      <c r="W22" s="1"/>
      <c r="X22" s="1"/>
      <c r="Y22" s="1"/>
      <c r="Z22" s="1"/>
      <c r="AA22" s="1"/>
      <c r="AB22" s="1"/>
      <c r="AC22" s="1"/>
      <c r="AD22" s="1"/>
      <c r="AE22" s="1"/>
      <c r="AF22" s="1"/>
      <c r="AG22" s="1"/>
      <c r="AH22" s="1"/>
      <c r="AI22" s="1"/>
      <c r="AJ22" s="1"/>
      <c r="AK22" s="1"/>
      <c r="AL22" s="1"/>
      <c r="AM22" s="1"/>
      <c r="AN22" s="1"/>
      <c r="AO22" s="1"/>
      <c r="AP22" s="1"/>
      <c r="AQ22" s="1"/>
    </row>
    <row r="23" spans="1:43" ht="15.6" customHeight="1">
      <c r="A23" s="1"/>
      <c r="B23" s="88"/>
      <c r="C23" s="88"/>
      <c r="D23" s="88"/>
      <c r="E23" s="100" t="s">
        <v>0</v>
      </c>
      <c r="F23" s="89" t="s">
        <v>0</v>
      </c>
      <c r="G23" s="88"/>
      <c r="H23" s="89" t="s">
        <v>0</v>
      </c>
      <c r="I23" s="89" t="s">
        <v>0</v>
      </c>
      <c r="J23" s="88"/>
      <c r="K23" s="88"/>
      <c r="L23" s="94"/>
      <c r="M23" s="89" t="s">
        <v>0</v>
      </c>
      <c r="N23" s="88"/>
      <c r="O23" s="299" t="s">
        <v>0</v>
      </c>
      <c r="P23" s="88"/>
      <c r="Q23" s="88" t="s">
        <v>0</v>
      </c>
      <c r="R23" s="118"/>
      <c r="S23" s="91"/>
      <c r="T23" s="60"/>
      <c r="U23" s="1"/>
      <c r="V23" s="1"/>
      <c r="W23" s="1"/>
      <c r="X23" s="1"/>
      <c r="Y23" s="1"/>
      <c r="Z23" s="1"/>
      <c r="AA23" s="1"/>
      <c r="AB23" s="1"/>
      <c r="AC23" s="1"/>
      <c r="AD23" s="1"/>
      <c r="AE23" s="1"/>
      <c r="AF23" s="1"/>
      <c r="AG23" s="1"/>
      <c r="AH23" s="1"/>
      <c r="AI23" s="1"/>
      <c r="AJ23" s="1"/>
      <c r="AK23" s="1"/>
      <c r="AL23" s="1"/>
      <c r="AM23" s="1"/>
      <c r="AN23" s="1"/>
      <c r="AO23" s="1"/>
      <c r="AP23" s="1"/>
      <c r="AQ23" s="1"/>
    </row>
    <row r="24" spans="1:43">
      <c r="A24" s="2" t="s">
        <v>276</v>
      </c>
      <c r="B24" s="88"/>
      <c r="C24" s="88"/>
      <c r="D24" s="88"/>
      <c r="E24" s="100" t="s">
        <v>0</v>
      </c>
      <c r="F24" s="89" t="s">
        <v>0</v>
      </c>
      <c r="G24" s="88"/>
      <c r="H24" s="89" t="s">
        <v>0</v>
      </c>
      <c r="I24" s="89" t="s">
        <v>0</v>
      </c>
      <c r="J24" s="88"/>
      <c r="K24" s="88"/>
      <c r="L24" s="94"/>
      <c r="M24" s="89" t="s">
        <v>0</v>
      </c>
      <c r="N24" s="88"/>
      <c r="O24" s="299" t="s">
        <v>0</v>
      </c>
      <c r="P24" s="88"/>
      <c r="Q24" s="88" t="s">
        <v>0</v>
      </c>
      <c r="R24" s="118"/>
      <c r="S24" s="91"/>
      <c r="T24" s="60"/>
      <c r="U24" s="1"/>
      <c r="V24" s="1"/>
      <c r="W24" s="1"/>
      <c r="X24" s="1"/>
      <c r="Y24" s="1"/>
      <c r="Z24" s="1"/>
      <c r="AA24" s="1"/>
      <c r="AB24" s="1"/>
      <c r="AC24" s="1"/>
      <c r="AD24" s="1"/>
      <c r="AE24" s="1"/>
      <c r="AF24" s="1"/>
      <c r="AG24" s="1"/>
      <c r="AH24" s="1"/>
      <c r="AI24" s="1"/>
      <c r="AJ24" s="1"/>
      <c r="AK24" s="1"/>
      <c r="AL24" s="1"/>
      <c r="AM24" s="1"/>
      <c r="AN24" s="1"/>
      <c r="AO24" s="1"/>
      <c r="AP24" s="1"/>
      <c r="AQ24" s="1"/>
    </row>
    <row r="25" spans="1:43">
      <c r="A25" s="1" t="s">
        <v>277</v>
      </c>
      <c r="B25" s="88"/>
      <c r="C25" s="88"/>
      <c r="D25" s="88"/>
      <c r="E25" s="100" t="s">
        <v>0</v>
      </c>
      <c r="F25" s="89" t="s">
        <v>0</v>
      </c>
      <c r="G25" s="88"/>
      <c r="H25" s="89" t="s">
        <v>0</v>
      </c>
      <c r="I25" s="89" t="s">
        <v>0</v>
      </c>
      <c r="J25" s="88"/>
      <c r="K25" s="88"/>
      <c r="L25" s="94"/>
      <c r="M25" s="89" t="s">
        <v>0</v>
      </c>
      <c r="N25" s="88"/>
      <c r="O25" s="299" t="s">
        <v>0</v>
      </c>
      <c r="P25" s="88"/>
      <c r="Q25" s="88" t="s">
        <v>0</v>
      </c>
      <c r="R25" s="118"/>
      <c r="S25" s="91"/>
      <c r="T25" s="60"/>
      <c r="U25" s="1"/>
      <c r="V25" s="1"/>
      <c r="W25" s="1"/>
      <c r="X25" s="1"/>
      <c r="Y25" s="1"/>
      <c r="Z25" s="1"/>
      <c r="AA25" s="1"/>
      <c r="AB25" s="1"/>
      <c r="AC25" s="1"/>
      <c r="AD25" s="1"/>
      <c r="AE25" s="1"/>
      <c r="AF25" s="1"/>
      <c r="AG25" s="1"/>
      <c r="AH25" s="1"/>
      <c r="AI25" s="1"/>
      <c r="AJ25" s="1"/>
      <c r="AK25" s="1"/>
      <c r="AL25" s="1"/>
      <c r="AM25" s="1"/>
      <c r="AN25" s="1"/>
      <c r="AO25" s="1"/>
      <c r="AP25" s="1"/>
      <c r="AQ25" s="1"/>
    </row>
    <row r="26" spans="1:43">
      <c r="A26" s="1" t="s">
        <v>278</v>
      </c>
      <c r="B26" s="88">
        <f>+bichvar!L26</f>
        <v>1260</v>
      </c>
      <c r="C26" s="88">
        <f>+bidcvar!L26</f>
        <v>262370.90000000002</v>
      </c>
      <c r="D26" s="88">
        <f>+'bmhvar '!L26</f>
        <v>6920.8</v>
      </c>
      <c r="E26" s="88">
        <f>+bncvar!L26</f>
        <v>336395</v>
      </c>
      <c r="F26" s="88">
        <f>+bphvar!L26</f>
        <v>368762</v>
      </c>
      <c r="G26" s="88">
        <f>+buhvar!L26</f>
        <v>445662</v>
      </c>
      <c r="H26" s="88">
        <f>+promobkvar!L26</f>
        <v>341640</v>
      </c>
      <c r="I26" s="88">
        <f>+socabkvar!L26</f>
        <v>139490.6</v>
      </c>
      <c r="J26" s="88">
        <f>+sogebkvar!L26</f>
        <v>706596</v>
      </c>
      <c r="K26" s="88">
        <f>+unibkvar!L26</f>
        <v>575966.5</v>
      </c>
      <c r="L26" s="90">
        <f>SUM(B26:K26)</f>
        <v>3185063.8</v>
      </c>
      <c r="M26" s="88">
        <f>+capitalbkvar!L26</f>
        <v>189402</v>
      </c>
      <c r="N26" s="88">
        <f>+sgbelvar!L26</f>
        <v>54747.1</v>
      </c>
      <c r="O26" s="139">
        <f>SUM(M26:N26)</f>
        <v>244149.1</v>
      </c>
      <c r="P26" s="88">
        <f>+cbnavar!L26</f>
        <v>201195</v>
      </c>
      <c r="Q26" s="88">
        <f>+scotiavar!L26</f>
        <v>160834</v>
      </c>
      <c r="R26" s="117">
        <f>SUM(P26:Q26)</f>
        <v>362029</v>
      </c>
      <c r="S26" s="91">
        <f>+L26+O26+R26</f>
        <v>3791241.9</v>
      </c>
      <c r="T26" s="60"/>
      <c r="U26" s="1"/>
      <c r="V26" s="1"/>
      <c r="W26" s="1"/>
      <c r="X26" s="1"/>
      <c r="Y26" s="1"/>
      <c r="Z26" s="1"/>
      <c r="AA26" s="1"/>
      <c r="AB26" s="1"/>
      <c r="AC26" s="1"/>
      <c r="AD26" s="1"/>
      <c r="AE26" s="1"/>
      <c r="AF26" s="1"/>
      <c r="AG26" s="1"/>
      <c r="AH26" s="1"/>
      <c r="AI26" s="1"/>
      <c r="AJ26" s="1"/>
      <c r="AK26" s="1"/>
      <c r="AL26" s="1"/>
      <c r="AM26" s="1"/>
      <c r="AN26" s="1"/>
      <c r="AO26" s="1"/>
      <c r="AP26" s="1"/>
      <c r="AQ26" s="1"/>
    </row>
    <row r="27" spans="1:43">
      <c r="A27" s="1" t="s">
        <v>279</v>
      </c>
      <c r="B27" s="88">
        <f>+bichvar!L27</f>
        <v>3185.4</v>
      </c>
      <c r="C27" s="88">
        <f>+bidcvar!L27</f>
        <v>446803.6</v>
      </c>
      <c r="D27" s="88">
        <f>+'bmhvar '!L27</f>
        <v>21299.9</v>
      </c>
      <c r="E27" s="88">
        <f>+bncvar!L27</f>
        <v>918155</v>
      </c>
      <c r="F27" s="88">
        <f>+bphvar!L27</f>
        <v>148415.5</v>
      </c>
      <c r="G27" s="88">
        <f>+buhvar!L27</f>
        <v>705524</v>
      </c>
      <c r="H27" s="88">
        <f>+promobkvar!L27</f>
        <v>334589</v>
      </c>
      <c r="I27" s="88">
        <f>+socabkvar!L27</f>
        <v>332088</v>
      </c>
      <c r="J27" s="88">
        <f>+sogebkvar!L27</f>
        <v>1483815</v>
      </c>
      <c r="K27" s="88">
        <f>+unibkvar!L27</f>
        <v>1059857.1000000001</v>
      </c>
      <c r="L27" s="90">
        <f>SUM(B27:K27)</f>
        <v>5453732.5</v>
      </c>
      <c r="M27" s="88">
        <f>+capitalbkvar!L27</f>
        <v>156054</v>
      </c>
      <c r="N27" s="88">
        <f>+sgbelvar!L27</f>
        <v>164417.29999999999</v>
      </c>
      <c r="O27" s="139">
        <f>SUM(M27:N27)</f>
        <v>320471.3</v>
      </c>
      <c r="P27" s="88">
        <f>+cbnavar!L27</f>
        <v>247336</v>
      </c>
      <c r="Q27" s="88">
        <f>+scotiavar!L27</f>
        <v>455615</v>
      </c>
      <c r="R27" s="117">
        <f>SUM(P27:Q27)</f>
        <v>702951</v>
      </c>
      <c r="S27" s="91">
        <f>+L27+O27+R27</f>
        <v>6477154.7999999998</v>
      </c>
      <c r="T27" s="60"/>
      <c r="U27" s="1"/>
      <c r="V27" s="1"/>
      <c r="W27" s="1"/>
      <c r="X27" s="1"/>
      <c r="Y27" s="1"/>
      <c r="Z27" s="1"/>
      <c r="AA27" s="1"/>
      <c r="AB27" s="1"/>
      <c r="AC27" s="1"/>
      <c r="AD27" s="1"/>
      <c r="AE27" s="1"/>
      <c r="AF27" s="1"/>
      <c r="AG27" s="1"/>
      <c r="AH27" s="1"/>
      <c r="AI27" s="1"/>
      <c r="AJ27" s="1"/>
      <c r="AK27" s="1"/>
      <c r="AL27" s="1"/>
      <c r="AM27" s="1"/>
      <c r="AN27" s="1"/>
      <c r="AO27" s="1"/>
      <c r="AP27" s="1"/>
      <c r="AQ27" s="1"/>
    </row>
    <row r="28" spans="1:43">
      <c r="A28" s="1" t="s">
        <v>280</v>
      </c>
      <c r="B28" s="221">
        <f>+bichvar!L28</f>
        <v>0</v>
      </c>
      <c r="C28" s="221">
        <f>+bidcvar!L28</f>
        <v>344181.2</v>
      </c>
      <c r="D28" s="221">
        <f>+'bmhvar '!L28</f>
        <v>2557.5</v>
      </c>
      <c r="E28" s="221">
        <f>+bncvar!L28</f>
        <v>111963</v>
      </c>
      <c r="F28" s="221">
        <f>+bphvar!L28</f>
        <v>109529.60000000001</v>
      </c>
      <c r="G28" s="221">
        <f>+buhvar!L28</f>
        <v>427871</v>
      </c>
      <c r="H28" s="221">
        <f>+promobkvar!L28</f>
        <v>440575</v>
      </c>
      <c r="I28" s="221">
        <f>+socabkvar!L28</f>
        <v>866641.5</v>
      </c>
      <c r="J28" s="221">
        <f>+sogebkvar!L28</f>
        <v>1065179</v>
      </c>
      <c r="K28" s="1090">
        <f>+unibkvar!L28</f>
        <v>890610.6</v>
      </c>
      <c r="L28" s="286">
        <f>SUM(B28:K28)</f>
        <v>4259108.3999999994</v>
      </c>
      <c r="M28" s="221">
        <f>+capitalbkvar!L28</f>
        <v>171490</v>
      </c>
      <c r="N28" s="1090">
        <f>+sgbelvar!L28</f>
        <v>135058.20000000001</v>
      </c>
      <c r="O28" s="287">
        <f>SUM(M28:N28)</f>
        <v>306548.2</v>
      </c>
      <c r="P28" s="221">
        <f>+cbnavar!L28</f>
        <v>426055</v>
      </c>
      <c r="Q28" s="1090">
        <f>+scotiavar!L28</f>
        <v>88298</v>
      </c>
      <c r="R28" s="286">
        <f>SUM(P28:Q28)</f>
        <v>514353</v>
      </c>
      <c r="S28" s="288">
        <f>+L28+O28+R28</f>
        <v>5080009.5999999996</v>
      </c>
      <c r="T28" s="60"/>
      <c r="U28" s="1"/>
      <c r="V28" s="1"/>
      <c r="W28" s="1"/>
      <c r="X28" s="1"/>
      <c r="Y28" s="1"/>
      <c r="Z28" s="1"/>
      <c r="AA28" s="1"/>
      <c r="AB28" s="1"/>
      <c r="AC28" s="1"/>
      <c r="AD28" s="1"/>
      <c r="AE28" s="1"/>
      <c r="AF28" s="1"/>
      <c r="AG28" s="1"/>
      <c r="AH28" s="1"/>
      <c r="AI28" s="1"/>
      <c r="AJ28" s="1"/>
      <c r="AK28" s="1"/>
      <c r="AL28" s="1"/>
      <c r="AM28" s="1"/>
      <c r="AN28" s="1"/>
      <c r="AO28" s="1"/>
      <c r="AP28" s="1"/>
      <c r="AQ28" s="1"/>
    </row>
    <row r="29" spans="1:43">
      <c r="A29" s="1"/>
      <c r="B29" s="88">
        <f>SUM(B26:B28)</f>
        <v>4445.3999999999996</v>
      </c>
      <c r="C29" s="88">
        <f>SUM(C26:C28)</f>
        <v>1053355.7</v>
      </c>
      <c r="D29" s="88">
        <f>SUM(D26:D28)</f>
        <v>30778.2</v>
      </c>
      <c r="E29" s="88">
        <f t="shared" ref="E29:L29" si="4">SUM(E26:E28)</f>
        <v>1366513</v>
      </c>
      <c r="F29" s="88">
        <f t="shared" si="4"/>
        <v>626707.1</v>
      </c>
      <c r="G29" s="88">
        <f t="shared" si="4"/>
        <v>1579057</v>
      </c>
      <c r="H29" s="88">
        <f t="shared" si="4"/>
        <v>1116804</v>
      </c>
      <c r="I29" s="88">
        <f t="shared" si="4"/>
        <v>1338220.1000000001</v>
      </c>
      <c r="J29" s="88">
        <f t="shared" si="4"/>
        <v>3255590</v>
      </c>
      <c r="K29" s="88">
        <f t="shared" si="4"/>
        <v>2526434.2000000002</v>
      </c>
      <c r="L29" s="90">
        <f t="shared" si="4"/>
        <v>12897904.699999999</v>
      </c>
      <c r="M29" s="88">
        <f t="shared" ref="M29:S29" si="5">SUM(M26:M28)</f>
        <v>516946</v>
      </c>
      <c r="N29" s="88">
        <f t="shared" si="5"/>
        <v>354222.6</v>
      </c>
      <c r="O29" s="139">
        <f t="shared" si="5"/>
        <v>871168.60000000009</v>
      </c>
      <c r="P29" s="88">
        <f t="shared" si="5"/>
        <v>874586</v>
      </c>
      <c r="Q29" s="88">
        <f t="shared" si="5"/>
        <v>704747</v>
      </c>
      <c r="R29" s="117">
        <f t="shared" si="5"/>
        <v>1579333</v>
      </c>
      <c r="S29" s="91">
        <f t="shared" si="5"/>
        <v>15348406.299999999</v>
      </c>
      <c r="T29" s="60"/>
      <c r="U29" s="1"/>
      <c r="V29" s="1"/>
      <c r="W29" s="1"/>
      <c r="X29" s="1"/>
      <c r="Y29" s="1"/>
      <c r="Z29" s="1"/>
      <c r="AA29" s="1"/>
      <c r="AB29" s="1"/>
      <c r="AC29" s="1"/>
      <c r="AD29" s="1"/>
      <c r="AE29" s="1"/>
      <c r="AF29" s="1"/>
      <c r="AG29" s="1"/>
      <c r="AH29" s="1"/>
      <c r="AI29" s="1"/>
      <c r="AJ29" s="1"/>
      <c r="AK29" s="1"/>
      <c r="AL29" s="1"/>
      <c r="AM29" s="1"/>
      <c r="AN29" s="1"/>
      <c r="AO29" s="1"/>
      <c r="AP29" s="1"/>
      <c r="AQ29" s="1"/>
    </row>
    <row r="30" spans="1:43" ht="7.9" customHeight="1">
      <c r="A30" s="1"/>
      <c r="B30" s="88"/>
      <c r="C30" s="88"/>
      <c r="D30" s="88"/>
      <c r="E30" s="100" t="s">
        <v>0</v>
      </c>
      <c r="F30" s="89" t="s">
        <v>0</v>
      </c>
      <c r="G30" s="88"/>
      <c r="H30" s="89" t="s">
        <v>0</v>
      </c>
      <c r="I30" s="89" t="s">
        <v>0</v>
      </c>
      <c r="J30" s="88"/>
      <c r="K30" s="88"/>
      <c r="L30" s="90"/>
      <c r="M30" s="89" t="s">
        <v>0</v>
      </c>
      <c r="N30" s="88"/>
      <c r="O30" s="139" t="s">
        <v>0</v>
      </c>
      <c r="P30" s="88"/>
      <c r="Q30" s="88" t="s">
        <v>0</v>
      </c>
      <c r="R30" s="117"/>
      <c r="S30" s="91"/>
      <c r="T30" s="60"/>
      <c r="U30" s="1"/>
      <c r="V30" s="1"/>
      <c r="W30" s="1"/>
      <c r="X30" s="1"/>
      <c r="Y30" s="1"/>
      <c r="Z30" s="1"/>
      <c r="AA30" s="1"/>
      <c r="AB30" s="1"/>
      <c r="AC30" s="1"/>
      <c r="AD30" s="1"/>
      <c r="AE30" s="1"/>
      <c r="AF30" s="1"/>
      <c r="AG30" s="1"/>
      <c r="AH30" s="1"/>
      <c r="AI30" s="1"/>
      <c r="AJ30" s="1"/>
      <c r="AK30" s="1"/>
      <c r="AL30" s="1"/>
      <c r="AM30" s="1"/>
      <c r="AN30" s="1"/>
      <c r="AO30" s="1"/>
      <c r="AP30" s="1"/>
      <c r="AQ30" s="1"/>
    </row>
    <row r="31" spans="1:43">
      <c r="A31" s="1" t="s">
        <v>281</v>
      </c>
      <c r="B31" s="88"/>
      <c r="C31" s="88"/>
      <c r="D31" s="88"/>
      <c r="E31" s="100" t="s">
        <v>0</v>
      </c>
      <c r="F31" s="89" t="s">
        <v>0</v>
      </c>
      <c r="G31" s="88"/>
      <c r="H31" s="89" t="s">
        <v>0</v>
      </c>
      <c r="I31" s="89" t="s">
        <v>0</v>
      </c>
      <c r="J31" s="88"/>
      <c r="K31" s="88"/>
      <c r="L31" s="90"/>
      <c r="M31" s="89" t="s">
        <v>0</v>
      </c>
      <c r="N31" s="88"/>
      <c r="O31" s="139" t="s">
        <v>0</v>
      </c>
      <c r="P31" s="88"/>
      <c r="Q31" s="88" t="s">
        <v>0</v>
      </c>
      <c r="R31" s="117"/>
      <c r="S31" s="91"/>
      <c r="T31" s="60"/>
      <c r="U31" s="1"/>
      <c r="V31" s="1"/>
      <c r="W31" s="1"/>
      <c r="X31" s="1"/>
      <c r="Y31" s="1"/>
      <c r="Z31" s="1"/>
      <c r="AA31" s="1"/>
      <c r="AB31" s="1"/>
      <c r="AC31" s="1"/>
      <c r="AD31" s="1"/>
      <c r="AE31" s="1"/>
      <c r="AF31" s="1"/>
      <c r="AG31" s="1"/>
      <c r="AH31" s="1"/>
      <c r="AI31" s="1"/>
      <c r="AJ31" s="1"/>
      <c r="AK31" s="1"/>
      <c r="AL31" s="1"/>
      <c r="AM31" s="1"/>
      <c r="AN31" s="1"/>
      <c r="AO31" s="1"/>
      <c r="AP31" s="1"/>
      <c r="AQ31" s="1"/>
    </row>
    <row r="32" spans="1:43">
      <c r="A32" s="1" t="s">
        <v>282</v>
      </c>
      <c r="B32" s="88">
        <f>+bichvar!L32</f>
        <v>0</v>
      </c>
      <c r="C32" s="88">
        <f>+bidcvar!L32</f>
        <v>45736.3</v>
      </c>
      <c r="D32" s="88">
        <f>+'bmhvar '!L32</f>
        <v>0</v>
      </c>
      <c r="E32" s="88">
        <f>+bncvar!L32</f>
        <v>224359</v>
      </c>
      <c r="F32" s="88">
        <f>+bphvar!L32</f>
        <v>0</v>
      </c>
      <c r="G32" s="88">
        <f>+buhvar!L32</f>
        <v>0</v>
      </c>
      <c r="H32" s="88">
        <f>+promobkvar!L32</f>
        <v>1500</v>
      </c>
      <c r="I32" s="88">
        <f>+socabkvar!L32</f>
        <v>0</v>
      </c>
      <c r="J32" s="88">
        <f>+sogebkvar!L32</f>
        <v>0</v>
      </c>
      <c r="K32" s="88">
        <f>+unibkvar!L32</f>
        <v>0</v>
      </c>
      <c r="L32" s="90">
        <f>SUM(B32:K32)</f>
        <v>271595.3</v>
      </c>
      <c r="M32" s="88">
        <f>+capitalbkvar!L32</f>
        <v>0</v>
      </c>
      <c r="N32" s="88">
        <f>+sgbelvar!L32</f>
        <v>6153</v>
      </c>
      <c r="O32" s="139">
        <f>SUM(M32:N32)</f>
        <v>6153</v>
      </c>
      <c r="P32" s="88">
        <f>+cbnavar!L32</f>
        <v>50291</v>
      </c>
      <c r="Q32" s="88">
        <f>+scotiavar!L32</f>
        <v>0</v>
      </c>
      <c r="R32" s="117">
        <f>SUM(P32:Q32)</f>
        <v>50291</v>
      </c>
      <c r="S32" s="91">
        <f>+L32+O32+R32</f>
        <v>328039.3</v>
      </c>
      <c r="T32" s="60"/>
      <c r="U32" s="1"/>
      <c r="V32" s="1"/>
      <c r="W32" s="1"/>
      <c r="X32" s="1"/>
      <c r="Y32" s="1"/>
      <c r="Z32" s="1"/>
      <c r="AA32" s="1"/>
      <c r="AB32" s="1"/>
      <c r="AC32" s="1"/>
      <c r="AD32" s="1"/>
      <c r="AE32" s="1"/>
      <c r="AF32" s="1"/>
      <c r="AG32" s="1"/>
      <c r="AH32" s="1"/>
      <c r="AI32" s="1"/>
      <c r="AJ32" s="1"/>
      <c r="AK32" s="1"/>
      <c r="AL32" s="1"/>
      <c r="AM32" s="1"/>
      <c r="AN32" s="1"/>
      <c r="AO32" s="1"/>
      <c r="AP32" s="1"/>
      <c r="AQ32" s="1"/>
    </row>
    <row r="33" spans="1:43">
      <c r="A33" s="1" t="s">
        <v>283</v>
      </c>
      <c r="B33" s="88">
        <f>+bichvar!L33</f>
        <v>0</v>
      </c>
      <c r="C33" s="88">
        <f>+bidcvar!L33</f>
        <v>0</v>
      </c>
      <c r="D33" s="88">
        <f>+'bmhvar '!L33</f>
        <v>0</v>
      </c>
      <c r="E33" s="88">
        <f>+bncvar!L33</f>
        <v>0</v>
      </c>
      <c r="F33" s="88">
        <f>+bphvar!L33</f>
        <v>0</v>
      </c>
      <c r="G33" s="88">
        <f>+buhvar!L33</f>
        <v>0</v>
      </c>
      <c r="H33" s="88">
        <f>+promobkvar!L33</f>
        <v>0</v>
      </c>
      <c r="I33" s="88">
        <f>+socabkvar!L33</f>
        <v>0</v>
      </c>
      <c r="J33" s="88">
        <f>+sogebkvar!L33</f>
        <v>0</v>
      </c>
      <c r="K33" s="88">
        <f>+unibkvar!L33</f>
        <v>0</v>
      </c>
      <c r="L33" s="90">
        <f>SUM(B33:K33)</f>
        <v>0</v>
      </c>
      <c r="M33" s="88">
        <f>+capitalbkvar!L33</f>
        <v>13805</v>
      </c>
      <c r="N33" s="88">
        <f>+sgbelvar!L33</f>
        <v>0</v>
      </c>
      <c r="O33" s="139">
        <f>SUM(M33:N33)</f>
        <v>13805</v>
      </c>
      <c r="P33" s="88">
        <f>+cbnavar!L33</f>
        <v>0</v>
      </c>
      <c r="Q33" s="88">
        <f>+scotiavar!L33</f>
        <v>0</v>
      </c>
      <c r="R33" s="117">
        <f>SUM(P33:Q33)</f>
        <v>0</v>
      </c>
      <c r="S33" s="91">
        <f>+L33+O33+R33</f>
        <v>13805</v>
      </c>
      <c r="T33" s="60"/>
      <c r="U33" s="1"/>
      <c r="V33" s="1"/>
      <c r="W33" s="1"/>
      <c r="X33" s="1"/>
      <c r="Y33" s="1"/>
      <c r="Z33" s="1"/>
      <c r="AA33" s="1"/>
      <c r="AB33" s="1"/>
      <c r="AC33" s="1"/>
      <c r="AD33" s="1"/>
      <c r="AE33" s="1"/>
      <c r="AF33" s="1"/>
      <c r="AG33" s="1"/>
      <c r="AH33" s="1"/>
      <c r="AI33" s="1"/>
      <c r="AJ33" s="1"/>
      <c r="AK33" s="1"/>
      <c r="AL33" s="1"/>
      <c r="AM33" s="1"/>
      <c r="AN33" s="1"/>
      <c r="AO33" s="1"/>
      <c r="AP33" s="1"/>
      <c r="AQ33" s="1"/>
    </row>
    <row r="34" spans="1:43" ht="17.25">
      <c r="A34" s="1" t="s">
        <v>284</v>
      </c>
      <c r="B34" s="221">
        <f>+bichvar!L34</f>
        <v>114.39999999999999</v>
      </c>
      <c r="C34" s="221">
        <f>+bidcvar!L34</f>
        <v>82139.3</v>
      </c>
      <c r="D34" s="221">
        <f>+'bmhvar '!L34</f>
        <v>1207.4000000000001</v>
      </c>
      <c r="E34" s="221">
        <f>+bncvar!L34</f>
        <v>111474</v>
      </c>
      <c r="F34" s="221">
        <f>+bphvar!L34</f>
        <v>82007.899999999994</v>
      </c>
      <c r="G34" s="221">
        <f>+buhvar!L34</f>
        <v>96777</v>
      </c>
      <c r="H34" s="221">
        <f>+promobkvar!L34</f>
        <v>61300</v>
      </c>
      <c r="I34" s="221">
        <f>+socabkvar!L34</f>
        <v>78017.600000000006</v>
      </c>
      <c r="J34" s="221">
        <f>+sogebkvar!L34</f>
        <v>107976</v>
      </c>
      <c r="K34" s="1090">
        <f>+unibkvar!L34</f>
        <v>97629.9</v>
      </c>
      <c r="L34" s="286">
        <f>SUM(B34:K34)</f>
        <v>718643.5</v>
      </c>
      <c r="M34" s="221">
        <f>+capitalbkvar!L34</f>
        <v>24484</v>
      </c>
      <c r="N34" s="1090">
        <f>+sgbelvar!L34</f>
        <v>7919.4</v>
      </c>
      <c r="O34" s="287">
        <f>SUM(M34:N34)</f>
        <v>32403.4</v>
      </c>
      <c r="P34" s="221">
        <f>+cbnavar!L34</f>
        <v>135819</v>
      </c>
      <c r="Q34" s="1090">
        <f>+scotiavar!L34</f>
        <v>21901</v>
      </c>
      <c r="R34" s="286">
        <f>SUM(P34:Q34)</f>
        <v>157720</v>
      </c>
      <c r="S34" s="288">
        <f>+L34+O34+R34</f>
        <v>908766.9</v>
      </c>
      <c r="T34" s="64"/>
      <c r="U34" s="66"/>
      <c r="V34" s="66"/>
      <c r="W34" s="66"/>
      <c r="X34" s="1"/>
      <c r="Y34" s="1"/>
      <c r="Z34" s="1"/>
      <c r="AA34" s="1"/>
      <c r="AB34" s="1"/>
      <c r="AC34" s="1"/>
      <c r="AD34" s="1"/>
      <c r="AE34" s="1"/>
      <c r="AF34" s="1"/>
      <c r="AG34" s="1"/>
      <c r="AH34" s="1"/>
      <c r="AI34" s="1"/>
      <c r="AJ34" s="1"/>
      <c r="AK34" s="1"/>
      <c r="AL34" s="1"/>
      <c r="AM34" s="1"/>
      <c r="AN34" s="1"/>
      <c r="AO34" s="1"/>
      <c r="AP34" s="1"/>
      <c r="AQ34" s="1"/>
    </row>
    <row r="35" spans="1:43">
      <c r="A35" s="1"/>
      <c r="B35" s="88">
        <f>SUM(B32:B34)</f>
        <v>114.39999999999999</v>
      </c>
      <c r="C35" s="88">
        <f>SUM(C32:C34)</f>
        <v>127875.6</v>
      </c>
      <c r="D35" s="88">
        <f>SUM(D32:D34)</f>
        <v>1207.4000000000001</v>
      </c>
      <c r="E35" s="88">
        <f t="shared" ref="E35:L35" si="6">SUM(E32:E34)</f>
        <v>335833</v>
      </c>
      <c r="F35" s="88">
        <f t="shared" si="6"/>
        <v>82007.899999999994</v>
      </c>
      <c r="G35" s="88">
        <f t="shared" si="6"/>
        <v>96777</v>
      </c>
      <c r="H35" s="88">
        <f t="shared" si="6"/>
        <v>62800</v>
      </c>
      <c r="I35" s="88">
        <f t="shared" si="6"/>
        <v>78017.600000000006</v>
      </c>
      <c r="J35" s="88">
        <f t="shared" si="6"/>
        <v>107976</v>
      </c>
      <c r="K35" s="88">
        <f t="shared" si="6"/>
        <v>97629.9</v>
      </c>
      <c r="L35" s="90">
        <f t="shared" si="6"/>
        <v>990238.8</v>
      </c>
      <c r="M35" s="88">
        <f t="shared" ref="M35:S35" si="7">SUM(M32:M34)</f>
        <v>38289</v>
      </c>
      <c r="N35" s="88">
        <f t="shared" si="7"/>
        <v>14072.4</v>
      </c>
      <c r="O35" s="139">
        <f t="shared" si="7"/>
        <v>52361.4</v>
      </c>
      <c r="P35" s="88">
        <f t="shared" si="7"/>
        <v>186110</v>
      </c>
      <c r="Q35" s="88">
        <f t="shared" si="7"/>
        <v>21901</v>
      </c>
      <c r="R35" s="117">
        <f t="shared" si="7"/>
        <v>208011</v>
      </c>
      <c r="S35" s="91">
        <f t="shared" si="7"/>
        <v>1250611.2</v>
      </c>
      <c r="T35" s="60"/>
      <c r="U35" s="1"/>
      <c r="V35" s="1"/>
      <c r="W35" s="1"/>
      <c r="X35" s="1"/>
      <c r="Y35" s="1"/>
      <c r="Z35" s="1"/>
      <c r="AA35" s="1"/>
      <c r="AB35" s="1"/>
      <c r="AC35" s="1"/>
      <c r="AD35" s="1"/>
      <c r="AE35" s="1"/>
      <c r="AF35" s="1"/>
      <c r="AG35" s="1"/>
      <c r="AH35" s="1"/>
      <c r="AI35" s="1"/>
      <c r="AJ35" s="1"/>
      <c r="AK35" s="1"/>
      <c r="AL35" s="1"/>
      <c r="AM35" s="1"/>
      <c r="AN35" s="1"/>
      <c r="AO35" s="1"/>
      <c r="AP35" s="1"/>
      <c r="AQ35" s="1"/>
    </row>
    <row r="36" spans="1:43" ht="7.15" customHeight="1">
      <c r="A36" s="1"/>
      <c r="B36" s="88"/>
      <c r="C36" s="88"/>
      <c r="D36" s="88"/>
      <c r="E36" s="100" t="s">
        <v>0</v>
      </c>
      <c r="F36" s="89" t="s">
        <v>0</v>
      </c>
      <c r="G36" s="88"/>
      <c r="H36" s="89" t="s">
        <v>0</v>
      </c>
      <c r="I36" s="89" t="s">
        <v>0</v>
      </c>
      <c r="J36" s="88"/>
      <c r="K36" s="88"/>
      <c r="L36" s="90"/>
      <c r="M36" s="89" t="s">
        <v>0</v>
      </c>
      <c r="N36" s="88"/>
      <c r="O36" s="139" t="s">
        <v>0</v>
      </c>
      <c r="P36" s="88"/>
      <c r="Q36" s="88" t="s">
        <v>0</v>
      </c>
      <c r="R36" s="117"/>
      <c r="S36" s="91"/>
      <c r="T36" s="60"/>
      <c r="U36" s="1"/>
      <c r="V36" s="1"/>
      <c r="W36" s="1"/>
      <c r="X36" s="1"/>
      <c r="Y36" s="1"/>
      <c r="Z36" s="1"/>
      <c r="AA36" s="1"/>
      <c r="AB36" s="1"/>
      <c r="AC36" s="1"/>
      <c r="AD36" s="1"/>
      <c r="AE36" s="1"/>
      <c r="AF36" s="1"/>
      <c r="AG36" s="1"/>
      <c r="AH36" s="1"/>
      <c r="AI36" s="1"/>
      <c r="AJ36" s="1"/>
      <c r="AK36" s="1"/>
      <c r="AL36" s="1"/>
      <c r="AM36" s="1"/>
      <c r="AN36" s="1"/>
      <c r="AO36" s="1"/>
      <c r="AP36" s="1"/>
      <c r="AQ36" s="1"/>
    </row>
    <row r="37" spans="1:43">
      <c r="A37" s="1" t="s">
        <v>285</v>
      </c>
      <c r="B37" s="88"/>
      <c r="C37" s="88"/>
      <c r="D37" s="88"/>
      <c r="E37" s="100" t="s">
        <v>0</v>
      </c>
      <c r="F37" s="89" t="s">
        <v>0</v>
      </c>
      <c r="G37" s="88"/>
      <c r="H37" s="89" t="s">
        <v>0</v>
      </c>
      <c r="I37" s="89" t="s">
        <v>0</v>
      </c>
      <c r="J37" s="88"/>
      <c r="K37" s="88"/>
      <c r="L37" s="90"/>
      <c r="M37" s="89" t="s">
        <v>0</v>
      </c>
      <c r="N37" s="88"/>
      <c r="O37" s="139" t="s">
        <v>0</v>
      </c>
      <c r="P37" s="88"/>
      <c r="Q37" s="88" t="s">
        <v>0</v>
      </c>
      <c r="R37" s="117"/>
      <c r="S37" s="91"/>
      <c r="T37" s="60"/>
      <c r="U37" s="1"/>
      <c r="V37" s="1"/>
      <c r="W37" s="1"/>
      <c r="X37" s="1"/>
      <c r="Y37" s="1"/>
      <c r="Z37" s="1"/>
      <c r="AA37" s="1"/>
      <c r="AB37" s="1"/>
      <c r="AC37" s="1"/>
      <c r="AD37" s="1"/>
      <c r="AE37" s="1"/>
      <c r="AF37" s="1"/>
      <c r="AG37" s="1"/>
      <c r="AH37" s="1"/>
      <c r="AI37" s="1"/>
      <c r="AJ37" s="1"/>
      <c r="AK37" s="1"/>
      <c r="AL37" s="1"/>
      <c r="AM37" s="1"/>
      <c r="AN37" s="1"/>
      <c r="AO37" s="1"/>
      <c r="AP37" s="1"/>
      <c r="AQ37" s="1"/>
    </row>
    <row r="38" spans="1:43">
      <c r="A38" s="1" t="s">
        <v>282</v>
      </c>
      <c r="B38" s="88">
        <f>+bichvar!L38</f>
        <v>0</v>
      </c>
      <c r="C38" s="88">
        <f>+bidcvar!L38</f>
        <v>0</v>
      </c>
      <c r="D38" s="88">
        <f>+'bmhvar '!L38</f>
        <v>2000</v>
      </c>
      <c r="E38" s="88">
        <f>+bncvar!L38</f>
        <v>3000</v>
      </c>
      <c r="F38" s="88">
        <f>+bphvar!L38</f>
        <v>0</v>
      </c>
      <c r="G38" s="88">
        <f>+buhvar!L38</f>
        <v>0</v>
      </c>
      <c r="H38" s="88">
        <f>+promobkvar!L38</f>
        <v>19155</v>
      </c>
      <c r="I38" s="88">
        <f>+socabkvar!L38</f>
        <v>0</v>
      </c>
      <c r="J38" s="88">
        <f>+sogebkvar!L38</f>
        <v>3000</v>
      </c>
      <c r="K38" s="88">
        <f>+unibkvar!L38</f>
        <v>0</v>
      </c>
      <c r="L38" s="90">
        <f>SUM(B38:K38)</f>
        <v>27155</v>
      </c>
      <c r="M38" s="88">
        <f>+capitalbkvar!L38</f>
        <v>0</v>
      </c>
      <c r="N38" s="88">
        <f>+sgbelvar!L38</f>
        <v>0</v>
      </c>
      <c r="O38" s="139">
        <f>SUM(M38:N38)</f>
        <v>0</v>
      </c>
      <c r="P38" s="88">
        <f>+cbnavar!L38</f>
        <v>0</v>
      </c>
      <c r="Q38" s="88">
        <f>+scotiavar!L38</f>
        <v>0</v>
      </c>
      <c r="R38" s="117">
        <f>SUM(P38:Q38)</f>
        <v>0</v>
      </c>
      <c r="S38" s="91">
        <f>+L38+O38+R38</f>
        <v>27155</v>
      </c>
      <c r="T38" s="60"/>
      <c r="U38" s="1"/>
      <c r="V38" s="1"/>
      <c r="W38" s="1"/>
      <c r="X38" s="1"/>
      <c r="Y38" s="1"/>
      <c r="Z38" s="1"/>
      <c r="AA38" s="1"/>
      <c r="AB38" s="1"/>
      <c r="AC38" s="1"/>
      <c r="AD38" s="1"/>
      <c r="AE38" s="1"/>
      <c r="AF38" s="1"/>
      <c r="AG38" s="1"/>
      <c r="AH38" s="1"/>
      <c r="AI38" s="1"/>
      <c r="AJ38" s="1"/>
      <c r="AK38" s="1"/>
      <c r="AL38" s="1"/>
      <c r="AM38" s="1"/>
      <c r="AN38" s="1"/>
      <c r="AO38" s="1"/>
      <c r="AP38" s="1"/>
      <c r="AQ38" s="1"/>
    </row>
    <row r="39" spans="1:43">
      <c r="A39" s="1" t="s">
        <v>286</v>
      </c>
      <c r="B39" s="88">
        <f>+bichvar!L39</f>
        <v>0</v>
      </c>
      <c r="C39" s="88">
        <f>+bidcvar!L39</f>
        <v>0</v>
      </c>
      <c r="D39" s="88">
        <f>+'bmhvar '!L39</f>
        <v>0</v>
      </c>
      <c r="E39" s="88">
        <f>+bncvar!L39</f>
        <v>0</v>
      </c>
      <c r="F39" s="88">
        <f>+bphvar!L39</f>
        <v>0</v>
      </c>
      <c r="G39" s="88">
        <f>+buhvar!L39</f>
        <v>0</v>
      </c>
      <c r="H39" s="88">
        <f>+promobkvar!L39</f>
        <v>0</v>
      </c>
      <c r="I39" s="88">
        <f>+socabkvar!L39</f>
        <v>0</v>
      </c>
      <c r="J39" s="88">
        <f>+sogebkvar!L39</f>
        <v>0</v>
      </c>
      <c r="K39" s="88">
        <f>+unibkvar!L39</f>
        <v>0</v>
      </c>
      <c r="L39" s="90">
        <f>SUM(B39:K39)</f>
        <v>0</v>
      </c>
      <c r="M39" s="88">
        <f>+capitalbkvar!L39</f>
        <v>0</v>
      </c>
      <c r="N39" s="88">
        <f>+sgbelvar!L39</f>
        <v>0</v>
      </c>
      <c r="O39" s="139">
        <f>SUM(M39:N39)</f>
        <v>0</v>
      </c>
      <c r="P39" s="88">
        <f>+cbnavar!L39</f>
        <v>0</v>
      </c>
      <c r="Q39" s="88">
        <f>+scotiavar!L39</f>
        <v>0</v>
      </c>
      <c r="R39" s="117">
        <f>SUM(P39:Q39)</f>
        <v>0</v>
      </c>
      <c r="S39" s="91">
        <f>+L39+O39+R39</f>
        <v>0</v>
      </c>
      <c r="T39" s="60"/>
      <c r="U39" s="1"/>
      <c r="V39" s="1"/>
      <c r="W39" s="1"/>
      <c r="X39" s="1"/>
      <c r="Y39" s="1"/>
      <c r="Z39" s="1"/>
      <c r="AA39" s="1"/>
      <c r="AB39" s="1"/>
      <c r="AC39" s="1"/>
      <c r="AD39" s="1"/>
      <c r="AE39" s="1"/>
      <c r="AF39" s="1"/>
      <c r="AG39" s="1"/>
      <c r="AH39" s="1"/>
      <c r="AI39" s="1"/>
      <c r="AJ39" s="1"/>
      <c r="AK39" s="1"/>
      <c r="AL39" s="1"/>
      <c r="AM39" s="1"/>
      <c r="AN39" s="1"/>
      <c r="AO39" s="1"/>
      <c r="AP39" s="1"/>
      <c r="AQ39" s="1"/>
    </row>
    <row r="40" spans="1:43">
      <c r="A40" s="1" t="s">
        <v>284</v>
      </c>
      <c r="B40" s="221">
        <f>+bichvar!L40</f>
        <v>0</v>
      </c>
      <c r="C40" s="221">
        <f>+bidcvar!L40</f>
        <v>12128.9</v>
      </c>
      <c r="D40" s="221">
        <f>+'bmhvar '!L40</f>
        <v>475.1</v>
      </c>
      <c r="E40" s="221">
        <f>+bncvar!L40</f>
        <v>6887</v>
      </c>
      <c r="F40" s="221">
        <f>+bphvar!L40</f>
        <v>17925.5</v>
      </c>
      <c r="G40" s="221">
        <f>+buhvar!L40</f>
        <v>34500</v>
      </c>
      <c r="H40" s="221">
        <f>+promobkvar!L40</f>
        <v>19456</v>
      </c>
      <c r="I40" s="221">
        <f>+socabkvar!L40</f>
        <v>0</v>
      </c>
      <c r="J40" s="221">
        <f>+sogebkvar!L40</f>
        <v>63194</v>
      </c>
      <c r="K40" s="1090">
        <f>+unibkvar!L40</f>
        <v>31834.3</v>
      </c>
      <c r="L40" s="286">
        <f>SUM(B40:K40)</f>
        <v>186400.8</v>
      </c>
      <c r="M40" s="221">
        <f>+capitalbkvar!L40</f>
        <v>17520</v>
      </c>
      <c r="N40" s="1090">
        <f>+sgbelvar!L40</f>
        <v>46346.6</v>
      </c>
      <c r="O40" s="287">
        <f>SUM(M40:N40)</f>
        <v>63866.6</v>
      </c>
      <c r="P40" s="221">
        <f>+cbnavar!L40</f>
        <v>15672</v>
      </c>
      <c r="Q40" s="1090">
        <f>+scotiavar!L40</f>
        <v>15170</v>
      </c>
      <c r="R40" s="286">
        <f>SUM(P40:Q40)</f>
        <v>30842</v>
      </c>
      <c r="S40" s="288">
        <f>+L40+O40+R40</f>
        <v>281109.40000000002</v>
      </c>
      <c r="T40" s="60"/>
      <c r="U40" s="1"/>
      <c r="V40" s="1"/>
      <c r="W40" s="1"/>
      <c r="X40" s="1"/>
      <c r="Y40" s="1"/>
      <c r="Z40" s="1"/>
      <c r="AA40" s="1"/>
      <c r="AB40" s="1"/>
      <c r="AC40" s="1"/>
      <c r="AD40" s="1"/>
      <c r="AE40" s="1"/>
      <c r="AF40" s="1"/>
      <c r="AG40" s="1"/>
      <c r="AH40" s="1"/>
      <c r="AI40" s="1"/>
      <c r="AJ40" s="1"/>
      <c r="AK40" s="1"/>
      <c r="AL40" s="1"/>
      <c r="AM40" s="1"/>
      <c r="AN40" s="1"/>
      <c r="AO40" s="1"/>
      <c r="AP40" s="1"/>
      <c r="AQ40" s="1"/>
    </row>
    <row r="41" spans="1:43">
      <c r="A41" s="1"/>
      <c r="B41" s="88">
        <f>SUM(B38:B40)</f>
        <v>0</v>
      </c>
      <c r="C41" s="88">
        <f>SUM(C38:C40)</f>
        <v>12128.9</v>
      </c>
      <c r="D41" s="88">
        <f>SUM(D38:D40)</f>
        <v>2475.1</v>
      </c>
      <c r="E41" s="88">
        <f t="shared" ref="E41:L41" si="8">SUM(E38:E40)</f>
        <v>9887</v>
      </c>
      <c r="F41" s="88">
        <f t="shared" si="8"/>
        <v>17925.5</v>
      </c>
      <c r="G41" s="88">
        <f t="shared" si="8"/>
        <v>34500</v>
      </c>
      <c r="H41" s="88">
        <f t="shared" si="8"/>
        <v>38611</v>
      </c>
      <c r="I41" s="88">
        <f t="shared" si="8"/>
        <v>0</v>
      </c>
      <c r="J41" s="88">
        <f t="shared" si="8"/>
        <v>66194</v>
      </c>
      <c r="K41" s="88">
        <f t="shared" si="8"/>
        <v>31834.3</v>
      </c>
      <c r="L41" s="90">
        <f t="shared" si="8"/>
        <v>213555.8</v>
      </c>
      <c r="M41" s="88">
        <f t="shared" ref="M41:S41" si="9">SUM(M38:M40)</f>
        <v>17520</v>
      </c>
      <c r="N41" s="88">
        <f t="shared" si="9"/>
        <v>46346.6</v>
      </c>
      <c r="O41" s="139">
        <f t="shared" si="9"/>
        <v>63866.6</v>
      </c>
      <c r="P41" s="88">
        <f t="shared" si="9"/>
        <v>15672</v>
      </c>
      <c r="Q41" s="88">
        <f t="shared" si="9"/>
        <v>15170</v>
      </c>
      <c r="R41" s="117">
        <f t="shared" si="9"/>
        <v>30842</v>
      </c>
      <c r="S41" s="91">
        <f t="shared" si="9"/>
        <v>308264.40000000002</v>
      </c>
      <c r="T41" s="60"/>
      <c r="U41" s="1"/>
      <c r="V41" s="1"/>
      <c r="W41" s="1"/>
      <c r="X41" s="1"/>
      <c r="Y41" s="1"/>
      <c r="Z41" s="1"/>
      <c r="AA41" s="1"/>
      <c r="AB41" s="1"/>
      <c r="AC41" s="1"/>
      <c r="AD41" s="1"/>
      <c r="AE41" s="1"/>
      <c r="AF41" s="1"/>
      <c r="AG41" s="1"/>
      <c r="AH41" s="1"/>
      <c r="AI41" s="1"/>
      <c r="AJ41" s="1"/>
      <c r="AK41" s="1"/>
      <c r="AL41" s="1"/>
      <c r="AM41" s="1"/>
      <c r="AN41" s="1"/>
      <c r="AO41" s="1"/>
      <c r="AP41" s="1"/>
      <c r="AQ41" s="1"/>
    </row>
    <row r="42" spans="1:43" ht="8.4499999999999993" customHeight="1">
      <c r="A42" s="1"/>
      <c r="B42" s="88"/>
      <c r="C42" s="88"/>
      <c r="D42" s="88"/>
      <c r="E42" s="100" t="s">
        <v>0</v>
      </c>
      <c r="F42" s="89" t="s">
        <v>0</v>
      </c>
      <c r="G42" s="88"/>
      <c r="H42" s="89" t="s">
        <v>0</v>
      </c>
      <c r="I42" s="89" t="s">
        <v>0</v>
      </c>
      <c r="J42" s="88"/>
      <c r="K42" s="88"/>
      <c r="L42" s="90"/>
      <c r="M42" s="89" t="s">
        <v>0</v>
      </c>
      <c r="N42" s="88"/>
      <c r="O42" s="139" t="s">
        <v>0</v>
      </c>
      <c r="P42" s="88"/>
      <c r="Q42" s="88" t="s">
        <v>0</v>
      </c>
      <c r="R42" s="117"/>
      <c r="S42" s="91"/>
      <c r="T42" s="60"/>
      <c r="U42" s="1"/>
      <c r="V42" s="1"/>
      <c r="W42" s="1"/>
      <c r="X42" s="1"/>
      <c r="Y42" s="1"/>
      <c r="Z42" s="1"/>
      <c r="AA42" s="1"/>
      <c r="AB42" s="1"/>
      <c r="AC42" s="1"/>
      <c r="AD42" s="1"/>
      <c r="AE42" s="1"/>
      <c r="AF42" s="1"/>
      <c r="AG42" s="1"/>
      <c r="AH42" s="1"/>
      <c r="AI42" s="1"/>
      <c r="AJ42" s="1"/>
      <c r="AK42" s="1"/>
      <c r="AL42" s="1"/>
      <c r="AM42" s="1"/>
      <c r="AN42" s="1"/>
      <c r="AO42" s="1"/>
      <c r="AP42" s="1"/>
      <c r="AQ42" s="1"/>
    </row>
    <row r="43" spans="1:43" ht="17.25">
      <c r="A43" s="1" t="s">
        <v>287</v>
      </c>
      <c r="B43" s="221">
        <f>+bichvar!L43</f>
        <v>0</v>
      </c>
      <c r="C43" s="221">
        <f>+bidcvar!L43</f>
        <v>38461.4</v>
      </c>
      <c r="D43" s="221">
        <f>+'bmhvar '!L43</f>
        <v>0</v>
      </c>
      <c r="E43" s="221">
        <f>+bncvar!L43</f>
        <v>31012</v>
      </c>
      <c r="F43" s="221">
        <f>+bphvar!L43</f>
        <v>5198.5</v>
      </c>
      <c r="G43" s="221">
        <f>+buhvar!L43</f>
        <v>5903</v>
      </c>
      <c r="H43" s="221">
        <f>+promobkvar!L43</f>
        <v>27161</v>
      </c>
      <c r="I43" s="221">
        <f>+socabkvar!L43</f>
        <v>0</v>
      </c>
      <c r="J43" s="221">
        <f>+sogebkvar!L43</f>
        <v>74615</v>
      </c>
      <c r="K43" s="1090">
        <f>+unibkvar!L43</f>
        <v>54666</v>
      </c>
      <c r="L43" s="286">
        <f>SUM(B43:K43)</f>
        <v>237016.9</v>
      </c>
      <c r="M43" s="221">
        <f>+capitalbkvar!L43</f>
        <v>12751</v>
      </c>
      <c r="N43" s="1090">
        <f>+sgbelvar!L43</f>
        <v>1066.4000000000001</v>
      </c>
      <c r="O43" s="287">
        <f>SUM(M43:N43)</f>
        <v>13817.4</v>
      </c>
      <c r="P43" s="221">
        <f>+cbnavar!L43</f>
        <v>17416</v>
      </c>
      <c r="Q43" s="1090">
        <f>+scotiavar!L43</f>
        <v>0</v>
      </c>
      <c r="R43" s="286">
        <f>SUM(P43:Q43)</f>
        <v>17416</v>
      </c>
      <c r="S43" s="288">
        <f>+L43+O43+R43</f>
        <v>268250.3</v>
      </c>
      <c r="T43" s="64"/>
      <c r="U43" s="1"/>
      <c r="V43" s="1"/>
      <c r="W43" s="1"/>
      <c r="X43" s="1"/>
      <c r="Y43" s="1"/>
      <c r="Z43" s="1"/>
      <c r="AA43" s="1"/>
      <c r="AB43" s="1"/>
      <c r="AC43" s="1"/>
      <c r="AD43" s="1"/>
      <c r="AE43" s="1"/>
      <c r="AF43" s="1"/>
      <c r="AG43" s="1"/>
      <c r="AH43" s="1"/>
      <c r="AI43" s="1"/>
      <c r="AJ43" s="1"/>
      <c r="AK43" s="1"/>
      <c r="AL43" s="1"/>
      <c r="AM43" s="1"/>
      <c r="AN43" s="1"/>
      <c r="AO43" s="1"/>
      <c r="AP43" s="1"/>
      <c r="AQ43" s="1"/>
    </row>
    <row r="44" spans="1:43">
      <c r="A44" s="1"/>
      <c r="B44" s="88">
        <f>+B29+B35+B41+B43</f>
        <v>4559.7999999999993</v>
      </c>
      <c r="C44" s="88">
        <f>+C29+C35+C41+C43</f>
        <v>1231821.5999999999</v>
      </c>
      <c r="D44" s="88">
        <f>+D29+D35+D41+D43</f>
        <v>34460.700000000004</v>
      </c>
      <c r="E44" s="88">
        <f t="shared" ref="E44:K44" si="10">+E29+E35+E41+E43</f>
        <v>1743245</v>
      </c>
      <c r="F44" s="88">
        <f t="shared" si="10"/>
        <v>731839</v>
      </c>
      <c r="G44" s="88">
        <f t="shared" si="10"/>
        <v>1716237</v>
      </c>
      <c r="H44" s="88">
        <f t="shared" si="10"/>
        <v>1245376</v>
      </c>
      <c r="I44" s="88">
        <f t="shared" si="10"/>
        <v>1416237.7000000002</v>
      </c>
      <c r="J44" s="88">
        <f t="shared" si="10"/>
        <v>3504375</v>
      </c>
      <c r="K44" s="88">
        <f t="shared" si="10"/>
        <v>2710564.4</v>
      </c>
      <c r="L44" s="90">
        <f>SUM(B44:K44)</f>
        <v>14338716.200000001</v>
      </c>
      <c r="M44" s="88">
        <f>+M29+M35+M41+M43</f>
        <v>585506</v>
      </c>
      <c r="N44" s="88">
        <f>+N29+N35+N41+N43</f>
        <v>415708</v>
      </c>
      <c r="O44" s="139">
        <f>SUM(M44:N44)</f>
        <v>1001214</v>
      </c>
      <c r="P44" s="88">
        <f>+P29+P35+P41+P43</f>
        <v>1093784</v>
      </c>
      <c r="Q44" s="88">
        <f>+Q29+Q35+Q41+Q43</f>
        <v>741818</v>
      </c>
      <c r="R44" s="117">
        <f>SUM(P44:Q44)</f>
        <v>1835602</v>
      </c>
      <c r="S44" s="91">
        <f>+L44+O44+R44</f>
        <v>17175532.200000003</v>
      </c>
      <c r="T44" s="60"/>
      <c r="U44" s="1"/>
      <c r="V44" s="1"/>
      <c r="W44" s="1"/>
      <c r="X44" s="1"/>
      <c r="Y44" s="1"/>
      <c r="Z44" s="1"/>
      <c r="AA44" s="1"/>
      <c r="AB44" s="1"/>
      <c r="AC44" s="1"/>
      <c r="AD44" s="1"/>
      <c r="AE44" s="1"/>
      <c r="AF44" s="1"/>
      <c r="AG44" s="1"/>
      <c r="AH44" s="1"/>
      <c r="AI44" s="1"/>
      <c r="AJ44" s="1"/>
      <c r="AK44" s="1"/>
      <c r="AL44" s="1"/>
      <c r="AM44" s="1"/>
      <c r="AN44" s="1"/>
      <c r="AO44" s="1"/>
      <c r="AP44" s="1"/>
      <c r="AQ44" s="1"/>
    </row>
    <row r="45" spans="1:43" ht="15.6" customHeight="1">
      <c r="A45" s="1"/>
      <c r="B45" s="88"/>
      <c r="C45" s="88"/>
      <c r="D45" s="88"/>
      <c r="E45" s="100" t="s">
        <v>0</v>
      </c>
      <c r="F45" s="89" t="s">
        <v>0</v>
      </c>
      <c r="G45" s="88"/>
      <c r="H45" s="89" t="s">
        <v>0</v>
      </c>
      <c r="I45" s="89" t="s">
        <v>0</v>
      </c>
      <c r="J45" s="88"/>
      <c r="K45" s="88"/>
      <c r="L45" s="90"/>
      <c r="M45" s="89" t="s">
        <v>0</v>
      </c>
      <c r="N45" s="88"/>
      <c r="O45" s="139" t="s">
        <v>0</v>
      </c>
      <c r="P45" s="88"/>
      <c r="Q45" s="88" t="s">
        <v>0</v>
      </c>
      <c r="R45" s="117"/>
      <c r="S45" s="91"/>
      <c r="T45" s="60"/>
      <c r="U45" s="1"/>
      <c r="V45" s="1"/>
      <c r="W45" s="1"/>
      <c r="X45" s="1"/>
      <c r="Y45" s="1"/>
      <c r="Z45" s="1"/>
      <c r="AA45" s="1"/>
      <c r="AB45" s="1"/>
      <c r="AC45" s="1"/>
      <c r="AD45" s="1"/>
      <c r="AE45" s="1"/>
      <c r="AF45" s="1"/>
      <c r="AG45" s="1"/>
      <c r="AH45" s="1"/>
      <c r="AI45" s="1"/>
      <c r="AJ45" s="1"/>
      <c r="AK45" s="1"/>
      <c r="AL45" s="1"/>
      <c r="AM45" s="1"/>
      <c r="AN45" s="1"/>
      <c r="AO45" s="1"/>
      <c r="AP45" s="1"/>
      <c r="AQ45" s="1"/>
    </row>
    <row r="46" spans="1:43">
      <c r="A46" s="183" t="s">
        <v>288</v>
      </c>
      <c r="B46" s="88"/>
      <c r="C46" s="88"/>
      <c r="D46" s="88"/>
      <c r="E46" s="100" t="s">
        <v>0</v>
      </c>
      <c r="F46" s="89" t="s">
        <v>0</v>
      </c>
      <c r="G46" s="88"/>
      <c r="H46" s="89" t="s">
        <v>0</v>
      </c>
      <c r="I46" s="89" t="s">
        <v>0</v>
      </c>
      <c r="J46" s="88"/>
      <c r="K46" s="88"/>
      <c r="L46" s="90"/>
      <c r="M46" s="89" t="s">
        <v>0</v>
      </c>
      <c r="N46" s="88"/>
      <c r="O46" s="139" t="s">
        <v>0</v>
      </c>
      <c r="P46" s="88"/>
      <c r="Q46" s="88" t="s">
        <v>0</v>
      </c>
      <c r="R46" s="117"/>
      <c r="S46" s="91"/>
      <c r="T46" s="60"/>
      <c r="U46" s="1"/>
      <c r="V46" s="1"/>
      <c r="W46" s="1"/>
      <c r="X46" s="1"/>
      <c r="Y46" s="1"/>
      <c r="Z46" s="1"/>
      <c r="AA46" s="1"/>
      <c r="AB46" s="1"/>
      <c r="AC46" s="1"/>
      <c r="AD46" s="1"/>
      <c r="AE46" s="1"/>
      <c r="AF46" s="1"/>
      <c r="AG46" s="1"/>
      <c r="AH46" s="1"/>
      <c r="AI46" s="1"/>
      <c r="AJ46" s="1"/>
      <c r="AK46" s="1"/>
      <c r="AL46" s="1"/>
      <c r="AM46" s="1"/>
      <c r="AN46" s="1"/>
      <c r="AO46" s="1"/>
      <c r="AP46" s="1"/>
      <c r="AQ46" s="1"/>
    </row>
    <row r="47" spans="1:43">
      <c r="A47" s="1" t="s">
        <v>289</v>
      </c>
      <c r="B47" s="88">
        <f>+bichvar!L47</f>
        <v>5000</v>
      </c>
      <c r="C47" s="88">
        <f>+bidcvar!L47</f>
        <v>90145.2</v>
      </c>
      <c r="D47" s="88">
        <f>+'bmhvar '!L47</f>
        <v>33469</v>
      </c>
      <c r="E47" s="88">
        <f>+bncvar!L47</f>
        <v>25000</v>
      </c>
      <c r="F47" s="88">
        <f>+bphvar!L47</f>
        <v>5000</v>
      </c>
      <c r="G47" s="88">
        <f>+buhvar!L47</f>
        <v>36960</v>
      </c>
      <c r="H47" s="88">
        <f>+promobkvar!L47</f>
        <v>43960</v>
      </c>
      <c r="I47" s="88">
        <f>+socabkvar!L47</f>
        <v>70216.800000000003</v>
      </c>
      <c r="J47" s="88">
        <f>+sogebkvar!L47</f>
        <v>150000</v>
      </c>
      <c r="K47" s="88">
        <f>+unibkvar!L47</f>
        <v>79900.100000000006</v>
      </c>
      <c r="L47" s="90">
        <f>SUM(B47:K47)</f>
        <v>539651.1</v>
      </c>
      <c r="M47" s="88">
        <f>+capitalbkvar!L47</f>
        <v>77570</v>
      </c>
      <c r="N47" s="88">
        <f>+sgbelvar!L47</f>
        <v>7500</v>
      </c>
      <c r="O47" s="139">
        <f>SUM(M47:N47)</f>
        <v>85070</v>
      </c>
      <c r="P47" s="88">
        <f>+cbnavar!L47</f>
        <v>5000</v>
      </c>
      <c r="Q47" s="88">
        <f>+scotiavar!L47</f>
        <v>5000</v>
      </c>
      <c r="R47" s="117">
        <f>SUM(P47:Q47)</f>
        <v>10000</v>
      </c>
      <c r="S47" s="91">
        <f>+L47+O47+R47</f>
        <v>634721.1</v>
      </c>
      <c r="T47" s="60"/>
      <c r="U47" s="1"/>
      <c r="V47" s="1"/>
      <c r="W47" s="1"/>
      <c r="X47" s="1"/>
      <c r="Y47" s="1"/>
      <c r="Z47" s="1"/>
      <c r="AA47" s="1"/>
      <c r="AB47" s="1"/>
      <c r="AC47" s="1"/>
      <c r="AD47" s="1"/>
      <c r="AE47" s="1"/>
      <c r="AF47" s="1"/>
      <c r="AG47" s="1"/>
      <c r="AH47" s="1"/>
      <c r="AI47" s="1"/>
      <c r="AJ47" s="1"/>
      <c r="AK47" s="1"/>
      <c r="AL47" s="1"/>
      <c r="AM47" s="1"/>
      <c r="AN47" s="1"/>
      <c r="AO47" s="1"/>
      <c r="AP47" s="1"/>
      <c r="AQ47" s="1"/>
    </row>
    <row r="48" spans="1:43">
      <c r="A48" s="1" t="s">
        <v>290</v>
      </c>
      <c r="B48" s="88">
        <f>+bichvar!L48</f>
        <v>160.80000000000001</v>
      </c>
      <c r="C48" s="88">
        <f>+bidcvar!L48</f>
        <v>2500</v>
      </c>
      <c r="D48" s="88">
        <f>+'bmhvar '!L48</f>
        <v>0</v>
      </c>
      <c r="E48" s="88">
        <f>+bncvar!L48</f>
        <v>134709</v>
      </c>
      <c r="F48" s="88">
        <f>+bphvar!L48</f>
        <v>838.3</v>
      </c>
      <c r="G48" s="88">
        <f>+buhvar!L48</f>
        <v>0</v>
      </c>
      <c r="H48" s="88">
        <f>+promobkvar!L48</f>
        <v>6537</v>
      </c>
      <c r="I48" s="88">
        <f>+socabkvar!L48</f>
        <v>2246.1</v>
      </c>
      <c r="J48" s="88">
        <f>+sogebkvar!L48</f>
        <v>18467</v>
      </c>
      <c r="K48" s="88">
        <f>+unibkvar!L48</f>
        <v>7587.9</v>
      </c>
      <c r="L48" s="90">
        <f>SUM(B48:K48)</f>
        <v>173046.09999999998</v>
      </c>
      <c r="M48" s="88">
        <f>+capitalbkvar!L48</f>
        <v>903</v>
      </c>
      <c r="N48" s="88">
        <f>+sgbelvar!L48</f>
        <v>2149.1999999999998</v>
      </c>
      <c r="O48" s="139">
        <f>SUM(M48:N48)</f>
        <v>3052.2</v>
      </c>
      <c r="P48" s="88">
        <f>+cbnavar!L48</f>
        <v>2500</v>
      </c>
      <c r="Q48" s="88">
        <f>+scotiavar!L48</f>
        <v>2500</v>
      </c>
      <c r="R48" s="117">
        <f>SUM(P48:Q48)</f>
        <v>5000</v>
      </c>
      <c r="S48" s="91">
        <f>+L48+O48+R48</f>
        <v>181098.3</v>
      </c>
      <c r="T48" s="60"/>
      <c r="U48" s="1"/>
      <c r="V48" s="1"/>
      <c r="W48" s="1"/>
      <c r="X48" s="1"/>
      <c r="Y48" s="1"/>
      <c r="Z48" s="1"/>
      <c r="AA48" s="1"/>
      <c r="AB48" s="1"/>
      <c r="AC48" s="1"/>
      <c r="AD48" s="1"/>
      <c r="AE48" s="1"/>
      <c r="AF48" s="1"/>
      <c r="AG48" s="1"/>
      <c r="AH48" s="1"/>
      <c r="AI48" s="1"/>
      <c r="AJ48" s="1"/>
      <c r="AK48" s="1"/>
      <c r="AL48" s="1"/>
      <c r="AM48" s="1"/>
      <c r="AN48" s="1"/>
      <c r="AO48" s="1"/>
      <c r="AP48" s="1"/>
      <c r="AQ48" s="1"/>
    </row>
    <row r="49" spans="1:43">
      <c r="A49" s="1" t="s">
        <v>291</v>
      </c>
      <c r="B49" s="88">
        <f>+bichvar!L49</f>
        <v>0</v>
      </c>
      <c r="C49" s="88">
        <f>+bidcvar!L49</f>
        <v>4253.2</v>
      </c>
      <c r="D49" s="88">
        <f>+'bmhvar '!L49</f>
        <v>0</v>
      </c>
      <c r="E49" s="88">
        <f>+bncvar!L49</f>
        <v>0</v>
      </c>
      <c r="F49" s="88">
        <f>+bphvar!L49</f>
        <v>0</v>
      </c>
      <c r="G49" s="88">
        <f>+buhvar!L49</f>
        <v>12868</v>
      </c>
      <c r="H49" s="88">
        <f>+promobkvar!L49</f>
        <v>20462</v>
      </c>
      <c r="I49" s="88">
        <f>+socabkvar!L49</f>
        <v>0</v>
      </c>
      <c r="J49" s="88">
        <f>+sogebkvar!L49</f>
        <v>0</v>
      </c>
      <c r="K49" s="88">
        <f>+unibkvar!L49</f>
        <v>392.2</v>
      </c>
      <c r="L49" s="90">
        <f>SUM(B49:K49)</f>
        <v>37975.399999999994</v>
      </c>
      <c r="M49" s="88">
        <f>+capitalbkvar!L49</f>
        <v>363</v>
      </c>
      <c r="N49" s="88">
        <f>+sgbelvar!L49</f>
        <v>0</v>
      </c>
      <c r="O49" s="139">
        <f>SUM(M49:N49)</f>
        <v>363</v>
      </c>
      <c r="P49" s="88">
        <f>+cbnavar!L49</f>
        <v>0</v>
      </c>
      <c r="Q49" s="88">
        <f>+scotiavar!L49</f>
        <v>0</v>
      </c>
      <c r="R49" s="117">
        <f>SUM(P49:Q49)</f>
        <v>0</v>
      </c>
      <c r="S49" s="91">
        <f>+L49+O49+R49</f>
        <v>38338.399999999994</v>
      </c>
      <c r="T49" s="60"/>
      <c r="U49" s="1"/>
      <c r="V49" s="1"/>
      <c r="W49" s="1"/>
      <c r="X49" s="1"/>
      <c r="Y49" s="1"/>
      <c r="Z49" s="1"/>
      <c r="AA49" s="1"/>
      <c r="AB49" s="1"/>
      <c r="AC49" s="1"/>
      <c r="AD49" s="1"/>
      <c r="AE49" s="1"/>
      <c r="AF49" s="1"/>
      <c r="AG49" s="1"/>
      <c r="AH49" s="1"/>
      <c r="AI49" s="1"/>
      <c r="AJ49" s="1"/>
      <c r="AK49" s="1"/>
      <c r="AL49" s="1"/>
      <c r="AM49" s="1"/>
      <c r="AN49" s="1"/>
      <c r="AO49" s="1"/>
      <c r="AP49" s="1"/>
      <c r="AQ49" s="1"/>
    </row>
    <row r="50" spans="1:43" ht="17.25">
      <c r="A50" s="1" t="s">
        <v>292</v>
      </c>
      <c r="B50" s="221">
        <f>+bichvar!L50</f>
        <v>501</v>
      </c>
      <c r="C50" s="221">
        <f>+bidcvar!L50</f>
        <v>-15714.300000000001</v>
      </c>
      <c r="D50" s="221">
        <f>+'bmhvar '!L50</f>
        <v>-8066.5</v>
      </c>
      <c r="E50" s="221">
        <f>+bncvar!L50</f>
        <v>-45915</v>
      </c>
      <c r="F50" s="221">
        <f>+bphvar!L50</f>
        <v>19054.599999999999</v>
      </c>
      <c r="G50" s="221">
        <f>+buhvar!L50</f>
        <v>38851</v>
      </c>
      <c r="H50" s="221">
        <f>+promobkvar!L50</f>
        <v>17208</v>
      </c>
      <c r="I50" s="221">
        <f>+socabkvar!L50</f>
        <v>11002</v>
      </c>
      <c r="J50" s="221">
        <f>+sogebkvar!L50</f>
        <v>59505</v>
      </c>
      <c r="K50" s="1090">
        <f>+unibkvar!L50</f>
        <v>50491.1</v>
      </c>
      <c r="L50" s="286">
        <f>SUM(B50:K50)</f>
        <v>126916.9</v>
      </c>
      <c r="M50" s="221">
        <f>+capitalbkvar!L50</f>
        <v>23691</v>
      </c>
      <c r="N50" s="1090">
        <f>+sgbelvar!L50</f>
        <v>19799.800000000003</v>
      </c>
      <c r="O50" s="287">
        <f>SUM(M50:N50)</f>
        <v>43490.8</v>
      </c>
      <c r="P50" s="221">
        <f>+cbnavar!L50</f>
        <v>3321</v>
      </c>
      <c r="Q50" s="1090">
        <f>+scotiavar!L50</f>
        <v>7019</v>
      </c>
      <c r="R50" s="286">
        <f>SUM(P50:Q50)</f>
        <v>10340</v>
      </c>
      <c r="S50" s="288">
        <f>+L50+O50+R50</f>
        <v>180747.7</v>
      </c>
      <c r="T50" s="60"/>
      <c r="U50" s="66"/>
      <c r="V50" s="66"/>
      <c r="W50" s="66"/>
      <c r="X50" s="1"/>
      <c r="Y50" s="1"/>
      <c r="Z50" s="1"/>
      <c r="AA50" s="1"/>
      <c r="AB50" s="1"/>
      <c r="AC50" s="1"/>
      <c r="AD50" s="1"/>
      <c r="AE50" s="1"/>
      <c r="AF50" s="1"/>
      <c r="AG50" s="1"/>
      <c r="AH50" s="1"/>
      <c r="AI50" s="1"/>
      <c r="AJ50" s="1"/>
      <c r="AK50" s="1"/>
      <c r="AL50" s="1"/>
      <c r="AM50" s="1"/>
      <c r="AN50" s="1"/>
      <c r="AO50" s="1"/>
      <c r="AP50" s="1"/>
      <c r="AQ50" s="1"/>
    </row>
    <row r="51" spans="1:43" ht="16.5" thickBot="1">
      <c r="A51" s="1" t="s">
        <v>275</v>
      </c>
      <c r="B51" s="99">
        <f>SUM(B47:B50)</f>
        <v>5661.8</v>
      </c>
      <c r="C51" s="99">
        <f>SUM(C47:C50)</f>
        <v>81184.099999999991</v>
      </c>
      <c r="D51" s="99">
        <f>SUM(D47:D50)</f>
        <v>25402.5</v>
      </c>
      <c r="E51" s="99">
        <f t="shared" ref="E51:K51" si="11">SUM(E47:E50)</f>
        <v>113794</v>
      </c>
      <c r="F51" s="99">
        <f t="shared" si="11"/>
        <v>24892.899999999998</v>
      </c>
      <c r="G51" s="99">
        <f t="shared" si="11"/>
        <v>88679</v>
      </c>
      <c r="H51" s="99">
        <f t="shared" si="11"/>
        <v>88167</v>
      </c>
      <c r="I51" s="99">
        <f t="shared" si="11"/>
        <v>83464.900000000009</v>
      </c>
      <c r="J51" s="99">
        <f t="shared" si="11"/>
        <v>227972</v>
      </c>
      <c r="K51" s="99">
        <f t="shared" si="11"/>
        <v>138371.29999999999</v>
      </c>
      <c r="L51" s="97">
        <f>SUM(B51:K51)</f>
        <v>877589.5</v>
      </c>
      <c r="M51" s="99">
        <f t="shared" ref="M51:S51" si="12">SUM(M47:M50)</f>
        <v>102527</v>
      </c>
      <c r="N51" s="99">
        <f t="shared" si="12"/>
        <v>29449.000000000004</v>
      </c>
      <c r="O51" s="296">
        <f t="shared" si="12"/>
        <v>131976</v>
      </c>
      <c r="P51" s="99">
        <f t="shared" si="12"/>
        <v>10821</v>
      </c>
      <c r="Q51" s="99">
        <f t="shared" si="12"/>
        <v>14519</v>
      </c>
      <c r="R51" s="119">
        <f t="shared" si="12"/>
        <v>25340</v>
      </c>
      <c r="S51" s="96">
        <f t="shared" si="12"/>
        <v>1034905.5</v>
      </c>
      <c r="T51" s="60"/>
      <c r="U51" s="1"/>
      <c r="V51" s="1"/>
      <c r="W51" s="1"/>
      <c r="X51" s="1"/>
      <c r="Y51" s="1"/>
      <c r="Z51" s="1"/>
      <c r="AA51" s="1"/>
      <c r="AB51" s="1"/>
      <c r="AC51" s="1"/>
      <c r="AD51" s="1"/>
      <c r="AE51" s="1"/>
      <c r="AF51" s="1"/>
      <c r="AG51" s="1"/>
      <c r="AH51" s="1"/>
      <c r="AI51" s="1"/>
      <c r="AJ51" s="1"/>
      <c r="AK51" s="1"/>
      <c r="AL51" s="1"/>
      <c r="AM51" s="1"/>
      <c r="AN51" s="1"/>
      <c r="AO51" s="1"/>
      <c r="AP51" s="1"/>
      <c r="AQ51" s="1"/>
    </row>
    <row r="52" spans="1:43">
      <c r="A52" s="1" t="s">
        <v>0</v>
      </c>
      <c r="B52" s="91">
        <f>+B29+B35+B41+B43+B51-0.1</f>
        <v>10221.499999999998</v>
      </c>
      <c r="C52" s="91">
        <f>+C29+C35+C41+C43+C51</f>
        <v>1313005.7</v>
      </c>
      <c r="D52" s="91">
        <f>+D29+D35+D41+D43+D51</f>
        <v>59863.200000000004</v>
      </c>
      <c r="E52" s="91">
        <f>+E29+E35+E41+E43+E51-0.1</f>
        <v>1857038.9</v>
      </c>
      <c r="F52" s="91">
        <f>+F29+F35+F41+F43+F51-0.1</f>
        <v>756731.8</v>
      </c>
      <c r="G52" s="91">
        <f t="shared" ref="G52:R52" si="13">+G29+G35+G41+G43+G51</f>
        <v>1804916</v>
      </c>
      <c r="H52" s="91">
        <f t="shared" si="13"/>
        <v>1333543</v>
      </c>
      <c r="I52" s="91">
        <f t="shared" si="13"/>
        <v>1499702.6</v>
      </c>
      <c r="J52" s="91">
        <f>+J29+J35+J41+J43+J51-0.1</f>
        <v>3732346.9</v>
      </c>
      <c r="K52" s="91">
        <f t="shared" si="13"/>
        <v>2848935.6999999997</v>
      </c>
      <c r="L52" s="90">
        <f t="shared" si="13"/>
        <v>15216305.700000001</v>
      </c>
      <c r="M52" s="91">
        <f t="shared" si="13"/>
        <v>688033</v>
      </c>
      <c r="N52" s="91">
        <f t="shared" si="13"/>
        <v>445157</v>
      </c>
      <c r="O52" s="117">
        <f t="shared" si="13"/>
        <v>1133190</v>
      </c>
      <c r="P52" s="91">
        <f t="shared" si="13"/>
        <v>1104605</v>
      </c>
      <c r="Q52" s="91">
        <f t="shared" si="13"/>
        <v>756337</v>
      </c>
      <c r="R52" s="117">
        <f t="shared" si="13"/>
        <v>1860942</v>
      </c>
      <c r="S52" s="91">
        <f>(+S29+S35+S41+S43+S51)</f>
        <v>18210437.699999999</v>
      </c>
      <c r="T52" s="60"/>
      <c r="U52" s="1"/>
      <c r="V52" s="1"/>
      <c r="W52" s="1"/>
      <c r="X52" s="1"/>
      <c r="Y52" s="1"/>
      <c r="Z52" s="1"/>
      <c r="AA52" s="1"/>
      <c r="AB52" s="1"/>
      <c r="AC52" s="1"/>
      <c r="AD52" s="1"/>
      <c r="AE52" s="1"/>
      <c r="AF52" s="1"/>
      <c r="AG52" s="1"/>
      <c r="AH52" s="1"/>
      <c r="AI52" s="1"/>
      <c r="AJ52" s="1"/>
      <c r="AK52" s="1"/>
      <c r="AL52" s="1"/>
      <c r="AM52" s="1"/>
      <c r="AN52" s="1"/>
      <c r="AO52" s="1"/>
      <c r="AP52" s="1"/>
      <c r="AQ52" s="1"/>
    </row>
    <row r="53" spans="1:43">
      <c r="A53" s="1"/>
      <c r="B53" s="60"/>
      <c r="C53" s="60"/>
      <c r="D53" s="60"/>
      <c r="E53" s="61"/>
      <c r="F53" s="61"/>
      <c r="G53" s="60"/>
      <c r="H53" s="61"/>
      <c r="I53" s="61"/>
      <c r="J53" s="60"/>
      <c r="K53" s="60"/>
      <c r="L53" s="60"/>
      <c r="M53" s="61"/>
      <c r="N53" s="60"/>
      <c r="O53" s="61"/>
      <c r="P53" s="60"/>
      <c r="Q53" s="61"/>
      <c r="R53" s="60"/>
      <c r="S53" s="60"/>
      <c r="T53" s="60"/>
      <c r="U53" s="1"/>
      <c r="V53" s="1"/>
      <c r="W53" s="1"/>
      <c r="X53" s="1"/>
      <c r="Y53" s="1"/>
      <c r="Z53" s="1"/>
      <c r="AA53" s="1"/>
      <c r="AB53" s="1"/>
      <c r="AC53" s="1"/>
      <c r="AD53" s="1"/>
      <c r="AE53" s="1"/>
      <c r="AF53" s="1"/>
      <c r="AG53" s="1"/>
      <c r="AH53" s="1"/>
      <c r="AI53" s="1"/>
      <c r="AJ53" s="1"/>
      <c r="AK53" s="1"/>
      <c r="AL53" s="1"/>
      <c r="AM53" s="1"/>
      <c r="AN53" s="1"/>
      <c r="AO53" s="1"/>
      <c r="AP53" s="1"/>
      <c r="AQ53" s="1"/>
    </row>
    <row r="54" spans="1:43">
      <c r="A54" s="1"/>
      <c r="B54" s="60"/>
      <c r="C54" s="60"/>
      <c r="D54" s="60"/>
      <c r="E54" s="61"/>
      <c r="F54" s="61"/>
      <c r="G54" s="60"/>
      <c r="H54" s="61"/>
      <c r="I54" s="61"/>
      <c r="J54" s="60"/>
      <c r="K54" s="60"/>
      <c r="L54" s="60"/>
      <c r="M54" s="61"/>
      <c r="N54" s="60"/>
      <c r="O54" s="61"/>
      <c r="P54" s="60"/>
      <c r="Q54" s="61"/>
      <c r="R54" s="60"/>
      <c r="S54" s="60"/>
      <c r="T54" s="60"/>
      <c r="U54" s="1"/>
      <c r="V54" s="1"/>
      <c r="W54" s="1"/>
      <c r="X54" s="1"/>
      <c r="Y54" s="1"/>
      <c r="Z54" s="1"/>
      <c r="AA54" s="1"/>
      <c r="AB54" s="1"/>
      <c r="AC54" s="1"/>
      <c r="AD54" s="1"/>
      <c r="AE54" s="1"/>
      <c r="AF54" s="1"/>
      <c r="AG54" s="1"/>
      <c r="AH54" s="1"/>
      <c r="AI54" s="1"/>
      <c r="AJ54" s="1"/>
      <c r="AK54" s="1"/>
      <c r="AL54" s="1"/>
      <c r="AM54" s="1"/>
      <c r="AN54" s="1"/>
      <c r="AO54" s="1"/>
      <c r="AP54" s="1"/>
      <c r="AQ54" s="1"/>
    </row>
    <row r="55" spans="1:43">
      <c r="A55" s="185" t="s">
        <v>293</v>
      </c>
      <c r="B55"/>
      <c r="C55"/>
      <c r="D55"/>
      <c r="E55"/>
      <c r="F55"/>
      <c r="G55"/>
      <c r="H55"/>
      <c r="I55"/>
      <c r="J55"/>
      <c r="K55"/>
      <c r="L55"/>
      <c r="M55"/>
      <c r="N55"/>
      <c r="O55"/>
      <c r="P55"/>
      <c r="Q55"/>
      <c r="R55" s="60"/>
      <c r="S55" s="60"/>
      <c r="T55" s="60"/>
      <c r="U55" s="1"/>
      <c r="V55" s="1"/>
      <c r="W55" s="1"/>
      <c r="X55" s="1"/>
      <c r="Y55" s="1"/>
      <c r="Z55" s="1"/>
      <c r="AA55" s="1"/>
      <c r="AB55" s="1"/>
      <c r="AC55" s="1"/>
      <c r="AD55" s="1"/>
      <c r="AE55" s="1"/>
      <c r="AF55" s="1"/>
      <c r="AG55" s="1"/>
      <c r="AH55" s="1"/>
      <c r="AI55" s="1"/>
      <c r="AJ55" s="1"/>
      <c r="AK55" s="1"/>
      <c r="AL55" s="1"/>
      <c r="AM55" s="1"/>
      <c r="AN55" s="1"/>
      <c r="AO55" s="1"/>
      <c r="AP55" s="1"/>
      <c r="AQ55" s="1"/>
    </row>
    <row r="56" spans="1:43">
      <c r="A56" t="s">
        <v>407</v>
      </c>
      <c r="B56" s="88">
        <f>+bichvar!L56</f>
        <v>0</v>
      </c>
      <c r="C56" s="88">
        <f>+bidcvar!L56</f>
        <v>2360.5</v>
      </c>
      <c r="D56" s="88">
        <f>+'bmhvar '!L56</f>
        <v>0</v>
      </c>
      <c r="E56" s="88">
        <f>+bncvar!L56</f>
        <v>0</v>
      </c>
      <c r="F56" s="88">
        <f>+bphvar!L56</f>
        <v>0</v>
      </c>
      <c r="G56" s="88">
        <f>+buhvar!L56</f>
        <v>53</v>
      </c>
      <c r="H56" s="88">
        <f>+promobkvar!L56</f>
        <v>3755</v>
      </c>
      <c r="I56" s="88">
        <f>+socabkvar!L56</f>
        <v>0</v>
      </c>
      <c r="J56" s="88">
        <f>+sogebkvar!L56</f>
        <v>109417</v>
      </c>
      <c r="K56" s="88">
        <f>+unibkvar!L56</f>
        <v>3994.2</v>
      </c>
      <c r="L56" s="90">
        <f>SUM(B56:K56)</f>
        <v>119579.7</v>
      </c>
      <c r="M56" s="88">
        <f>+capitalbkvar!L56</f>
        <v>0</v>
      </c>
      <c r="N56" s="88">
        <f>+sgbelvar!L56</f>
        <v>0</v>
      </c>
      <c r="O56" s="139">
        <f>SUM(M56:N56)</f>
        <v>0</v>
      </c>
      <c r="P56" s="88">
        <f>+cbnavar!L56</f>
        <v>4020</v>
      </c>
      <c r="Q56" s="88">
        <f>+scotiavar!L56</f>
        <v>0</v>
      </c>
      <c r="R56" s="117">
        <f>SUM(P56:Q56)</f>
        <v>4020</v>
      </c>
      <c r="S56" s="91">
        <f>+L56+O56+R56</f>
        <v>123599.7</v>
      </c>
      <c r="T56" s="60"/>
      <c r="U56" s="1"/>
      <c r="V56" s="1"/>
      <c r="W56" s="1"/>
      <c r="X56" s="1"/>
      <c r="Y56" s="1"/>
      <c r="Z56" s="1"/>
      <c r="AA56" s="1"/>
      <c r="AB56" s="1"/>
      <c r="AC56" s="1"/>
      <c r="AD56" s="1"/>
      <c r="AE56" s="1"/>
      <c r="AF56" s="1"/>
      <c r="AG56" s="1"/>
      <c r="AH56" s="1"/>
      <c r="AI56" s="1"/>
      <c r="AJ56" s="1"/>
      <c r="AK56" s="1"/>
      <c r="AL56" s="1"/>
      <c r="AM56" s="1"/>
      <c r="AN56" s="1"/>
      <c r="AO56" s="1"/>
      <c r="AP56" s="1"/>
      <c r="AQ56" s="1"/>
    </row>
    <row r="57" spans="1:43">
      <c r="A57" t="s">
        <v>408</v>
      </c>
      <c r="B57" s="88">
        <f>+bichvar!L57</f>
        <v>0</v>
      </c>
      <c r="C57" s="88">
        <f>+bidcvar!L57</f>
        <v>13711.8</v>
      </c>
      <c r="D57" s="88">
        <f>+'bmhvar '!L57</f>
        <v>0</v>
      </c>
      <c r="E57" s="88">
        <f>+bncvar!L57</f>
        <v>0</v>
      </c>
      <c r="F57" s="88">
        <f>+bphvar!L57</f>
        <v>0</v>
      </c>
      <c r="G57" s="88">
        <f>+buhvar!L57</f>
        <v>0</v>
      </c>
      <c r="H57" s="88">
        <f>+promobkvar!L57</f>
        <v>5182</v>
      </c>
      <c r="I57" s="88">
        <f>+socabkvar!L57</f>
        <v>0</v>
      </c>
      <c r="J57" s="88">
        <f>+sogebkvar!L57</f>
        <v>90017</v>
      </c>
      <c r="K57" s="88">
        <f>+unibkvar!L57</f>
        <v>101487.3</v>
      </c>
      <c r="L57" s="90">
        <f>SUM(B57:K57)</f>
        <v>210398.1</v>
      </c>
      <c r="M57" s="88">
        <f>+capitalbkvar!L57</f>
        <v>0</v>
      </c>
      <c r="N57" s="88">
        <f>+sgbelvar!L57</f>
        <v>0</v>
      </c>
      <c r="O57" s="139">
        <f>SUM(M57:N57)</f>
        <v>0</v>
      </c>
      <c r="P57" s="88">
        <f>+cbnavar!L57</f>
        <v>29314</v>
      </c>
      <c r="Q57" s="88">
        <f>+scotiavar!L57</f>
        <v>0</v>
      </c>
      <c r="R57" s="117">
        <f>SUM(P57:Q57)</f>
        <v>29314</v>
      </c>
      <c r="S57" s="91">
        <f>+L57+O57+R57</f>
        <v>239712.1</v>
      </c>
      <c r="T57" s="60"/>
      <c r="U57" s="1"/>
      <c r="V57" s="1"/>
      <c r="W57" s="1"/>
      <c r="X57" s="1"/>
      <c r="Y57" s="1"/>
      <c r="Z57" s="1"/>
      <c r="AA57" s="1"/>
      <c r="AB57" s="1"/>
      <c r="AC57" s="1"/>
      <c r="AD57" s="1"/>
      <c r="AE57" s="1"/>
      <c r="AF57" s="1"/>
      <c r="AG57" s="1"/>
      <c r="AH57" s="1"/>
      <c r="AI57" s="1"/>
      <c r="AJ57" s="1"/>
      <c r="AK57" s="1"/>
      <c r="AL57" s="1"/>
      <c r="AM57" s="1"/>
      <c r="AN57" s="1"/>
      <c r="AO57" s="1"/>
      <c r="AP57" s="1"/>
      <c r="AQ57" s="1"/>
    </row>
    <row r="58" spans="1:43">
      <c r="A58" t="s">
        <v>409</v>
      </c>
      <c r="B58" s="88">
        <f>+bichvar!L58</f>
        <v>0</v>
      </c>
      <c r="C58" s="88">
        <f>+bidcvar!L58</f>
        <v>2329.1</v>
      </c>
      <c r="D58" s="88">
        <f>+'bmhvar '!L58</f>
        <v>42.1</v>
      </c>
      <c r="E58" s="88">
        <f>+bncvar!L58</f>
        <v>0</v>
      </c>
      <c r="F58" s="88">
        <f>+bphvar!L58</f>
        <v>12831</v>
      </c>
      <c r="G58" s="88">
        <f>+buhvar!L58</f>
        <v>82812</v>
      </c>
      <c r="H58" s="88">
        <f>+promobkvar!L58</f>
        <v>61116</v>
      </c>
      <c r="I58" s="88">
        <f>+socabkvar!L58</f>
        <v>14382.6</v>
      </c>
      <c r="J58" s="88">
        <f>+sogebkvar!L58</f>
        <v>139348</v>
      </c>
      <c r="K58" s="88">
        <f>+unibkvar!L58</f>
        <v>60147.600000000006</v>
      </c>
      <c r="L58" s="90">
        <f>SUM(B58:K58)</f>
        <v>373008.4</v>
      </c>
      <c r="M58" s="88">
        <f>+capitalbkvar!L58</f>
        <v>29819</v>
      </c>
      <c r="N58" s="88">
        <f>+sgbelvar!L58</f>
        <v>56419.7</v>
      </c>
      <c r="O58" s="139">
        <f>SUM(M58:N58)</f>
        <v>86238.7</v>
      </c>
      <c r="P58" s="88">
        <f>+cbnavar!L58</f>
        <v>202141</v>
      </c>
      <c r="Q58" s="88">
        <f>+scotiavar!L58</f>
        <v>1995</v>
      </c>
      <c r="R58" s="117">
        <f>SUM(P58:Q58)</f>
        <v>204136</v>
      </c>
      <c r="S58" s="91">
        <f>+L58+O58+R58</f>
        <v>663383.10000000009</v>
      </c>
      <c r="T58" s="60"/>
      <c r="U58" s="1"/>
      <c r="V58" s="1"/>
      <c r="W58" s="1"/>
      <c r="X58" s="1"/>
      <c r="Y58" s="1"/>
      <c r="Z58" s="1"/>
      <c r="AA58" s="1"/>
      <c r="AB58" s="1"/>
      <c r="AC58" s="1"/>
      <c r="AD58" s="1"/>
      <c r="AE58" s="1"/>
      <c r="AF58" s="1"/>
      <c r="AG58" s="1"/>
      <c r="AH58" s="1"/>
      <c r="AI58" s="1"/>
      <c r="AJ58" s="1"/>
      <c r="AK58" s="1"/>
      <c r="AL58" s="1"/>
      <c r="AM58" s="1"/>
      <c r="AN58" s="1"/>
      <c r="AO58" s="1"/>
      <c r="AP58" s="1"/>
      <c r="AQ58" s="1"/>
    </row>
    <row r="59" spans="1:43">
      <c r="B59" s="88"/>
      <c r="C59" s="88"/>
      <c r="D59" s="88"/>
      <c r="E59" s="88"/>
      <c r="F59" s="88"/>
      <c r="H59" s="88"/>
      <c r="I59" s="88"/>
      <c r="J59" s="88"/>
      <c r="K59" s="88"/>
      <c r="L59" s="94"/>
      <c r="M59" s="89"/>
      <c r="N59" s="88"/>
      <c r="O59" s="299"/>
      <c r="P59" s="88"/>
      <c r="Q59" s="88"/>
      <c r="R59" s="118"/>
      <c r="S59" s="91"/>
      <c r="T59" s="60"/>
      <c r="U59" s="1"/>
      <c r="V59" s="1"/>
      <c r="W59" s="1"/>
      <c r="X59" s="1"/>
      <c r="Y59" s="1"/>
      <c r="Z59" s="1"/>
      <c r="AA59" s="1"/>
      <c r="AB59" s="1"/>
      <c r="AC59" s="1"/>
      <c r="AD59" s="1"/>
      <c r="AE59" s="1"/>
      <c r="AF59" s="1"/>
      <c r="AG59" s="1"/>
      <c r="AH59" s="1"/>
      <c r="AI59" s="1"/>
      <c r="AJ59" s="1"/>
      <c r="AK59" s="1"/>
      <c r="AL59" s="1"/>
      <c r="AM59" s="1"/>
      <c r="AN59" s="1"/>
      <c r="AO59" s="1"/>
      <c r="AP59" s="1"/>
      <c r="AQ59" s="1"/>
    </row>
    <row r="60" spans="1:43">
      <c r="A60" t="s">
        <v>410</v>
      </c>
      <c r="B60" s="88">
        <f>+bichvar!L60</f>
        <v>3150.3</v>
      </c>
      <c r="C60" s="88">
        <f>+bidcvar!L60</f>
        <v>624668.80000000005</v>
      </c>
      <c r="D60" s="88">
        <f>+'bmhvar '!L60</f>
        <v>7244.4</v>
      </c>
      <c r="E60" s="88">
        <f>+bncvar!L60</f>
        <v>738188</v>
      </c>
      <c r="F60" s="88">
        <f>+bphvar!L60</f>
        <v>288964.7</v>
      </c>
      <c r="G60" s="88">
        <f>+buhvar!L60</f>
        <v>700240</v>
      </c>
      <c r="H60" s="88">
        <f>+promobkvar!L60</f>
        <v>773504</v>
      </c>
      <c r="I60" s="88">
        <f>+socabkvar!L60</f>
        <v>869336.9</v>
      </c>
      <c r="J60" s="88">
        <f>+sogebkvar!L60</f>
        <v>1294742</v>
      </c>
      <c r="K60" s="88">
        <f>+unibkvar!L60</f>
        <v>1262841.3</v>
      </c>
      <c r="L60" s="90">
        <f>SUM(B60:K60)</f>
        <v>6562880.3999999994</v>
      </c>
      <c r="M60" s="88">
        <f>+capitalbkvar!L60</f>
        <v>381362</v>
      </c>
      <c r="N60" s="88">
        <f>+sgbelvar!L60</f>
        <v>304003.90000000002</v>
      </c>
      <c r="O60" s="139">
        <f>SUM(M60:N60)</f>
        <v>685365.9</v>
      </c>
      <c r="P60" s="88">
        <f>+cbnavar!L60</f>
        <v>678131</v>
      </c>
      <c r="Q60" s="88">
        <f>+scotiavar!L60</f>
        <v>441171</v>
      </c>
      <c r="R60" s="117">
        <f>SUM(P60:Q60)</f>
        <v>1119302</v>
      </c>
      <c r="S60" s="91">
        <f>+L60+O60+R60</f>
        <v>8367548.2999999998</v>
      </c>
      <c r="T60" s="60"/>
      <c r="U60" s="1"/>
      <c r="V60" s="1"/>
      <c r="W60" s="1"/>
      <c r="X60" s="1"/>
      <c r="Y60" s="1"/>
      <c r="Z60" s="1"/>
      <c r="AA60" s="1"/>
      <c r="AB60" s="1"/>
      <c r="AC60" s="1"/>
      <c r="AD60" s="1"/>
      <c r="AE60" s="1"/>
      <c r="AF60" s="1"/>
      <c r="AG60" s="1"/>
      <c r="AH60" s="1"/>
      <c r="AI60" s="1"/>
      <c r="AJ60" s="1"/>
      <c r="AK60" s="1"/>
      <c r="AL60" s="1"/>
      <c r="AM60" s="1"/>
      <c r="AN60" s="1"/>
      <c r="AO60" s="1"/>
      <c r="AP60" s="1"/>
      <c r="AQ60" s="1"/>
    </row>
    <row r="61" spans="1:43">
      <c r="A61" s="102" t="s">
        <v>411</v>
      </c>
      <c r="B61" s="88">
        <f>+bichvar!L61</f>
        <v>0</v>
      </c>
      <c r="C61" s="88">
        <f>+bidcvar!L61</f>
        <v>13882.8</v>
      </c>
      <c r="D61" s="88">
        <f>+'bmhvar '!L61</f>
        <v>0</v>
      </c>
      <c r="E61" s="88">
        <f>+bncvar!L61</f>
        <v>144067</v>
      </c>
      <c r="F61" s="88">
        <f>+bphvar!L61</f>
        <v>21411.8</v>
      </c>
      <c r="G61" s="88">
        <f>+buhvar!L61</f>
        <v>37699</v>
      </c>
      <c r="H61" s="88">
        <f>+promobkvar!L61</f>
        <v>78232</v>
      </c>
      <c r="I61" s="88">
        <f>+socabkvar!L61</f>
        <v>16868.599999999999</v>
      </c>
      <c r="J61" s="88">
        <f>+sogebkvar!L61</f>
        <v>38848</v>
      </c>
      <c r="K61" s="88">
        <f>+unibkvar!L61</f>
        <v>13429.5</v>
      </c>
      <c r="L61" s="90">
        <f>SUM(B61:K61)</f>
        <v>364438.69999999995</v>
      </c>
      <c r="M61" s="88">
        <f>+capitalbkvar!L61</f>
        <v>5000</v>
      </c>
      <c r="N61" s="88">
        <f>+sgbelvar!L61</f>
        <v>5215.8</v>
      </c>
      <c r="O61" s="139">
        <f>SUM(M61:N61)</f>
        <v>10215.799999999999</v>
      </c>
      <c r="P61" s="88">
        <f>+cbnavar!L61</f>
        <v>25370</v>
      </c>
      <c r="Q61" s="88">
        <f>+scotiavar!L61</f>
        <v>3827</v>
      </c>
      <c r="R61" s="117">
        <f>SUM(P61:Q61)</f>
        <v>29197</v>
      </c>
      <c r="S61" s="91">
        <f>+L61+O61+R61</f>
        <v>403851.49999999994</v>
      </c>
      <c r="T61" s="60"/>
      <c r="U61" s="1"/>
      <c r="V61" s="1"/>
      <c r="W61" s="1"/>
      <c r="X61" s="1"/>
      <c r="Y61" s="1"/>
      <c r="Z61" s="1"/>
      <c r="AA61" s="1"/>
      <c r="AB61" s="1"/>
      <c r="AC61" s="1"/>
      <c r="AD61" s="1"/>
      <c r="AE61" s="1"/>
      <c r="AF61" s="1"/>
      <c r="AG61" s="1"/>
      <c r="AH61" s="1"/>
      <c r="AI61" s="1"/>
      <c r="AJ61" s="1"/>
      <c r="AK61" s="1"/>
      <c r="AL61" s="1"/>
      <c r="AM61" s="1"/>
      <c r="AN61" s="1"/>
      <c r="AO61" s="1"/>
      <c r="AP61" s="1"/>
      <c r="AQ61" s="1"/>
    </row>
    <row r="62" spans="1:43">
      <c r="A62" t="s">
        <v>412</v>
      </c>
      <c r="B62" s="88">
        <f>+bichvar!L62</f>
        <v>6</v>
      </c>
      <c r="C62" s="88">
        <f>+bidcvar!L62</f>
        <v>37560.300000000003</v>
      </c>
      <c r="D62" s="88">
        <f>+'bmhvar '!L62</f>
        <v>0</v>
      </c>
      <c r="E62" s="88">
        <f>+bncvar!L62</f>
        <v>205307</v>
      </c>
      <c r="F62" s="88">
        <f>+bphvar!L62</f>
        <v>73187.5</v>
      </c>
      <c r="G62" s="88">
        <f>+buhvar!L62</f>
        <v>97310</v>
      </c>
      <c r="H62" s="88">
        <f>+promobkvar!L62</f>
        <v>124910</v>
      </c>
      <c r="I62" s="88">
        <f>+socabkvar!L62</f>
        <v>67253</v>
      </c>
      <c r="J62" s="88">
        <f>+sogebkvar!L62</f>
        <v>49166</v>
      </c>
      <c r="K62" s="88">
        <f>+unibkvar!L62</f>
        <v>9843.9</v>
      </c>
      <c r="L62" s="90">
        <f>SUM(B62:K62)</f>
        <v>664543.70000000007</v>
      </c>
      <c r="M62" s="88">
        <f>+capitalbkvar!L62</f>
        <v>3210</v>
      </c>
      <c r="N62" s="88">
        <f>+sgbelvar!L62</f>
        <v>10515.9</v>
      </c>
      <c r="O62" s="139">
        <f>SUM(M62:N62)</f>
        <v>13725.9</v>
      </c>
      <c r="P62" s="88">
        <f>+cbnavar!L62</f>
        <v>25722</v>
      </c>
      <c r="Q62" s="88">
        <f>+scotiavar!L62</f>
        <v>14620</v>
      </c>
      <c r="R62" s="117">
        <f>SUM(P62:Q62)</f>
        <v>40342</v>
      </c>
      <c r="S62" s="91">
        <f>+L62+O62+R62</f>
        <v>718611.60000000009</v>
      </c>
      <c r="T62" s="60"/>
      <c r="U62" s="1"/>
      <c r="V62" s="1"/>
      <c r="W62" s="1"/>
      <c r="X62" s="1"/>
      <c r="Y62" s="1"/>
      <c r="Z62" s="1"/>
      <c r="AA62" s="1"/>
      <c r="AB62" s="1"/>
      <c r="AC62" s="1"/>
      <c r="AD62" s="1"/>
      <c r="AE62" s="1"/>
      <c r="AF62" s="1"/>
      <c r="AG62" s="1"/>
      <c r="AH62" s="1"/>
      <c r="AI62" s="1"/>
      <c r="AJ62" s="1"/>
      <c r="AK62" s="1"/>
      <c r="AL62" s="1"/>
      <c r="AM62" s="1"/>
      <c r="AN62" s="1"/>
      <c r="AO62" s="1"/>
      <c r="AP62" s="1"/>
      <c r="AQ62" s="1"/>
    </row>
    <row r="63" spans="1:43">
      <c r="B63"/>
      <c r="C63"/>
      <c r="D63"/>
      <c r="E63"/>
      <c r="F63"/>
      <c r="G63"/>
      <c r="H63"/>
      <c r="I63"/>
      <c r="J63"/>
      <c r="K63"/>
      <c r="L63"/>
      <c r="M63"/>
      <c r="N63"/>
      <c r="O63"/>
      <c r="P63"/>
      <c r="Q63"/>
      <c r="R63" s="60"/>
      <c r="S63" s="60"/>
      <c r="T63" s="60"/>
      <c r="U63" s="1"/>
      <c r="V63" s="1"/>
      <c r="W63" s="1"/>
      <c r="X63" s="1"/>
      <c r="Y63" s="1"/>
      <c r="Z63" s="1"/>
      <c r="AA63" s="1"/>
      <c r="AB63" s="1"/>
      <c r="AC63" s="1"/>
      <c r="AD63" s="1"/>
      <c r="AE63" s="1"/>
      <c r="AF63" s="1"/>
      <c r="AG63" s="1"/>
      <c r="AH63" s="1"/>
      <c r="AI63" s="1"/>
      <c r="AJ63" s="1"/>
      <c r="AK63" s="1"/>
      <c r="AL63" s="1"/>
      <c r="AM63" s="1"/>
      <c r="AN63" s="1"/>
      <c r="AO63" s="1"/>
      <c r="AP63" s="1"/>
      <c r="AQ63" s="1"/>
    </row>
    <row r="64" spans="1:43">
      <c r="B64"/>
      <c r="C64"/>
      <c r="D64"/>
      <c r="E64"/>
      <c r="F64"/>
      <c r="G64"/>
      <c r="H64"/>
      <c r="I64"/>
      <c r="J64"/>
      <c r="K64"/>
      <c r="L64"/>
      <c r="M64"/>
      <c r="N64"/>
      <c r="O64"/>
      <c r="P64"/>
      <c r="Q64"/>
      <c r="R64" s="60"/>
      <c r="S64" s="60"/>
      <c r="T64" s="60"/>
      <c r="U64" s="1"/>
      <c r="V64" s="1"/>
      <c r="W64" s="1"/>
      <c r="X64" s="1"/>
      <c r="Y64" s="1"/>
      <c r="Z64" s="1"/>
      <c r="AA64" s="1"/>
      <c r="AB64" s="1"/>
      <c r="AC64" s="1"/>
      <c r="AD64" s="1"/>
      <c r="AE64" s="1"/>
      <c r="AF64" s="1"/>
      <c r="AG64" s="1"/>
      <c r="AH64" s="1"/>
      <c r="AI64" s="1"/>
      <c r="AJ64" s="1"/>
      <c r="AK64" s="1"/>
      <c r="AL64" s="1"/>
      <c r="AM64" s="1"/>
      <c r="AN64" s="1"/>
      <c r="AO64" s="1"/>
      <c r="AP64" s="1"/>
      <c r="AQ64" s="1"/>
    </row>
    <row r="65" spans="1:43">
      <c r="B65"/>
      <c r="C65"/>
      <c r="D65"/>
      <c r="E65"/>
      <c r="F65"/>
      <c r="G65"/>
      <c r="H65"/>
      <c r="I65"/>
      <c r="J65"/>
      <c r="K65"/>
      <c r="L65"/>
      <c r="M65"/>
      <c r="N65"/>
      <c r="O65"/>
      <c r="P65"/>
      <c r="Q65"/>
      <c r="R65" s="60"/>
      <c r="S65" s="60"/>
      <c r="T65" s="60"/>
      <c r="U65" s="1"/>
      <c r="V65" s="1"/>
      <c r="W65" s="1"/>
      <c r="X65" s="1"/>
      <c r="Y65" s="1"/>
      <c r="Z65" s="1"/>
      <c r="AA65" s="1"/>
      <c r="AB65" s="1"/>
      <c r="AC65" s="1"/>
      <c r="AD65" s="1"/>
      <c r="AE65" s="1"/>
      <c r="AF65" s="1"/>
      <c r="AG65" s="1"/>
      <c r="AH65" s="1"/>
      <c r="AI65" s="1"/>
      <c r="AJ65" s="1"/>
      <c r="AK65" s="1"/>
      <c r="AL65" s="1"/>
      <c r="AM65" s="1"/>
      <c r="AN65" s="1"/>
      <c r="AO65" s="1"/>
      <c r="AP65" s="1"/>
      <c r="AQ65" s="1"/>
    </row>
    <row r="66" spans="1:43">
      <c r="B66"/>
      <c r="C66"/>
      <c r="D66"/>
      <c r="E66"/>
      <c r="F66"/>
      <c r="G66"/>
      <c r="H66"/>
      <c r="I66"/>
      <c r="J66"/>
      <c r="K66"/>
      <c r="L66"/>
      <c r="M66"/>
      <c r="N66"/>
      <c r="O66"/>
      <c r="P66"/>
      <c r="Q66"/>
      <c r="R66" s="60"/>
      <c r="S66" s="60"/>
      <c r="T66" s="60"/>
      <c r="U66" s="1"/>
      <c r="V66" s="1"/>
      <c r="W66" s="1"/>
      <c r="X66" s="1"/>
      <c r="Y66" s="1"/>
      <c r="Z66" s="1"/>
      <c r="AA66" s="1"/>
      <c r="AB66" s="1"/>
      <c r="AC66" s="1"/>
      <c r="AD66" s="1"/>
      <c r="AE66" s="1"/>
      <c r="AF66" s="1"/>
      <c r="AG66" s="1"/>
      <c r="AH66" s="1"/>
      <c r="AI66" s="1"/>
      <c r="AJ66" s="1"/>
      <c r="AK66" s="1"/>
      <c r="AL66" s="1"/>
      <c r="AM66" s="1"/>
      <c r="AN66" s="1"/>
      <c r="AO66" s="1"/>
      <c r="AP66" s="1"/>
      <c r="AQ66" s="1"/>
    </row>
    <row r="67" spans="1:43">
      <c r="B67"/>
      <c r="C67"/>
      <c r="D67"/>
      <c r="E67"/>
      <c r="F67"/>
      <c r="G67"/>
      <c r="H67"/>
      <c r="I67"/>
      <c r="J67"/>
      <c r="K67"/>
      <c r="L67"/>
      <c r="M67"/>
      <c r="N67"/>
      <c r="O67"/>
      <c r="P67"/>
      <c r="Q67"/>
      <c r="R67" s="60"/>
      <c r="S67" s="60"/>
      <c r="T67" s="60"/>
      <c r="U67" s="1"/>
      <c r="V67" s="1"/>
      <c r="W67" s="1"/>
      <c r="X67" s="1"/>
      <c r="Y67" s="1"/>
      <c r="Z67" s="1"/>
      <c r="AA67" s="1"/>
      <c r="AB67" s="1"/>
      <c r="AC67" s="1"/>
      <c r="AD67" s="1"/>
      <c r="AE67" s="1"/>
      <c r="AF67" s="1"/>
      <c r="AG67" s="1"/>
      <c r="AH67" s="1"/>
      <c r="AI67" s="1"/>
      <c r="AJ67" s="1"/>
      <c r="AK67" s="1"/>
      <c r="AL67" s="1"/>
      <c r="AM67" s="1"/>
      <c r="AN67" s="1"/>
      <c r="AO67" s="1"/>
      <c r="AP67" s="1"/>
      <c r="AQ67" s="1"/>
    </row>
    <row r="68" spans="1:43">
      <c r="B68" s="16">
        <v>4294.1000000000004</v>
      </c>
      <c r="C68" s="12">
        <v>732769.3</v>
      </c>
      <c r="D68" s="12"/>
      <c r="E68" s="12">
        <v>1383412.1</v>
      </c>
      <c r="F68" s="12">
        <v>350531.6</v>
      </c>
      <c r="G68" s="12">
        <v>1042144.1</v>
      </c>
      <c r="H68" s="12">
        <v>681729.2</v>
      </c>
      <c r="I68" s="12">
        <v>303485.09999999998</v>
      </c>
      <c r="J68" s="12">
        <v>1690133.5</v>
      </c>
      <c r="K68" s="12">
        <v>819036.5</v>
      </c>
      <c r="L68" s="90">
        <f>SUM(B68:K68)</f>
        <v>7007535.5</v>
      </c>
      <c r="M68" s="12">
        <v>232377.04</v>
      </c>
      <c r="N68" s="12">
        <v>267070.8</v>
      </c>
      <c r="O68" s="139">
        <f>SUM(M68:N68)</f>
        <v>499447.83999999997</v>
      </c>
      <c r="P68" s="12">
        <v>372517.7</v>
      </c>
      <c r="Q68" s="12">
        <v>596702.69999999995</v>
      </c>
      <c r="R68" s="117">
        <f>SUM(P68:Q68)</f>
        <v>969220.39999999991</v>
      </c>
      <c r="S68" s="91">
        <f>+L68+O68+R68</f>
        <v>8476203.7400000002</v>
      </c>
      <c r="T68" s="60"/>
      <c r="U68" s="1"/>
      <c r="V68" s="1"/>
      <c r="W68" s="1"/>
      <c r="X68" s="1"/>
      <c r="Y68" s="1"/>
      <c r="Z68" s="1"/>
      <c r="AA68" s="1"/>
      <c r="AB68" s="1"/>
      <c r="AC68" s="1"/>
      <c r="AD68" s="1"/>
      <c r="AE68" s="1"/>
      <c r="AF68" s="1"/>
      <c r="AG68" s="1"/>
      <c r="AH68" s="1"/>
      <c r="AI68" s="1"/>
      <c r="AJ68" s="1"/>
      <c r="AK68" s="1"/>
      <c r="AL68" s="1"/>
      <c r="AM68" s="1"/>
      <c r="AN68" s="1"/>
      <c r="AO68" s="1"/>
      <c r="AP68" s="1"/>
      <c r="AQ68" s="1"/>
    </row>
    <row r="69" spans="1:43">
      <c r="A69" t="s">
        <v>413</v>
      </c>
      <c r="B69" s="12">
        <f>+'bichgdes&amp;$'!B29</f>
        <v>0</v>
      </c>
      <c r="C69" s="12">
        <f>+'bidcgdes&amp;$ '!B29</f>
        <v>0</v>
      </c>
      <c r="D69" s="12"/>
      <c r="E69" s="12">
        <f>+'bncgdes&amp;$ '!B29</f>
        <v>63845</v>
      </c>
      <c r="F69" s="12">
        <f>+'bphgdes&amp;$'!B29</f>
        <v>69658.7</v>
      </c>
      <c r="G69" s="12">
        <f>+'buhgdes&amp;$'!B29</f>
        <v>512195</v>
      </c>
      <c r="H69" s="12">
        <f>+'promobkgdes&amp;$'!B29</f>
        <v>575210</v>
      </c>
      <c r="I69" s="12">
        <f>+'socabkgdes&amp;$ '!B29</f>
        <v>1037123.2000000001</v>
      </c>
      <c r="J69" s="12">
        <f>+'sogebkgdes&amp;$  '!B29</f>
        <v>1435058</v>
      </c>
      <c r="K69" s="12">
        <f>+'unibkgdes&amp;$'!B29</f>
        <v>1623639.9000000001</v>
      </c>
      <c r="L69" s="90">
        <f>SUM(B69:K69)</f>
        <v>5316729.8</v>
      </c>
      <c r="M69" s="12">
        <f>+'capitalbkgdes&amp;$'!B29</f>
        <v>339704</v>
      </c>
      <c r="N69" s="12">
        <f>+'sgbelgdes&amp;$'!B29</f>
        <v>125932.3</v>
      </c>
      <c r="O69" s="139">
        <f>SUM(M69:N69)</f>
        <v>465636.3</v>
      </c>
      <c r="P69" s="12">
        <f>+'cbnagdes&amp;$'!B29</f>
        <v>636523</v>
      </c>
      <c r="Q69" s="12">
        <f>+'scotiagdes&amp;$'!B29</f>
        <v>111867</v>
      </c>
      <c r="R69" s="117">
        <f>SUM(P69:Q69)</f>
        <v>748390</v>
      </c>
      <c r="S69" s="91">
        <f>+L69+O69+R69</f>
        <v>6530756.0999999996</v>
      </c>
      <c r="T69" s="60"/>
      <c r="U69" s="1"/>
      <c r="V69" s="1"/>
      <c r="W69" s="1"/>
      <c r="X69" s="1"/>
      <c r="Y69" s="1"/>
      <c r="Z69" s="1"/>
      <c r="AA69" s="1"/>
      <c r="AB69" s="1"/>
      <c r="AC69" s="1"/>
      <c r="AD69" s="1"/>
      <c r="AE69" s="1"/>
      <c r="AF69" s="1"/>
      <c r="AG69" s="1"/>
      <c r="AH69" s="1"/>
      <c r="AI69" s="1"/>
      <c r="AJ69" s="1"/>
      <c r="AK69" s="1"/>
      <c r="AL69" s="1"/>
      <c r="AM69" s="1"/>
      <c r="AN69" s="1"/>
      <c r="AO69" s="1"/>
      <c r="AP69" s="1"/>
      <c r="AQ69" s="1"/>
    </row>
    <row r="70" spans="1:43">
      <c r="B70"/>
      <c r="C70"/>
      <c r="D70"/>
      <c r="E70"/>
      <c r="F70"/>
      <c r="G70"/>
      <c r="H70"/>
      <c r="I70"/>
      <c r="J70"/>
      <c r="K70"/>
      <c r="L70"/>
      <c r="M70"/>
      <c r="N70"/>
      <c r="O70"/>
      <c r="P70"/>
      <c r="Q70"/>
      <c r="R70" s="60"/>
      <c r="S70" s="60"/>
      <c r="T70" s="60"/>
      <c r="U70" s="1"/>
      <c r="V70" s="1"/>
      <c r="W70" s="1"/>
      <c r="X70" s="1"/>
      <c r="Y70" s="1"/>
      <c r="Z70" s="1"/>
      <c r="AA70" s="1"/>
      <c r="AB70" s="1"/>
      <c r="AC70" s="1"/>
      <c r="AD70" s="1"/>
      <c r="AE70" s="1"/>
      <c r="AF70" s="1"/>
      <c r="AG70" s="1"/>
      <c r="AH70" s="1"/>
      <c r="AI70" s="1"/>
      <c r="AJ70" s="1"/>
      <c r="AK70" s="1"/>
      <c r="AL70" s="1"/>
      <c r="AM70" s="1"/>
      <c r="AN70" s="1"/>
      <c r="AO70" s="1"/>
      <c r="AP70" s="1"/>
      <c r="AQ70" s="1"/>
    </row>
    <row r="71" spans="1:43">
      <c r="B71"/>
      <c r="C71"/>
      <c r="D71"/>
      <c r="E71"/>
      <c r="F71"/>
      <c r="G71"/>
      <c r="H71"/>
      <c r="I71"/>
      <c r="J71"/>
      <c r="K71"/>
      <c r="L71"/>
      <c r="M71"/>
      <c r="N71"/>
      <c r="O71"/>
      <c r="P71"/>
      <c r="Q71"/>
      <c r="R71" s="60"/>
      <c r="S71" s="60"/>
      <c r="T71" s="60"/>
      <c r="U71" s="1"/>
      <c r="V71" s="1"/>
      <c r="W71" s="1"/>
      <c r="X71" s="1"/>
      <c r="Y71" s="1"/>
      <c r="Z71" s="1"/>
      <c r="AA71" s="1"/>
      <c r="AB71" s="1"/>
      <c r="AC71" s="1"/>
      <c r="AD71" s="1"/>
      <c r="AE71" s="1"/>
      <c r="AF71" s="1"/>
      <c r="AG71" s="1"/>
      <c r="AH71" s="1"/>
      <c r="AI71" s="1"/>
      <c r="AJ71" s="1"/>
      <c r="AK71" s="1"/>
      <c r="AL71" s="1"/>
      <c r="AM71" s="1"/>
      <c r="AN71" s="1"/>
      <c r="AO71" s="1"/>
      <c r="AP71" s="1"/>
      <c r="AQ71" s="1"/>
    </row>
    <row r="72" spans="1:43">
      <c r="B72"/>
      <c r="C72"/>
      <c r="D72"/>
      <c r="E72"/>
      <c r="F72"/>
      <c r="G72"/>
      <c r="H72"/>
      <c r="I72"/>
      <c r="J72"/>
      <c r="K72"/>
      <c r="L72"/>
      <c r="M72"/>
      <c r="N72"/>
      <c r="O72"/>
      <c r="P72"/>
      <c r="Q72"/>
      <c r="R72" s="60"/>
      <c r="S72" s="60"/>
      <c r="T72" s="60"/>
      <c r="U72" s="1"/>
      <c r="V72" s="1"/>
      <c r="W72" s="1"/>
      <c r="X72" s="1"/>
      <c r="Y72" s="1"/>
      <c r="Z72" s="1"/>
      <c r="AA72" s="1"/>
      <c r="AB72" s="1"/>
      <c r="AC72" s="1"/>
      <c r="AD72" s="1"/>
      <c r="AE72" s="1"/>
      <c r="AF72" s="1"/>
      <c r="AG72" s="1"/>
      <c r="AH72" s="1"/>
      <c r="AI72" s="1"/>
      <c r="AJ72" s="1"/>
      <c r="AK72" s="1"/>
      <c r="AL72" s="1"/>
      <c r="AM72" s="1"/>
      <c r="AN72" s="1"/>
      <c r="AO72" s="1"/>
      <c r="AP72" s="1"/>
      <c r="AQ72" s="1"/>
    </row>
    <row r="73" spans="1:43">
      <c r="A73" s="18" t="s">
        <v>0</v>
      </c>
      <c r="B73" t="s">
        <v>0</v>
      </c>
      <c r="C73"/>
      <c r="D73"/>
      <c r="E73"/>
      <c r="F73"/>
      <c r="G73"/>
      <c r="H73"/>
      <c r="I73"/>
      <c r="J73"/>
      <c r="K73"/>
      <c r="L73"/>
      <c r="M73"/>
      <c r="N73"/>
      <c r="O73"/>
      <c r="P73"/>
      <c r="Q73"/>
      <c r="R73" s="60"/>
      <c r="S73" s="60"/>
      <c r="T73" s="60"/>
      <c r="U73" s="1"/>
      <c r="V73" s="1"/>
      <c r="W73" s="1"/>
      <c r="X73" s="1"/>
      <c r="Y73" s="1"/>
      <c r="Z73" s="1"/>
      <c r="AA73" s="1"/>
      <c r="AB73" s="1"/>
      <c r="AC73" s="1"/>
      <c r="AD73" s="1"/>
      <c r="AE73" s="1"/>
      <c r="AF73" s="1"/>
      <c r="AG73" s="1"/>
      <c r="AH73" s="1"/>
      <c r="AI73" s="1"/>
      <c r="AJ73" s="1"/>
      <c r="AK73" s="1"/>
      <c r="AL73" s="1"/>
      <c r="AM73" s="1"/>
      <c r="AN73" s="1"/>
      <c r="AO73" s="1"/>
      <c r="AP73" s="1"/>
      <c r="AQ73" s="1"/>
    </row>
    <row r="74" spans="1:43">
      <c r="B74" s="121" t="s">
        <v>0</v>
      </c>
      <c r="C74"/>
      <c r="D74"/>
      <c r="E74"/>
      <c r="F74"/>
      <c r="G74"/>
      <c r="H74"/>
      <c r="I74"/>
      <c r="J74"/>
      <c r="K74"/>
      <c r="L74"/>
      <c r="M74"/>
      <c r="N74"/>
      <c r="O74"/>
      <c r="P74"/>
      <c r="Q74"/>
      <c r="R74" s="60"/>
      <c r="S74" s="60"/>
      <c r="T74" s="60"/>
      <c r="U74" s="1"/>
      <c r="V74" s="1"/>
      <c r="W74" s="1"/>
      <c r="X74" s="1"/>
      <c r="Y74" s="1"/>
      <c r="Z74" s="1"/>
      <c r="AA74" s="1"/>
      <c r="AB74" s="1"/>
      <c r="AC74" s="1"/>
      <c r="AD74" s="1"/>
      <c r="AE74" s="1"/>
      <c r="AF74" s="1"/>
      <c r="AG74" s="1"/>
      <c r="AH74" s="1"/>
      <c r="AI74" s="1"/>
      <c r="AJ74" s="1"/>
      <c r="AK74" s="1"/>
      <c r="AL74" s="1"/>
      <c r="AM74" s="1"/>
      <c r="AN74" s="1"/>
      <c r="AO74" s="1"/>
      <c r="AP74" s="1"/>
      <c r="AQ74" s="1"/>
    </row>
    <row r="75" spans="1:43">
      <c r="B75" s="121" t="s">
        <v>0</v>
      </c>
      <c r="C75"/>
      <c r="D75"/>
      <c r="E75"/>
      <c r="F75"/>
      <c r="G75"/>
      <c r="H75"/>
      <c r="I75"/>
      <c r="J75"/>
      <c r="K75"/>
      <c r="L75"/>
      <c r="M75"/>
      <c r="N75"/>
      <c r="O75"/>
      <c r="P75"/>
      <c r="Q75"/>
      <c r="R75" s="60"/>
      <c r="S75" s="60"/>
      <c r="T75" s="60"/>
      <c r="U75" s="1"/>
      <c r="V75" s="1"/>
      <c r="W75" s="1"/>
      <c r="X75" s="1"/>
      <c r="Y75" s="1"/>
      <c r="Z75" s="1"/>
      <c r="AA75" s="1"/>
      <c r="AB75" s="1"/>
      <c r="AC75" s="1"/>
      <c r="AD75" s="1"/>
      <c r="AE75" s="1"/>
      <c r="AF75" s="1"/>
      <c r="AG75" s="1"/>
      <c r="AH75" s="1"/>
      <c r="AI75" s="1"/>
      <c r="AJ75" s="1"/>
      <c r="AK75" s="1"/>
      <c r="AL75" s="1"/>
      <c r="AM75" s="1"/>
      <c r="AN75" s="1"/>
      <c r="AO75" s="1"/>
      <c r="AP75" s="1"/>
      <c r="AQ75" s="1"/>
    </row>
    <row r="76" spans="1:43">
      <c r="B76" s="121" t="s">
        <v>0</v>
      </c>
      <c r="C76"/>
      <c r="D76"/>
      <c r="E76"/>
      <c r="F76"/>
      <c r="G76"/>
      <c r="H76"/>
      <c r="I76"/>
      <c r="J76"/>
      <c r="K76"/>
      <c r="L76"/>
      <c r="M76"/>
      <c r="N76"/>
      <c r="O76"/>
      <c r="P76"/>
      <c r="Q76"/>
      <c r="R76" s="60"/>
      <c r="S76" s="60"/>
      <c r="T76" s="60"/>
      <c r="U76" s="1"/>
      <c r="V76" s="1"/>
      <c r="W76" s="1"/>
      <c r="X76" s="1"/>
      <c r="Y76" s="1"/>
      <c r="Z76" s="1"/>
      <c r="AA76" s="1"/>
      <c r="AB76" s="1"/>
      <c r="AC76" s="1"/>
      <c r="AD76" s="1"/>
      <c r="AE76" s="1"/>
      <c r="AF76" s="1"/>
      <c r="AG76" s="1"/>
      <c r="AH76" s="1"/>
      <c r="AI76" s="1"/>
      <c r="AJ76" s="1"/>
      <c r="AK76" s="1"/>
      <c r="AL76" s="1"/>
      <c r="AM76" s="1"/>
      <c r="AN76" s="1"/>
      <c r="AO76" s="1"/>
      <c r="AP76" s="1"/>
      <c r="AQ76" s="1"/>
    </row>
    <row r="77" spans="1:43">
      <c r="B77" s="121" t="s">
        <v>0</v>
      </c>
      <c r="C77"/>
      <c r="D77"/>
      <c r="E77"/>
      <c r="F77"/>
      <c r="G77"/>
      <c r="H77"/>
      <c r="I77"/>
      <c r="J77"/>
      <c r="K77"/>
      <c r="L77"/>
      <c r="M77"/>
      <c r="N77"/>
      <c r="O77"/>
      <c r="P77"/>
      <c r="Q77"/>
      <c r="R77" s="60"/>
      <c r="S77" s="60"/>
      <c r="T77" s="60"/>
      <c r="U77" s="1"/>
      <c r="V77" s="1"/>
      <c r="W77" s="1"/>
      <c r="X77" s="1"/>
      <c r="Y77" s="1"/>
      <c r="Z77" s="1"/>
      <c r="AA77" s="1"/>
      <c r="AB77" s="1"/>
      <c r="AC77" s="1"/>
      <c r="AD77" s="1"/>
      <c r="AE77" s="1"/>
      <c r="AF77" s="1"/>
      <c r="AG77" s="1"/>
      <c r="AH77" s="1"/>
      <c r="AI77" s="1"/>
      <c r="AJ77" s="1"/>
      <c r="AK77" s="1"/>
      <c r="AL77" s="1"/>
      <c r="AM77" s="1"/>
      <c r="AN77" s="1"/>
      <c r="AO77" s="1"/>
      <c r="AP77" s="1"/>
      <c r="AQ77" s="1"/>
    </row>
    <row r="78" spans="1:43">
      <c r="B78" s="121" t="s">
        <v>0</v>
      </c>
      <c r="C78"/>
      <c r="D78"/>
      <c r="E78"/>
      <c r="F78"/>
      <c r="G78"/>
      <c r="H78"/>
      <c r="I78"/>
      <c r="J78"/>
      <c r="K78"/>
      <c r="L78"/>
      <c r="M78"/>
      <c r="N78"/>
      <c r="O78"/>
      <c r="P78"/>
      <c r="Q78"/>
      <c r="R78" s="60"/>
      <c r="S78" s="60"/>
      <c r="T78" s="60"/>
      <c r="U78" s="1"/>
      <c r="V78" s="1"/>
      <c r="W78" s="1"/>
      <c r="X78" s="1"/>
      <c r="Y78" s="1"/>
      <c r="Z78" s="1"/>
      <c r="AA78" s="1"/>
      <c r="AB78" s="1"/>
      <c r="AC78" s="1"/>
      <c r="AD78" s="1"/>
      <c r="AE78" s="1"/>
      <c r="AF78" s="1"/>
      <c r="AG78" s="1"/>
      <c r="AH78" s="1"/>
      <c r="AI78" s="1"/>
      <c r="AJ78" s="1"/>
      <c r="AK78" s="1"/>
      <c r="AL78" s="1"/>
      <c r="AM78" s="1"/>
      <c r="AN78" s="1"/>
      <c r="AO78" s="1"/>
      <c r="AP78" s="1"/>
      <c r="AQ78" s="1"/>
    </row>
    <row r="79" spans="1:43">
      <c r="B79" s="121" t="s">
        <v>0</v>
      </c>
      <c r="C79"/>
      <c r="D79"/>
      <c r="E79"/>
      <c r="F79"/>
      <c r="G79"/>
      <c r="H79"/>
      <c r="I79"/>
      <c r="J79"/>
      <c r="K79"/>
      <c r="L79"/>
      <c r="M79"/>
      <c r="N79"/>
      <c r="O79"/>
      <c r="P79"/>
      <c r="Q79"/>
      <c r="R79" s="60"/>
      <c r="S79" s="60"/>
      <c r="T79" s="60"/>
      <c r="U79" s="1"/>
      <c r="V79" s="1"/>
      <c r="W79" s="1"/>
      <c r="X79" s="1"/>
      <c r="Y79" s="1"/>
      <c r="Z79" s="1"/>
      <c r="AA79" s="1"/>
      <c r="AB79" s="1"/>
      <c r="AC79" s="1"/>
      <c r="AD79" s="1"/>
      <c r="AE79" s="1"/>
      <c r="AF79" s="1"/>
      <c r="AG79" s="1"/>
      <c r="AH79" s="1"/>
      <c r="AI79" s="1"/>
      <c r="AJ79" s="1"/>
      <c r="AK79" s="1"/>
      <c r="AL79" s="1"/>
      <c r="AM79" s="1"/>
      <c r="AN79" s="1"/>
      <c r="AO79" s="1"/>
      <c r="AP79" s="1"/>
      <c r="AQ79" s="1"/>
    </row>
    <row r="80" spans="1:43">
      <c r="B80" s="121" t="s">
        <v>0</v>
      </c>
      <c r="C80"/>
      <c r="D80"/>
      <c r="E80"/>
      <c r="F80"/>
      <c r="G80"/>
      <c r="H80"/>
      <c r="I80"/>
      <c r="J80"/>
      <c r="K80"/>
      <c r="L80"/>
      <c r="M80"/>
      <c r="N80"/>
      <c r="O80"/>
      <c r="P80"/>
      <c r="Q80"/>
      <c r="R80" s="60"/>
      <c r="S80" s="60"/>
      <c r="T80" s="60"/>
      <c r="U80" s="1"/>
      <c r="V80" s="1"/>
      <c r="W80" s="1"/>
      <c r="X80" s="1"/>
      <c r="Y80" s="1"/>
      <c r="Z80" s="1"/>
      <c r="AA80" s="1"/>
      <c r="AB80" s="1"/>
      <c r="AC80" s="1"/>
      <c r="AD80" s="1"/>
      <c r="AE80" s="1"/>
      <c r="AF80" s="1"/>
      <c r="AG80" s="1"/>
      <c r="AH80" s="1"/>
      <c r="AI80" s="1"/>
      <c r="AJ80" s="1"/>
      <c r="AK80" s="1"/>
      <c r="AL80" s="1"/>
      <c r="AM80" s="1"/>
      <c r="AN80" s="1"/>
      <c r="AO80" s="1"/>
      <c r="AP80" s="1"/>
      <c r="AQ80" s="1"/>
    </row>
    <row r="81" spans="2:43">
      <c r="B81" s="121" t="s">
        <v>0</v>
      </c>
      <c r="C81"/>
      <c r="D81"/>
      <c r="E81"/>
      <c r="F81"/>
      <c r="G81"/>
      <c r="H81"/>
      <c r="I81"/>
      <c r="J81"/>
      <c r="K81"/>
      <c r="L81"/>
      <c r="M81"/>
      <c r="N81"/>
      <c r="O81"/>
      <c r="P81"/>
      <c r="Q81"/>
      <c r="R81" s="60"/>
      <c r="S81" s="60"/>
      <c r="T81" s="60"/>
      <c r="U81" s="1"/>
      <c r="V81" s="1"/>
      <c r="W81" s="1"/>
      <c r="X81" s="1"/>
      <c r="Y81" s="1"/>
      <c r="Z81" s="1"/>
      <c r="AA81" s="1"/>
      <c r="AB81" s="1"/>
      <c r="AC81" s="1"/>
      <c r="AD81" s="1"/>
      <c r="AE81" s="1"/>
      <c r="AF81" s="1"/>
      <c r="AG81" s="1"/>
      <c r="AH81" s="1"/>
      <c r="AI81" s="1"/>
      <c r="AJ81" s="1"/>
      <c r="AK81" s="1"/>
      <c r="AL81" s="1"/>
      <c r="AM81" s="1"/>
      <c r="AN81" s="1"/>
      <c r="AO81" s="1"/>
      <c r="AP81" s="1"/>
      <c r="AQ81" s="1"/>
    </row>
    <row r="82" spans="2:43">
      <c r="B82" s="121" t="s">
        <v>0</v>
      </c>
      <c r="C82"/>
      <c r="D82"/>
      <c r="E82"/>
      <c r="F82"/>
      <c r="G82"/>
      <c r="H82"/>
      <c r="I82"/>
      <c r="J82"/>
      <c r="K82"/>
      <c r="L82"/>
      <c r="M82"/>
      <c r="N82"/>
      <c r="O82"/>
      <c r="P82"/>
      <c r="Q82"/>
      <c r="R82" s="60"/>
      <c r="S82" s="60"/>
      <c r="T82" s="60"/>
      <c r="U82" s="1"/>
      <c r="V82" s="1"/>
      <c r="W82" s="1"/>
      <c r="X82" s="1"/>
      <c r="Y82" s="1"/>
      <c r="Z82" s="1"/>
      <c r="AA82" s="1"/>
      <c r="AB82" s="1"/>
      <c r="AC82" s="1"/>
      <c r="AD82" s="1"/>
      <c r="AE82" s="1"/>
      <c r="AF82" s="1"/>
      <c r="AG82" s="1"/>
      <c r="AH82" s="1"/>
      <c r="AI82" s="1"/>
      <c r="AJ82" s="1"/>
      <c r="AK82" s="1"/>
      <c r="AL82" s="1"/>
      <c r="AM82" s="1"/>
      <c r="AN82" s="1"/>
      <c r="AO82" s="1"/>
      <c r="AP82" s="1"/>
      <c r="AQ82" s="1"/>
    </row>
    <row r="83" spans="2:43">
      <c r="B83"/>
      <c r="C83"/>
      <c r="D83"/>
      <c r="E83"/>
      <c r="F83"/>
      <c r="G83"/>
      <c r="H83"/>
      <c r="I83"/>
      <c r="J83"/>
      <c r="K83"/>
      <c r="L83"/>
      <c r="M83"/>
      <c r="N83"/>
      <c r="O83"/>
      <c r="P83"/>
      <c r="Q83"/>
      <c r="R83" s="60"/>
      <c r="S83" s="60"/>
      <c r="T83" s="60"/>
      <c r="U83" s="1"/>
      <c r="V83" s="1"/>
      <c r="W83" s="1"/>
      <c r="X83" s="1"/>
      <c r="Y83" s="1"/>
      <c r="Z83" s="1"/>
      <c r="AA83" s="1"/>
      <c r="AB83" s="1"/>
      <c r="AC83" s="1"/>
      <c r="AD83" s="1"/>
      <c r="AE83" s="1"/>
      <c r="AF83" s="1"/>
      <c r="AG83" s="1"/>
      <c r="AH83" s="1"/>
      <c r="AI83" s="1"/>
      <c r="AJ83" s="1"/>
      <c r="AK83" s="1"/>
      <c r="AL83" s="1"/>
      <c r="AM83" s="1"/>
      <c r="AN83" s="1"/>
      <c r="AO83" s="1"/>
      <c r="AP83" s="1"/>
      <c r="AQ83" s="1"/>
    </row>
    <row r="84" spans="2:43">
      <c r="B84"/>
      <c r="C84"/>
      <c r="D84"/>
      <c r="E84"/>
      <c r="F84"/>
      <c r="G84"/>
      <c r="H84"/>
      <c r="I84"/>
      <c r="J84"/>
      <c r="K84"/>
      <c r="L84"/>
      <c r="M84"/>
      <c r="N84"/>
      <c r="O84"/>
      <c r="P84"/>
      <c r="Q84"/>
      <c r="R84" s="60"/>
      <c r="S84" s="60"/>
      <c r="T84" s="60"/>
      <c r="U84" s="1"/>
      <c r="V84" s="1"/>
      <c r="W84" s="1"/>
      <c r="X84" s="1"/>
      <c r="Y84" s="1"/>
      <c r="Z84" s="1"/>
      <c r="AA84" s="1"/>
      <c r="AB84" s="1"/>
      <c r="AC84" s="1"/>
      <c r="AD84" s="1"/>
      <c r="AE84" s="1"/>
      <c r="AF84" s="1"/>
      <c r="AG84" s="1"/>
      <c r="AH84" s="1"/>
      <c r="AI84" s="1"/>
      <c r="AJ84" s="1"/>
      <c r="AK84" s="1"/>
      <c r="AL84" s="1"/>
      <c r="AM84" s="1"/>
      <c r="AN84" s="1"/>
      <c r="AO84" s="1"/>
      <c r="AP84" s="1"/>
      <c r="AQ84" s="1"/>
    </row>
    <row r="85" spans="2:43">
      <c r="B85"/>
      <c r="C85"/>
      <c r="D85"/>
      <c r="E85"/>
      <c r="F85"/>
      <c r="G85"/>
      <c r="H85"/>
      <c r="I85"/>
      <c r="J85"/>
      <c r="K85"/>
      <c r="L85"/>
      <c r="M85"/>
      <c r="N85"/>
      <c r="O85"/>
      <c r="P85"/>
      <c r="Q85"/>
      <c r="R85" s="60"/>
      <c r="S85" s="60"/>
      <c r="T85" s="60"/>
      <c r="U85" s="1"/>
      <c r="V85" s="1"/>
      <c r="W85" s="1"/>
      <c r="X85" s="1"/>
      <c r="Y85" s="1"/>
      <c r="Z85" s="1"/>
      <c r="AA85" s="1"/>
      <c r="AB85" s="1"/>
      <c r="AC85" s="1"/>
      <c r="AD85" s="1"/>
      <c r="AE85" s="1"/>
      <c r="AF85" s="1"/>
      <c r="AG85" s="1"/>
      <c r="AH85" s="1"/>
      <c r="AI85" s="1"/>
      <c r="AJ85" s="1"/>
      <c r="AK85" s="1"/>
      <c r="AL85" s="1"/>
      <c r="AM85" s="1"/>
      <c r="AN85" s="1"/>
      <c r="AO85" s="1"/>
      <c r="AP85" s="1"/>
      <c r="AQ85" s="1"/>
    </row>
    <row r="86" spans="2:43">
      <c r="B86"/>
      <c r="C86"/>
      <c r="D86"/>
      <c r="E86"/>
      <c r="F86"/>
      <c r="G86"/>
      <c r="H86"/>
      <c r="I86"/>
      <c r="J86"/>
      <c r="K86"/>
      <c r="L86"/>
      <c r="M86"/>
      <c r="N86"/>
      <c r="O86"/>
      <c r="P86"/>
      <c r="Q86"/>
      <c r="R86" s="60"/>
      <c r="S86" s="60"/>
      <c r="T86" s="60"/>
      <c r="U86" s="1"/>
      <c r="V86" s="1"/>
      <c r="W86" s="1"/>
      <c r="X86" s="1"/>
      <c r="Y86" s="1"/>
      <c r="Z86" s="1"/>
      <c r="AA86" s="1"/>
      <c r="AB86" s="1"/>
      <c r="AC86" s="1"/>
      <c r="AD86" s="1"/>
      <c r="AE86" s="1"/>
      <c r="AF86" s="1"/>
      <c r="AG86" s="1"/>
      <c r="AH86" s="1"/>
      <c r="AI86" s="1"/>
      <c r="AJ86" s="1"/>
      <c r="AK86" s="1"/>
      <c r="AL86" s="1"/>
      <c r="AM86" s="1"/>
      <c r="AN86" s="1"/>
      <c r="AO86" s="1"/>
      <c r="AP86" s="1"/>
      <c r="AQ86" s="1"/>
    </row>
    <row r="87" spans="2:43">
      <c r="B87"/>
      <c r="C87"/>
      <c r="D87"/>
      <c r="E87"/>
      <c r="F87"/>
      <c r="G87"/>
      <c r="H87"/>
      <c r="I87"/>
      <c r="J87"/>
      <c r="K87"/>
      <c r="L87"/>
      <c r="M87"/>
      <c r="N87"/>
      <c r="O87"/>
      <c r="P87"/>
      <c r="Q87"/>
      <c r="R87" s="60"/>
      <c r="S87" s="60"/>
      <c r="T87" s="60"/>
      <c r="U87" s="1"/>
      <c r="V87" s="1"/>
      <c r="W87" s="1"/>
      <c r="X87" s="1"/>
      <c r="Y87" s="1"/>
      <c r="Z87" s="1"/>
      <c r="AA87" s="1"/>
      <c r="AB87" s="1"/>
      <c r="AC87" s="1"/>
      <c r="AD87" s="1"/>
      <c r="AE87" s="1"/>
      <c r="AF87" s="1"/>
      <c r="AG87" s="1"/>
      <c r="AH87" s="1"/>
      <c r="AI87" s="1"/>
      <c r="AJ87" s="1"/>
      <c r="AK87" s="1"/>
      <c r="AL87" s="1"/>
      <c r="AM87" s="1"/>
      <c r="AN87" s="1"/>
      <c r="AO87" s="1"/>
      <c r="AP87" s="1"/>
      <c r="AQ87" s="1"/>
    </row>
    <row r="88" spans="2:43">
      <c r="B88"/>
      <c r="C88"/>
      <c r="D88"/>
      <c r="E88"/>
      <c r="F88"/>
      <c r="G88"/>
      <c r="H88"/>
      <c r="I88"/>
      <c r="J88"/>
      <c r="K88"/>
      <c r="L88"/>
      <c r="M88"/>
      <c r="N88"/>
      <c r="O88"/>
      <c r="P88"/>
      <c r="Q88"/>
      <c r="R88" s="60"/>
      <c r="S88" s="60"/>
      <c r="T88" s="60"/>
      <c r="U88" s="1"/>
      <c r="V88" s="1"/>
      <c r="W88" s="1"/>
      <c r="X88" s="1"/>
      <c r="Y88" s="1"/>
      <c r="Z88" s="1"/>
      <c r="AA88" s="1"/>
      <c r="AB88" s="1"/>
      <c r="AC88" s="1"/>
      <c r="AD88" s="1"/>
      <c r="AE88" s="1"/>
      <c r="AF88" s="1"/>
      <c r="AG88" s="1"/>
      <c r="AH88" s="1"/>
      <c r="AI88" s="1"/>
      <c r="AJ88" s="1"/>
      <c r="AK88" s="1"/>
      <c r="AL88" s="1"/>
      <c r="AM88" s="1"/>
      <c r="AN88" s="1"/>
      <c r="AO88" s="1"/>
      <c r="AP88" s="1"/>
      <c r="AQ88" s="1"/>
    </row>
    <row r="89" spans="2:43">
      <c r="B89"/>
      <c r="C89"/>
      <c r="D89"/>
      <c r="E89"/>
      <c r="F89"/>
      <c r="G89"/>
      <c r="H89"/>
      <c r="I89"/>
      <c r="J89"/>
      <c r="K89"/>
      <c r="L89"/>
      <c r="M89"/>
      <c r="N89"/>
      <c r="O89"/>
      <c r="P89"/>
      <c r="Q89"/>
      <c r="R89" s="60"/>
      <c r="S89" s="60"/>
      <c r="T89" s="60"/>
      <c r="U89" s="1"/>
      <c r="V89" s="1"/>
      <c r="W89" s="1"/>
      <c r="X89" s="1"/>
      <c r="Y89" s="1"/>
      <c r="Z89" s="1"/>
      <c r="AA89" s="1"/>
      <c r="AB89" s="1"/>
      <c r="AC89" s="1"/>
      <c r="AD89" s="1"/>
      <c r="AE89" s="1"/>
      <c r="AF89" s="1"/>
      <c r="AG89" s="1"/>
      <c r="AH89" s="1"/>
      <c r="AI89" s="1"/>
      <c r="AJ89" s="1"/>
      <c r="AK89" s="1"/>
      <c r="AL89" s="1"/>
      <c r="AM89" s="1"/>
      <c r="AN89" s="1"/>
      <c r="AO89" s="1"/>
      <c r="AP89" s="1"/>
      <c r="AQ89" s="1"/>
    </row>
    <row r="90" spans="2:43">
      <c r="B90"/>
      <c r="C90"/>
      <c r="D90"/>
      <c r="E90"/>
      <c r="F90"/>
      <c r="G90"/>
      <c r="H90"/>
      <c r="I90"/>
      <c r="J90"/>
      <c r="K90"/>
      <c r="L90"/>
      <c r="M90"/>
      <c r="N90"/>
      <c r="O90"/>
      <c r="P90"/>
      <c r="Q90"/>
      <c r="R90" s="60"/>
      <c r="S90" s="60"/>
      <c r="T90" s="60"/>
      <c r="U90" s="1"/>
      <c r="V90" s="1"/>
      <c r="W90" s="1"/>
      <c r="X90" s="1"/>
      <c r="Y90" s="1"/>
      <c r="Z90" s="1"/>
      <c r="AA90" s="1"/>
      <c r="AB90" s="1"/>
      <c r="AC90" s="1"/>
      <c r="AD90" s="1"/>
      <c r="AE90" s="1"/>
      <c r="AF90" s="1"/>
      <c r="AG90" s="1"/>
      <c r="AH90" s="1"/>
      <c r="AI90" s="1"/>
      <c r="AJ90" s="1"/>
      <c r="AK90" s="1"/>
      <c r="AL90" s="1"/>
      <c r="AM90" s="1"/>
      <c r="AN90" s="1"/>
      <c r="AO90" s="1"/>
      <c r="AP90" s="1"/>
      <c r="AQ90" s="1"/>
    </row>
    <row r="91" spans="2:43">
      <c r="B91"/>
      <c r="C91"/>
      <c r="D91"/>
      <c r="E91"/>
      <c r="F91"/>
      <c r="G91"/>
      <c r="H91"/>
      <c r="I91"/>
      <c r="J91"/>
      <c r="K91"/>
      <c r="L91"/>
      <c r="M91"/>
      <c r="N91"/>
      <c r="O91"/>
      <c r="P91"/>
      <c r="Q91"/>
      <c r="R91" s="60"/>
      <c r="S91" s="60"/>
      <c r="T91" s="60"/>
      <c r="U91" s="1"/>
      <c r="V91" s="1"/>
      <c r="W91" s="1"/>
      <c r="X91" s="1"/>
      <c r="Y91" s="1"/>
      <c r="Z91" s="1"/>
      <c r="AA91" s="1"/>
      <c r="AB91" s="1"/>
      <c r="AC91" s="1"/>
      <c r="AD91" s="1"/>
      <c r="AE91" s="1"/>
      <c r="AF91" s="1"/>
      <c r="AG91" s="1"/>
      <c r="AH91" s="1"/>
      <c r="AI91" s="1"/>
      <c r="AJ91" s="1"/>
      <c r="AK91" s="1"/>
      <c r="AL91" s="1"/>
      <c r="AM91" s="1"/>
      <c r="AN91" s="1"/>
      <c r="AO91" s="1"/>
      <c r="AP91" s="1"/>
      <c r="AQ91" s="1"/>
    </row>
    <row r="92" spans="2:43">
      <c r="B92"/>
      <c r="C92"/>
      <c r="D92"/>
      <c r="E92"/>
      <c r="F92"/>
      <c r="G92"/>
      <c r="H92"/>
      <c r="I92"/>
      <c r="J92"/>
      <c r="K92"/>
      <c r="L92"/>
      <c r="M92"/>
      <c r="N92"/>
      <c r="O92"/>
      <c r="P92"/>
      <c r="Q92"/>
      <c r="R92" s="60"/>
      <c r="S92" s="60"/>
      <c r="T92" s="60"/>
      <c r="U92" s="1"/>
      <c r="V92" s="1"/>
      <c r="W92" s="1"/>
      <c r="X92" s="1"/>
      <c r="Y92" s="1"/>
      <c r="Z92" s="1"/>
      <c r="AA92" s="1"/>
      <c r="AB92" s="1"/>
      <c r="AC92" s="1"/>
      <c r="AD92" s="1"/>
      <c r="AE92" s="1"/>
      <c r="AF92" s="1"/>
      <c r="AG92" s="1"/>
      <c r="AH92" s="1"/>
      <c r="AI92" s="1"/>
      <c r="AJ92" s="1"/>
      <c r="AK92" s="1"/>
      <c r="AL92" s="1"/>
      <c r="AM92" s="1"/>
      <c r="AN92" s="1"/>
      <c r="AO92" s="1"/>
      <c r="AP92" s="1"/>
      <c r="AQ92" s="1"/>
    </row>
    <row r="93" spans="2:43">
      <c r="B93"/>
      <c r="C93"/>
      <c r="D93"/>
      <c r="E93"/>
      <c r="F93"/>
      <c r="G93"/>
      <c r="H93"/>
      <c r="I93"/>
      <c r="J93"/>
      <c r="K93"/>
      <c r="L93"/>
      <c r="M93"/>
      <c r="N93"/>
      <c r="O93"/>
      <c r="P93"/>
      <c r="Q93"/>
      <c r="R93" s="60"/>
      <c r="S93" s="60"/>
      <c r="T93" s="60"/>
      <c r="U93" s="1"/>
      <c r="V93" s="1"/>
      <c r="W93" s="1"/>
      <c r="X93" s="1"/>
      <c r="Y93" s="1"/>
      <c r="Z93" s="1"/>
      <c r="AA93" s="1"/>
      <c r="AB93" s="1"/>
      <c r="AC93" s="1"/>
      <c r="AD93" s="1"/>
      <c r="AE93" s="1"/>
      <c r="AF93" s="1"/>
      <c r="AG93" s="1"/>
      <c r="AH93" s="1"/>
      <c r="AI93" s="1"/>
      <c r="AJ93" s="1"/>
      <c r="AK93" s="1"/>
      <c r="AL93" s="1"/>
      <c r="AM93" s="1"/>
      <c r="AN93" s="1"/>
      <c r="AO93" s="1"/>
      <c r="AP93" s="1"/>
      <c r="AQ93" s="1"/>
    </row>
    <row r="94" spans="2:43">
      <c r="B94"/>
      <c r="C94"/>
      <c r="D94"/>
      <c r="E94"/>
      <c r="F94"/>
      <c r="G94"/>
      <c r="H94"/>
      <c r="I94"/>
      <c r="J94"/>
      <c r="K94"/>
      <c r="L94"/>
      <c r="M94"/>
      <c r="N94"/>
      <c r="O94"/>
      <c r="P94"/>
      <c r="Q94"/>
      <c r="R94" s="60"/>
      <c r="S94" s="60"/>
      <c r="T94" s="60"/>
      <c r="U94" s="1"/>
      <c r="V94" s="1"/>
      <c r="W94" s="1"/>
      <c r="X94" s="1"/>
      <c r="Y94" s="1"/>
      <c r="Z94" s="1"/>
      <c r="AA94" s="1"/>
      <c r="AB94" s="1"/>
      <c r="AC94" s="1"/>
      <c r="AD94" s="1"/>
      <c r="AE94" s="1"/>
      <c r="AF94" s="1"/>
      <c r="AG94" s="1"/>
      <c r="AH94" s="1"/>
      <c r="AI94" s="1"/>
      <c r="AJ94" s="1"/>
      <c r="AK94" s="1"/>
      <c r="AL94" s="1"/>
      <c r="AM94" s="1"/>
      <c r="AN94" s="1"/>
      <c r="AO94" s="1"/>
      <c r="AP94" s="1"/>
      <c r="AQ94" s="1"/>
    </row>
    <row r="95" spans="2:43">
      <c r="B95"/>
      <c r="C95"/>
      <c r="D95"/>
      <c r="E95"/>
      <c r="F95"/>
      <c r="G95"/>
      <c r="H95"/>
      <c r="I95"/>
      <c r="J95"/>
      <c r="K95"/>
      <c r="L95"/>
      <c r="M95"/>
      <c r="N95"/>
      <c r="O95"/>
      <c r="P95"/>
      <c r="Q95"/>
      <c r="R95" s="60"/>
      <c r="S95" s="60"/>
      <c r="T95" s="60"/>
      <c r="U95" s="1"/>
      <c r="V95" s="1"/>
      <c r="W95" s="1"/>
      <c r="X95" s="1"/>
      <c r="Y95" s="1"/>
      <c r="Z95" s="1"/>
      <c r="AA95" s="1"/>
      <c r="AB95" s="1"/>
      <c r="AC95" s="1"/>
      <c r="AD95" s="1"/>
      <c r="AE95" s="1"/>
      <c r="AF95" s="1"/>
      <c r="AG95" s="1"/>
      <c r="AH95" s="1"/>
      <c r="AI95" s="1"/>
      <c r="AJ95" s="1"/>
      <c r="AK95" s="1"/>
      <c r="AL95" s="1"/>
      <c r="AM95" s="1"/>
      <c r="AN95" s="1"/>
      <c r="AO95" s="1"/>
      <c r="AP95" s="1"/>
      <c r="AQ95" s="1"/>
    </row>
    <row r="96" spans="2:43">
      <c r="B96"/>
      <c r="C96"/>
      <c r="D96"/>
      <c r="E96"/>
      <c r="F96"/>
      <c r="G96"/>
      <c r="H96"/>
      <c r="I96"/>
      <c r="J96"/>
      <c r="K96"/>
      <c r="L96"/>
      <c r="M96"/>
      <c r="N96"/>
      <c r="O96"/>
      <c r="P96"/>
      <c r="Q96"/>
      <c r="R96" s="60"/>
      <c r="S96" s="60"/>
      <c r="T96" s="60"/>
      <c r="U96" s="1"/>
      <c r="V96" s="1"/>
      <c r="W96" s="1"/>
      <c r="X96" s="1"/>
      <c r="Y96" s="1"/>
      <c r="Z96" s="1"/>
      <c r="AA96" s="1"/>
      <c r="AB96" s="1"/>
      <c r="AC96" s="1"/>
      <c r="AD96" s="1"/>
      <c r="AE96" s="1"/>
      <c r="AF96" s="1"/>
      <c r="AG96" s="1"/>
      <c r="AH96" s="1"/>
      <c r="AI96" s="1"/>
      <c r="AJ96" s="1"/>
      <c r="AK96" s="1"/>
      <c r="AL96" s="1"/>
      <c r="AM96" s="1"/>
      <c r="AN96" s="1"/>
      <c r="AO96" s="1"/>
      <c r="AP96" s="1"/>
      <c r="AQ96" s="1"/>
    </row>
    <row r="97" spans="2:43">
      <c r="B97"/>
      <c r="C97"/>
      <c r="D97"/>
      <c r="E97"/>
      <c r="F97"/>
      <c r="G97"/>
      <c r="H97"/>
      <c r="I97"/>
      <c r="J97"/>
      <c r="K97"/>
      <c r="L97"/>
      <c r="M97"/>
      <c r="N97"/>
      <c r="O97"/>
      <c r="P97"/>
      <c r="Q97"/>
      <c r="R97" s="60"/>
      <c r="S97" s="60"/>
      <c r="T97" s="60"/>
      <c r="U97" s="1"/>
      <c r="V97" s="1"/>
      <c r="W97" s="1"/>
      <c r="X97" s="1"/>
      <c r="Y97" s="1"/>
      <c r="Z97" s="1"/>
      <c r="AA97" s="1"/>
      <c r="AB97" s="1"/>
      <c r="AC97" s="1"/>
      <c r="AD97" s="1"/>
      <c r="AE97" s="1"/>
      <c r="AF97" s="1"/>
      <c r="AG97" s="1"/>
      <c r="AH97" s="1"/>
      <c r="AI97" s="1"/>
      <c r="AJ97" s="1"/>
      <c r="AK97" s="1"/>
      <c r="AL97" s="1"/>
      <c r="AM97" s="1"/>
      <c r="AN97" s="1"/>
      <c r="AO97" s="1"/>
      <c r="AP97" s="1"/>
      <c r="AQ97" s="1"/>
    </row>
    <row r="98" spans="2:43">
      <c r="B98"/>
      <c r="C98"/>
      <c r="D98"/>
      <c r="E98"/>
      <c r="F98"/>
      <c r="G98"/>
      <c r="H98"/>
      <c r="I98"/>
      <c r="J98"/>
      <c r="K98"/>
      <c r="L98"/>
      <c r="M98"/>
      <c r="N98"/>
      <c r="O98"/>
      <c r="P98"/>
      <c r="Q98"/>
      <c r="R98" s="60"/>
      <c r="S98" s="60"/>
      <c r="T98" s="60"/>
      <c r="U98" s="1"/>
      <c r="V98" s="1"/>
      <c r="W98" s="1"/>
      <c r="X98" s="1"/>
      <c r="Y98" s="1"/>
      <c r="Z98" s="1"/>
      <c r="AA98" s="1"/>
      <c r="AB98" s="1"/>
      <c r="AC98" s="1"/>
      <c r="AD98" s="1"/>
      <c r="AE98" s="1"/>
      <c r="AF98" s="1"/>
      <c r="AG98" s="1"/>
      <c r="AH98" s="1"/>
      <c r="AI98" s="1"/>
      <c r="AJ98" s="1"/>
      <c r="AK98" s="1"/>
      <c r="AL98" s="1"/>
      <c r="AM98" s="1"/>
      <c r="AN98" s="1"/>
      <c r="AO98" s="1"/>
      <c r="AP98" s="1"/>
      <c r="AQ98" s="1"/>
    </row>
    <row r="99" spans="2:43">
      <c r="B99"/>
      <c r="C99"/>
      <c r="D99"/>
      <c r="E99"/>
      <c r="F99"/>
      <c r="G99"/>
      <c r="H99"/>
      <c r="I99"/>
      <c r="J99"/>
      <c r="K99"/>
      <c r="L99"/>
      <c r="M99"/>
      <c r="N99"/>
      <c r="O99"/>
      <c r="P99"/>
      <c r="Q99"/>
      <c r="R99" s="60"/>
      <c r="S99" s="60"/>
      <c r="T99" s="60"/>
      <c r="U99" s="1"/>
      <c r="V99" s="1"/>
      <c r="W99" s="1"/>
      <c r="X99" s="1"/>
      <c r="Y99" s="1"/>
      <c r="Z99" s="1"/>
      <c r="AA99" s="1"/>
      <c r="AB99" s="1"/>
      <c r="AC99" s="1"/>
      <c r="AD99" s="1"/>
      <c r="AE99" s="1"/>
      <c r="AF99" s="1"/>
      <c r="AG99" s="1"/>
      <c r="AH99" s="1"/>
      <c r="AI99" s="1"/>
      <c r="AJ99" s="1"/>
      <c r="AK99" s="1"/>
      <c r="AL99" s="1"/>
      <c r="AM99" s="1"/>
      <c r="AN99" s="1"/>
      <c r="AO99" s="1"/>
      <c r="AP99" s="1"/>
      <c r="AQ99" s="1"/>
    </row>
    <row r="100" spans="2:43">
      <c r="B100"/>
      <c r="C100"/>
      <c r="D100"/>
      <c r="E100"/>
      <c r="F100"/>
      <c r="G100"/>
      <c r="H100"/>
      <c r="I100"/>
      <c r="J100"/>
      <c r="K100"/>
      <c r="L100"/>
      <c r="M100"/>
      <c r="N100"/>
      <c r="O100"/>
      <c r="P100"/>
      <c r="Q100"/>
      <c r="R100" s="60"/>
      <c r="S100" s="60"/>
      <c r="T100" s="60"/>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2:43">
      <c r="B101"/>
      <c r="C101"/>
      <c r="D101"/>
      <c r="E101"/>
      <c r="F101"/>
      <c r="G101"/>
      <c r="H101"/>
      <c r="I101"/>
      <c r="J101"/>
      <c r="K101"/>
      <c r="L101"/>
      <c r="M101"/>
      <c r="N101"/>
      <c r="O101"/>
      <c r="P101"/>
      <c r="Q101"/>
      <c r="R101" s="60"/>
      <c r="S101" s="60"/>
      <c r="T101" s="60"/>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2:43">
      <c r="B102"/>
      <c r="C102"/>
      <c r="D102"/>
      <c r="E102"/>
      <c r="F102"/>
      <c r="G102"/>
      <c r="H102"/>
      <c r="I102"/>
      <c r="J102"/>
      <c r="K102"/>
      <c r="L102"/>
      <c r="M102"/>
      <c r="N102"/>
      <c r="O102"/>
      <c r="P102"/>
      <c r="Q102"/>
      <c r="R102" s="60"/>
      <c r="S102" s="60"/>
      <c r="T102" s="60"/>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2:43">
      <c r="B103"/>
      <c r="C103"/>
      <c r="D103"/>
      <c r="E103"/>
      <c r="F103"/>
      <c r="G103"/>
      <c r="H103"/>
      <c r="I103"/>
      <c r="J103"/>
      <c r="K103"/>
      <c r="L103"/>
      <c r="M103"/>
      <c r="N103"/>
      <c r="O103"/>
      <c r="P103"/>
      <c r="Q103"/>
      <c r="R103" s="60"/>
      <c r="S103" s="60"/>
      <c r="T103" s="60"/>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2:43">
      <c r="B104"/>
      <c r="C104"/>
      <c r="D104"/>
      <c r="E104"/>
      <c r="F104"/>
      <c r="G104"/>
      <c r="H104"/>
      <c r="I104"/>
      <c r="J104"/>
      <c r="K104"/>
      <c r="L104"/>
      <c r="M104"/>
      <c r="N104"/>
      <c r="O104"/>
      <c r="P104"/>
      <c r="Q104"/>
      <c r="R104" s="60"/>
      <c r="S104" s="60"/>
      <c r="T104" s="60"/>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2:43">
      <c r="B105"/>
      <c r="C105"/>
      <c r="D105"/>
      <c r="E105"/>
      <c r="F105"/>
      <c r="G105"/>
      <c r="H105"/>
      <c r="I105"/>
      <c r="J105"/>
      <c r="K105"/>
      <c r="L105"/>
      <c r="M105"/>
      <c r="N105"/>
      <c r="O105"/>
      <c r="P105"/>
      <c r="Q105"/>
      <c r="R105" s="60"/>
      <c r="S105" s="60"/>
      <c r="T105" s="60"/>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2:43">
      <c r="B106"/>
      <c r="C106"/>
      <c r="D106"/>
      <c r="E106"/>
      <c r="F106"/>
      <c r="G106"/>
      <c r="H106"/>
      <c r="I106"/>
      <c r="J106"/>
      <c r="K106"/>
      <c r="L106"/>
      <c r="M106"/>
      <c r="N106"/>
      <c r="O106"/>
      <c r="P106"/>
      <c r="Q106"/>
      <c r="R106" s="60"/>
      <c r="S106" s="60"/>
      <c r="T106" s="60"/>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2:43">
      <c r="B107"/>
      <c r="C107"/>
      <c r="D107"/>
      <c r="E107"/>
      <c r="F107"/>
      <c r="G107"/>
      <c r="H107"/>
      <c r="I107"/>
      <c r="J107"/>
      <c r="K107"/>
      <c r="L107"/>
      <c r="M107"/>
      <c r="N107"/>
      <c r="O107"/>
      <c r="P107"/>
      <c r="Q107"/>
      <c r="R107" s="60"/>
      <c r="S107" s="60"/>
      <c r="T107" s="60"/>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2:43">
      <c r="B108"/>
      <c r="C108"/>
      <c r="D108"/>
      <c r="E108"/>
      <c r="F108"/>
      <c r="G108"/>
      <c r="H108"/>
      <c r="I108"/>
      <c r="J108"/>
      <c r="K108"/>
      <c r="L108"/>
      <c r="M108"/>
      <c r="N108"/>
      <c r="O108"/>
      <c r="P108"/>
      <c r="Q108"/>
      <c r="R108" s="60"/>
      <c r="S108" s="60"/>
      <c r="T108" s="60"/>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2:43">
      <c r="B109"/>
      <c r="C109"/>
      <c r="D109"/>
      <c r="E109"/>
      <c r="F109"/>
      <c r="G109"/>
      <c r="H109"/>
      <c r="I109"/>
      <c r="J109"/>
      <c r="K109"/>
      <c r="L109"/>
      <c r="M109"/>
      <c r="N109"/>
      <c r="O109"/>
      <c r="P109"/>
      <c r="Q109"/>
      <c r="R109" s="60"/>
      <c r="S109" s="60"/>
      <c r="T109" s="60"/>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2:43">
      <c r="B110"/>
      <c r="C110"/>
      <c r="D110"/>
      <c r="E110"/>
      <c r="F110"/>
      <c r="G110"/>
      <c r="H110"/>
      <c r="I110"/>
      <c r="J110"/>
      <c r="K110"/>
      <c r="L110"/>
      <c r="M110"/>
      <c r="N110"/>
      <c r="O110"/>
      <c r="P110"/>
      <c r="Q110"/>
      <c r="R110" s="60"/>
      <c r="S110" s="60"/>
      <c r="T110" s="60"/>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2:43">
      <c r="B111"/>
      <c r="C111"/>
      <c r="D111"/>
      <c r="E111"/>
      <c r="F111"/>
      <c r="G111"/>
      <c r="H111"/>
      <c r="I111"/>
      <c r="J111"/>
      <c r="K111"/>
      <c r="L111"/>
      <c r="M111"/>
      <c r="N111"/>
      <c r="O111"/>
      <c r="P111"/>
      <c r="Q111"/>
      <c r="R111" s="60"/>
      <c r="S111" s="60"/>
      <c r="T111" s="60"/>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2:43">
      <c r="B112"/>
      <c r="C112"/>
      <c r="D112"/>
      <c r="E112"/>
      <c r="F112"/>
      <c r="G112"/>
      <c r="H112"/>
      <c r="I112"/>
      <c r="J112"/>
      <c r="K112"/>
      <c r="L112"/>
      <c r="M112"/>
      <c r="N112"/>
      <c r="O112"/>
      <c r="P112"/>
      <c r="Q112"/>
      <c r="R112" s="60"/>
      <c r="S112" s="60"/>
      <c r="T112" s="60"/>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2:43">
      <c r="B113"/>
      <c r="C113"/>
      <c r="D113"/>
      <c r="E113"/>
      <c r="F113"/>
      <c r="G113"/>
      <c r="H113"/>
      <c r="I113"/>
      <c r="J113"/>
      <c r="K113"/>
      <c r="L113"/>
      <c r="M113"/>
      <c r="N113"/>
      <c r="O113"/>
      <c r="P113"/>
      <c r="Q113"/>
      <c r="R113" s="60"/>
      <c r="S113" s="60"/>
      <c r="T113" s="60"/>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2:43">
      <c r="B114"/>
      <c r="C114"/>
      <c r="D114"/>
      <c r="E114"/>
      <c r="F114"/>
      <c r="G114"/>
      <c r="H114"/>
      <c r="I114"/>
      <c r="J114"/>
      <c r="K114"/>
      <c r="L114"/>
      <c r="M114"/>
      <c r="N114"/>
      <c r="O114"/>
      <c r="P114"/>
      <c r="Q114"/>
      <c r="R114" s="60"/>
      <c r="S114" s="60"/>
      <c r="T114" s="60"/>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2:43">
      <c r="B115"/>
      <c r="C115"/>
      <c r="D115"/>
      <c r="E115"/>
      <c r="F115"/>
      <c r="G115"/>
      <c r="H115"/>
      <c r="I115"/>
      <c r="J115"/>
      <c r="K115"/>
      <c r="L115"/>
      <c r="M115"/>
      <c r="N115"/>
      <c r="O115"/>
      <c r="P115"/>
      <c r="Q115"/>
      <c r="R115" s="60"/>
      <c r="S115" s="60"/>
      <c r="T115" s="60"/>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2:43">
      <c r="B116"/>
      <c r="C116"/>
      <c r="D116"/>
      <c r="E116"/>
      <c r="F116"/>
      <c r="G116"/>
      <c r="H116"/>
      <c r="I116"/>
      <c r="J116"/>
      <c r="K116"/>
      <c r="L116"/>
      <c r="M116"/>
      <c r="N116"/>
      <c r="O116"/>
      <c r="P116"/>
      <c r="Q116"/>
      <c r="R116" s="60"/>
      <c r="S116" s="60"/>
      <c r="T116" s="60"/>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2:43">
      <c r="B117"/>
      <c r="C117"/>
      <c r="D117"/>
      <c r="E117"/>
      <c r="F117"/>
      <c r="G117"/>
      <c r="H117"/>
      <c r="I117"/>
      <c r="J117"/>
      <c r="K117"/>
      <c r="L117"/>
      <c r="M117"/>
      <c r="N117"/>
      <c r="O117"/>
      <c r="P117"/>
      <c r="Q117"/>
      <c r="R117" s="60"/>
      <c r="S117" s="60"/>
      <c r="T117" s="60"/>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2:43">
      <c r="B118"/>
      <c r="C118"/>
      <c r="D118"/>
      <c r="E118"/>
      <c r="F118"/>
      <c r="G118"/>
      <c r="H118"/>
      <c r="I118"/>
      <c r="J118"/>
      <c r="K118"/>
      <c r="L118"/>
      <c r="M118"/>
      <c r="N118"/>
      <c r="O118"/>
      <c r="P118"/>
      <c r="Q118"/>
      <c r="R118" s="60"/>
      <c r="S118" s="60"/>
      <c r="T118" s="60"/>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2:43">
      <c r="B119"/>
      <c r="C119"/>
      <c r="D119"/>
      <c r="E119"/>
      <c r="F119"/>
      <c r="G119"/>
      <c r="H119"/>
      <c r="I119"/>
      <c r="J119"/>
      <c r="K119"/>
      <c r="L119"/>
      <c r="M119"/>
      <c r="N119"/>
      <c r="O119"/>
      <c r="P119"/>
      <c r="Q119"/>
      <c r="R119" s="60"/>
      <c r="S119" s="60"/>
      <c r="T119" s="60"/>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2:43">
      <c r="B120"/>
      <c r="C120"/>
      <c r="D120"/>
      <c r="E120"/>
      <c r="F120"/>
      <c r="G120"/>
      <c r="H120"/>
      <c r="I120"/>
      <c r="J120"/>
      <c r="K120"/>
      <c r="L120"/>
      <c r="M120"/>
      <c r="N120"/>
      <c r="O120"/>
      <c r="P120"/>
      <c r="Q120"/>
      <c r="R120" s="60"/>
      <c r="S120" s="60"/>
      <c r="T120" s="60"/>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2:43">
      <c r="B121"/>
      <c r="C121"/>
      <c r="D121"/>
      <c r="E121"/>
      <c r="F121"/>
      <c r="G121"/>
      <c r="H121"/>
      <c r="I121"/>
      <c r="J121"/>
      <c r="K121"/>
      <c r="L121"/>
      <c r="M121"/>
      <c r="N121"/>
      <c r="O121"/>
      <c r="P121"/>
      <c r="Q121"/>
      <c r="R121" s="60"/>
      <c r="S121" s="60"/>
      <c r="T121" s="60"/>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2:43">
      <c r="B122"/>
      <c r="C122"/>
      <c r="D122"/>
      <c r="E122"/>
      <c r="F122"/>
      <c r="G122"/>
      <c r="H122"/>
      <c r="I122"/>
      <c r="J122"/>
      <c r="K122"/>
      <c r="L122"/>
      <c r="M122"/>
      <c r="N122"/>
      <c r="O122"/>
      <c r="P122"/>
      <c r="Q122"/>
      <c r="R122" s="60"/>
      <c r="S122" s="60"/>
      <c r="T122" s="60"/>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2:43">
      <c r="B123"/>
      <c r="C123"/>
      <c r="D123"/>
      <c r="E123"/>
      <c r="F123"/>
      <c r="G123"/>
      <c r="H123"/>
      <c r="I123"/>
      <c r="J123"/>
      <c r="K123"/>
      <c r="L123"/>
      <c r="M123"/>
      <c r="N123"/>
      <c r="O123"/>
      <c r="P123"/>
      <c r="Q123"/>
      <c r="R123" s="60"/>
      <c r="S123" s="60"/>
      <c r="T123" s="60"/>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2:43">
      <c r="B124"/>
      <c r="C124"/>
      <c r="D124"/>
      <c r="E124"/>
      <c r="F124"/>
      <c r="G124"/>
      <c r="H124"/>
      <c r="I124"/>
      <c r="J124"/>
      <c r="K124"/>
      <c r="L124"/>
      <c r="M124"/>
      <c r="N124"/>
      <c r="O124"/>
      <c r="P124"/>
      <c r="Q124"/>
      <c r="R124" s="60"/>
      <c r="S124" s="60"/>
      <c r="T124" s="60"/>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2:43">
      <c r="B125"/>
      <c r="C125"/>
      <c r="D125"/>
      <c r="E125"/>
      <c r="F125"/>
      <c r="G125"/>
      <c r="H125"/>
      <c r="I125"/>
      <c r="J125"/>
      <c r="K125"/>
      <c r="L125"/>
      <c r="M125"/>
      <c r="N125"/>
      <c r="O125"/>
      <c r="P125"/>
      <c r="Q125"/>
      <c r="R125" s="60"/>
      <c r="S125" s="60"/>
      <c r="T125" s="60"/>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2:43">
      <c r="B126"/>
      <c r="C126"/>
      <c r="D126"/>
      <c r="E126"/>
      <c r="F126"/>
      <c r="G126"/>
      <c r="H126"/>
      <c r="I126"/>
      <c r="J126"/>
      <c r="K126"/>
      <c r="L126"/>
      <c r="M126"/>
      <c r="N126"/>
      <c r="O126"/>
      <c r="P126"/>
      <c r="Q126"/>
      <c r="R126" s="60"/>
      <c r="S126" s="60"/>
      <c r="T126" s="60"/>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2:43">
      <c r="B127"/>
      <c r="C127"/>
      <c r="D127"/>
      <c r="E127"/>
      <c r="F127"/>
      <c r="G127"/>
      <c r="H127"/>
      <c r="I127"/>
      <c r="J127"/>
      <c r="K127"/>
      <c r="L127"/>
      <c r="M127"/>
      <c r="N127"/>
      <c r="O127"/>
      <c r="P127"/>
      <c r="Q127"/>
      <c r="R127" s="60"/>
      <c r="S127" s="60"/>
      <c r="T127" s="60"/>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2:43">
      <c r="B128"/>
      <c r="C128"/>
      <c r="D128"/>
      <c r="E128"/>
      <c r="F128"/>
      <c r="G128"/>
      <c r="H128"/>
      <c r="I128"/>
      <c r="J128"/>
      <c r="K128"/>
      <c r="L128"/>
      <c r="M128"/>
      <c r="N128"/>
      <c r="O128"/>
      <c r="P128"/>
      <c r="Q128"/>
      <c r="R128" s="60"/>
      <c r="S128" s="60"/>
      <c r="T128" s="60"/>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c r="B129"/>
      <c r="C129"/>
      <c r="D129"/>
      <c r="E129"/>
      <c r="F129"/>
      <c r="G129"/>
      <c r="H129"/>
      <c r="I129"/>
      <c r="J129"/>
      <c r="K129"/>
      <c r="L129"/>
      <c r="M129"/>
      <c r="N129"/>
      <c r="O129"/>
      <c r="P129"/>
      <c r="Q129"/>
      <c r="R129" s="60"/>
      <c r="S129" s="60"/>
      <c r="T129" s="60"/>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c r="B130"/>
      <c r="C130"/>
      <c r="D130"/>
      <c r="E130"/>
      <c r="F130"/>
      <c r="G130"/>
      <c r="H130"/>
      <c r="I130"/>
      <c r="J130"/>
      <c r="K130"/>
      <c r="L130"/>
      <c r="M130"/>
      <c r="N130"/>
      <c r="O130"/>
      <c r="P130"/>
      <c r="Q130"/>
      <c r="R130" s="60"/>
      <c r="S130" s="60"/>
      <c r="T130" s="60"/>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c r="B131"/>
      <c r="C131"/>
      <c r="D131"/>
      <c r="E131"/>
      <c r="F131"/>
      <c r="G131"/>
      <c r="H131"/>
      <c r="I131"/>
      <c r="J131"/>
      <c r="K131"/>
      <c r="L131"/>
      <c r="M131"/>
      <c r="N131"/>
      <c r="O131"/>
      <c r="P131"/>
      <c r="Q131"/>
      <c r="R131" s="60"/>
      <c r="S131" s="60"/>
      <c r="T131" s="60"/>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c r="B132"/>
      <c r="C132"/>
      <c r="D132"/>
      <c r="E132"/>
      <c r="F132"/>
      <c r="G132"/>
      <c r="H132"/>
      <c r="I132"/>
      <c r="J132"/>
      <c r="K132"/>
      <c r="L132"/>
      <c r="M132"/>
      <c r="N132"/>
      <c r="O132"/>
      <c r="P132"/>
      <c r="Q132"/>
      <c r="R132" s="60"/>
      <c r="S132" s="60"/>
      <c r="T132" s="60"/>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c r="B133"/>
      <c r="C133"/>
      <c r="D133"/>
      <c r="E133"/>
      <c r="F133"/>
      <c r="G133"/>
      <c r="H133"/>
      <c r="I133"/>
      <c r="J133"/>
      <c r="K133"/>
      <c r="L133"/>
      <c r="M133"/>
      <c r="N133"/>
      <c r="O133"/>
      <c r="P133"/>
      <c r="Q133"/>
      <c r="R133" s="60"/>
      <c r="S133" s="60"/>
      <c r="T133" s="60"/>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c r="B134"/>
      <c r="C134"/>
      <c r="D134"/>
      <c r="E134"/>
      <c r="F134"/>
      <c r="G134"/>
      <c r="H134"/>
      <c r="I134"/>
      <c r="J134"/>
      <c r="K134"/>
      <c r="L134"/>
      <c r="M134"/>
      <c r="N134"/>
      <c r="O134"/>
      <c r="P134"/>
      <c r="Q134"/>
      <c r="R134" s="60"/>
      <c r="S134" s="60"/>
      <c r="T134" s="60"/>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c r="B135"/>
      <c r="C135"/>
      <c r="D135"/>
      <c r="E135"/>
      <c r="F135"/>
      <c r="G135"/>
      <c r="H135"/>
      <c r="I135"/>
      <c r="J135"/>
      <c r="K135"/>
      <c r="L135"/>
      <c r="M135"/>
      <c r="N135"/>
      <c r="O135"/>
      <c r="P135"/>
      <c r="Q135"/>
      <c r="R135" s="60"/>
      <c r="S135" s="60"/>
      <c r="T135" s="60"/>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c r="B136"/>
      <c r="C136"/>
      <c r="D136"/>
      <c r="E136"/>
      <c r="F136"/>
      <c r="G136"/>
      <c r="H136"/>
      <c r="I136"/>
      <c r="J136"/>
      <c r="K136"/>
      <c r="L136"/>
      <c r="M136"/>
      <c r="N136"/>
      <c r="O136"/>
      <c r="P136"/>
      <c r="Q136"/>
      <c r="R136" s="60"/>
      <c r="S136" s="60"/>
      <c r="T136" s="60"/>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c r="B137"/>
      <c r="C137"/>
      <c r="D137"/>
      <c r="E137"/>
      <c r="F137"/>
      <c r="G137"/>
      <c r="H137"/>
      <c r="I137"/>
      <c r="J137"/>
      <c r="K137"/>
      <c r="L137"/>
      <c r="M137"/>
      <c r="N137"/>
      <c r="O137"/>
      <c r="P137"/>
      <c r="Q137"/>
      <c r="R137" s="60"/>
      <c r="S137" s="60"/>
      <c r="T137" s="60"/>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c r="B138"/>
      <c r="C138"/>
      <c r="D138"/>
      <c r="E138"/>
      <c r="F138"/>
      <c r="G138"/>
      <c r="H138"/>
      <c r="I138"/>
      <c r="J138"/>
      <c r="K138"/>
      <c r="L138"/>
      <c r="M138"/>
      <c r="N138"/>
      <c r="O138"/>
      <c r="P138"/>
      <c r="Q138"/>
      <c r="R138" s="60"/>
      <c r="S138" s="60"/>
      <c r="T138" s="60"/>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c r="A139" s="1"/>
      <c r="B139" s="60"/>
      <c r="C139" s="61"/>
      <c r="D139" s="61"/>
      <c r="E139" s="60"/>
      <c r="F139" s="61"/>
      <c r="G139" s="60"/>
      <c r="H139" s="60"/>
      <c r="I139" s="61"/>
      <c r="J139" s="60"/>
      <c r="K139" s="60"/>
      <c r="L139" s="60"/>
      <c r="M139" s="61"/>
      <c r="N139" s="60"/>
      <c r="O139" s="61"/>
      <c r="P139" s="60"/>
      <c r="Q139" s="61"/>
      <c r="R139" s="60"/>
      <c r="S139" s="60"/>
      <c r="T139" s="60"/>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c r="A140" s="1" t="s">
        <v>374</v>
      </c>
      <c r="B140" s="65">
        <v>0</v>
      </c>
      <c r="C140" s="67"/>
      <c r="D140" s="67"/>
      <c r="E140" s="65"/>
      <c r="F140" s="67"/>
      <c r="G140" s="65"/>
      <c r="H140" s="65"/>
      <c r="I140" s="67"/>
      <c r="J140" s="65"/>
      <c r="K140" s="65"/>
      <c r="L140" s="65"/>
      <c r="M140" s="67"/>
      <c r="N140" s="65"/>
      <c r="O140" s="67"/>
      <c r="P140" s="60"/>
      <c r="Q140" s="67"/>
      <c r="R140" s="60"/>
      <c r="S140" s="60"/>
      <c r="T140" s="60"/>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c r="A141" s="1"/>
      <c r="B141" s="60"/>
      <c r="C141" s="61"/>
      <c r="D141" s="61"/>
      <c r="E141" s="60"/>
      <c r="F141" s="61"/>
      <c r="G141" s="60"/>
      <c r="H141" s="60"/>
      <c r="I141" s="61"/>
      <c r="J141" s="60"/>
      <c r="K141" s="60"/>
      <c r="L141" s="60"/>
      <c r="M141" s="61"/>
      <c r="N141" s="60"/>
      <c r="O141" s="61"/>
      <c r="P141" s="60"/>
      <c r="Q141" s="61"/>
      <c r="R141" s="60"/>
      <c r="S141" s="60"/>
      <c r="T141" s="60"/>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c r="A142" s="1" t="s">
        <v>375</v>
      </c>
      <c r="B142" s="65">
        <v>0</v>
      </c>
      <c r="C142" s="67"/>
      <c r="D142" s="67"/>
      <c r="E142" s="65"/>
      <c r="F142" s="67"/>
      <c r="G142" s="65"/>
      <c r="H142" s="65"/>
      <c r="I142" s="67"/>
      <c r="J142" s="65"/>
      <c r="K142" s="65"/>
      <c r="L142" s="65"/>
      <c r="M142" s="67"/>
      <c r="N142" s="65"/>
      <c r="O142" s="67"/>
      <c r="P142" s="60"/>
      <c r="Q142" s="67"/>
      <c r="R142" s="60"/>
      <c r="S142" s="60"/>
      <c r="T142" s="60"/>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c r="A143" s="1"/>
      <c r="B143" s="60"/>
      <c r="C143" s="61"/>
      <c r="D143" s="61"/>
      <c r="E143" s="60"/>
      <c r="F143" s="61"/>
      <c r="G143" s="60"/>
      <c r="H143" s="60"/>
      <c r="I143" s="61"/>
      <c r="J143" s="60"/>
      <c r="K143" s="60"/>
      <c r="L143" s="60"/>
      <c r="M143" s="61"/>
      <c r="N143" s="60"/>
      <c r="O143" s="61"/>
      <c r="P143" s="60"/>
      <c r="Q143" s="61"/>
      <c r="R143" s="60"/>
      <c r="S143" s="60"/>
      <c r="T143" s="60"/>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c r="A144" s="1" t="s">
        <v>376</v>
      </c>
      <c r="B144" s="65">
        <f>+B147+B148+B149</f>
        <v>0</v>
      </c>
      <c r="C144" s="67"/>
      <c r="D144" s="67"/>
      <c r="E144" s="65"/>
      <c r="F144" s="67"/>
      <c r="G144" s="65"/>
      <c r="H144" s="65"/>
      <c r="I144" s="67"/>
      <c r="J144" s="65"/>
      <c r="K144" s="65"/>
      <c r="L144" s="65"/>
      <c r="M144" s="67"/>
      <c r="N144" s="65"/>
      <c r="O144" s="67"/>
      <c r="P144" s="60"/>
      <c r="Q144" s="67"/>
      <c r="R144" s="60"/>
      <c r="S144" s="60"/>
      <c r="T144" s="60"/>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c r="A145" s="1" t="s">
        <v>377</v>
      </c>
      <c r="B145" s="60">
        <v>0</v>
      </c>
      <c r="C145" s="61"/>
      <c r="D145" s="61"/>
      <c r="E145" s="60"/>
      <c r="F145" s="61"/>
      <c r="G145" s="60"/>
      <c r="H145" s="60"/>
      <c r="I145" s="61"/>
      <c r="J145" s="60"/>
      <c r="K145" s="60"/>
      <c r="L145" s="60"/>
      <c r="M145" s="61"/>
      <c r="N145" s="60"/>
      <c r="O145" s="61"/>
      <c r="P145" s="60"/>
      <c r="Q145" s="61"/>
      <c r="R145" s="60"/>
      <c r="S145" s="60"/>
      <c r="T145" s="60"/>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c r="A146" s="1" t="s">
        <v>378</v>
      </c>
      <c r="B146" s="60">
        <v>0</v>
      </c>
      <c r="C146" s="61"/>
      <c r="D146" s="61"/>
      <c r="E146" s="60"/>
      <c r="F146" s="61"/>
      <c r="G146" s="60"/>
      <c r="H146" s="60"/>
      <c r="I146" s="61"/>
      <c r="J146" s="60"/>
      <c r="K146" s="60"/>
      <c r="L146" s="60"/>
      <c r="M146" s="61"/>
      <c r="N146" s="60"/>
      <c r="O146" s="61"/>
      <c r="P146" s="60"/>
      <c r="Q146" s="61"/>
      <c r="R146" s="60"/>
      <c r="S146" s="60"/>
      <c r="T146" s="60"/>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c r="A147" s="1" t="s">
        <v>289</v>
      </c>
      <c r="B147" s="65">
        <f>+B145+B146</f>
        <v>0</v>
      </c>
      <c r="C147" s="61"/>
      <c r="D147" s="61"/>
      <c r="E147" s="60"/>
      <c r="F147" s="61"/>
      <c r="G147" s="60"/>
      <c r="H147" s="60"/>
      <c r="I147" s="61"/>
      <c r="J147" s="60"/>
      <c r="K147" s="60"/>
      <c r="L147" s="60"/>
      <c r="M147" s="61"/>
      <c r="N147" s="60"/>
      <c r="O147" s="61"/>
      <c r="P147" s="60"/>
      <c r="Q147" s="61"/>
      <c r="R147" s="60"/>
      <c r="S147" s="60"/>
      <c r="T147" s="60"/>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c r="A148" s="1" t="s">
        <v>379</v>
      </c>
      <c r="B148" s="60">
        <v>0</v>
      </c>
      <c r="C148" s="61"/>
      <c r="D148" s="61"/>
      <c r="E148" s="60"/>
      <c r="F148" s="61"/>
      <c r="G148" s="60"/>
      <c r="H148" s="60"/>
      <c r="I148" s="61"/>
      <c r="J148" s="60"/>
      <c r="K148" s="60"/>
      <c r="L148" s="60"/>
      <c r="M148" s="61"/>
      <c r="N148" s="60"/>
      <c r="O148" s="61"/>
      <c r="P148" s="60"/>
      <c r="Q148" s="61"/>
      <c r="R148" s="60"/>
      <c r="S148" s="60"/>
      <c r="T148" s="60"/>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c r="A149" s="1" t="s">
        <v>380</v>
      </c>
      <c r="B149" s="60">
        <v>0</v>
      </c>
      <c r="C149" s="61"/>
      <c r="D149" s="61"/>
      <c r="E149" s="60"/>
      <c r="F149" s="61"/>
      <c r="G149" s="60"/>
      <c r="H149" s="60"/>
      <c r="I149" s="61"/>
      <c r="J149" s="60"/>
      <c r="K149" s="60"/>
      <c r="L149" s="60"/>
      <c r="M149" s="61"/>
      <c r="N149" s="60"/>
      <c r="O149" s="61"/>
      <c r="P149" s="60"/>
      <c r="Q149" s="61"/>
      <c r="R149" s="60"/>
      <c r="S149" s="60"/>
      <c r="T149" s="60"/>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c r="A150" s="1"/>
      <c r="B150" s="60"/>
      <c r="C150" s="61"/>
      <c r="D150" s="61"/>
      <c r="E150" s="60"/>
      <c r="F150" s="61"/>
      <c r="G150" s="60"/>
      <c r="H150" s="60"/>
      <c r="I150" s="61"/>
      <c r="J150" s="60"/>
      <c r="K150" s="60"/>
      <c r="L150" s="60"/>
      <c r="M150" s="61"/>
      <c r="N150" s="60"/>
      <c r="O150" s="61"/>
      <c r="P150" s="60"/>
      <c r="Q150" s="61"/>
      <c r="R150" s="60"/>
      <c r="S150" s="60"/>
      <c r="T150" s="60"/>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c r="A151" s="1" t="s">
        <v>381</v>
      </c>
      <c r="B151" s="65">
        <f>SUM(B152:B153)</f>
        <v>0</v>
      </c>
      <c r="C151" s="67"/>
      <c r="D151" s="67"/>
      <c r="E151" s="65"/>
      <c r="F151" s="67"/>
      <c r="G151" s="65"/>
      <c r="H151" s="65"/>
      <c r="I151" s="67"/>
      <c r="J151" s="65"/>
      <c r="K151" s="65"/>
      <c r="L151" s="65"/>
      <c r="M151" s="67"/>
      <c r="N151" s="65"/>
      <c r="O151" s="67"/>
      <c r="P151" s="60"/>
      <c r="Q151" s="67"/>
      <c r="R151" s="60"/>
      <c r="S151" s="60"/>
      <c r="T151" s="60"/>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c r="A152" s="1" t="s">
        <v>382</v>
      </c>
      <c r="B152" s="60">
        <v>0</v>
      </c>
      <c r="C152" s="61"/>
      <c r="D152" s="61"/>
      <c r="E152" s="60"/>
      <c r="F152" s="61"/>
      <c r="G152" s="60"/>
      <c r="H152" s="60"/>
      <c r="I152" s="61"/>
      <c r="J152" s="60"/>
      <c r="K152" s="60"/>
      <c r="L152" s="60"/>
      <c r="M152" s="61"/>
      <c r="N152" s="60"/>
      <c r="O152" s="61"/>
      <c r="P152" s="60"/>
      <c r="Q152" s="61"/>
      <c r="R152" s="60"/>
      <c r="S152" s="60"/>
      <c r="T152" s="60"/>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c r="A153" s="1" t="s">
        <v>383</v>
      </c>
      <c r="B153" s="60">
        <v>0</v>
      </c>
      <c r="C153" s="61"/>
      <c r="D153" s="61"/>
      <c r="E153" s="60"/>
      <c r="F153" s="61"/>
      <c r="G153" s="60"/>
      <c r="H153" s="60"/>
      <c r="I153" s="61"/>
      <c r="J153" s="60"/>
      <c r="K153" s="60"/>
      <c r="L153" s="60"/>
      <c r="M153" s="61"/>
      <c r="N153" s="60"/>
      <c r="O153" s="61"/>
      <c r="P153" s="60"/>
      <c r="Q153" s="61"/>
      <c r="R153" s="60"/>
      <c r="S153" s="60"/>
      <c r="T153" s="60"/>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c r="A154" s="1"/>
      <c r="B154" s="60"/>
      <c r="C154" s="61"/>
      <c r="D154" s="61"/>
      <c r="E154" s="60"/>
      <c r="F154" s="61"/>
      <c r="G154" s="60"/>
      <c r="H154" s="60"/>
      <c r="I154" s="61"/>
      <c r="J154" s="60"/>
      <c r="K154" s="60"/>
      <c r="L154" s="60"/>
      <c r="M154" s="61"/>
      <c r="N154" s="60"/>
      <c r="O154" s="61"/>
      <c r="P154" s="60"/>
      <c r="Q154" s="61"/>
      <c r="R154" s="60"/>
      <c r="S154" s="60"/>
      <c r="T154" s="60"/>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c r="A155" s="1" t="s">
        <v>384</v>
      </c>
      <c r="B155" s="65">
        <f>+B106+B110+B112+B114+B129+B138+B140+B142+B144+B151</f>
        <v>0</v>
      </c>
      <c r="C155" s="67">
        <f>+C106+C110+C112+C114+C129+C138+C140+C142+C144+C151</f>
        <v>0</v>
      </c>
      <c r="D155" s="67"/>
      <c r="E155" s="65">
        <f t="shared" ref="E155:J155" si="14">+E106+E110+E112+E114+E129+E138+E140+E142+E144+E151</f>
        <v>0</v>
      </c>
      <c r="F155" s="67">
        <f t="shared" si="14"/>
        <v>0</v>
      </c>
      <c r="G155" s="65">
        <f t="shared" si="14"/>
        <v>0</v>
      </c>
      <c r="H155" s="65">
        <f t="shared" si="14"/>
        <v>0</v>
      </c>
      <c r="I155" s="67">
        <f t="shared" si="14"/>
        <v>0</v>
      </c>
      <c r="J155" s="65">
        <f t="shared" si="14"/>
        <v>0</v>
      </c>
      <c r="K155" s="65"/>
      <c r="L155" s="65"/>
      <c r="M155" s="67">
        <f>+M106+M110+M112+M114+M129+M138+M140+M142+M144+M151</f>
        <v>0</v>
      </c>
      <c r="N155" s="65">
        <f>+N106+N110+N112+N114+N129+N138+N140+N142+N144+N151</f>
        <v>0</v>
      </c>
      <c r="O155" s="67">
        <f>+O106+O110+O112+O114+O129+O138+O140+O142+O144+O151</f>
        <v>0</v>
      </c>
      <c r="P155" s="60"/>
      <c r="Q155" s="67">
        <f>+Q106+Q110+Q112+Q114+Q129+Q138+Q140+Q142+Q144+Q151</f>
        <v>0</v>
      </c>
      <c r="R155" s="60"/>
      <c r="S155" s="60"/>
      <c r="T155" s="60"/>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c r="A156" s="1"/>
      <c r="B156" s="60"/>
      <c r="C156" s="61"/>
      <c r="D156" s="61"/>
      <c r="E156" s="60"/>
      <c r="F156" s="61"/>
      <c r="G156" s="60"/>
      <c r="H156" s="60"/>
      <c r="I156" s="61"/>
      <c r="J156" s="60"/>
      <c r="K156" s="60"/>
      <c r="L156" s="60"/>
      <c r="M156" s="61"/>
      <c r="N156" s="60"/>
      <c r="O156" s="61"/>
      <c r="P156" s="60"/>
      <c r="Q156" s="61"/>
      <c r="R156" s="60"/>
      <c r="S156" s="60"/>
      <c r="T156" s="60"/>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c r="A157" s="1"/>
      <c r="B157" s="60"/>
      <c r="C157" s="61"/>
      <c r="D157" s="61"/>
      <c r="E157" s="60"/>
      <c r="F157" s="61"/>
      <c r="G157" s="60"/>
      <c r="H157" s="60"/>
      <c r="I157" s="61"/>
      <c r="J157" s="60"/>
      <c r="K157" s="60"/>
      <c r="L157" s="60"/>
      <c r="M157" s="61"/>
      <c r="N157" s="60"/>
      <c r="O157" s="61"/>
      <c r="P157" s="60"/>
      <c r="Q157" s="61"/>
      <c r="R157" s="60"/>
      <c r="S157" s="60"/>
      <c r="T157" s="60"/>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c r="A158" s="1"/>
      <c r="B158" s="60"/>
      <c r="C158" s="61"/>
      <c r="D158" s="61"/>
      <c r="E158" s="60"/>
      <c r="F158" s="61"/>
      <c r="G158" s="60"/>
      <c r="H158" s="60"/>
      <c r="I158" s="61"/>
      <c r="J158" s="60"/>
      <c r="K158" s="60"/>
      <c r="L158" s="60"/>
      <c r="M158" s="61"/>
      <c r="N158" s="60"/>
      <c r="O158" s="61"/>
      <c r="P158" s="60"/>
      <c r="Q158" s="61"/>
      <c r="R158" s="60"/>
      <c r="S158" s="60"/>
      <c r="T158" s="60"/>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c r="A159" s="1"/>
      <c r="B159" s="60"/>
      <c r="C159" s="61"/>
      <c r="D159" s="61"/>
      <c r="E159" s="60"/>
      <c r="F159" s="61"/>
      <c r="G159" s="60"/>
      <c r="H159" s="60"/>
      <c r="I159" s="61"/>
      <c r="J159" s="60"/>
      <c r="K159" s="60"/>
      <c r="L159" s="60"/>
      <c r="M159" s="61"/>
      <c r="N159" s="60"/>
      <c r="O159" s="61"/>
      <c r="P159" s="60"/>
      <c r="Q159" s="61"/>
      <c r="R159" s="60"/>
      <c r="S159" s="60"/>
      <c r="T159" s="60"/>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c r="A160" s="1"/>
      <c r="B160" s="60"/>
      <c r="C160" s="61"/>
      <c r="D160" s="61"/>
      <c r="E160" s="60"/>
      <c r="F160" s="61"/>
      <c r="G160" s="60"/>
      <c r="H160" s="60"/>
      <c r="I160" s="61"/>
      <c r="J160" s="60"/>
      <c r="K160" s="60"/>
      <c r="L160" s="60"/>
      <c r="M160" s="61"/>
      <c r="N160" s="60"/>
      <c r="O160" s="61"/>
      <c r="P160" s="60"/>
      <c r="Q160" s="61"/>
      <c r="R160" s="60"/>
      <c r="S160" s="60"/>
      <c r="T160" s="60"/>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c r="A161" s="1"/>
      <c r="B161" s="60"/>
      <c r="C161" s="61"/>
      <c r="D161" s="61"/>
      <c r="E161" s="60"/>
      <c r="F161" s="61"/>
      <c r="G161" s="60"/>
      <c r="H161" s="60"/>
      <c r="I161" s="61"/>
      <c r="J161" s="60"/>
      <c r="K161" s="60"/>
      <c r="L161" s="60"/>
      <c r="M161" s="61"/>
      <c r="N161" s="60"/>
      <c r="O161" s="61"/>
      <c r="P161" s="60"/>
      <c r="Q161" s="61"/>
      <c r="R161" s="60"/>
      <c r="S161" s="60"/>
      <c r="T161" s="60"/>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c r="A162" s="1"/>
      <c r="B162" s="60"/>
      <c r="C162" s="61"/>
      <c r="D162" s="61"/>
      <c r="E162" s="60"/>
      <c r="F162" s="61"/>
      <c r="G162" s="60"/>
      <c r="H162" s="60"/>
      <c r="I162" s="61"/>
      <c r="J162" s="60"/>
      <c r="K162" s="60"/>
      <c r="L162" s="60"/>
      <c r="M162" s="61"/>
      <c r="N162" s="60"/>
      <c r="O162" s="61"/>
      <c r="P162" s="60"/>
      <c r="Q162" s="61"/>
      <c r="R162" s="60"/>
      <c r="S162" s="60"/>
      <c r="T162" s="60"/>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c r="A163" s="1"/>
      <c r="B163" s="60"/>
      <c r="C163" s="61"/>
      <c r="D163" s="61"/>
      <c r="E163" s="60"/>
      <c r="F163" s="61"/>
      <c r="G163" s="60"/>
      <c r="H163" s="60"/>
      <c r="I163" s="61"/>
      <c r="J163" s="60"/>
      <c r="K163" s="60"/>
      <c r="L163" s="60"/>
      <c r="M163" s="61"/>
      <c r="N163" s="60"/>
      <c r="O163" s="61"/>
      <c r="P163" s="60"/>
      <c r="Q163" s="61"/>
      <c r="R163" s="60"/>
      <c r="S163" s="60"/>
      <c r="T163" s="60"/>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c r="A164" s="1"/>
      <c r="B164" s="60"/>
      <c r="C164" s="61"/>
      <c r="D164" s="61"/>
      <c r="E164" s="60"/>
      <c r="F164" s="61"/>
      <c r="G164" s="60"/>
      <c r="H164" s="60"/>
      <c r="I164" s="61"/>
      <c r="J164" s="60"/>
      <c r="K164" s="60"/>
      <c r="L164" s="60"/>
      <c r="M164" s="61"/>
      <c r="N164" s="60"/>
      <c r="O164" s="61"/>
      <c r="P164" s="60"/>
      <c r="Q164" s="61"/>
      <c r="R164" s="60"/>
      <c r="S164" s="60"/>
      <c r="T164" s="60"/>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c r="A165" s="1"/>
      <c r="B165" s="60"/>
      <c r="C165" s="61"/>
      <c r="D165" s="61"/>
      <c r="E165" s="60"/>
      <c r="F165" s="61"/>
      <c r="G165" s="60"/>
      <c r="H165" s="60"/>
      <c r="I165" s="61"/>
      <c r="J165" s="60"/>
      <c r="K165" s="60"/>
      <c r="L165" s="60"/>
      <c r="M165" s="61"/>
      <c r="N165" s="60"/>
      <c r="O165" s="61"/>
      <c r="P165" s="60"/>
      <c r="Q165" s="61"/>
      <c r="R165" s="60"/>
      <c r="S165" s="60"/>
      <c r="T165" s="60"/>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c r="A166" s="1"/>
      <c r="B166" s="60"/>
      <c r="C166" s="61"/>
      <c r="D166" s="61"/>
      <c r="E166" s="60"/>
      <c r="F166" s="61"/>
      <c r="G166" s="60"/>
      <c r="H166" s="60"/>
      <c r="I166" s="61"/>
      <c r="J166" s="60"/>
      <c r="K166" s="60"/>
      <c r="L166" s="60"/>
      <c r="M166" s="61"/>
      <c r="N166" s="60"/>
      <c r="O166" s="61"/>
      <c r="P166" s="60"/>
      <c r="Q166" s="61"/>
      <c r="R166" s="60"/>
      <c r="S166" s="60"/>
      <c r="T166" s="60"/>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c r="A167" s="1"/>
      <c r="B167" s="60"/>
      <c r="C167" s="61"/>
      <c r="D167" s="61"/>
      <c r="E167" s="60"/>
      <c r="F167" s="61"/>
      <c r="G167" s="60"/>
      <c r="H167" s="60"/>
      <c r="I167" s="61"/>
      <c r="J167" s="60"/>
      <c r="K167" s="60"/>
      <c r="L167" s="60"/>
      <c r="M167" s="61"/>
      <c r="N167" s="60"/>
      <c r="O167" s="61"/>
      <c r="P167" s="60"/>
      <c r="Q167" s="61"/>
      <c r="R167" s="60"/>
      <c r="S167" s="60"/>
      <c r="T167" s="60"/>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c r="A168" s="1"/>
      <c r="B168" s="60"/>
      <c r="C168" s="61"/>
      <c r="D168" s="61"/>
      <c r="E168" s="60"/>
      <c r="F168" s="61"/>
      <c r="G168" s="60"/>
      <c r="H168" s="60"/>
      <c r="I168" s="61"/>
      <c r="J168" s="60"/>
      <c r="K168" s="60"/>
      <c r="L168" s="60"/>
      <c r="M168" s="61"/>
      <c r="N168" s="60"/>
      <c r="O168" s="61"/>
      <c r="P168" s="60"/>
      <c r="Q168" s="61"/>
      <c r="R168" s="60"/>
      <c r="S168" s="60"/>
      <c r="T168" s="60"/>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c r="A169" s="1"/>
      <c r="B169" s="60"/>
      <c r="C169" s="61"/>
      <c r="D169" s="61"/>
      <c r="E169" s="60"/>
      <c r="F169" s="61"/>
      <c r="G169" s="60"/>
      <c r="H169" s="60"/>
      <c r="I169" s="61"/>
      <c r="J169" s="60"/>
      <c r="K169" s="60"/>
      <c r="L169" s="60"/>
      <c r="M169" s="61"/>
      <c r="N169" s="60"/>
      <c r="O169" s="61"/>
      <c r="P169" s="60"/>
      <c r="Q169" s="61"/>
      <c r="R169" s="60"/>
      <c r="S169" s="60"/>
      <c r="T169" s="60"/>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c r="A170" s="1"/>
      <c r="B170" s="60"/>
      <c r="C170" s="61"/>
      <c r="D170" s="61"/>
      <c r="E170" s="60"/>
      <c r="F170" s="61"/>
      <c r="G170" s="60"/>
      <c r="H170" s="60"/>
      <c r="I170" s="61"/>
      <c r="J170" s="60"/>
      <c r="K170" s="60"/>
      <c r="L170" s="60"/>
      <c r="M170" s="61"/>
      <c r="N170" s="60"/>
      <c r="O170" s="61"/>
      <c r="P170" s="60"/>
      <c r="Q170" s="61"/>
      <c r="R170" s="60"/>
      <c r="S170" s="60"/>
      <c r="T170" s="60"/>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c r="A171" s="1"/>
      <c r="B171" s="60"/>
      <c r="C171" s="61"/>
      <c r="D171" s="61"/>
      <c r="E171" s="60"/>
      <c r="F171" s="61"/>
      <c r="G171" s="60"/>
      <c r="H171" s="60"/>
      <c r="I171" s="61"/>
      <c r="J171" s="60"/>
      <c r="K171" s="60"/>
      <c r="L171" s="60"/>
      <c r="M171" s="61"/>
      <c r="N171" s="60"/>
      <c r="O171" s="61"/>
      <c r="P171" s="60"/>
      <c r="Q171" s="61"/>
      <c r="R171" s="60"/>
      <c r="S171" s="60"/>
      <c r="T171" s="60"/>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c r="A172" s="1"/>
      <c r="B172" s="60"/>
      <c r="C172" s="61"/>
      <c r="D172" s="61"/>
      <c r="E172" s="60"/>
      <c r="F172" s="61"/>
      <c r="G172" s="60"/>
      <c r="H172" s="60"/>
      <c r="I172" s="61"/>
      <c r="J172" s="60"/>
      <c r="K172" s="60"/>
      <c r="L172" s="60"/>
      <c r="M172" s="61"/>
      <c r="N172" s="60"/>
      <c r="O172" s="61"/>
      <c r="P172" s="60"/>
      <c r="Q172" s="61"/>
      <c r="R172" s="60"/>
      <c r="S172" s="60"/>
      <c r="T172" s="60"/>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c r="A173" s="1"/>
      <c r="B173" s="60"/>
      <c r="C173" s="61"/>
      <c r="D173" s="61"/>
      <c r="E173" s="60"/>
      <c r="F173" s="61"/>
      <c r="G173" s="60"/>
      <c r="H173" s="60"/>
      <c r="I173" s="61"/>
      <c r="J173" s="60"/>
      <c r="K173" s="60"/>
      <c r="L173" s="60"/>
      <c r="M173" s="61"/>
      <c r="N173" s="60"/>
      <c r="O173" s="61"/>
      <c r="P173" s="60"/>
      <c r="Q173" s="61"/>
      <c r="R173" s="60"/>
      <c r="S173" s="60"/>
      <c r="T173" s="60"/>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c r="A174" s="1"/>
      <c r="B174" s="60"/>
      <c r="C174" s="61"/>
      <c r="D174" s="61"/>
      <c r="E174" s="60"/>
      <c r="F174" s="61"/>
      <c r="G174" s="60"/>
      <c r="H174" s="60"/>
      <c r="I174" s="61"/>
      <c r="J174" s="60"/>
      <c r="K174" s="60"/>
      <c r="L174" s="60"/>
      <c r="M174" s="61"/>
      <c r="N174" s="60"/>
      <c r="O174" s="61"/>
      <c r="P174" s="60"/>
      <c r="Q174" s="61"/>
      <c r="R174" s="60"/>
      <c r="S174" s="60"/>
      <c r="T174" s="60"/>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c r="A175" s="1"/>
      <c r="B175" s="60"/>
      <c r="C175" s="61"/>
      <c r="D175" s="61"/>
      <c r="E175" s="60"/>
      <c r="F175" s="61"/>
      <c r="G175" s="60"/>
      <c r="H175" s="60"/>
      <c r="I175" s="61"/>
      <c r="J175" s="60"/>
      <c r="K175" s="60"/>
      <c r="L175" s="60"/>
      <c r="M175" s="61"/>
      <c r="N175" s="60"/>
      <c r="O175" s="61"/>
      <c r="P175" s="60"/>
      <c r="Q175" s="61"/>
      <c r="R175" s="60"/>
      <c r="S175" s="60"/>
      <c r="T175" s="60"/>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c r="A176" s="1"/>
      <c r="B176" s="60"/>
      <c r="C176" s="61"/>
      <c r="D176" s="61"/>
      <c r="E176" s="60"/>
      <c r="F176" s="61"/>
      <c r="G176" s="60"/>
      <c r="H176" s="60"/>
      <c r="I176" s="61"/>
      <c r="J176" s="60"/>
      <c r="K176" s="60"/>
      <c r="L176" s="60"/>
      <c r="M176" s="61"/>
      <c r="N176" s="60"/>
      <c r="O176" s="61"/>
      <c r="P176" s="60"/>
      <c r="Q176" s="61"/>
      <c r="R176" s="60"/>
      <c r="S176" s="60"/>
      <c r="T176" s="60"/>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c r="A177" s="1"/>
      <c r="B177" s="60"/>
      <c r="C177" s="61"/>
      <c r="D177" s="61"/>
      <c r="E177" s="60"/>
      <c r="F177" s="61"/>
      <c r="G177" s="60"/>
      <c r="H177" s="60"/>
      <c r="I177" s="61"/>
      <c r="J177" s="60"/>
      <c r="K177" s="60"/>
      <c r="L177" s="60"/>
      <c r="M177" s="61"/>
      <c r="N177" s="60"/>
      <c r="O177" s="61"/>
      <c r="P177" s="60"/>
      <c r="Q177" s="61"/>
      <c r="R177" s="60"/>
      <c r="S177" s="60"/>
      <c r="T177" s="60"/>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c r="A178" s="1"/>
      <c r="B178" s="60"/>
      <c r="C178" s="61"/>
      <c r="D178" s="61"/>
      <c r="E178" s="60"/>
      <c r="F178" s="61"/>
      <c r="G178" s="60"/>
      <c r="H178" s="60"/>
      <c r="I178" s="61"/>
      <c r="J178" s="60"/>
      <c r="K178" s="60"/>
      <c r="L178" s="60"/>
      <c r="M178" s="61"/>
      <c r="N178" s="60"/>
      <c r="O178" s="61"/>
      <c r="P178" s="60"/>
      <c r="Q178" s="61"/>
      <c r="R178" s="60"/>
      <c r="S178" s="60"/>
      <c r="T178" s="60"/>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c r="A179" s="1"/>
      <c r="B179" s="60"/>
      <c r="C179" s="61"/>
      <c r="D179" s="61"/>
      <c r="E179" s="60"/>
      <c r="F179" s="61"/>
      <c r="G179" s="60"/>
      <c r="H179" s="60"/>
      <c r="I179" s="61"/>
      <c r="J179" s="60"/>
      <c r="K179" s="60"/>
      <c r="L179" s="60"/>
      <c r="M179" s="61"/>
      <c r="N179" s="60"/>
      <c r="O179" s="61"/>
      <c r="P179" s="60"/>
      <c r="Q179" s="61"/>
      <c r="R179" s="60"/>
      <c r="S179" s="60"/>
      <c r="T179" s="60"/>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c r="A180" s="1"/>
      <c r="B180" s="60"/>
      <c r="C180" s="61"/>
      <c r="D180" s="61"/>
      <c r="E180" s="60"/>
      <c r="F180" s="61"/>
      <c r="G180" s="60"/>
      <c r="H180" s="60"/>
      <c r="I180" s="61"/>
      <c r="J180" s="60"/>
      <c r="K180" s="60"/>
      <c r="L180" s="60"/>
      <c r="M180" s="61"/>
      <c r="N180" s="60"/>
      <c r="O180" s="61"/>
      <c r="P180" s="60"/>
      <c r="Q180" s="61"/>
      <c r="R180" s="60"/>
      <c r="S180" s="60"/>
      <c r="T180" s="60"/>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c r="A181" s="1"/>
      <c r="B181" s="60"/>
      <c r="C181" s="61"/>
      <c r="D181" s="61"/>
      <c r="E181" s="60"/>
      <c r="F181" s="61"/>
      <c r="G181" s="60"/>
      <c r="H181" s="60"/>
      <c r="I181" s="61"/>
      <c r="J181" s="60"/>
      <c r="K181" s="60"/>
      <c r="L181" s="60"/>
      <c r="M181" s="61"/>
      <c r="N181" s="60"/>
      <c r="O181" s="61"/>
      <c r="P181" s="60"/>
      <c r="Q181" s="61"/>
      <c r="R181" s="60"/>
      <c r="S181" s="60"/>
      <c r="T181" s="60"/>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c r="A182" s="1"/>
      <c r="B182" s="60"/>
      <c r="C182" s="61"/>
      <c r="D182" s="61"/>
      <c r="E182" s="60"/>
      <c r="F182" s="61"/>
      <c r="G182" s="60"/>
      <c r="H182" s="60"/>
      <c r="I182" s="61"/>
      <c r="J182" s="60"/>
      <c r="K182" s="60"/>
      <c r="L182" s="60"/>
      <c r="M182" s="61"/>
      <c r="N182" s="60"/>
      <c r="O182" s="61"/>
      <c r="P182" s="60"/>
      <c r="Q182" s="61"/>
      <c r="R182" s="60"/>
      <c r="S182" s="60"/>
      <c r="T182" s="60"/>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c r="A183" s="1"/>
      <c r="B183" s="60"/>
      <c r="C183" s="61"/>
      <c r="D183" s="61"/>
      <c r="E183" s="60"/>
      <c r="F183" s="61"/>
      <c r="G183" s="60"/>
      <c r="H183" s="60"/>
      <c r="I183" s="61"/>
      <c r="J183" s="60"/>
      <c r="K183" s="60"/>
      <c r="L183" s="60"/>
      <c r="M183" s="61"/>
      <c r="N183" s="60"/>
      <c r="O183" s="61"/>
      <c r="P183" s="60"/>
      <c r="Q183" s="61"/>
      <c r="R183" s="60"/>
      <c r="S183" s="60"/>
      <c r="T183" s="60"/>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c r="A184" s="1"/>
      <c r="B184" s="60"/>
      <c r="C184" s="61"/>
      <c r="D184" s="61"/>
      <c r="E184" s="60"/>
      <c r="F184" s="61"/>
      <c r="G184" s="60"/>
      <c r="H184" s="60"/>
      <c r="I184" s="61"/>
      <c r="J184" s="60"/>
      <c r="K184" s="60"/>
      <c r="L184" s="60"/>
      <c r="M184" s="61"/>
      <c r="N184" s="60"/>
      <c r="O184" s="61"/>
      <c r="P184" s="60"/>
      <c r="Q184" s="61"/>
      <c r="R184" s="60"/>
      <c r="S184" s="60"/>
      <c r="T184" s="60"/>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c r="A185" s="1"/>
      <c r="B185" s="60"/>
      <c r="C185" s="61"/>
      <c r="D185" s="61"/>
      <c r="E185" s="60"/>
      <c r="F185" s="61"/>
      <c r="G185" s="60"/>
      <c r="H185" s="60"/>
      <c r="I185" s="61"/>
      <c r="J185" s="60"/>
      <c r="K185" s="60"/>
      <c r="L185" s="60"/>
      <c r="M185" s="61"/>
      <c r="N185" s="60"/>
      <c r="O185" s="61"/>
      <c r="P185" s="60"/>
      <c r="Q185" s="61"/>
      <c r="R185" s="60"/>
      <c r="S185" s="60"/>
      <c r="T185" s="60"/>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c r="A186" s="1"/>
      <c r="B186" s="60"/>
      <c r="C186" s="61"/>
      <c r="D186" s="61"/>
      <c r="E186" s="60"/>
      <c r="F186" s="61"/>
      <c r="G186" s="60"/>
      <c r="H186" s="60"/>
      <c r="I186" s="61"/>
      <c r="J186" s="60"/>
      <c r="K186" s="60"/>
      <c r="L186" s="60"/>
      <c r="M186" s="61"/>
      <c r="N186" s="60"/>
      <c r="O186" s="61"/>
      <c r="P186" s="60"/>
      <c r="Q186" s="61"/>
      <c r="R186" s="60"/>
      <c r="S186" s="60"/>
      <c r="T186" s="60"/>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c r="A187" s="1"/>
      <c r="B187" s="60"/>
      <c r="C187" s="61"/>
      <c r="D187" s="61"/>
      <c r="E187" s="60"/>
      <c r="F187" s="61"/>
      <c r="G187" s="60"/>
      <c r="H187" s="60"/>
      <c r="I187" s="61"/>
      <c r="J187" s="60"/>
      <c r="K187" s="60"/>
      <c r="L187" s="60"/>
      <c r="M187" s="61"/>
      <c r="N187" s="60"/>
      <c r="O187" s="61"/>
      <c r="P187" s="60"/>
      <c r="Q187" s="61"/>
      <c r="R187" s="60"/>
      <c r="S187" s="60"/>
      <c r="T187" s="60"/>
      <c r="U187" s="1"/>
      <c r="V187" s="1"/>
      <c r="W187" s="1"/>
      <c r="X187" s="1"/>
      <c r="Y187" s="1"/>
      <c r="Z187" s="1"/>
      <c r="AA187" s="1"/>
      <c r="AB187" s="1"/>
      <c r="AC187" s="1"/>
      <c r="AD187" s="1"/>
      <c r="AE187" s="1"/>
      <c r="AF187" s="1"/>
      <c r="AG187" s="1"/>
      <c r="AH187" s="1"/>
      <c r="AI187" s="1"/>
      <c r="AJ187" s="1"/>
      <c r="AK187" s="1"/>
      <c r="AL187" s="1"/>
      <c r="AM187" s="1"/>
      <c r="AN187" s="1"/>
      <c r="AO187" s="1"/>
      <c r="AP187" s="1"/>
      <c r="AQ187" s="1"/>
    </row>
  </sheetData>
  <pageMargins left="0.2" right="0.21" top="0.68" bottom="0.45" header="0.5" footer="0.23"/>
  <pageSetup scale="45" orientation="landscape" r:id="rId1"/>
  <headerFooter alignWithMargins="0">
    <oddFooter>&amp;R&amp;16&amp;P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188"/>
  <sheetViews>
    <sheetView workbookViewId="0"/>
  </sheetViews>
  <sheetFormatPr defaultRowHeight="15.75"/>
  <cols>
    <col min="1" max="1" width="29.75" customWidth="1"/>
    <col min="2" max="2" width="13.625" style="12" customWidth="1"/>
    <col min="3" max="3" width="13.75" style="13" customWidth="1"/>
    <col min="4" max="4" width="13.75" style="12" customWidth="1"/>
    <col min="5" max="5" width="13.75" style="13" customWidth="1"/>
    <col min="6" max="6" width="13.75" style="12" customWidth="1"/>
    <col min="7" max="7" width="13.75" style="13" customWidth="1"/>
    <col min="8" max="8" width="13.75" style="12" customWidth="1"/>
    <col min="9" max="9" width="13.75" style="13" customWidth="1"/>
    <col min="10" max="12" width="13.75" style="12" customWidth="1"/>
    <col min="13" max="13" width="13.75" style="13" customWidth="1"/>
    <col min="14" max="14" width="13.75" style="12" customWidth="1"/>
    <col min="15" max="15" width="13.75" style="13" customWidth="1"/>
    <col min="16" max="16" width="13.75" style="12" customWidth="1"/>
    <col min="17" max="17" width="13.75" style="13" customWidth="1"/>
    <col min="18" max="19" width="13.75" style="12" customWidth="1"/>
    <col min="20" max="20" width="14.375" style="12" customWidth="1"/>
    <col min="21" max="25" width="14.375" customWidth="1"/>
    <col min="26" max="256" width="11" customWidth="1"/>
  </cols>
  <sheetData>
    <row r="1" spans="1:43">
      <c r="A1" s="114" t="s">
        <v>163</v>
      </c>
      <c r="B1" s="37"/>
      <c r="C1" s="38"/>
      <c r="D1" s="37"/>
      <c r="E1" s="38"/>
      <c r="F1" s="37"/>
      <c r="G1" s="38"/>
      <c r="H1" s="37"/>
      <c r="I1" s="38"/>
      <c r="J1" s="37"/>
      <c r="K1" s="37"/>
      <c r="L1" s="37"/>
      <c r="M1" s="38"/>
      <c r="N1" s="37"/>
      <c r="O1" s="38"/>
      <c r="P1" s="37"/>
      <c r="Q1" s="38"/>
      <c r="R1" s="37"/>
    </row>
    <row r="2" spans="1:43">
      <c r="A2" s="114" t="s">
        <v>360</v>
      </c>
      <c r="B2" s="37"/>
      <c r="C2" s="38"/>
      <c r="D2" s="37"/>
      <c r="E2" s="38"/>
      <c r="F2" s="37"/>
      <c r="G2" s="38"/>
      <c r="H2" s="37"/>
      <c r="I2" s="38"/>
      <c r="J2" s="37"/>
      <c r="K2" s="37"/>
      <c r="L2" s="37"/>
      <c r="M2" s="38"/>
      <c r="N2" s="37"/>
      <c r="O2" s="38"/>
      <c r="P2" s="37"/>
      <c r="Q2" s="38"/>
      <c r="R2" s="37"/>
    </row>
    <row r="3" spans="1:43">
      <c r="A3" s="114" t="s">
        <v>422</v>
      </c>
      <c r="B3" s="37"/>
      <c r="C3" s="38"/>
      <c r="D3" s="37"/>
      <c r="E3" s="38"/>
      <c r="F3" s="37"/>
      <c r="G3" s="38"/>
      <c r="H3" s="37"/>
      <c r="I3" s="38"/>
      <c r="J3" s="37"/>
      <c r="K3" s="37"/>
      <c r="L3" s="37"/>
      <c r="M3" s="38"/>
      <c r="N3" s="37"/>
      <c r="O3" s="38"/>
      <c r="P3" s="37"/>
      <c r="Q3" s="38"/>
      <c r="R3" s="37"/>
    </row>
    <row r="4" spans="1:43">
      <c r="A4" s="114" t="s">
        <v>423</v>
      </c>
      <c r="B4" s="37"/>
      <c r="C4" s="38"/>
      <c r="D4" s="37"/>
      <c r="E4" s="38"/>
      <c r="F4" s="37"/>
      <c r="G4" s="38"/>
      <c r="H4" s="37"/>
      <c r="I4" s="38"/>
      <c r="J4" s="37"/>
      <c r="K4" s="37"/>
      <c r="L4" s="37"/>
      <c r="M4" s="38"/>
      <c r="N4" s="37"/>
      <c r="O4" s="38"/>
      <c r="P4" s="37"/>
      <c r="Q4" s="38"/>
      <c r="R4" s="37"/>
    </row>
    <row r="5" spans="1:43">
      <c r="A5" s="114" t="s">
        <v>179</v>
      </c>
      <c r="B5" s="37"/>
      <c r="C5" s="38"/>
      <c r="D5" s="37"/>
      <c r="E5" s="38"/>
      <c r="F5" s="37"/>
      <c r="G5" s="38"/>
      <c r="H5" s="37"/>
      <c r="I5" s="38"/>
      <c r="J5" s="37"/>
      <c r="K5" s="37"/>
      <c r="L5" s="37"/>
      <c r="M5" s="38"/>
      <c r="N5" s="37"/>
      <c r="O5" s="38"/>
      <c r="P5" s="37"/>
      <c r="Q5" s="38"/>
      <c r="R5" s="37"/>
    </row>
    <row r="6" spans="1:43">
      <c r="A6" s="34"/>
      <c r="B6" s="37"/>
      <c r="C6" s="38"/>
      <c r="D6" s="37"/>
      <c r="E6" s="38"/>
      <c r="F6" s="37"/>
      <c r="G6" s="38"/>
      <c r="H6" s="37"/>
      <c r="I6" s="38"/>
      <c r="J6" s="37"/>
      <c r="K6" s="37"/>
      <c r="L6" s="37"/>
      <c r="M6" s="38"/>
      <c r="N6" s="37"/>
      <c r="O6" s="38"/>
      <c r="P6" s="37"/>
      <c r="Q6" s="38"/>
      <c r="R6" s="37"/>
    </row>
    <row r="7" spans="1:43">
      <c r="A7" s="1"/>
      <c r="B7" s="60"/>
      <c r="C7" s="61"/>
      <c r="D7" s="60"/>
      <c r="E7" s="61"/>
      <c r="F7" s="60"/>
      <c r="G7" s="61"/>
      <c r="H7" s="60"/>
      <c r="I7" s="61"/>
      <c r="J7" s="60"/>
      <c r="K7" s="60"/>
      <c r="L7" s="60"/>
      <c r="M7" s="61"/>
      <c r="N7" s="60"/>
      <c r="O7" s="61"/>
      <c r="P7" s="60"/>
      <c r="Q7" s="61"/>
      <c r="R7" s="60"/>
      <c r="S7" s="60"/>
      <c r="T7" s="60"/>
      <c r="U7" s="1"/>
      <c r="V7" s="1"/>
      <c r="W7" s="1"/>
      <c r="X7" s="1"/>
      <c r="Y7" s="1"/>
      <c r="Z7" s="1"/>
      <c r="AA7" s="1"/>
      <c r="AB7" s="1"/>
      <c r="AC7" s="1"/>
      <c r="AD7" s="1"/>
      <c r="AE7" s="1"/>
      <c r="AF7" s="1"/>
      <c r="AG7" s="1"/>
      <c r="AH7" s="1"/>
      <c r="AI7" s="1"/>
      <c r="AJ7" s="1"/>
      <c r="AK7" s="1"/>
      <c r="AL7" s="1"/>
      <c r="AM7" s="1"/>
      <c r="AN7" s="1"/>
      <c r="AO7" s="1"/>
      <c r="AP7" s="1"/>
      <c r="AQ7" s="1"/>
    </row>
    <row r="8" spans="1:43" ht="16.5" thickBot="1">
      <c r="A8" s="1"/>
      <c r="B8" s="150" t="s">
        <v>98</v>
      </c>
      <c r="C8" s="150" t="s">
        <v>99</v>
      </c>
      <c r="D8" s="151" t="s">
        <v>100</v>
      </c>
      <c r="E8" s="151" t="s">
        <v>101</v>
      </c>
      <c r="F8" s="150" t="s">
        <v>102</v>
      </c>
      <c r="G8" s="150" t="s">
        <v>424</v>
      </c>
      <c r="H8" s="151" t="s">
        <v>103</v>
      </c>
      <c r="I8" s="151" t="s">
        <v>104</v>
      </c>
      <c r="J8" s="150" t="s">
        <v>105</v>
      </c>
      <c r="K8" s="150" t="s">
        <v>361</v>
      </c>
      <c r="L8" s="164" t="s">
        <v>362</v>
      </c>
      <c r="M8" s="151" t="s">
        <v>107</v>
      </c>
      <c r="N8" s="150" t="s">
        <v>108</v>
      </c>
      <c r="O8" s="163" t="s">
        <v>362</v>
      </c>
      <c r="P8" s="150" t="s">
        <v>109</v>
      </c>
      <c r="Q8" s="151" t="s">
        <v>110</v>
      </c>
      <c r="R8" s="164" t="s">
        <v>362</v>
      </c>
      <c r="S8" s="164" t="s">
        <v>111</v>
      </c>
      <c r="T8" s="60"/>
      <c r="U8" s="1"/>
      <c r="V8" s="1"/>
      <c r="W8" s="1"/>
      <c r="X8" s="1"/>
      <c r="Y8" s="1"/>
      <c r="Z8" s="1"/>
      <c r="AA8" s="1"/>
      <c r="AB8" s="1"/>
      <c r="AC8" s="1"/>
      <c r="AD8" s="1"/>
      <c r="AE8" s="1"/>
      <c r="AF8" s="1"/>
      <c r="AG8" s="1"/>
      <c r="AH8" s="1"/>
      <c r="AI8" s="1"/>
      <c r="AJ8" s="1"/>
      <c r="AK8" s="1"/>
      <c r="AL8" s="1"/>
      <c r="AM8" s="1"/>
      <c r="AN8" s="1"/>
      <c r="AO8" s="1"/>
      <c r="AP8" s="1"/>
      <c r="AQ8" s="1"/>
    </row>
    <row r="9" spans="1:43">
      <c r="A9" s="2" t="s">
        <v>243</v>
      </c>
      <c r="B9" s="1"/>
      <c r="C9" s="1"/>
      <c r="D9" s="1"/>
      <c r="E9" s="1"/>
      <c r="F9" s="1"/>
      <c r="G9" s="1"/>
      <c r="H9" s="1"/>
      <c r="I9" s="1"/>
      <c r="J9" s="1"/>
      <c r="K9" s="1"/>
      <c r="L9" s="153"/>
      <c r="M9" s="1"/>
      <c r="N9" s="1"/>
      <c r="O9" s="153"/>
      <c r="P9" s="1"/>
      <c r="Q9" s="1"/>
      <c r="R9" s="153"/>
      <c r="S9" s="202"/>
      <c r="T9" s="62"/>
      <c r="U9" s="63"/>
      <c r="V9" s="63"/>
      <c r="W9" s="63"/>
      <c r="X9" s="1"/>
      <c r="Y9" s="1"/>
      <c r="Z9" s="1"/>
      <c r="AA9" s="1"/>
      <c r="AB9" s="1"/>
      <c r="AC9" s="1"/>
      <c r="AD9" s="1"/>
      <c r="AE9" s="1"/>
      <c r="AF9" s="1"/>
      <c r="AG9" s="1"/>
      <c r="AH9" s="1"/>
      <c r="AI9" s="1"/>
      <c r="AJ9" s="1"/>
      <c r="AK9" s="1"/>
      <c r="AL9" s="1"/>
      <c r="AM9" s="1"/>
      <c r="AN9" s="1"/>
      <c r="AO9" s="1"/>
      <c r="AP9" s="1"/>
      <c r="AQ9" s="1"/>
    </row>
    <row r="10" spans="1:43">
      <c r="A10" s="1" t="s">
        <v>264</v>
      </c>
      <c r="B10" s="60"/>
      <c r="C10" s="60"/>
      <c r="D10" s="61"/>
      <c r="E10" s="61"/>
      <c r="F10" s="1"/>
      <c r="G10" s="60"/>
      <c r="H10" s="61"/>
      <c r="I10" s="61"/>
      <c r="J10" s="60"/>
      <c r="K10" s="60"/>
      <c r="L10" s="190"/>
      <c r="M10" s="61"/>
      <c r="N10" s="60"/>
      <c r="O10" s="196"/>
      <c r="P10" s="60"/>
      <c r="Q10" s="61"/>
      <c r="R10" s="190"/>
      <c r="S10" s="190"/>
      <c r="T10" s="60"/>
      <c r="U10" s="1"/>
      <c r="V10" s="1"/>
      <c r="W10" s="1"/>
      <c r="X10" s="1"/>
      <c r="Y10" s="1"/>
      <c r="Z10" s="1"/>
      <c r="AA10" s="1"/>
      <c r="AB10" s="1"/>
      <c r="AC10" s="1"/>
      <c r="AD10" s="1"/>
      <c r="AE10" s="1"/>
      <c r="AF10" s="1"/>
      <c r="AG10" s="1"/>
      <c r="AH10" s="1"/>
      <c r="AI10" s="1"/>
      <c r="AJ10" s="1"/>
      <c r="AK10" s="1"/>
      <c r="AL10" s="1"/>
      <c r="AM10" s="1"/>
      <c r="AN10" s="1"/>
      <c r="AO10" s="1"/>
      <c r="AP10" s="1"/>
      <c r="AQ10" s="1"/>
    </row>
    <row r="11" spans="1:43">
      <c r="A11" s="1" t="s">
        <v>265</v>
      </c>
      <c r="B11" s="88">
        <f>+bichvar!N10</f>
        <v>1104.0999999999999</v>
      </c>
      <c r="C11" s="88">
        <f>+bidcvar!N10</f>
        <v>49850.1</v>
      </c>
      <c r="D11" s="88">
        <f>+bncvar!N10</f>
        <v>254958.3</v>
      </c>
      <c r="E11" s="88">
        <f>+bphvar!N10</f>
        <v>46306.2</v>
      </c>
      <c r="F11" s="88">
        <f>+buhvar!N10</f>
        <v>166843.5</v>
      </c>
      <c r="G11" s="88">
        <f>+'bmhvar '!N10</f>
        <v>0</v>
      </c>
      <c r="H11" s="88">
        <f>+promobkvar!N10</f>
        <v>65667.600000000006</v>
      </c>
      <c r="I11" s="88">
        <f>+socabkvar!N10</f>
        <v>68746.600000000006</v>
      </c>
      <c r="J11" s="88">
        <f>+sogebkvar!N10</f>
        <v>93406.2</v>
      </c>
      <c r="K11" s="88">
        <f>+unibkvar!N10</f>
        <v>48431.199999999997</v>
      </c>
      <c r="L11" s="191">
        <f>SUM(B11:K11)</f>
        <v>795313.79999999993</v>
      </c>
      <c r="M11" s="88">
        <f>+capitalbkvar!N10</f>
        <v>27367.9</v>
      </c>
      <c r="N11" s="88">
        <f>+sgbelvar!N10</f>
        <v>9547.2000000000007</v>
      </c>
      <c r="O11" s="200">
        <f>SUM(M11:N11)</f>
        <v>36915.100000000006</v>
      </c>
      <c r="P11" s="88">
        <f>+cbnavar!N10</f>
        <v>23493</v>
      </c>
      <c r="Q11" s="88">
        <f>+scotiavar!N10</f>
        <v>26760.9</v>
      </c>
      <c r="R11" s="197">
        <f>SUM(P11:Q11)</f>
        <v>50253.9</v>
      </c>
      <c r="S11" s="191">
        <f>+L11+O11+R11</f>
        <v>882482.79999999993</v>
      </c>
      <c r="T11" s="60"/>
      <c r="U11" s="1"/>
      <c r="V11" s="1"/>
      <c r="W11" s="1"/>
      <c r="X11" s="1"/>
      <c r="Y11" s="1"/>
      <c r="Z11" s="1"/>
      <c r="AA11" s="1"/>
      <c r="AB11" s="1"/>
      <c r="AC11" s="1"/>
      <c r="AD11" s="1"/>
      <c r="AE11" s="1"/>
      <c r="AF11" s="1"/>
      <c r="AG11" s="1"/>
      <c r="AH11" s="1"/>
      <c r="AI11" s="1"/>
      <c r="AJ11" s="1"/>
      <c r="AK11" s="1"/>
      <c r="AL11" s="1"/>
      <c r="AM11" s="1"/>
      <c r="AN11" s="1"/>
      <c r="AO11" s="1"/>
      <c r="AP11" s="1"/>
      <c r="AQ11" s="1"/>
    </row>
    <row r="12" spans="1:43">
      <c r="A12" s="1" t="s">
        <v>266</v>
      </c>
      <c r="B12" s="88">
        <f>+bichvar!N11</f>
        <v>3469.1</v>
      </c>
      <c r="C12" s="88">
        <f>+bidcvar!N11</f>
        <v>324894.5</v>
      </c>
      <c r="D12" s="88">
        <f>+bncvar!N11</f>
        <v>337942.6</v>
      </c>
      <c r="E12" s="88">
        <f>+bphvar!N11</f>
        <v>167413.6</v>
      </c>
      <c r="F12" s="88">
        <f>+buhvar!N11</f>
        <v>52055</v>
      </c>
      <c r="G12" s="88">
        <f>+'bmhvar '!N11</f>
        <v>0</v>
      </c>
      <c r="H12" s="88">
        <f>+promobkvar!N11</f>
        <v>202146.6</v>
      </c>
      <c r="I12" s="88">
        <f>+socabkvar!N11</f>
        <v>138974.6</v>
      </c>
      <c r="J12" s="88">
        <f>+sogebkvar!N11</f>
        <v>538822.30000000005</v>
      </c>
      <c r="K12" s="88">
        <f>+unibkvar!N11</f>
        <v>336517.6</v>
      </c>
      <c r="L12" s="191">
        <f>SUM(B12:K12)</f>
        <v>2102235.9</v>
      </c>
      <c r="M12" s="88">
        <f>+capitalbkvar!N11</f>
        <v>40456.699999999997</v>
      </c>
      <c r="N12" s="88">
        <f>+sgbelvar!N11</f>
        <v>40252.800000000003</v>
      </c>
      <c r="O12" s="200">
        <f>SUM(M12:N12)</f>
        <v>80709.5</v>
      </c>
      <c r="P12" s="88">
        <f>+cbnavar!N11</f>
        <v>215253.9</v>
      </c>
      <c r="Q12" s="88">
        <f>+scotiavar!N11</f>
        <v>220929.6</v>
      </c>
      <c r="R12" s="197">
        <f>SUM(P12:Q12)</f>
        <v>436183.5</v>
      </c>
      <c r="S12" s="191">
        <f>+L12+O12+R12</f>
        <v>2619128.9</v>
      </c>
      <c r="T12" s="60"/>
      <c r="U12" s="1"/>
      <c r="V12" s="1"/>
      <c r="W12" s="1"/>
      <c r="X12" s="1"/>
      <c r="Y12" s="1"/>
      <c r="Z12" s="1"/>
      <c r="AA12" s="1"/>
      <c r="AB12" s="1"/>
      <c r="AC12" s="1"/>
      <c r="AD12" s="1"/>
      <c r="AE12" s="1"/>
      <c r="AF12" s="1"/>
      <c r="AG12" s="1"/>
      <c r="AH12" s="1"/>
      <c r="AI12" s="1"/>
      <c r="AJ12" s="1"/>
      <c r="AK12" s="1"/>
      <c r="AL12" s="1"/>
      <c r="AM12" s="1"/>
      <c r="AN12" s="1"/>
      <c r="AO12" s="1"/>
      <c r="AP12" s="1"/>
      <c r="AQ12" s="1"/>
    </row>
    <row r="13" spans="1:43">
      <c r="A13" s="1" t="s">
        <v>267</v>
      </c>
      <c r="B13" s="88">
        <f>+bichvar!N12</f>
        <v>0</v>
      </c>
      <c r="C13" s="88">
        <f>+bidcvar!N12</f>
        <v>70788.2</v>
      </c>
      <c r="D13" s="88">
        <f>+bncvar!N12</f>
        <v>58042.400000000001</v>
      </c>
      <c r="E13" s="88">
        <f>+bphvar!N12</f>
        <v>106082.2</v>
      </c>
      <c r="F13" s="88">
        <f>+buhvar!N12</f>
        <v>67925.100000000006</v>
      </c>
      <c r="G13" s="88">
        <f>+'bmhvar '!N12</f>
        <v>0</v>
      </c>
      <c r="H13" s="88">
        <f>+promobkvar!N12</f>
        <v>187432.3</v>
      </c>
      <c r="I13" s="88">
        <f>+socabkvar!N12</f>
        <v>24077.7</v>
      </c>
      <c r="J13" s="88">
        <f>+sogebkvar!N12</f>
        <v>141931.4</v>
      </c>
      <c r="K13" s="88">
        <f>+unibkvar!N12</f>
        <v>142342.1</v>
      </c>
      <c r="L13" s="191">
        <f>SUM(B13:K13)</f>
        <v>798621.4</v>
      </c>
      <c r="M13" s="88">
        <f>+capitalbkvar!N12</f>
        <v>47932.6</v>
      </c>
      <c r="N13" s="88">
        <f>+sgbelvar!N12</f>
        <v>12195.5</v>
      </c>
      <c r="O13" s="200">
        <f>SUM(M13:N13)</f>
        <v>60128.1</v>
      </c>
      <c r="P13" s="88">
        <f>+cbnavar!N12</f>
        <v>0</v>
      </c>
      <c r="Q13" s="88">
        <f>+scotiavar!N12</f>
        <v>13427.7</v>
      </c>
      <c r="R13" s="197">
        <f>SUM(P13:Q13)</f>
        <v>13427.7</v>
      </c>
      <c r="S13" s="191">
        <f>+L13+O13+R13</f>
        <v>872177.2</v>
      </c>
      <c r="T13" s="60"/>
      <c r="U13" s="1"/>
      <c r="V13" s="1"/>
      <c r="W13" s="1"/>
      <c r="X13" s="1"/>
      <c r="Y13" s="1"/>
      <c r="Z13" s="1"/>
      <c r="AA13" s="1"/>
      <c r="AB13" s="1"/>
      <c r="AC13" s="1"/>
      <c r="AD13" s="1"/>
      <c r="AE13" s="1"/>
      <c r="AF13" s="1"/>
      <c r="AG13" s="1"/>
      <c r="AH13" s="1"/>
      <c r="AI13" s="1"/>
      <c r="AJ13" s="1"/>
      <c r="AK13" s="1"/>
      <c r="AL13" s="1"/>
      <c r="AM13" s="1"/>
      <c r="AN13" s="1"/>
      <c r="AO13" s="1"/>
      <c r="AP13" s="1"/>
      <c r="AQ13" s="1"/>
    </row>
    <row r="14" spans="1:43">
      <c r="A14" s="1" t="s">
        <v>268</v>
      </c>
      <c r="B14" s="88">
        <f>+bichvar!N13</f>
        <v>1500</v>
      </c>
      <c r="C14" s="88">
        <f>+bidcvar!N13</f>
        <v>6.3</v>
      </c>
      <c r="D14" s="88">
        <f>+bncvar!N13</f>
        <v>0</v>
      </c>
      <c r="E14" s="88">
        <f>+bphvar!N13</f>
        <v>90000</v>
      </c>
      <c r="F14" s="88">
        <f>+buhvar!N13</f>
        <v>89396</v>
      </c>
      <c r="G14" s="88">
        <f>+'bmhvar '!N13</f>
        <v>0</v>
      </c>
      <c r="H14" s="88">
        <f>+promobkvar!N13</f>
        <v>0</v>
      </c>
      <c r="I14" s="88">
        <f>+socabkvar!N13</f>
        <v>9155.6</v>
      </c>
      <c r="J14" s="88">
        <f>+sogebkvar!N13</f>
        <v>0</v>
      </c>
      <c r="K14" s="88">
        <f>+unibkvar!N13</f>
        <v>0</v>
      </c>
      <c r="L14" s="191">
        <f>SUM(B14:K14)</f>
        <v>190057.9</v>
      </c>
      <c r="M14" s="88">
        <f>+capitalbkvar!N13</f>
        <v>16082.5</v>
      </c>
      <c r="N14" s="88">
        <f>+sgbelvar!N13</f>
        <v>1145</v>
      </c>
      <c r="O14" s="200">
        <f>SUM(M14:N14)</f>
        <v>17227.5</v>
      </c>
      <c r="P14" s="88">
        <f>+cbnavar!N13</f>
        <v>0</v>
      </c>
      <c r="Q14" s="88">
        <f>+scotiavar!N13</f>
        <v>60000</v>
      </c>
      <c r="R14" s="197">
        <f>SUM(P14:Q14)</f>
        <v>60000</v>
      </c>
      <c r="S14" s="191">
        <f>+L14+O14+R14</f>
        <v>267285.40000000002</v>
      </c>
      <c r="T14" s="60"/>
      <c r="U14" s="1"/>
      <c r="V14" s="1"/>
      <c r="W14" s="1"/>
      <c r="X14" s="1"/>
      <c r="Y14" s="1"/>
      <c r="Z14" s="1"/>
      <c r="AA14" s="1"/>
      <c r="AB14" s="1"/>
      <c r="AC14" s="1"/>
      <c r="AD14" s="1"/>
      <c r="AE14" s="1"/>
      <c r="AF14" s="1"/>
      <c r="AG14" s="1"/>
      <c r="AH14" s="1"/>
      <c r="AI14" s="1"/>
      <c r="AJ14" s="1"/>
      <c r="AK14" s="1"/>
      <c r="AL14" s="1"/>
      <c r="AM14" s="1"/>
      <c r="AN14" s="1"/>
      <c r="AO14" s="1"/>
      <c r="AP14" s="1"/>
      <c r="AQ14" s="1"/>
    </row>
    <row r="15" spans="1:43">
      <c r="A15" s="1" t="s">
        <v>269</v>
      </c>
      <c r="B15" s="221">
        <f>+bichvar!N14</f>
        <v>25.3</v>
      </c>
      <c r="C15" s="221">
        <f>+bidcvar!N14</f>
        <v>36570.6</v>
      </c>
      <c r="D15" s="221">
        <f>+bncvar!N14</f>
        <v>9559.2000000000007</v>
      </c>
      <c r="E15" s="221">
        <f>+bphvar!N14</f>
        <v>9620</v>
      </c>
      <c r="F15" s="221">
        <f>+buhvar!N14</f>
        <v>19258.5</v>
      </c>
      <c r="G15" s="221">
        <f>+'bmhvar '!N14</f>
        <v>0</v>
      </c>
      <c r="H15" s="221">
        <f>+promobkvar!N14</f>
        <v>19463.400000000001</v>
      </c>
      <c r="I15" s="221">
        <f>+socabkvar!N14</f>
        <v>74003.8</v>
      </c>
      <c r="J15" s="221">
        <f>+sogebkvar!N14</f>
        <v>117258.4</v>
      </c>
      <c r="K15" s="1011">
        <f>+unibkvar!N14</f>
        <v>66542.8</v>
      </c>
      <c r="L15" s="300">
        <f>SUM(B15:K15)</f>
        <v>352301.99999999994</v>
      </c>
      <c r="M15" s="221">
        <f>+capitalbkvar!N14</f>
        <v>11567.5</v>
      </c>
      <c r="N15" s="1011">
        <f>+sgbelvar!N14</f>
        <v>1201.9000000000001</v>
      </c>
      <c r="O15" s="301">
        <f>SUM(M15:N15)</f>
        <v>12769.4</v>
      </c>
      <c r="P15" s="221">
        <f>+cbnavar!N14</f>
        <v>37011.5</v>
      </c>
      <c r="Q15" s="1011">
        <f>+scotiavar!N14</f>
        <v>11788.1</v>
      </c>
      <c r="R15" s="300">
        <f>SUM(P15:Q15)</f>
        <v>48799.6</v>
      </c>
      <c r="S15" s="300">
        <f>+L15+O15+R15</f>
        <v>413870.99999999994</v>
      </c>
      <c r="T15" s="60"/>
      <c r="U15" s="1"/>
      <c r="V15" s="1"/>
      <c r="W15" s="1"/>
      <c r="X15" s="1"/>
      <c r="Y15" s="1"/>
      <c r="Z15" s="1"/>
      <c r="AA15" s="1"/>
      <c r="AB15" s="1"/>
      <c r="AC15" s="1"/>
      <c r="AD15" s="1"/>
      <c r="AE15" s="1"/>
      <c r="AF15" s="1"/>
      <c r="AG15" s="1"/>
      <c r="AH15" s="1"/>
      <c r="AI15" s="1"/>
      <c r="AJ15" s="1"/>
      <c r="AK15" s="1"/>
      <c r="AL15" s="1"/>
      <c r="AM15" s="1"/>
      <c r="AN15" s="1"/>
      <c r="AO15" s="1"/>
      <c r="AP15" s="1"/>
      <c r="AQ15" s="1"/>
    </row>
    <row r="16" spans="1:43" ht="15.6" customHeight="1">
      <c r="A16" s="1"/>
      <c r="B16" s="88">
        <f t="shared" ref="B16:K16" si="0">SUM(B11:B15)</f>
        <v>6098.5</v>
      </c>
      <c r="C16" s="88">
        <f t="shared" si="0"/>
        <v>482109.69999999995</v>
      </c>
      <c r="D16" s="88">
        <f t="shared" si="0"/>
        <v>660502.49999999988</v>
      </c>
      <c r="E16" s="88">
        <f t="shared" si="0"/>
        <v>419422</v>
      </c>
      <c r="F16" s="88">
        <f t="shared" si="0"/>
        <v>395478.1</v>
      </c>
      <c r="G16" s="88">
        <f t="shared" si="0"/>
        <v>0</v>
      </c>
      <c r="H16" s="88">
        <f t="shared" si="0"/>
        <v>474709.9</v>
      </c>
      <c r="I16" s="88">
        <f t="shared" si="0"/>
        <v>314958.30000000005</v>
      </c>
      <c r="J16" s="88">
        <f t="shared" si="0"/>
        <v>891418.3</v>
      </c>
      <c r="K16" s="88">
        <f t="shared" si="0"/>
        <v>593833.70000000007</v>
      </c>
      <c r="L16" s="191">
        <f t="shared" ref="L16:S16" si="1">SUM(L11:L15)</f>
        <v>4238530.9999999991</v>
      </c>
      <c r="M16" s="143">
        <f t="shared" si="1"/>
        <v>143407.20000000001</v>
      </c>
      <c r="N16" s="88">
        <f t="shared" si="1"/>
        <v>64342.400000000001</v>
      </c>
      <c r="O16" s="200">
        <f t="shared" si="1"/>
        <v>207749.6</v>
      </c>
      <c r="P16" s="88">
        <f t="shared" si="1"/>
        <v>275758.40000000002</v>
      </c>
      <c r="Q16" s="88">
        <f t="shared" si="1"/>
        <v>332906.3</v>
      </c>
      <c r="R16" s="197">
        <f t="shared" si="1"/>
        <v>608664.70000000007</v>
      </c>
      <c r="S16" s="191">
        <f t="shared" si="1"/>
        <v>5054945.3</v>
      </c>
      <c r="T16" s="60"/>
      <c r="U16" s="1"/>
      <c r="V16" s="1"/>
      <c r="W16" s="1"/>
      <c r="X16" s="1"/>
      <c r="Y16" s="1"/>
      <c r="Z16" s="1"/>
      <c r="AA16" s="1"/>
      <c r="AB16" s="1"/>
      <c r="AC16" s="1"/>
      <c r="AD16" s="1"/>
      <c r="AE16" s="1"/>
      <c r="AF16" s="1"/>
      <c r="AG16" s="1"/>
      <c r="AH16" s="1"/>
      <c r="AI16" s="1"/>
      <c r="AJ16" s="1"/>
      <c r="AK16" s="1"/>
      <c r="AL16" s="1"/>
      <c r="AM16" s="1"/>
      <c r="AN16" s="1"/>
      <c r="AO16" s="1"/>
      <c r="AP16" s="1"/>
      <c r="AQ16" s="1"/>
    </row>
    <row r="17" spans="1:43" ht="7.15" customHeight="1">
      <c r="A17" s="1"/>
      <c r="B17" s="88"/>
      <c r="C17" s="88"/>
      <c r="D17" s="100" t="s">
        <v>0</v>
      </c>
      <c r="E17" s="89" t="s">
        <v>0</v>
      </c>
      <c r="F17" s="88"/>
      <c r="G17" s="88"/>
      <c r="H17" s="89" t="s">
        <v>0</v>
      </c>
      <c r="I17" s="89" t="s">
        <v>0</v>
      </c>
      <c r="J17" s="88"/>
      <c r="K17" s="88"/>
      <c r="L17" s="191"/>
      <c r="M17" s="89" t="s">
        <v>0</v>
      </c>
      <c r="N17" s="88"/>
      <c r="O17" s="200" t="s">
        <v>0</v>
      </c>
      <c r="P17" s="88"/>
      <c r="Q17" s="88" t="s">
        <v>0</v>
      </c>
      <c r="R17" s="197"/>
      <c r="S17" s="191"/>
      <c r="T17" s="60"/>
      <c r="U17" s="1"/>
      <c r="V17" s="1"/>
      <c r="W17" s="1"/>
      <c r="X17" s="1"/>
      <c r="Y17" s="1"/>
      <c r="Z17" s="1"/>
      <c r="AA17" s="1"/>
      <c r="AB17" s="1"/>
      <c r="AC17" s="1"/>
      <c r="AD17" s="1"/>
      <c r="AE17" s="1"/>
      <c r="AF17" s="1"/>
      <c r="AG17" s="1"/>
      <c r="AH17" s="1"/>
      <c r="AI17" s="1"/>
      <c r="AJ17" s="1"/>
      <c r="AK17" s="1"/>
      <c r="AL17" s="1"/>
      <c r="AM17" s="1"/>
      <c r="AN17" s="1"/>
      <c r="AO17" s="1"/>
      <c r="AP17" s="1"/>
      <c r="AQ17" s="1"/>
    </row>
    <row r="18" spans="1:43" ht="15.6" customHeight="1">
      <c r="A18" s="1" t="s">
        <v>270</v>
      </c>
      <c r="B18" s="88">
        <f>+bichvar!N17</f>
        <v>0</v>
      </c>
      <c r="C18" s="88">
        <f>+bidcvar!N17</f>
        <v>0</v>
      </c>
      <c r="D18" s="88">
        <f>+bncvar!N17</f>
        <v>90000</v>
      </c>
      <c r="E18" s="88">
        <f>+bphvar!N17</f>
        <v>100000</v>
      </c>
      <c r="F18" s="88">
        <f>+buhvar!N17</f>
        <v>280000</v>
      </c>
      <c r="G18" s="88">
        <f>+'bmhvar '!N17</f>
        <v>0</v>
      </c>
      <c r="H18" s="88">
        <f>+promobkvar!N17</f>
        <v>0</v>
      </c>
      <c r="I18" s="88">
        <f>+socabkvar!N17</f>
        <v>0</v>
      </c>
      <c r="J18" s="88">
        <f>+sogebkvar!N17</f>
        <v>410000</v>
      </c>
      <c r="K18" s="88">
        <f>+unibkvar!N17</f>
        <v>0</v>
      </c>
      <c r="L18" s="191">
        <f>SUM(B18:K18)</f>
        <v>880000</v>
      </c>
      <c r="M18" s="88">
        <f>+capitalbkvar!N17</f>
        <v>10000</v>
      </c>
      <c r="N18" s="88">
        <f>+sgbelvar!N17</f>
        <v>37000</v>
      </c>
      <c r="O18" s="200">
        <f>SUM(M18:N18)</f>
        <v>47000</v>
      </c>
      <c r="P18" s="88">
        <f>+cbnavar!N17</f>
        <v>27000</v>
      </c>
      <c r="Q18" s="88">
        <f>+scotiavar!N17</f>
        <v>0</v>
      </c>
      <c r="R18" s="203">
        <f>SUM(P18:Q18)</f>
        <v>27000</v>
      </c>
      <c r="S18" s="191">
        <f>+L18+O18+R18</f>
        <v>954000</v>
      </c>
      <c r="T18" s="60"/>
      <c r="U18" s="1"/>
      <c r="V18" s="1"/>
      <c r="W18" s="1"/>
      <c r="X18" s="1"/>
      <c r="Y18" s="1"/>
      <c r="Z18" s="1"/>
      <c r="AA18" s="1"/>
      <c r="AB18" s="1"/>
      <c r="AC18" s="1"/>
      <c r="AD18" s="1"/>
      <c r="AE18" s="1"/>
      <c r="AF18" s="1"/>
      <c r="AG18" s="1"/>
      <c r="AH18" s="1"/>
      <c r="AI18" s="1"/>
      <c r="AJ18" s="1"/>
      <c r="AK18" s="1"/>
      <c r="AL18" s="1"/>
      <c r="AM18" s="1"/>
      <c r="AN18" s="1"/>
      <c r="AO18" s="1"/>
      <c r="AP18" s="1"/>
      <c r="AQ18" s="1"/>
    </row>
    <row r="19" spans="1:43">
      <c r="A19" s="1" t="s">
        <v>271</v>
      </c>
      <c r="B19" s="88">
        <f>+bichvar!N18</f>
        <v>0</v>
      </c>
      <c r="C19" s="88">
        <f>+bidcvar!N18</f>
        <v>87.5</v>
      </c>
      <c r="D19" s="88">
        <f>+bncvar!N18</f>
        <v>63915.5</v>
      </c>
      <c r="E19" s="88">
        <f>+bphvar!N18</f>
        <v>1955</v>
      </c>
      <c r="F19" s="88">
        <f>+buhvar!N18</f>
        <v>74802.2</v>
      </c>
      <c r="G19" s="88">
        <f>+'bmhvar '!N18</f>
        <v>0</v>
      </c>
      <c r="H19" s="88">
        <f>+promobkvar!N18</f>
        <v>0</v>
      </c>
      <c r="I19" s="88">
        <f>+socabkvar!N18</f>
        <v>151467.1</v>
      </c>
      <c r="J19" s="88">
        <f>+sogebkvar!N18</f>
        <v>183617.7</v>
      </c>
      <c r="K19" s="88">
        <f>+unibkvar!N18</f>
        <v>555115.5</v>
      </c>
      <c r="L19" s="191">
        <f>SUM(B19:K19)</f>
        <v>1030960.5</v>
      </c>
      <c r="M19" s="88">
        <f>+capitalbkvar!N18</f>
        <v>26.731999999999999</v>
      </c>
      <c r="N19" s="88">
        <f>+sgbelvar!N18</f>
        <v>2540.0250000000001</v>
      </c>
      <c r="O19" s="200">
        <f>SUM(M19:N19)</f>
        <v>2566.7570000000001</v>
      </c>
      <c r="P19" s="88">
        <f>+cbnavar!N18</f>
        <v>26770.1</v>
      </c>
      <c r="Q19" s="88">
        <f>+scotiavar!N18</f>
        <v>0</v>
      </c>
      <c r="R19" s="203">
        <f>SUM(P19:Q19)</f>
        <v>26770.1</v>
      </c>
      <c r="S19" s="191">
        <f>+L19+O19+R19</f>
        <v>1060297.3570000001</v>
      </c>
      <c r="T19" s="60"/>
      <c r="U19" s="1"/>
      <c r="V19" s="1"/>
      <c r="W19" s="1"/>
      <c r="X19" s="1"/>
      <c r="Y19" s="1"/>
      <c r="Z19" s="1"/>
      <c r="AA19" s="1"/>
      <c r="AB19" s="1"/>
      <c r="AC19" s="1"/>
      <c r="AD19" s="1"/>
      <c r="AE19" s="1"/>
      <c r="AF19" s="1"/>
      <c r="AG19" s="1"/>
      <c r="AH19" s="1"/>
      <c r="AI19" s="1"/>
      <c r="AJ19" s="1"/>
      <c r="AK19" s="1"/>
      <c r="AL19" s="1"/>
      <c r="AM19" s="1"/>
      <c r="AN19" s="1"/>
      <c r="AO19" s="1"/>
      <c r="AP19" s="1"/>
      <c r="AQ19" s="1"/>
    </row>
    <row r="20" spans="1:43">
      <c r="A20" s="1" t="s">
        <v>406</v>
      </c>
      <c r="B20" s="88">
        <f>+bichvar!N19</f>
        <v>2594.5</v>
      </c>
      <c r="C20" s="88">
        <f>+bidcvar!N19</f>
        <v>738505.6</v>
      </c>
      <c r="D20" s="88">
        <f>+bncvar!N19</f>
        <v>715813.8</v>
      </c>
      <c r="E20" s="88">
        <f>+bphvar!N19</f>
        <v>255520.8</v>
      </c>
      <c r="F20" s="88">
        <f>+buhvar!N19</f>
        <v>573791.69999999995</v>
      </c>
      <c r="G20" s="88">
        <f>+'bmhvar '!N19</f>
        <v>0</v>
      </c>
      <c r="H20" s="88">
        <f>+promobkvar!N19</f>
        <v>695304.4</v>
      </c>
      <c r="I20" s="88">
        <f>+socabkvar!N19</f>
        <v>516235.5</v>
      </c>
      <c r="J20" s="88">
        <f>+sogebkvar!N19</f>
        <v>1149946</v>
      </c>
      <c r="K20" s="88">
        <f>+unibkvar!N19</f>
        <v>925572.1</v>
      </c>
      <c r="L20" s="191">
        <f>SUM(B20:K20)</f>
        <v>5573284.3999999994</v>
      </c>
      <c r="M20" s="88">
        <f>+capitalbkvar!N19</f>
        <v>288579.8</v>
      </c>
      <c r="N20" s="88">
        <f>+sgbelvar!N19</f>
        <v>250372</v>
      </c>
      <c r="O20" s="200">
        <f>SUM(M20:N20)</f>
        <v>538951.80000000005</v>
      </c>
      <c r="P20" s="88">
        <f>+cbnavar!N19</f>
        <v>454086.5</v>
      </c>
      <c r="Q20" s="88">
        <f>+scotiavar!N19</f>
        <v>370419.3</v>
      </c>
      <c r="R20" s="197">
        <f>SUM(P20:Q20)</f>
        <v>824505.8</v>
      </c>
      <c r="S20" s="191">
        <f>+L20+O20+R20</f>
        <v>6936741.9999999991</v>
      </c>
      <c r="T20" s="60"/>
      <c r="U20" s="1"/>
      <c r="V20" s="1"/>
      <c r="W20" s="1"/>
      <c r="X20" s="1"/>
      <c r="Y20" s="1"/>
      <c r="Z20" s="1"/>
      <c r="AA20" s="1"/>
      <c r="AB20" s="1"/>
      <c r="AC20" s="1"/>
      <c r="AD20" s="1"/>
      <c r="AE20" s="1"/>
      <c r="AF20" s="1"/>
      <c r="AG20" s="1"/>
      <c r="AH20" s="1"/>
      <c r="AI20" s="1"/>
      <c r="AJ20" s="1"/>
      <c r="AK20" s="1"/>
      <c r="AL20" s="1"/>
      <c r="AM20" s="1"/>
      <c r="AN20" s="1"/>
      <c r="AO20" s="1"/>
      <c r="AP20" s="1"/>
      <c r="AQ20" s="1"/>
    </row>
    <row r="21" spans="1:43">
      <c r="A21" s="1" t="s">
        <v>273</v>
      </c>
      <c r="B21" s="88">
        <f>+bichvar!N20</f>
        <v>200.9</v>
      </c>
      <c r="C21" s="88">
        <f>+bidcvar!N20</f>
        <v>125828.3</v>
      </c>
      <c r="D21" s="88">
        <f>+bncvar!N20</f>
        <v>117506</v>
      </c>
      <c r="E21" s="88">
        <f>+bphvar!N20</f>
        <v>17843.599999999999</v>
      </c>
      <c r="F21" s="88">
        <f>+buhvar!N20</f>
        <v>114738.5</v>
      </c>
      <c r="G21" s="88">
        <f>+'bmhvar '!N20</f>
        <v>0</v>
      </c>
      <c r="H21" s="88">
        <f>+promobkvar!N20</f>
        <v>48721.7</v>
      </c>
      <c r="I21" s="88">
        <f>+socabkvar!N20</f>
        <v>28265.5</v>
      </c>
      <c r="J21" s="88">
        <f>+sogebkvar!N20</f>
        <v>210544.9</v>
      </c>
      <c r="K21" s="88">
        <f>+unibkvar!N20</f>
        <v>69503.899999999994</v>
      </c>
      <c r="L21" s="191">
        <f>SUM(B21:K21)</f>
        <v>733153.3</v>
      </c>
      <c r="M21" s="88">
        <f>+capitalbkvar!N20</f>
        <v>44223.7</v>
      </c>
      <c r="N21" s="88">
        <f>+sgbelvar!N20</f>
        <v>17265.400000000001</v>
      </c>
      <c r="O21" s="200">
        <f>SUM(M21:N21)</f>
        <v>61489.1</v>
      </c>
      <c r="P21" s="88">
        <f>+cbnavar!N20</f>
        <v>15030.2</v>
      </c>
      <c r="Q21" s="88">
        <f>+scotiavar!N20</f>
        <v>17398.2</v>
      </c>
      <c r="R21" s="197">
        <f>SUM(P21:Q21)</f>
        <v>32428.400000000001</v>
      </c>
      <c r="S21" s="191">
        <f>+L21+O21+R21</f>
        <v>827070.8</v>
      </c>
      <c r="T21" s="60"/>
      <c r="U21" s="1"/>
      <c r="V21" s="1"/>
      <c r="W21" s="1"/>
      <c r="X21" s="1"/>
      <c r="Y21" s="1"/>
      <c r="Z21" s="1"/>
      <c r="AA21" s="1"/>
      <c r="AB21" s="1"/>
      <c r="AC21" s="1"/>
      <c r="AD21" s="1"/>
      <c r="AE21" s="1"/>
      <c r="AF21" s="1"/>
      <c r="AG21" s="1"/>
      <c r="AH21" s="1"/>
      <c r="AI21" s="1"/>
      <c r="AJ21" s="1"/>
      <c r="AK21" s="1"/>
      <c r="AL21" s="1"/>
      <c r="AM21" s="1"/>
      <c r="AN21" s="1"/>
      <c r="AO21" s="1"/>
      <c r="AP21" s="1"/>
      <c r="AQ21" s="1"/>
    </row>
    <row r="22" spans="1:43" ht="16.5" thickBot="1">
      <c r="A22" s="1" t="s">
        <v>274</v>
      </c>
      <c r="B22" s="99">
        <f>+bichvar!N21</f>
        <v>506.3</v>
      </c>
      <c r="C22" s="99">
        <f>+bidcvar!N21</f>
        <v>57172.3</v>
      </c>
      <c r="D22" s="99">
        <f>+bncvar!N21</f>
        <v>181290.6</v>
      </c>
      <c r="E22" s="99">
        <f>+bphvar!N21</f>
        <v>13742.3</v>
      </c>
      <c r="F22" s="99">
        <f>+buhvar!N21</f>
        <v>56694.1</v>
      </c>
      <c r="G22" s="99">
        <f>+'bmhvar '!N21</f>
        <v>0</v>
      </c>
      <c r="H22" s="99">
        <f>+promobkvar!N21</f>
        <v>92417.9</v>
      </c>
      <c r="I22" s="99">
        <f>+socabkvar!N21</f>
        <v>9457.2000000000007</v>
      </c>
      <c r="J22" s="99">
        <f>+sogebkvar!N21</f>
        <v>59317.9</v>
      </c>
      <c r="K22" s="1092">
        <f>+unibkvar!N21</f>
        <v>125592.7</v>
      </c>
      <c r="L22" s="192">
        <f>SUM(B22:K22)</f>
        <v>596191.30000000005</v>
      </c>
      <c r="M22" s="99">
        <f>+capitalbkvar!N21</f>
        <v>14369.2</v>
      </c>
      <c r="N22" s="1092">
        <f>+sgbelvar!N21</f>
        <v>5548</v>
      </c>
      <c r="O22" s="302">
        <f>SUM(M22:N22)</f>
        <v>19917.2</v>
      </c>
      <c r="P22" s="99">
        <f>+cbnavar!N21</f>
        <v>162168.20000000001</v>
      </c>
      <c r="Q22" s="1092">
        <f>+scotiavar!N21</f>
        <v>5833.2</v>
      </c>
      <c r="R22" s="192">
        <f>SUM(P22:Q22)</f>
        <v>168001.40000000002</v>
      </c>
      <c r="S22" s="192">
        <f>+L22+O22+R22</f>
        <v>784109.9</v>
      </c>
      <c r="T22" s="60"/>
      <c r="U22" s="1"/>
      <c r="V22" s="1"/>
      <c r="W22" s="1"/>
      <c r="X22" s="1"/>
      <c r="Y22" s="1"/>
      <c r="Z22" s="1"/>
      <c r="AA22" s="1"/>
      <c r="AB22" s="1"/>
      <c r="AC22" s="1"/>
      <c r="AD22" s="1"/>
      <c r="AE22" s="1"/>
      <c r="AF22" s="1"/>
      <c r="AG22" s="1"/>
      <c r="AH22" s="1"/>
      <c r="AI22" s="1"/>
      <c r="AJ22" s="1"/>
      <c r="AK22" s="1"/>
      <c r="AL22" s="1"/>
      <c r="AM22" s="1"/>
      <c r="AN22" s="1"/>
      <c r="AO22" s="1"/>
      <c r="AP22" s="1"/>
      <c r="AQ22" s="1"/>
    </row>
    <row r="23" spans="1:43">
      <c r="A23" s="1" t="s">
        <v>275</v>
      </c>
      <c r="B23" s="91">
        <f t="shared" ref="B23:K23" si="2">SUM(B16:B22)</f>
        <v>9400.1999999999989</v>
      </c>
      <c r="C23" s="91">
        <f t="shared" si="2"/>
        <v>1403703.4</v>
      </c>
      <c r="D23" s="91">
        <f t="shared" si="2"/>
        <v>1829028.4</v>
      </c>
      <c r="E23" s="91">
        <f t="shared" si="2"/>
        <v>808483.70000000007</v>
      </c>
      <c r="F23" s="91">
        <f t="shared" si="2"/>
        <v>1495504.6</v>
      </c>
      <c r="G23" s="91">
        <f t="shared" si="2"/>
        <v>0</v>
      </c>
      <c r="H23" s="91">
        <f t="shared" si="2"/>
        <v>1311153.8999999999</v>
      </c>
      <c r="I23" s="91">
        <f t="shared" si="2"/>
        <v>1020383.6</v>
      </c>
      <c r="J23" s="91">
        <f t="shared" si="2"/>
        <v>2904844.8</v>
      </c>
      <c r="K23" s="91">
        <f t="shared" si="2"/>
        <v>2269617.9000000004</v>
      </c>
      <c r="L23" s="191">
        <f t="shared" ref="L23:S23" si="3">SUM(L16:L22)</f>
        <v>13052120.5</v>
      </c>
      <c r="M23" s="4">
        <f t="shared" si="3"/>
        <v>500606.63199999998</v>
      </c>
      <c r="N23" s="91">
        <f t="shared" si="3"/>
        <v>377067.82500000001</v>
      </c>
      <c r="O23" s="200">
        <f t="shared" si="3"/>
        <v>877674.45700000005</v>
      </c>
      <c r="P23" s="4">
        <f t="shared" si="3"/>
        <v>960813.39999999991</v>
      </c>
      <c r="Q23" s="4">
        <f t="shared" si="3"/>
        <v>726556.99999999988</v>
      </c>
      <c r="R23" s="197">
        <f t="shared" si="3"/>
        <v>1687370.4</v>
      </c>
      <c r="S23" s="191">
        <f t="shared" si="3"/>
        <v>15617165.356999999</v>
      </c>
      <c r="T23" s="60"/>
      <c r="U23" s="1"/>
      <c r="V23" s="1"/>
      <c r="W23" s="1"/>
      <c r="X23" s="1"/>
      <c r="Y23" s="1"/>
      <c r="Z23" s="1"/>
      <c r="AA23" s="1"/>
      <c r="AB23" s="1"/>
      <c r="AC23" s="1"/>
      <c r="AD23" s="1"/>
      <c r="AE23" s="1"/>
      <c r="AF23" s="1"/>
      <c r="AG23" s="1"/>
      <c r="AH23" s="1"/>
      <c r="AI23" s="1"/>
      <c r="AJ23" s="1"/>
      <c r="AK23" s="1"/>
      <c r="AL23" s="1"/>
      <c r="AM23" s="1"/>
      <c r="AN23" s="1"/>
      <c r="AO23" s="1"/>
      <c r="AP23" s="1"/>
      <c r="AQ23" s="1"/>
    </row>
    <row r="24" spans="1:43" ht="15.6" customHeight="1">
      <c r="A24" s="1"/>
      <c r="B24" s="88"/>
      <c r="C24" s="88"/>
      <c r="D24" s="100" t="s">
        <v>0</v>
      </c>
      <c r="E24" s="89" t="s">
        <v>0</v>
      </c>
      <c r="F24" s="88"/>
      <c r="G24" s="88"/>
      <c r="H24" s="89" t="s">
        <v>0</v>
      </c>
      <c r="I24" s="89" t="s">
        <v>0</v>
      </c>
      <c r="J24" s="88"/>
      <c r="K24" s="88"/>
      <c r="L24" s="94"/>
      <c r="M24" s="89" t="s">
        <v>0</v>
      </c>
      <c r="N24" s="88"/>
      <c r="O24" s="299" t="s">
        <v>0</v>
      </c>
      <c r="P24" s="88"/>
      <c r="Q24" s="88" t="s">
        <v>0</v>
      </c>
      <c r="R24" s="118"/>
      <c r="S24" s="94"/>
      <c r="T24" s="60"/>
      <c r="U24" s="1"/>
      <c r="V24" s="1"/>
      <c r="W24" s="1"/>
      <c r="X24" s="1"/>
      <c r="Y24" s="1"/>
      <c r="Z24" s="1"/>
      <c r="AA24" s="1"/>
      <c r="AB24" s="1"/>
      <c r="AC24" s="1"/>
      <c r="AD24" s="1"/>
      <c r="AE24" s="1"/>
      <c r="AF24" s="1"/>
      <c r="AG24" s="1"/>
      <c r="AH24" s="1"/>
      <c r="AI24" s="1"/>
      <c r="AJ24" s="1"/>
      <c r="AK24" s="1"/>
      <c r="AL24" s="1"/>
      <c r="AM24" s="1"/>
      <c r="AN24" s="1"/>
      <c r="AO24" s="1"/>
      <c r="AP24" s="1"/>
      <c r="AQ24" s="1"/>
    </row>
    <row r="25" spans="1:43">
      <c r="A25" s="2" t="s">
        <v>276</v>
      </c>
      <c r="B25" s="88"/>
      <c r="C25" s="88"/>
      <c r="D25" s="100" t="s">
        <v>0</v>
      </c>
      <c r="E25" s="89" t="s">
        <v>0</v>
      </c>
      <c r="F25" s="88"/>
      <c r="G25" s="88"/>
      <c r="H25" s="89" t="s">
        <v>0</v>
      </c>
      <c r="I25" s="89" t="s">
        <v>0</v>
      </c>
      <c r="J25" s="88"/>
      <c r="K25" s="88"/>
      <c r="L25" s="94"/>
      <c r="M25" s="89" t="s">
        <v>0</v>
      </c>
      <c r="N25" s="88"/>
      <c r="O25" s="299" t="s">
        <v>0</v>
      </c>
      <c r="P25" s="88"/>
      <c r="Q25" s="88" t="s">
        <v>0</v>
      </c>
      <c r="R25" s="118"/>
      <c r="S25" s="94"/>
      <c r="T25" s="60"/>
      <c r="U25" s="1"/>
      <c r="V25" s="1"/>
      <c r="W25" s="1"/>
      <c r="X25" s="1"/>
      <c r="Y25" s="1"/>
      <c r="Z25" s="1"/>
      <c r="AA25" s="1"/>
      <c r="AB25" s="1"/>
      <c r="AC25" s="1"/>
      <c r="AD25" s="1"/>
      <c r="AE25" s="1"/>
      <c r="AF25" s="1"/>
      <c r="AG25" s="1"/>
      <c r="AH25" s="1"/>
      <c r="AI25" s="1"/>
      <c r="AJ25" s="1"/>
      <c r="AK25" s="1"/>
      <c r="AL25" s="1"/>
      <c r="AM25" s="1"/>
      <c r="AN25" s="1"/>
      <c r="AO25" s="1"/>
      <c r="AP25" s="1"/>
      <c r="AQ25" s="1"/>
    </row>
    <row r="26" spans="1:43">
      <c r="A26" s="1" t="s">
        <v>277</v>
      </c>
      <c r="B26" s="88"/>
      <c r="C26" s="88"/>
      <c r="D26" s="100" t="s">
        <v>0</v>
      </c>
      <c r="E26" s="89" t="s">
        <v>0</v>
      </c>
      <c r="F26" s="88"/>
      <c r="G26" s="88"/>
      <c r="H26" s="89" t="s">
        <v>0</v>
      </c>
      <c r="I26" s="89" t="s">
        <v>0</v>
      </c>
      <c r="J26" s="88"/>
      <c r="K26" s="88"/>
      <c r="L26" s="94"/>
      <c r="M26" s="89" t="s">
        <v>0</v>
      </c>
      <c r="N26" s="88"/>
      <c r="O26" s="299" t="s">
        <v>0</v>
      </c>
      <c r="P26" s="88"/>
      <c r="Q26" s="88" t="s">
        <v>0</v>
      </c>
      <c r="R26" s="118"/>
      <c r="S26" s="94"/>
      <c r="T26" s="60"/>
      <c r="U26" s="1"/>
      <c r="V26" s="1"/>
      <c r="W26" s="1"/>
      <c r="X26" s="1"/>
      <c r="Y26" s="1"/>
      <c r="Z26" s="1"/>
      <c r="AA26" s="1"/>
      <c r="AB26" s="1"/>
      <c r="AC26" s="1"/>
      <c r="AD26" s="1"/>
      <c r="AE26" s="1"/>
      <c r="AF26" s="1"/>
      <c r="AG26" s="1"/>
      <c r="AH26" s="1"/>
      <c r="AI26" s="1"/>
      <c r="AJ26" s="1"/>
      <c r="AK26" s="1"/>
      <c r="AL26" s="1"/>
      <c r="AM26" s="1"/>
      <c r="AN26" s="1"/>
      <c r="AO26" s="1"/>
      <c r="AP26" s="1"/>
      <c r="AQ26" s="1"/>
    </row>
    <row r="27" spans="1:43">
      <c r="A27" s="1" t="s">
        <v>278</v>
      </c>
      <c r="B27" s="88">
        <f>+bichvar!N26</f>
        <v>896.5</v>
      </c>
      <c r="C27" s="88">
        <f>+bidcvar!N26</f>
        <v>207654</v>
      </c>
      <c r="D27" s="88">
        <f>+bncvar!N26</f>
        <v>331368</v>
      </c>
      <c r="E27" s="88">
        <f>+bphvar!N26</f>
        <v>363776</v>
      </c>
      <c r="F27" s="88">
        <f>+buhvar!N26</f>
        <v>358050.3</v>
      </c>
      <c r="G27" s="88">
        <f>+'bmhvar '!N26</f>
        <v>0</v>
      </c>
      <c r="H27" s="88">
        <f>+promobkvar!N26</f>
        <v>342109</v>
      </c>
      <c r="I27" s="88">
        <f>+socabkvar!N26</f>
        <v>123949.4</v>
      </c>
      <c r="J27" s="88">
        <f>+sogebkvar!N26</f>
        <v>698591.1</v>
      </c>
      <c r="K27" s="88">
        <f>+unibkvar!N26</f>
        <v>496961.7</v>
      </c>
      <c r="L27" s="191">
        <f>SUM(B27:K27)</f>
        <v>2923356</v>
      </c>
      <c r="M27" s="88">
        <f>+capitalbkvar!N26</f>
        <v>74280.100000000006</v>
      </c>
      <c r="N27" s="88">
        <f>+sgbelvar!N26</f>
        <v>3016.3</v>
      </c>
      <c r="O27" s="200">
        <f>SUM(M27:N27)</f>
        <v>77296.400000000009</v>
      </c>
      <c r="P27" s="88">
        <f>+cbnavar!N26</f>
        <v>207499.3</v>
      </c>
      <c r="Q27" s="88">
        <f>+scotiavar!N26</f>
        <v>164927.9</v>
      </c>
      <c r="R27" s="197">
        <f>SUM(P27:Q27)</f>
        <v>372427.19999999995</v>
      </c>
      <c r="S27" s="191">
        <f>+L27+O27+R27</f>
        <v>3373079.5999999996</v>
      </c>
      <c r="T27" s="60"/>
      <c r="U27" s="1"/>
      <c r="V27" s="1"/>
      <c r="W27" s="1"/>
      <c r="X27" s="1"/>
      <c r="Y27" s="1"/>
      <c r="Z27" s="1"/>
      <c r="AA27" s="1"/>
      <c r="AB27" s="1"/>
      <c r="AC27" s="1"/>
      <c r="AD27" s="1"/>
      <c r="AE27" s="1"/>
      <c r="AF27" s="1"/>
      <c r="AG27" s="1"/>
      <c r="AH27" s="1"/>
      <c r="AI27" s="1"/>
      <c r="AJ27" s="1"/>
      <c r="AK27" s="1"/>
      <c r="AL27" s="1"/>
      <c r="AM27" s="1"/>
      <c r="AN27" s="1"/>
      <c r="AO27" s="1"/>
      <c r="AP27" s="1"/>
      <c r="AQ27" s="1"/>
    </row>
    <row r="28" spans="1:43">
      <c r="A28" s="1" t="s">
        <v>279</v>
      </c>
      <c r="B28" s="88">
        <f>+bichvar!N27</f>
        <v>3005.2</v>
      </c>
      <c r="C28" s="88">
        <f>+bidcvar!N27</f>
        <v>388592.6</v>
      </c>
      <c r="D28" s="88">
        <f>+bncvar!N27</f>
        <v>947190</v>
      </c>
      <c r="E28" s="88">
        <f>+bphvar!N27</f>
        <v>156503.70000000001</v>
      </c>
      <c r="F28" s="88">
        <f>+buhvar!N27</f>
        <v>630014.5</v>
      </c>
      <c r="G28" s="88">
        <f>+'bmhvar '!N27</f>
        <v>0</v>
      </c>
      <c r="H28" s="88">
        <f>+promobkvar!N27</f>
        <v>288898.90000000002</v>
      </c>
      <c r="I28" s="88">
        <f>+socabkvar!N27</f>
        <v>207983.9</v>
      </c>
      <c r="J28" s="88">
        <f>+sogebkvar!N27</f>
        <v>1403553</v>
      </c>
      <c r="K28" s="88">
        <f>+unibkvar!N27</f>
        <v>869719</v>
      </c>
      <c r="L28" s="191">
        <f>SUM(B28:K28)</f>
        <v>4895460.8</v>
      </c>
      <c r="M28" s="88">
        <f>+capitalbkvar!N27</f>
        <v>194430.5</v>
      </c>
      <c r="N28" s="88">
        <f>+sgbelvar!N27</f>
        <v>200850.9</v>
      </c>
      <c r="O28" s="200">
        <f>SUM(M28:N28)</f>
        <v>395281.4</v>
      </c>
      <c r="P28" s="88">
        <f>+cbnavar!N27</f>
        <v>239911</v>
      </c>
      <c r="Q28" s="88">
        <f>+scotiavar!N27</f>
        <v>477403</v>
      </c>
      <c r="R28" s="197">
        <f>SUM(P28:Q28)</f>
        <v>717314</v>
      </c>
      <c r="S28" s="191">
        <f>+L28+O28+R28</f>
        <v>6008056.2000000002</v>
      </c>
      <c r="T28" s="60"/>
      <c r="U28" s="1"/>
      <c r="V28" s="1"/>
      <c r="W28" s="1"/>
      <c r="X28" s="1"/>
      <c r="Y28" s="1"/>
      <c r="Z28" s="1"/>
      <c r="AA28" s="1"/>
      <c r="AB28" s="1"/>
      <c r="AC28" s="1"/>
      <c r="AD28" s="1"/>
      <c r="AE28" s="1"/>
      <c r="AF28" s="1"/>
      <c r="AG28" s="1"/>
      <c r="AH28" s="1"/>
      <c r="AI28" s="1"/>
      <c r="AJ28" s="1"/>
      <c r="AK28" s="1"/>
      <c r="AL28" s="1"/>
      <c r="AM28" s="1"/>
      <c r="AN28" s="1"/>
      <c r="AO28" s="1"/>
      <c r="AP28" s="1"/>
      <c r="AQ28" s="1"/>
    </row>
    <row r="29" spans="1:43">
      <c r="A29" s="1" t="s">
        <v>280</v>
      </c>
      <c r="B29" s="221">
        <f>+bichvar!N28</f>
        <v>0</v>
      </c>
      <c r="C29" s="221">
        <f>+bidcvar!N28</f>
        <v>492618</v>
      </c>
      <c r="D29" s="221">
        <f>+bncvar!N28</f>
        <v>102327</v>
      </c>
      <c r="E29" s="221">
        <f>+bphvar!N28</f>
        <v>109017.8</v>
      </c>
      <c r="F29" s="221">
        <f>+buhvar!N28</f>
        <v>311897.8</v>
      </c>
      <c r="G29" s="221">
        <f>+'bmhvar '!N28</f>
        <v>0</v>
      </c>
      <c r="H29" s="221">
        <f>+promobkvar!N28</f>
        <v>437713.1</v>
      </c>
      <c r="I29" s="221">
        <f>+socabkvar!N28</f>
        <v>559895.1</v>
      </c>
      <c r="J29" s="221">
        <f>+sogebkvar!N28</f>
        <v>491422.6</v>
      </c>
      <c r="K29" s="1011">
        <f>+unibkvar!N28</f>
        <v>621683.1</v>
      </c>
      <c r="L29" s="300">
        <f>SUM(B29:K29)</f>
        <v>3126574.5000000005</v>
      </c>
      <c r="M29" s="221">
        <f>+capitalbkvar!N28</f>
        <v>122186.9</v>
      </c>
      <c r="N29" s="1011">
        <f>+sgbelvar!N28</f>
        <v>99751.6</v>
      </c>
      <c r="O29" s="301">
        <f>SUM(M29:N29)</f>
        <v>221938.5</v>
      </c>
      <c r="P29" s="221">
        <f>+cbnavar!N28</f>
        <v>268075.40000000002</v>
      </c>
      <c r="Q29" s="1011">
        <f>+scotiavar!N28</f>
        <v>38507.4</v>
      </c>
      <c r="R29" s="300">
        <f>SUM(P29:Q29)</f>
        <v>306582.80000000005</v>
      </c>
      <c r="S29" s="300">
        <f>+L29+O29+R29</f>
        <v>3655095.8000000007</v>
      </c>
      <c r="T29" s="60"/>
      <c r="U29" s="1"/>
      <c r="V29" s="1"/>
      <c r="W29" s="1"/>
      <c r="X29" s="1"/>
      <c r="Y29" s="1"/>
      <c r="Z29" s="1"/>
      <c r="AA29" s="1"/>
      <c r="AB29" s="1"/>
      <c r="AC29" s="1"/>
      <c r="AD29" s="1"/>
      <c r="AE29" s="1"/>
      <c r="AF29" s="1"/>
      <c r="AG29" s="1"/>
      <c r="AH29" s="1"/>
      <c r="AI29" s="1"/>
      <c r="AJ29" s="1"/>
      <c r="AK29" s="1"/>
      <c r="AL29" s="1"/>
      <c r="AM29" s="1"/>
      <c r="AN29" s="1"/>
      <c r="AO29" s="1"/>
      <c r="AP29" s="1"/>
      <c r="AQ29" s="1"/>
    </row>
    <row r="30" spans="1:43">
      <c r="A30" s="1"/>
      <c r="B30" s="88">
        <f t="shared" ref="B30:L30" si="4">SUM(B27:B29)</f>
        <v>3901.7</v>
      </c>
      <c r="C30" s="88">
        <f t="shared" si="4"/>
        <v>1088864.6000000001</v>
      </c>
      <c r="D30" s="88">
        <f t="shared" si="4"/>
        <v>1380885</v>
      </c>
      <c r="E30" s="88">
        <f t="shared" si="4"/>
        <v>629297.5</v>
      </c>
      <c r="F30" s="88">
        <f t="shared" si="4"/>
        <v>1299962.6000000001</v>
      </c>
      <c r="G30" s="88">
        <f t="shared" si="4"/>
        <v>0</v>
      </c>
      <c r="H30" s="88">
        <f t="shared" si="4"/>
        <v>1068721</v>
      </c>
      <c r="I30" s="88">
        <f t="shared" si="4"/>
        <v>891828.39999999991</v>
      </c>
      <c r="J30" s="88">
        <f t="shared" si="4"/>
        <v>2593566.7000000002</v>
      </c>
      <c r="K30" s="88">
        <f t="shared" si="4"/>
        <v>1988363.7999999998</v>
      </c>
      <c r="L30" s="191">
        <f t="shared" si="4"/>
        <v>10945391.300000001</v>
      </c>
      <c r="M30" s="88">
        <f t="shared" ref="M30:S30" si="5">SUM(M27:M29)</f>
        <v>390897.5</v>
      </c>
      <c r="N30" s="88">
        <f t="shared" si="5"/>
        <v>303618.8</v>
      </c>
      <c r="O30" s="200">
        <f t="shared" si="5"/>
        <v>694516.3</v>
      </c>
      <c r="P30" s="88">
        <f t="shared" si="5"/>
        <v>715485.7</v>
      </c>
      <c r="Q30" s="88">
        <f t="shared" si="5"/>
        <v>680838.3</v>
      </c>
      <c r="R30" s="197">
        <f t="shared" si="5"/>
        <v>1396324</v>
      </c>
      <c r="S30" s="191">
        <f t="shared" si="5"/>
        <v>13036231.600000001</v>
      </c>
      <c r="T30" s="60"/>
      <c r="U30" s="1"/>
      <c r="V30" s="1"/>
      <c r="W30" s="1"/>
      <c r="X30" s="1"/>
      <c r="Y30" s="1"/>
      <c r="Z30" s="1"/>
      <c r="AA30" s="1"/>
      <c r="AB30" s="1"/>
      <c r="AC30" s="1"/>
      <c r="AD30" s="1"/>
      <c r="AE30" s="1"/>
      <c r="AF30" s="1"/>
      <c r="AG30" s="1"/>
      <c r="AH30" s="1"/>
      <c r="AI30" s="1"/>
      <c r="AJ30" s="1"/>
      <c r="AK30" s="1"/>
      <c r="AL30" s="1"/>
      <c r="AM30" s="1"/>
      <c r="AN30" s="1"/>
      <c r="AO30" s="1"/>
      <c r="AP30" s="1"/>
      <c r="AQ30" s="1"/>
    </row>
    <row r="31" spans="1:43" ht="7.9" customHeight="1">
      <c r="A31" s="1"/>
      <c r="B31" s="88"/>
      <c r="C31" s="88"/>
      <c r="D31" s="100" t="s">
        <v>0</v>
      </c>
      <c r="E31" s="89" t="s">
        <v>0</v>
      </c>
      <c r="F31" s="88"/>
      <c r="G31" s="88"/>
      <c r="H31" s="89" t="s">
        <v>0</v>
      </c>
      <c r="I31" s="89" t="s">
        <v>0</v>
      </c>
      <c r="J31" s="88"/>
      <c r="K31" s="88"/>
      <c r="L31" s="191"/>
      <c r="M31" s="89" t="s">
        <v>0</v>
      </c>
      <c r="N31" s="88"/>
      <c r="O31" s="200" t="s">
        <v>0</v>
      </c>
      <c r="P31" s="88"/>
      <c r="Q31" s="88" t="s">
        <v>0</v>
      </c>
      <c r="R31" s="197"/>
      <c r="S31" s="191"/>
      <c r="T31" s="60"/>
      <c r="U31" s="1"/>
      <c r="V31" s="1"/>
      <c r="W31" s="1"/>
      <c r="X31" s="1"/>
      <c r="Y31" s="1"/>
      <c r="Z31" s="1"/>
      <c r="AA31" s="1"/>
      <c r="AB31" s="1"/>
      <c r="AC31" s="1"/>
      <c r="AD31" s="1"/>
      <c r="AE31" s="1"/>
      <c r="AF31" s="1"/>
      <c r="AG31" s="1"/>
      <c r="AH31" s="1"/>
      <c r="AI31" s="1"/>
      <c r="AJ31" s="1"/>
      <c r="AK31" s="1"/>
      <c r="AL31" s="1"/>
      <c r="AM31" s="1"/>
      <c r="AN31" s="1"/>
      <c r="AO31" s="1"/>
      <c r="AP31" s="1"/>
      <c r="AQ31" s="1"/>
    </row>
    <row r="32" spans="1:43">
      <c r="A32" s="1" t="s">
        <v>281</v>
      </c>
      <c r="B32" s="88"/>
      <c r="C32" s="88"/>
      <c r="D32" s="100" t="s">
        <v>0</v>
      </c>
      <c r="E32" s="89" t="s">
        <v>0</v>
      </c>
      <c r="F32" s="88"/>
      <c r="G32" s="88"/>
      <c r="H32" s="89" t="s">
        <v>0</v>
      </c>
      <c r="I32" s="89" t="s">
        <v>0</v>
      </c>
      <c r="J32" s="88"/>
      <c r="K32" s="88"/>
      <c r="L32" s="191"/>
      <c r="M32" s="89" t="s">
        <v>0</v>
      </c>
      <c r="N32" s="88"/>
      <c r="O32" s="200" t="s">
        <v>0</v>
      </c>
      <c r="P32" s="88"/>
      <c r="Q32" s="88" t="s">
        <v>0</v>
      </c>
      <c r="R32" s="197"/>
      <c r="S32" s="191"/>
      <c r="T32" s="60"/>
      <c r="U32" s="1"/>
      <c r="V32" s="1"/>
      <c r="W32" s="1"/>
      <c r="X32" s="1"/>
      <c r="Y32" s="1"/>
      <c r="Z32" s="1"/>
      <c r="AA32" s="1"/>
      <c r="AB32" s="1"/>
      <c r="AC32" s="1"/>
      <c r="AD32" s="1"/>
      <c r="AE32" s="1"/>
      <c r="AF32" s="1"/>
      <c r="AG32" s="1"/>
      <c r="AH32" s="1"/>
      <c r="AI32" s="1"/>
      <c r="AJ32" s="1"/>
      <c r="AK32" s="1"/>
      <c r="AL32" s="1"/>
      <c r="AM32" s="1"/>
      <c r="AN32" s="1"/>
      <c r="AO32" s="1"/>
      <c r="AP32" s="1"/>
      <c r="AQ32" s="1"/>
    </row>
    <row r="33" spans="1:43">
      <c r="A33" s="1" t="s">
        <v>282</v>
      </c>
      <c r="B33" s="88">
        <f>+bichvar!N32</f>
        <v>0</v>
      </c>
      <c r="C33" s="88">
        <f>+bidcvar!N32</f>
        <v>101099.9</v>
      </c>
      <c r="D33" s="88">
        <f>+bncvar!N32</f>
        <v>131283.6</v>
      </c>
      <c r="E33" s="88">
        <f>+bphvar!N32</f>
        <v>0</v>
      </c>
      <c r="F33" s="88">
        <f>+buhvar!N32</f>
        <v>0</v>
      </c>
      <c r="G33" s="88">
        <f>+'bmhvar '!N32</f>
        <v>0</v>
      </c>
      <c r="H33" s="88">
        <f>+promobkvar!N32</f>
        <v>1500</v>
      </c>
      <c r="I33" s="88">
        <f>+socabkvar!N32</f>
        <v>0</v>
      </c>
      <c r="J33" s="88">
        <f>+sogebkvar!N32</f>
        <v>0</v>
      </c>
      <c r="K33" s="88">
        <f>+unibkvar!N32</f>
        <v>0</v>
      </c>
      <c r="L33" s="191">
        <f>SUM(B33:K33)</f>
        <v>233883.5</v>
      </c>
      <c r="M33" s="88">
        <f>+capitalbkvar!N32</f>
        <v>0</v>
      </c>
      <c r="N33" s="88">
        <f>+sgbelvar!N32</f>
        <v>0</v>
      </c>
      <c r="O33" s="200">
        <f>SUM(M33:N33)</f>
        <v>0</v>
      </c>
      <c r="P33" s="88">
        <f>+cbnavar!N32</f>
        <v>85146.6</v>
      </c>
      <c r="Q33" s="88">
        <f>+scotiavar!N32</f>
        <v>0</v>
      </c>
      <c r="R33" s="197">
        <f>SUM(P33:Q33)</f>
        <v>85146.6</v>
      </c>
      <c r="S33" s="191">
        <f>+L33+O33+R33</f>
        <v>319030.09999999998</v>
      </c>
      <c r="T33" s="60"/>
      <c r="U33" s="1"/>
      <c r="V33" s="1"/>
      <c r="W33" s="1"/>
      <c r="X33" s="1"/>
      <c r="Y33" s="1"/>
      <c r="Z33" s="1"/>
      <c r="AA33" s="1"/>
      <c r="AB33" s="1"/>
      <c r="AC33" s="1"/>
      <c r="AD33" s="1"/>
      <c r="AE33" s="1"/>
      <c r="AF33" s="1"/>
      <c r="AG33" s="1"/>
      <c r="AH33" s="1"/>
      <c r="AI33" s="1"/>
      <c r="AJ33" s="1"/>
      <c r="AK33" s="1"/>
      <c r="AL33" s="1"/>
      <c r="AM33" s="1"/>
      <c r="AN33" s="1"/>
      <c r="AO33" s="1"/>
      <c r="AP33" s="1"/>
      <c r="AQ33" s="1"/>
    </row>
    <row r="34" spans="1:43">
      <c r="A34" s="1" t="s">
        <v>283</v>
      </c>
      <c r="B34" s="88">
        <f>+bichvar!N33</f>
        <v>0</v>
      </c>
      <c r="C34" s="88">
        <f>+bidcvar!N33</f>
        <v>0</v>
      </c>
      <c r="D34" s="88">
        <f>+bncvar!N33</f>
        <v>17.7</v>
      </c>
      <c r="E34" s="88">
        <f>+bphvar!N33</f>
        <v>0</v>
      </c>
      <c r="F34" s="88">
        <f>+buhvar!N33</f>
        <v>0</v>
      </c>
      <c r="G34" s="88">
        <f>+'bmhvar '!N33</f>
        <v>0</v>
      </c>
      <c r="H34" s="88">
        <f>+promobkvar!N33</f>
        <v>0</v>
      </c>
      <c r="I34" s="88">
        <f>+socabkvar!N33</f>
        <v>0</v>
      </c>
      <c r="J34" s="88">
        <f>+sogebkvar!N33</f>
        <v>0</v>
      </c>
      <c r="K34" s="88">
        <f>+unibkvar!N33</f>
        <v>0</v>
      </c>
      <c r="L34" s="191">
        <f>SUM(B34:K34)</f>
        <v>17.7</v>
      </c>
      <c r="M34" s="88">
        <f>+capitalbkvar!N33</f>
        <v>0</v>
      </c>
      <c r="N34" s="88">
        <f>+sgbelvar!N33</f>
        <v>0</v>
      </c>
      <c r="O34" s="200">
        <f>SUM(M34:N34)</f>
        <v>0</v>
      </c>
      <c r="P34" s="88">
        <f>+cbnavar!N33</f>
        <v>0</v>
      </c>
      <c r="Q34" s="88">
        <f>+scotiavar!N33</f>
        <v>0</v>
      </c>
      <c r="R34" s="197">
        <f>SUM(P34:Q34)</f>
        <v>0</v>
      </c>
      <c r="S34" s="191">
        <f>+L34+O34+R34</f>
        <v>17.7</v>
      </c>
      <c r="T34" s="60"/>
      <c r="U34" s="1"/>
      <c r="V34" s="1"/>
      <c r="W34" s="1"/>
      <c r="X34" s="1"/>
      <c r="Y34" s="1"/>
      <c r="Z34" s="1"/>
      <c r="AA34" s="1"/>
      <c r="AB34" s="1"/>
      <c r="AC34" s="1"/>
      <c r="AD34" s="1"/>
      <c r="AE34" s="1"/>
      <c r="AF34" s="1"/>
      <c r="AG34" s="1"/>
      <c r="AH34" s="1"/>
      <c r="AI34" s="1"/>
      <c r="AJ34" s="1"/>
      <c r="AK34" s="1"/>
      <c r="AL34" s="1"/>
      <c r="AM34" s="1"/>
      <c r="AN34" s="1"/>
      <c r="AO34" s="1"/>
      <c r="AP34" s="1"/>
      <c r="AQ34" s="1"/>
    </row>
    <row r="35" spans="1:43" ht="17.25">
      <c r="A35" s="1" t="s">
        <v>284</v>
      </c>
      <c r="B35" s="221">
        <f>+bichvar!N34</f>
        <v>109.4</v>
      </c>
      <c r="C35" s="221">
        <f>+bidcvar!N34</f>
        <v>40336.6</v>
      </c>
      <c r="D35" s="221">
        <f>+bncvar!N34</f>
        <v>132636.4</v>
      </c>
      <c r="E35" s="221">
        <f>+bphvar!N34</f>
        <v>146272.4</v>
      </c>
      <c r="F35" s="221">
        <f>+buhvar!N34</f>
        <v>70667.8</v>
      </c>
      <c r="G35" s="221">
        <f>+'bmhvar '!N34</f>
        <v>0</v>
      </c>
      <c r="H35" s="221">
        <f>+promobkvar!N34</f>
        <v>62966.2</v>
      </c>
      <c r="I35" s="221">
        <f>+socabkvar!N34</f>
        <v>37991.4</v>
      </c>
      <c r="J35" s="221">
        <f>+sogebkvar!N34</f>
        <v>66779.3</v>
      </c>
      <c r="K35" s="1011">
        <f>+unibkvar!N34</f>
        <v>63274.6</v>
      </c>
      <c r="L35" s="300">
        <f>SUM(B35:K35)</f>
        <v>621034.1</v>
      </c>
      <c r="M35" s="221">
        <f>+capitalbkvar!N34</f>
        <v>17224.2</v>
      </c>
      <c r="N35" s="1011">
        <f>+sgbelvar!N34</f>
        <v>0</v>
      </c>
      <c r="O35" s="301">
        <f>SUM(M35:N35)</f>
        <v>17224.2</v>
      </c>
      <c r="P35" s="221">
        <f>+cbnavar!N34</f>
        <v>112476.2</v>
      </c>
      <c r="Q35" s="1011">
        <f>+scotiavar!N34</f>
        <v>22864.5</v>
      </c>
      <c r="R35" s="300">
        <f>SUM(P35:Q35)</f>
        <v>135340.70000000001</v>
      </c>
      <c r="S35" s="300">
        <f>+L35+O35+R35</f>
        <v>773599</v>
      </c>
      <c r="T35" s="64"/>
      <c r="U35" s="66"/>
      <c r="V35" s="66"/>
      <c r="W35" s="66"/>
      <c r="X35" s="1"/>
      <c r="Y35" s="1"/>
      <c r="Z35" s="1"/>
      <c r="AA35" s="1"/>
      <c r="AB35" s="1"/>
      <c r="AC35" s="1"/>
      <c r="AD35" s="1"/>
      <c r="AE35" s="1"/>
      <c r="AF35" s="1"/>
      <c r="AG35" s="1"/>
      <c r="AH35" s="1"/>
      <c r="AI35" s="1"/>
      <c r="AJ35" s="1"/>
      <c r="AK35" s="1"/>
      <c r="AL35" s="1"/>
      <c r="AM35" s="1"/>
      <c r="AN35" s="1"/>
      <c r="AO35" s="1"/>
      <c r="AP35" s="1"/>
      <c r="AQ35" s="1"/>
    </row>
    <row r="36" spans="1:43">
      <c r="A36" s="1"/>
      <c r="B36" s="88">
        <f t="shared" ref="B36:K36" si="6">SUM(B33:B35)</f>
        <v>109.4</v>
      </c>
      <c r="C36" s="88">
        <f t="shared" si="6"/>
        <v>141436.5</v>
      </c>
      <c r="D36" s="88">
        <f t="shared" si="6"/>
        <v>263937.7</v>
      </c>
      <c r="E36" s="88">
        <f t="shared" si="6"/>
        <v>146272.4</v>
      </c>
      <c r="F36" s="88">
        <f t="shared" si="6"/>
        <v>70667.8</v>
      </c>
      <c r="G36" s="88">
        <f t="shared" si="6"/>
        <v>0</v>
      </c>
      <c r="H36" s="88">
        <f t="shared" si="6"/>
        <v>64466.2</v>
      </c>
      <c r="I36" s="88">
        <f t="shared" si="6"/>
        <v>37991.4</v>
      </c>
      <c r="J36" s="88">
        <f t="shared" si="6"/>
        <v>66779.3</v>
      </c>
      <c r="K36" s="88">
        <f t="shared" si="6"/>
        <v>63274.6</v>
      </c>
      <c r="L36" s="191">
        <f t="shared" ref="L36:S36" si="7">SUM(L33:L35)</f>
        <v>854935.3</v>
      </c>
      <c r="M36" s="88">
        <f t="shared" si="7"/>
        <v>17224.2</v>
      </c>
      <c r="N36" s="88">
        <f t="shared" si="7"/>
        <v>0</v>
      </c>
      <c r="O36" s="200">
        <f t="shared" si="7"/>
        <v>17224.2</v>
      </c>
      <c r="P36" s="88">
        <f t="shared" si="7"/>
        <v>197622.8</v>
      </c>
      <c r="Q36" s="88">
        <f t="shared" si="7"/>
        <v>22864.5</v>
      </c>
      <c r="R36" s="197">
        <f t="shared" si="7"/>
        <v>220487.30000000002</v>
      </c>
      <c r="S36" s="191">
        <f t="shared" si="7"/>
        <v>1092646.8</v>
      </c>
      <c r="T36" s="60"/>
      <c r="U36" s="1"/>
      <c r="V36" s="1"/>
      <c r="W36" s="1"/>
      <c r="X36" s="1"/>
      <c r="Y36" s="1"/>
      <c r="Z36" s="1"/>
      <c r="AA36" s="1"/>
      <c r="AB36" s="1"/>
      <c r="AC36" s="1"/>
      <c r="AD36" s="1"/>
      <c r="AE36" s="1"/>
      <c r="AF36" s="1"/>
      <c r="AG36" s="1"/>
      <c r="AH36" s="1"/>
      <c r="AI36" s="1"/>
      <c r="AJ36" s="1"/>
      <c r="AK36" s="1"/>
      <c r="AL36" s="1"/>
      <c r="AM36" s="1"/>
      <c r="AN36" s="1"/>
      <c r="AO36" s="1"/>
      <c r="AP36" s="1"/>
      <c r="AQ36" s="1"/>
    </row>
    <row r="37" spans="1:43" ht="7.15" customHeight="1">
      <c r="A37" s="1"/>
      <c r="B37" s="88"/>
      <c r="C37" s="88"/>
      <c r="D37" s="100" t="s">
        <v>0</v>
      </c>
      <c r="E37" s="89" t="s">
        <v>0</v>
      </c>
      <c r="F37" s="88"/>
      <c r="G37" s="88"/>
      <c r="H37" s="89" t="s">
        <v>0</v>
      </c>
      <c r="I37" s="89" t="s">
        <v>0</v>
      </c>
      <c r="J37" s="88"/>
      <c r="K37" s="88"/>
      <c r="L37" s="191"/>
      <c r="M37" s="89" t="s">
        <v>0</v>
      </c>
      <c r="N37" s="88"/>
      <c r="O37" s="200" t="s">
        <v>0</v>
      </c>
      <c r="P37" s="88"/>
      <c r="Q37" s="88" t="s">
        <v>0</v>
      </c>
      <c r="R37" s="197"/>
      <c r="S37" s="191"/>
      <c r="T37" s="60"/>
      <c r="U37" s="1"/>
      <c r="V37" s="1"/>
      <c r="W37" s="1"/>
      <c r="X37" s="1"/>
      <c r="Y37" s="1"/>
      <c r="Z37" s="1"/>
      <c r="AA37" s="1"/>
      <c r="AB37" s="1"/>
      <c r="AC37" s="1"/>
      <c r="AD37" s="1"/>
      <c r="AE37" s="1"/>
      <c r="AF37" s="1"/>
      <c r="AG37" s="1"/>
      <c r="AH37" s="1"/>
      <c r="AI37" s="1"/>
      <c r="AJ37" s="1"/>
      <c r="AK37" s="1"/>
      <c r="AL37" s="1"/>
      <c r="AM37" s="1"/>
      <c r="AN37" s="1"/>
      <c r="AO37" s="1"/>
      <c r="AP37" s="1"/>
      <c r="AQ37" s="1"/>
    </row>
    <row r="38" spans="1:43">
      <c r="A38" s="1" t="s">
        <v>285</v>
      </c>
      <c r="B38" s="88"/>
      <c r="C38" s="88"/>
      <c r="D38" s="100" t="s">
        <v>0</v>
      </c>
      <c r="E38" s="89" t="s">
        <v>0</v>
      </c>
      <c r="F38" s="88"/>
      <c r="G38" s="88"/>
      <c r="H38" s="89" t="s">
        <v>0</v>
      </c>
      <c r="I38" s="89" t="s">
        <v>0</v>
      </c>
      <c r="J38" s="88"/>
      <c r="K38" s="88"/>
      <c r="L38" s="191"/>
      <c r="M38" s="89" t="s">
        <v>0</v>
      </c>
      <c r="N38" s="88"/>
      <c r="O38" s="200" t="s">
        <v>0</v>
      </c>
      <c r="P38" s="88"/>
      <c r="Q38" s="88" t="s">
        <v>0</v>
      </c>
      <c r="R38" s="197"/>
      <c r="S38" s="191"/>
      <c r="T38" s="60"/>
      <c r="U38" s="1"/>
      <c r="V38" s="1"/>
      <c r="W38" s="1"/>
      <c r="X38" s="1"/>
      <c r="Y38" s="1"/>
      <c r="Z38" s="1"/>
      <c r="AA38" s="1"/>
      <c r="AB38" s="1"/>
      <c r="AC38" s="1"/>
      <c r="AD38" s="1"/>
      <c r="AE38" s="1"/>
      <c r="AF38" s="1"/>
      <c r="AG38" s="1"/>
      <c r="AH38" s="1"/>
      <c r="AI38" s="1"/>
      <c r="AJ38" s="1"/>
      <c r="AK38" s="1"/>
      <c r="AL38" s="1"/>
      <c r="AM38" s="1"/>
      <c r="AN38" s="1"/>
      <c r="AO38" s="1"/>
      <c r="AP38" s="1"/>
      <c r="AQ38" s="1"/>
    </row>
    <row r="39" spans="1:43">
      <c r="A39" s="1" t="s">
        <v>282</v>
      </c>
      <c r="B39" s="88">
        <f>+bichvar!N38</f>
        <v>0</v>
      </c>
      <c r="C39" s="88">
        <f>+bidcvar!N38</f>
        <v>0</v>
      </c>
      <c r="D39" s="88">
        <f>+bncvar!N38</f>
        <v>0</v>
      </c>
      <c r="E39" s="88">
        <f>+bphvar!N38</f>
        <v>8474.7999999999993</v>
      </c>
      <c r="F39" s="88">
        <f>+buhvar!N38</f>
        <v>0</v>
      </c>
      <c r="G39" s="88">
        <f>+'bmhvar '!N38</f>
        <v>0</v>
      </c>
      <c r="H39" s="88">
        <f>+promobkvar!N38</f>
        <v>0</v>
      </c>
      <c r="I39" s="88">
        <f>+socabkvar!N38</f>
        <v>38468.9</v>
      </c>
      <c r="J39" s="88">
        <f>+sogebkvar!N38</f>
        <v>0</v>
      </c>
      <c r="K39" s="88">
        <f>+unibkvar!N38</f>
        <v>0</v>
      </c>
      <c r="L39" s="191">
        <f>SUM(B39:K39)</f>
        <v>46943.7</v>
      </c>
      <c r="M39" s="88">
        <f>+capitalbkvar!N38</f>
        <v>0</v>
      </c>
      <c r="N39" s="88">
        <f>+sgbelvar!N38</f>
        <v>0</v>
      </c>
      <c r="O39" s="200">
        <f>SUM(M39:N39)</f>
        <v>0</v>
      </c>
      <c r="P39" s="88">
        <f>+cbnavar!N38</f>
        <v>0</v>
      </c>
      <c r="Q39" s="88">
        <f>+scotiavar!N38</f>
        <v>0</v>
      </c>
      <c r="R39" s="197">
        <f>SUM(P39:Q39)</f>
        <v>0</v>
      </c>
      <c r="S39" s="191">
        <f>+L39+O39+R39</f>
        <v>46943.7</v>
      </c>
      <c r="T39" s="60"/>
      <c r="U39" s="1"/>
      <c r="V39" s="1"/>
      <c r="W39" s="1"/>
      <c r="X39" s="1"/>
      <c r="Y39" s="1"/>
      <c r="Z39" s="1"/>
      <c r="AA39" s="1"/>
      <c r="AB39" s="1"/>
      <c r="AC39" s="1"/>
      <c r="AD39" s="1"/>
      <c r="AE39" s="1"/>
      <c r="AF39" s="1"/>
      <c r="AG39" s="1"/>
      <c r="AH39" s="1"/>
      <c r="AI39" s="1"/>
      <c r="AJ39" s="1"/>
      <c r="AK39" s="1"/>
      <c r="AL39" s="1"/>
      <c r="AM39" s="1"/>
      <c r="AN39" s="1"/>
      <c r="AO39" s="1"/>
      <c r="AP39" s="1"/>
      <c r="AQ39" s="1"/>
    </row>
    <row r="40" spans="1:43">
      <c r="A40" s="1" t="s">
        <v>286</v>
      </c>
      <c r="B40" s="88">
        <f>+bichvar!N39</f>
        <v>0</v>
      </c>
      <c r="C40" s="88">
        <f>+bidcvar!N39</f>
        <v>36404.400000000001</v>
      </c>
      <c r="D40" s="88">
        <f>+bncvar!N39</f>
        <v>0</v>
      </c>
      <c r="E40" s="88">
        <f>+bphvar!N39</f>
        <v>0</v>
      </c>
      <c r="F40" s="88">
        <f>+buhvar!N39</f>
        <v>0</v>
      </c>
      <c r="G40" s="88">
        <f>+'bmhvar '!N39</f>
        <v>0</v>
      </c>
      <c r="H40" s="88">
        <f>+promobkvar!N39</f>
        <v>0</v>
      </c>
      <c r="I40" s="88">
        <f>+socabkvar!N39</f>
        <v>0</v>
      </c>
      <c r="J40" s="88">
        <f>+sogebkvar!N39</f>
        <v>0</v>
      </c>
      <c r="K40" s="88">
        <f>+unibkvar!N39</f>
        <v>0</v>
      </c>
      <c r="L40" s="191">
        <f>SUM(B40:K40)</f>
        <v>36404.400000000001</v>
      </c>
      <c r="M40" s="88">
        <f>+capitalbkvar!N39</f>
        <v>0</v>
      </c>
      <c r="N40" s="88">
        <f>+sgbelvar!N39</f>
        <v>0</v>
      </c>
      <c r="O40" s="200">
        <f>SUM(M40:N40)</f>
        <v>0</v>
      </c>
      <c r="P40" s="88">
        <f>+cbnavar!N39</f>
        <v>0</v>
      </c>
      <c r="Q40" s="88">
        <f>+scotiavar!N39</f>
        <v>0</v>
      </c>
      <c r="R40" s="197">
        <f>SUM(P40:Q40)</f>
        <v>0</v>
      </c>
      <c r="S40" s="191">
        <f>+L40+O40+R40</f>
        <v>36404.400000000001</v>
      </c>
      <c r="T40" s="60"/>
      <c r="U40" s="1"/>
      <c r="V40" s="1"/>
      <c r="W40" s="1"/>
      <c r="X40" s="1"/>
      <c r="Y40" s="1"/>
      <c r="Z40" s="1"/>
      <c r="AA40" s="1"/>
      <c r="AB40" s="1"/>
      <c r="AC40" s="1"/>
      <c r="AD40" s="1"/>
      <c r="AE40" s="1"/>
      <c r="AF40" s="1"/>
      <c r="AG40" s="1"/>
      <c r="AH40" s="1"/>
      <c r="AI40" s="1"/>
      <c r="AJ40" s="1"/>
      <c r="AK40" s="1"/>
      <c r="AL40" s="1"/>
      <c r="AM40" s="1"/>
      <c r="AN40" s="1"/>
      <c r="AO40" s="1"/>
      <c r="AP40" s="1"/>
      <c r="AQ40" s="1"/>
    </row>
    <row r="41" spans="1:43">
      <c r="A41" s="1" t="s">
        <v>284</v>
      </c>
      <c r="B41" s="221">
        <f>+bichvar!N40</f>
        <v>0</v>
      </c>
      <c r="C41" s="221">
        <f>+bidcvar!N40</f>
        <v>9445.7999999999993</v>
      </c>
      <c r="D41" s="221">
        <f>+bncvar!N40</f>
        <v>8755.2000000000007</v>
      </c>
      <c r="E41" s="221">
        <f>+bphvar!N40</f>
        <v>11859</v>
      </c>
      <c r="F41" s="221">
        <f>+buhvar!N40</f>
        <v>57798.1</v>
      </c>
      <c r="G41" s="221">
        <f>+'bmhvar '!N40</f>
        <v>0</v>
      </c>
      <c r="H41" s="221">
        <f>+promobkvar!N40</f>
        <v>34896.5</v>
      </c>
      <c r="I41" s="221">
        <f>+socabkvar!N40</f>
        <v>0</v>
      </c>
      <c r="J41" s="221">
        <f>+sogebkvar!N40</f>
        <v>26328.400000000001</v>
      </c>
      <c r="K41" s="1011">
        <f>+unibkvar!N40</f>
        <v>22950.799999999999</v>
      </c>
      <c r="L41" s="300">
        <f>SUM(B41:K41)</f>
        <v>172033.8</v>
      </c>
      <c r="M41" s="221">
        <f>+capitalbkvar!N40</f>
        <v>12448.9</v>
      </c>
      <c r="N41" s="1011">
        <f>+sgbelvar!N40</f>
        <v>42625</v>
      </c>
      <c r="O41" s="301">
        <f>SUM(M41:N41)</f>
        <v>55073.9</v>
      </c>
      <c r="P41" s="221">
        <f>+cbnavar!N40</f>
        <v>15290.2</v>
      </c>
      <c r="Q41" s="1011">
        <f>+scotiavar!N40</f>
        <v>10185.799999999999</v>
      </c>
      <c r="R41" s="300">
        <f>SUM(P41:Q41)</f>
        <v>25476</v>
      </c>
      <c r="S41" s="300">
        <f>+L41+O41+R41</f>
        <v>252583.69999999998</v>
      </c>
      <c r="T41" s="60"/>
      <c r="U41" s="1"/>
      <c r="V41" s="1"/>
      <c r="W41" s="1"/>
      <c r="X41" s="1"/>
      <c r="Y41" s="1"/>
      <c r="Z41" s="1"/>
      <c r="AA41" s="1"/>
      <c r="AB41" s="1"/>
      <c r="AC41" s="1"/>
      <c r="AD41" s="1"/>
      <c r="AE41" s="1"/>
      <c r="AF41" s="1"/>
      <c r="AG41" s="1"/>
      <c r="AH41" s="1"/>
      <c r="AI41" s="1"/>
      <c r="AJ41" s="1"/>
      <c r="AK41" s="1"/>
      <c r="AL41" s="1"/>
      <c r="AM41" s="1"/>
      <c r="AN41" s="1"/>
      <c r="AO41" s="1"/>
      <c r="AP41" s="1"/>
      <c r="AQ41" s="1"/>
    </row>
    <row r="42" spans="1:43">
      <c r="A42" s="1"/>
      <c r="B42" s="88">
        <f t="shared" ref="B42:L42" si="8">SUM(B39:B41)</f>
        <v>0</v>
      </c>
      <c r="C42" s="88">
        <f t="shared" si="8"/>
        <v>45850.2</v>
      </c>
      <c r="D42" s="88">
        <f t="shared" si="8"/>
        <v>8755.2000000000007</v>
      </c>
      <c r="E42" s="88">
        <f t="shared" si="8"/>
        <v>20333.8</v>
      </c>
      <c r="F42" s="88">
        <f t="shared" si="8"/>
        <v>57798.1</v>
      </c>
      <c r="G42" s="88">
        <f t="shared" si="8"/>
        <v>0</v>
      </c>
      <c r="H42" s="88">
        <f t="shared" si="8"/>
        <v>34896.5</v>
      </c>
      <c r="I42" s="88">
        <f t="shared" si="8"/>
        <v>38468.9</v>
      </c>
      <c r="J42" s="88">
        <f t="shared" si="8"/>
        <v>26328.400000000001</v>
      </c>
      <c r="K42" s="88">
        <f t="shared" si="8"/>
        <v>22950.799999999999</v>
      </c>
      <c r="L42" s="191">
        <f t="shared" si="8"/>
        <v>255381.9</v>
      </c>
      <c r="M42" s="88">
        <f t="shared" ref="M42:S42" si="9">SUM(M39:M41)</f>
        <v>12448.9</v>
      </c>
      <c r="N42" s="88">
        <f t="shared" si="9"/>
        <v>42625</v>
      </c>
      <c r="O42" s="200">
        <f t="shared" si="9"/>
        <v>55073.9</v>
      </c>
      <c r="P42" s="88">
        <f t="shared" si="9"/>
        <v>15290.2</v>
      </c>
      <c r="Q42" s="88">
        <f t="shared" si="9"/>
        <v>10185.799999999999</v>
      </c>
      <c r="R42" s="197">
        <f t="shared" si="9"/>
        <v>25476</v>
      </c>
      <c r="S42" s="191">
        <f t="shared" si="9"/>
        <v>335931.8</v>
      </c>
      <c r="T42" s="60"/>
      <c r="U42" s="1"/>
      <c r="V42" s="1"/>
      <c r="W42" s="1"/>
      <c r="X42" s="1"/>
      <c r="Y42" s="1"/>
      <c r="Z42" s="1"/>
      <c r="AA42" s="1"/>
      <c r="AB42" s="1"/>
      <c r="AC42" s="1"/>
      <c r="AD42" s="1"/>
      <c r="AE42" s="1"/>
      <c r="AF42" s="1"/>
      <c r="AG42" s="1"/>
      <c r="AH42" s="1"/>
      <c r="AI42" s="1"/>
      <c r="AJ42" s="1"/>
      <c r="AK42" s="1"/>
      <c r="AL42" s="1"/>
      <c r="AM42" s="1"/>
      <c r="AN42" s="1"/>
      <c r="AO42" s="1"/>
      <c r="AP42" s="1"/>
      <c r="AQ42" s="1"/>
    </row>
    <row r="43" spans="1:43" ht="8.4499999999999993" customHeight="1">
      <c r="A43" s="1"/>
      <c r="B43" s="88"/>
      <c r="C43" s="88"/>
      <c r="D43" s="100" t="s">
        <v>0</v>
      </c>
      <c r="E43" s="89" t="s">
        <v>0</v>
      </c>
      <c r="F43" s="88"/>
      <c r="G43" s="88"/>
      <c r="H43" s="89" t="s">
        <v>0</v>
      </c>
      <c r="I43" s="89" t="s">
        <v>0</v>
      </c>
      <c r="J43" s="88"/>
      <c r="K43" s="88"/>
      <c r="L43" s="191"/>
      <c r="M43" s="89" t="s">
        <v>0</v>
      </c>
      <c r="N43" s="88"/>
      <c r="O43" s="200" t="s">
        <v>0</v>
      </c>
      <c r="P43" s="88"/>
      <c r="Q43" s="88" t="s">
        <v>0</v>
      </c>
      <c r="R43" s="197"/>
      <c r="S43" s="191"/>
      <c r="T43" s="60"/>
      <c r="U43" s="1"/>
      <c r="V43" s="1"/>
      <c r="W43" s="1"/>
      <c r="X43" s="1"/>
      <c r="Y43" s="1"/>
      <c r="Z43" s="1"/>
      <c r="AA43" s="1"/>
      <c r="AB43" s="1"/>
      <c r="AC43" s="1"/>
      <c r="AD43" s="1"/>
      <c r="AE43" s="1"/>
      <c r="AF43" s="1"/>
      <c r="AG43" s="1"/>
      <c r="AH43" s="1"/>
      <c r="AI43" s="1"/>
      <c r="AJ43" s="1"/>
      <c r="AK43" s="1"/>
      <c r="AL43" s="1"/>
      <c r="AM43" s="1"/>
      <c r="AN43" s="1"/>
      <c r="AO43" s="1"/>
      <c r="AP43" s="1"/>
      <c r="AQ43" s="1"/>
    </row>
    <row r="44" spans="1:43">
      <c r="A44" s="1" t="s">
        <v>287</v>
      </c>
      <c r="B44" s="221">
        <f>+bichvar!N43</f>
        <v>0</v>
      </c>
      <c r="C44" s="221">
        <f>+bidcvar!N43</f>
        <v>45228</v>
      </c>
      <c r="D44" s="221">
        <f>+bncvar!N43</f>
        <v>35532.1</v>
      </c>
      <c r="E44" s="221">
        <f>+bphvar!N43</f>
        <v>382.5</v>
      </c>
      <c r="F44" s="221">
        <f>+buhvar!N43</f>
        <v>1415</v>
      </c>
      <c r="G44" s="221">
        <f>+'bmhvar '!N43</f>
        <v>0</v>
      </c>
      <c r="H44" s="221">
        <f>+promobkvar!N43</f>
        <v>60201.9</v>
      </c>
      <c r="I44" s="221">
        <f>+socabkvar!N43</f>
        <v>0</v>
      </c>
      <c r="J44" s="221">
        <f>+sogebkvar!N43</f>
        <v>36333</v>
      </c>
      <c r="K44" s="1011">
        <f>+unibkvar!N43</f>
        <v>94003.1</v>
      </c>
      <c r="L44" s="300">
        <f>SUM(B44:K44)</f>
        <v>273095.59999999998</v>
      </c>
      <c r="M44" s="221">
        <f>+capitalbkvar!N43</f>
        <v>966.5</v>
      </c>
      <c r="N44" s="1011">
        <f>+sgbelvar!N43</f>
        <v>7750.3</v>
      </c>
      <c r="O44" s="301">
        <f>SUM(M44:N44)</f>
        <v>8716.7999999999993</v>
      </c>
      <c r="P44" s="221">
        <f>+cbnavar!N43</f>
        <v>21326.5</v>
      </c>
      <c r="Q44" s="1011">
        <f>+scotiavar!N43</f>
        <v>845.8</v>
      </c>
      <c r="R44" s="300">
        <f>SUM(P44:Q44)</f>
        <v>22172.3</v>
      </c>
      <c r="S44" s="300">
        <f>+L44+O44+R44</f>
        <v>303984.69999999995</v>
      </c>
      <c r="T44" s="60"/>
      <c r="U44" s="1"/>
      <c r="V44" s="1"/>
      <c r="W44" s="1"/>
      <c r="X44" s="1"/>
      <c r="Y44" s="1"/>
      <c r="Z44" s="1"/>
      <c r="AA44" s="1"/>
      <c r="AB44" s="1"/>
      <c r="AC44" s="1"/>
      <c r="AD44" s="1"/>
      <c r="AE44" s="1"/>
      <c r="AF44" s="1"/>
      <c r="AG44" s="1"/>
      <c r="AH44" s="1"/>
      <c r="AI44" s="1"/>
      <c r="AJ44" s="1"/>
      <c r="AK44" s="1"/>
      <c r="AL44" s="1"/>
      <c r="AM44" s="1"/>
      <c r="AN44" s="1"/>
      <c r="AO44" s="1"/>
      <c r="AP44" s="1"/>
      <c r="AQ44" s="1"/>
    </row>
    <row r="45" spans="1:43">
      <c r="A45" s="1"/>
      <c r="B45" s="88">
        <f t="shared" ref="B45:K45" si="10">+B30+B36+B42+B44</f>
        <v>4011.1</v>
      </c>
      <c r="C45" s="88">
        <f t="shared" si="10"/>
        <v>1321379.3</v>
      </c>
      <c r="D45" s="88">
        <f t="shared" si="10"/>
        <v>1689110</v>
      </c>
      <c r="E45" s="88">
        <f t="shared" si="10"/>
        <v>796286.20000000007</v>
      </c>
      <c r="F45" s="88">
        <f t="shared" si="10"/>
        <v>1429843.5000000002</v>
      </c>
      <c r="G45" s="88">
        <f t="shared" si="10"/>
        <v>0</v>
      </c>
      <c r="H45" s="88">
        <f t="shared" si="10"/>
        <v>1228285.5999999999</v>
      </c>
      <c r="I45" s="88">
        <f t="shared" si="10"/>
        <v>968288.7</v>
      </c>
      <c r="J45" s="88">
        <f t="shared" si="10"/>
        <v>2723007.4</v>
      </c>
      <c r="K45" s="88">
        <f t="shared" si="10"/>
        <v>2168592.2999999998</v>
      </c>
      <c r="L45" s="191">
        <f>SUM(B45:K45)</f>
        <v>12328804.100000001</v>
      </c>
      <c r="M45" s="88">
        <f>+M30+M36+M42+M44</f>
        <v>421537.10000000003</v>
      </c>
      <c r="N45" s="88">
        <f>+N30+N36+N42+N44</f>
        <v>353994.1</v>
      </c>
      <c r="O45" s="200">
        <f>SUM(M45:N45)</f>
        <v>775531.2</v>
      </c>
      <c r="P45" s="88">
        <f>+P30+P36+P42+P44</f>
        <v>949725.2</v>
      </c>
      <c r="Q45" s="88">
        <f>+Q30+Q36+Q42+Q44</f>
        <v>714734.40000000014</v>
      </c>
      <c r="R45" s="197">
        <f>SUM(P45:Q45)</f>
        <v>1664459.6</v>
      </c>
      <c r="S45" s="191">
        <f>+L45+O45+R45</f>
        <v>14768794.9</v>
      </c>
      <c r="T45" s="60"/>
      <c r="U45" s="1"/>
      <c r="V45" s="1"/>
      <c r="W45" s="1"/>
      <c r="X45" s="1"/>
      <c r="Y45" s="1"/>
      <c r="Z45" s="1"/>
      <c r="AA45" s="1"/>
      <c r="AB45" s="1"/>
      <c r="AC45" s="1"/>
      <c r="AD45" s="1"/>
      <c r="AE45" s="1"/>
      <c r="AF45" s="1"/>
      <c r="AG45" s="1"/>
      <c r="AH45" s="1"/>
      <c r="AI45" s="1"/>
      <c r="AJ45" s="1"/>
      <c r="AK45" s="1"/>
      <c r="AL45" s="1"/>
      <c r="AM45" s="1"/>
      <c r="AN45" s="1"/>
      <c r="AO45" s="1"/>
      <c r="AP45" s="1"/>
      <c r="AQ45" s="1"/>
    </row>
    <row r="46" spans="1:43" ht="8.4499999999999993" customHeight="1">
      <c r="A46" s="1"/>
      <c r="B46" s="88"/>
      <c r="C46" s="88"/>
      <c r="D46" s="100" t="s">
        <v>0</v>
      </c>
      <c r="E46" s="89" t="s">
        <v>0</v>
      </c>
      <c r="F46" s="88"/>
      <c r="G46" s="88"/>
      <c r="H46" s="89" t="s">
        <v>0</v>
      </c>
      <c r="I46" s="89" t="s">
        <v>0</v>
      </c>
      <c r="J46" s="88"/>
      <c r="K46" s="88"/>
      <c r="L46" s="191"/>
      <c r="M46" s="89" t="s">
        <v>0</v>
      </c>
      <c r="N46" s="88"/>
      <c r="O46" s="200" t="s">
        <v>0</v>
      </c>
      <c r="P46" s="88"/>
      <c r="Q46" s="88" t="s">
        <v>0</v>
      </c>
      <c r="R46" s="197"/>
      <c r="S46" s="191"/>
      <c r="T46" s="60"/>
      <c r="U46" s="1"/>
      <c r="V46" s="1"/>
      <c r="W46" s="1"/>
      <c r="X46" s="1"/>
      <c r="Y46" s="1"/>
      <c r="Z46" s="1"/>
      <c r="AA46" s="1"/>
      <c r="AB46" s="1"/>
      <c r="AC46" s="1"/>
      <c r="AD46" s="1"/>
      <c r="AE46" s="1"/>
      <c r="AF46" s="1"/>
      <c r="AG46" s="1"/>
      <c r="AH46" s="1"/>
      <c r="AI46" s="1"/>
      <c r="AJ46" s="1"/>
      <c r="AK46" s="1"/>
      <c r="AL46" s="1"/>
      <c r="AM46" s="1"/>
      <c r="AN46" s="1"/>
      <c r="AO46" s="1"/>
      <c r="AP46" s="1"/>
      <c r="AQ46" s="1"/>
    </row>
    <row r="47" spans="1:43">
      <c r="A47" s="2" t="s">
        <v>288</v>
      </c>
      <c r="B47" s="88"/>
      <c r="C47" s="88"/>
      <c r="D47" s="100" t="s">
        <v>0</v>
      </c>
      <c r="E47" s="89" t="s">
        <v>0</v>
      </c>
      <c r="F47" s="88"/>
      <c r="G47" s="88"/>
      <c r="H47" s="89" t="s">
        <v>0</v>
      </c>
      <c r="I47" s="89" t="s">
        <v>0</v>
      </c>
      <c r="J47" s="88"/>
      <c r="K47" s="88"/>
      <c r="L47" s="191"/>
      <c r="M47" s="89" t="s">
        <v>0</v>
      </c>
      <c r="N47" s="88"/>
      <c r="O47" s="200" t="s">
        <v>0</v>
      </c>
      <c r="P47" s="88"/>
      <c r="Q47" s="88" t="s">
        <v>0</v>
      </c>
      <c r="R47" s="197"/>
      <c r="S47" s="191"/>
      <c r="T47" s="60"/>
      <c r="U47" s="1"/>
      <c r="V47" s="1"/>
      <c r="W47" s="1"/>
      <c r="X47" s="1"/>
      <c r="Y47" s="1"/>
      <c r="Z47" s="1"/>
      <c r="AA47" s="1"/>
      <c r="AB47" s="1"/>
      <c r="AC47" s="1"/>
      <c r="AD47" s="1"/>
      <c r="AE47" s="1"/>
      <c r="AF47" s="1"/>
      <c r="AG47" s="1"/>
      <c r="AH47" s="1"/>
      <c r="AI47" s="1"/>
      <c r="AJ47" s="1"/>
      <c r="AK47" s="1"/>
      <c r="AL47" s="1"/>
      <c r="AM47" s="1"/>
      <c r="AN47" s="1"/>
      <c r="AO47" s="1"/>
      <c r="AP47" s="1"/>
      <c r="AQ47" s="1"/>
    </row>
    <row r="48" spans="1:43">
      <c r="A48" s="1" t="s">
        <v>289</v>
      </c>
      <c r="B48" s="88">
        <f>+bichvar!N47</f>
        <v>5000</v>
      </c>
      <c r="C48" s="88">
        <f>+bidcvar!N47</f>
        <v>76039.600000000006</v>
      </c>
      <c r="D48" s="88">
        <f>+bncvar!N47</f>
        <v>25000</v>
      </c>
      <c r="E48" s="88">
        <f>+bphvar!N47</f>
        <v>5000</v>
      </c>
      <c r="F48" s="88">
        <f>+buhvar!N47</f>
        <v>30116.7</v>
      </c>
      <c r="G48" s="88">
        <f>+'bmhvar '!N47</f>
        <v>0</v>
      </c>
      <c r="H48" s="88">
        <f>+promobkvar!N47</f>
        <v>36580</v>
      </c>
      <c r="I48" s="88">
        <f>+socabkvar!N47</f>
        <v>42836.2</v>
      </c>
      <c r="J48" s="88">
        <f>+sogebkvar!N47</f>
        <v>62500</v>
      </c>
      <c r="K48" s="88">
        <f>+unibkvar!N47</f>
        <v>63524.3</v>
      </c>
      <c r="L48" s="191">
        <f>SUM(B48:K48)</f>
        <v>346596.8</v>
      </c>
      <c r="M48" s="88">
        <f>+capitalbkvar!N47</f>
        <v>65072.4</v>
      </c>
      <c r="N48" s="88">
        <f>+sgbelvar!N47</f>
        <v>7500</v>
      </c>
      <c r="O48" s="200">
        <f>SUM(M48:N48)</f>
        <v>72572.399999999994</v>
      </c>
      <c r="P48" s="88">
        <f>+cbnavar!N47</f>
        <v>5000</v>
      </c>
      <c r="Q48" s="88">
        <f>+scotiavar!N47</f>
        <v>5000</v>
      </c>
      <c r="R48" s="197">
        <f>SUM(P48:Q48)</f>
        <v>10000</v>
      </c>
      <c r="S48" s="191">
        <f>+L48+O48+R48</f>
        <v>429169.19999999995</v>
      </c>
      <c r="T48" s="60"/>
      <c r="U48" s="1"/>
      <c r="V48" s="1"/>
      <c r="W48" s="1"/>
      <c r="X48" s="1"/>
      <c r="Y48" s="1"/>
      <c r="Z48" s="1"/>
      <c r="AA48" s="1"/>
      <c r="AB48" s="1"/>
      <c r="AC48" s="1"/>
      <c r="AD48" s="1"/>
      <c r="AE48" s="1"/>
      <c r="AF48" s="1"/>
      <c r="AG48" s="1"/>
      <c r="AH48" s="1"/>
      <c r="AI48" s="1"/>
      <c r="AJ48" s="1"/>
      <c r="AK48" s="1"/>
      <c r="AL48" s="1"/>
      <c r="AM48" s="1"/>
      <c r="AN48" s="1"/>
      <c r="AO48" s="1"/>
      <c r="AP48" s="1"/>
      <c r="AQ48" s="1"/>
    </row>
    <row r="49" spans="1:43">
      <c r="A49" s="1" t="s">
        <v>290</v>
      </c>
      <c r="B49" s="88">
        <f>+bichvar!N48</f>
        <v>56.8</v>
      </c>
      <c r="C49" s="88">
        <f>+bidcvar!N48</f>
        <v>2500</v>
      </c>
      <c r="D49" s="88">
        <f>+bncvar!N48</f>
        <v>90956.7</v>
      </c>
      <c r="E49" s="88">
        <f>+bphvar!N48</f>
        <v>0</v>
      </c>
      <c r="F49" s="88">
        <f>+buhvar!N48</f>
        <v>9611.1</v>
      </c>
      <c r="G49" s="88">
        <f>+'bmhvar '!N48</f>
        <v>0</v>
      </c>
      <c r="H49" s="88">
        <f>+promobkvar!N48</f>
        <v>10752.4</v>
      </c>
      <c r="I49" s="88">
        <f>+socabkvar!N48</f>
        <v>0</v>
      </c>
      <c r="J49" s="88">
        <f>+sogebkvar!N48</f>
        <v>29674.2</v>
      </c>
      <c r="K49" s="88">
        <f>+unibkvar!N48</f>
        <v>7987.2</v>
      </c>
      <c r="L49" s="191">
        <f>SUM(B49:K49)</f>
        <v>151538.40000000002</v>
      </c>
      <c r="M49" s="88">
        <f>+capitalbkvar!N48</f>
        <v>321.8</v>
      </c>
      <c r="N49" s="88">
        <f>+sgbelvar!N48</f>
        <v>1217.0999999999999</v>
      </c>
      <c r="O49" s="200">
        <f>SUM(M49:N49)</f>
        <v>1538.8999999999999</v>
      </c>
      <c r="P49" s="88">
        <f>+cbnavar!N48</f>
        <v>2500</v>
      </c>
      <c r="Q49" s="88">
        <f>+scotiavar!N48</f>
        <v>2500</v>
      </c>
      <c r="R49" s="197">
        <f>SUM(P49:Q49)</f>
        <v>5000</v>
      </c>
      <c r="S49" s="191">
        <f>+L49+O49+R49</f>
        <v>158077.30000000002</v>
      </c>
      <c r="T49" s="60"/>
      <c r="U49" s="1"/>
      <c r="V49" s="1"/>
      <c r="W49" s="1"/>
      <c r="X49" s="1"/>
      <c r="Y49" s="1"/>
      <c r="Z49" s="1"/>
      <c r="AA49" s="1"/>
      <c r="AB49" s="1"/>
      <c r="AC49" s="1"/>
      <c r="AD49" s="1"/>
      <c r="AE49" s="1"/>
      <c r="AF49" s="1"/>
      <c r="AG49" s="1"/>
      <c r="AH49" s="1"/>
      <c r="AI49" s="1"/>
      <c r="AJ49" s="1"/>
      <c r="AK49" s="1"/>
      <c r="AL49" s="1"/>
      <c r="AM49" s="1"/>
      <c r="AN49" s="1"/>
      <c r="AO49" s="1"/>
      <c r="AP49" s="1"/>
      <c r="AQ49" s="1"/>
    </row>
    <row r="50" spans="1:43">
      <c r="A50" s="1" t="s">
        <v>302</v>
      </c>
      <c r="B50" s="88">
        <f>+bichvar!N49</f>
        <v>0</v>
      </c>
      <c r="C50" s="88">
        <f>+bidcvar!N49</f>
        <v>3500</v>
      </c>
      <c r="D50" s="88">
        <f>+bncvar!N49</f>
        <v>0</v>
      </c>
      <c r="E50" s="88">
        <f>+bphvar!N49</f>
        <v>0</v>
      </c>
      <c r="F50" s="88">
        <f>+buhvar!N49</f>
        <v>5887.8</v>
      </c>
      <c r="G50" s="88">
        <f>+'bmhvar '!N49</f>
        <v>0</v>
      </c>
      <c r="H50" s="88">
        <f>+promobkvar!N49</f>
        <v>11651</v>
      </c>
      <c r="I50" s="88">
        <f>+socabkvar!N49</f>
        <v>0</v>
      </c>
      <c r="J50" s="88">
        <f>+sogebkvar!N49</f>
        <v>0</v>
      </c>
      <c r="K50" s="88">
        <f>+unibkvar!N49</f>
        <v>0</v>
      </c>
      <c r="L50" s="191">
        <f>SUM(B50:K50)</f>
        <v>21038.799999999999</v>
      </c>
      <c r="M50" s="88">
        <f>+capitalbkvar!N49</f>
        <v>366.8</v>
      </c>
      <c r="N50" s="88">
        <f>+sgbelvar!N49</f>
        <v>0</v>
      </c>
      <c r="O50" s="200">
        <f>SUM(M50:N50)</f>
        <v>366.8</v>
      </c>
      <c r="P50" s="88">
        <f>+cbnavar!N49</f>
        <v>0</v>
      </c>
      <c r="Q50" s="88">
        <f>+scotiavar!N49</f>
        <v>0</v>
      </c>
      <c r="R50" s="197">
        <f>SUM(P50:Q50)</f>
        <v>0</v>
      </c>
      <c r="S50" s="191">
        <f>+L50+O50+R50</f>
        <v>21405.599999999999</v>
      </c>
      <c r="T50" s="60"/>
      <c r="U50" s="1"/>
      <c r="V50" s="1"/>
      <c r="W50" s="1"/>
      <c r="X50" s="1"/>
      <c r="Y50" s="1"/>
      <c r="Z50" s="1"/>
      <c r="AA50" s="1"/>
      <c r="AB50" s="1"/>
      <c r="AC50" s="1"/>
      <c r="AD50" s="1"/>
      <c r="AE50" s="1"/>
      <c r="AF50" s="1"/>
      <c r="AG50" s="1"/>
      <c r="AH50" s="1"/>
      <c r="AI50" s="1"/>
      <c r="AJ50" s="1"/>
      <c r="AK50" s="1"/>
      <c r="AL50" s="1"/>
      <c r="AM50" s="1"/>
      <c r="AN50" s="1"/>
      <c r="AO50" s="1"/>
      <c r="AP50" s="1"/>
      <c r="AQ50" s="1"/>
    </row>
    <row r="51" spans="1:43" ht="17.25">
      <c r="A51" s="1" t="s">
        <v>292</v>
      </c>
      <c r="B51" s="221">
        <f>+bichvar!N50</f>
        <v>332.4</v>
      </c>
      <c r="C51" s="221">
        <f>+bidcvar!N50</f>
        <v>284.5</v>
      </c>
      <c r="D51" s="221">
        <f>+bncvar!N50</f>
        <v>23961.8</v>
      </c>
      <c r="E51" s="221">
        <f>+bphvar!N50</f>
        <v>7197.6</v>
      </c>
      <c r="F51" s="221">
        <f>+buhvar!N50</f>
        <v>20045.5</v>
      </c>
      <c r="G51" s="221">
        <f>+'bmhvar '!N50</f>
        <v>0</v>
      </c>
      <c r="H51" s="221">
        <f>+promobkvar!N50</f>
        <v>23884.9</v>
      </c>
      <c r="I51" s="221">
        <f>+socabkvar!N50</f>
        <v>9258.6</v>
      </c>
      <c r="J51" s="221">
        <f>+sogebkvar!N50</f>
        <v>89663.3</v>
      </c>
      <c r="K51" s="1011">
        <f>+unibkvar!N50</f>
        <v>29514.1</v>
      </c>
      <c r="L51" s="300">
        <f>SUM(B51:K51)</f>
        <v>204142.70000000004</v>
      </c>
      <c r="M51" s="221">
        <f>+capitalbkvar!N50</f>
        <v>13308.5</v>
      </c>
      <c r="N51" s="1011">
        <f>+sgbelvar!N50</f>
        <v>14356.6</v>
      </c>
      <c r="O51" s="301">
        <f>SUM(M51:N51)</f>
        <v>27665.1</v>
      </c>
      <c r="P51" s="221">
        <f>+cbnavar!N50</f>
        <v>3588.2</v>
      </c>
      <c r="Q51" s="1011">
        <f>+scotiavar!N50</f>
        <v>4322.7</v>
      </c>
      <c r="R51" s="300">
        <f>SUM(P51:Q51)</f>
        <v>7910.9</v>
      </c>
      <c r="S51" s="300">
        <f>+L51+O51+R51</f>
        <v>239718.70000000004</v>
      </c>
      <c r="T51" s="64"/>
      <c r="U51" s="66"/>
      <c r="V51" s="66"/>
      <c r="W51" s="66"/>
      <c r="X51" s="1"/>
      <c r="Y51" s="1"/>
      <c r="Z51" s="1"/>
      <c r="AA51" s="1"/>
      <c r="AB51" s="1"/>
      <c r="AC51" s="1"/>
      <c r="AD51" s="1"/>
      <c r="AE51" s="1"/>
      <c r="AF51" s="1"/>
      <c r="AG51" s="1"/>
      <c r="AH51" s="1"/>
      <c r="AI51" s="1"/>
      <c r="AJ51" s="1"/>
      <c r="AK51" s="1"/>
      <c r="AL51" s="1"/>
      <c r="AM51" s="1"/>
      <c r="AN51" s="1"/>
      <c r="AO51" s="1"/>
      <c r="AP51" s="1"/>
      <c r="AQ51" s="1"/>
    </row>
    <row r="52" spans="1:43" ht="16.5" thickBot="1">
      <c r="A52" s="1" t="s">
        <v>275</v>
      </c>
      <c r="B52" s="99">
        <f t="shared" ref="B52:K52" si="11">SUM(B48:B51)</f>
        <v>5389.2</v>
      </c>
      <c r="C52" s="99">
        <f t="shared" si="11"/>
        <v>82324.100000000006</v>
      </c>
      <c r="D52" s="99">
        <f t="shared" si="11"/>
        <v>139918.5</v>
      </c>
      <c r="E52" s="99">
        <f t="shared" si="11"/>
        <v>12197.6</v>
      </c>
      <c r="F52" s="99">
        <f t="shared" si="11"/>
        <v>65661.100000000006</v>
      </c>
      <c r="G52" s="99">
        <f t="shared" si="11"/>
        <v>0</v>
      </c>
      <c r="H52" s="99">
        <f t="shared" si="11"/>
        <v>82868.3</v>
      </c>
      <c r="I52" s="99">
        <f t="shared" si="11"/>
        <v>52094.799999999996</v>
      </c>
      <c r="J52" s="99">
        <f t="shared" si="11"/>
        <v>181837.5</v>
      </c>
      <c r="K52" s="99">
        <f t="shared" si="11"/>
        <v>101025.60000000001</v>
      </c>
      <c r="L52" s="192">
        <f t="shared" ref="L52:S52" si="12">SUM(L48:L51)</f>
        <v>723316.70000000007</v>
      </c>
      <c r="M52" s="99">
        <f t="shared" si="12"/>
        <v>79069.5</v>
      </c>
      <c r="N52" s="99">
        <f t="shared" si="12"/>
        <v>23073.7</v>
      </c>
      <c r="O52" s="304">
        <f t="shared" si="12"/>
        <v>102143.19999999998</v>
      </c>
      <c r="P52" s="99">
        <f t="shared" si="12"/>
        <v>11088.2</v>
      </c>
      <c r="Q52" s="99">
        <f t="shared" si="12"/>
        <v>11822.7</v>
      </c>
      <c r="R52" s="198">
        <f t="shared" si="12"/>
        <v>22910.9</v>
      </c>
      <c r="S52" s="192">
        <f t="shared" si="12"/>
        <v>848370.8</v>
      </c>
      <c r="T52" s="60"/>
      <c r="U52" s="1"/>
      <c r="V52" s="1"/>
      <c r="W52" s="1"/>
      <c r="X52" s="1"/>
      <c r="Y52" s="1"/>
      <c r="Z52" s="1"/>
      <c r="AA52" s="1"/>
      <c r="AB52" s="1"/>
      <c r="AC52" s="1"/>
      <c r="AD52" s="1"/>
      <c r="AE52" s="1"/>
      <c r="AF52" s="1"/>
      <c r="AG52" s="1"/>
      <c r="AH52" s="1"/>
      <c r="AI52" s="1"/>
      <c r="AJ52" s="1"/>
      <c r="AK52" s="1"/>
      <c r="AL52" s="1"/>
      <c r="AM52" s="1"/>
      <c r="AN52" s="1"/>
      <c r="AO52" s="1"/>
      <c r="AP52" s="1"/>
      <c r="AQ52" s="1"/>
    </row>
    <row r="53" spans="1:43">
      <c r="A53" s="1" t="s">
        <v>0</v>
      </c>
      <c r="B53" s="91">
        <f t="shared" ref="B53:K53" si="13">+B30+B36+B42+B44+B52</f>
        <v>9400.2999999999993</v>
      </c>
      <c r="C53" s="91">
        <f t="shared" si="13"/>
        <v>1403703.4000000001</v>
      </c>
      <c r="D53" s="91">
        <f t="shared" si="13"/>
        <v>1829028.5</v>
      </c>
      <c r="E53" s="91">
        <f t="shared" si="13"/>
        <v>808483.8</v>
      </c>
      <c r="F53" s="91">
        <f t="shared" si="13"/>
        <v>1495504.6000000003</v>
      </c>
      <c r="G53" s="91">
        <f t="shared" si="13"/>
        <v>0</v>
      </c>
      <c r="H53" s="91">
        <f t="shared" si="13"/>
        <v>1311153.8999999999</v>
      </c>
      <c r="I53" s="91">
        <f t="shared" si="13"/>
        <v>1020383.5</v>
      </c>
      <c r="J53" s="91">
        <f t="shared" si="13"/>
        <v>2904844.9</v>
      </c>
      <c r="K53" s="91">
        <f t="shared" si="13"/>
        <v>2269617.9</v>
      </c>
      <c r="L53" s="191">
        <f t="shared" ref="L53:S53" si="14">+L30+L36+L42+L44+L52</f>
        <v>13052120.800000001</v>
      </c>
      <c r="M53" s="91">
        <f t="shared" si="14"/>
        <v>500606.60000000003</v>
      </c>
      <c r="N53" s="91">
        <f t="shared" si="14"/>
        <v>377067.8</v>
      </c>
      <c r="O53" s="191">
        <f t="shared" si="14"/>
        <v>877674.4</v>
      </c>
      <c r="P53" s="91">
        <f t="shared" si="14"/>
        <v>960813.39999999991</v>
      </c>
      <c r="Q53" s="91">
        <f t="shared" si="14"/>
        <v>726557.10000000009</v>
      </c>
      <c r="R53" s="197">
        <f t="shared" si="14"/>
        <v>1687370.5</v>
      </c>
      <c r="S53" s="191">
        <f t="shared" si="14"/>
        <v>15617165.700000003</v>
      </c>
      <c r="T53" s="60"/>
      <c r="U53" s="1"/>
      <c r="V53" s="1"/>
      <c r="W53" s="1"/>
      <c r="X53" s="1"/>
      <c r="Y53" s="1"/>
      <c r="Z53" s="1"/>
      <c r="AA53" s="1"/>
      <c r="AB53" s="1"/>
      <c r="AC53" s="1"/>
      <c r="AD53" s="1"/>
      <c r="AE53" s="1"/>
      <c r="AF53" s="1"/>
      <c r="AG53" s="1"/>
      <c r="AH53" s="1"/>
      <c r="AI53" s="1"/>
      <c r="AJ53" s="1"/>
      <c r="AK53" s="1"/>
      <c r="AL53" s="1"/>
      <c r="AM53" s="1"/>
      <c r="AN53" s="1"/>
      <c r="AO53" s="1"/>
      <c r="AP53" s="1"/>
      <c r="AQ53" s="1"/>
    </row>
    <row r="54" spans="1:43">
      <c r="A54" s="1"/>
      <c r="B54" s="60"/>
      <c r="C54" s="60"/>
      <c r="D54" s="61"/>
      <c r="E54" s="61"/>
      <c r="F54" s="60"/>
      <c r="G54" s="60"/>
      <c r="H54" s="61"/>
      <c r="I54" s="61"/>
      <c r="J54" s="60"/>
      <c r="K54" s="60"/>
      <c r="L54" s="86"/>
      <c r="M54" s="61"/>
      <c r="N54" s="60"/>
      <c r="O54" s="314"/>
      <c r="P54" s="60"/>
      <c r="Q54" s="61"/>
      <c r="R54" s="86"/>
      <c r="S54" s="86"/>
      <c r="T54" s="60"/>
      <c r="U54" s="1"/>
      <c r="V54" s="1"/>
      <c r="W54" s="1"/>
      <c r="X54" s="1"/>
      <c r="Y54" s="1"/>
      <c r="Z54" s="1"/>
      <c r="AA54" s="1"/>
      <c r="AB54" s="1"/>
      <c r="AC54" s="1"/>
      <c r="AD54" s="1"/>
      <c r="AE54" s="1"/>
      <c r="AF54" s="1"/>
      <c r="AG54" s="1"/>
      <c r="AH54" s="1"/>
      <c r="AI54" s="1"/>
      <c r="AJ54" s="1"/>
      <c r="AK54" s="1"/>
      <c r="AL54" s="1"/>
      <c r="AM54" s="1"/>
      <c r="AN54" s="1"/>
      <c r="AO54" s="1"/>
      <c r="AP54" s="1"/>
      <c r="AQ54" s="1"/>
    </row>
    <row r="55" spans="1:43">
      <c r="A55" s="1"/>
      <c r="B55" s="60"/>
      <c r="C55" s="60"/>
      <c r="D55" s="61"/>
      <c r="E55" s="61"/>
      <c r="F55" s="60"/>
      <c r="G55" s="60"/>
      <c r="H55" s="61"/>
      <c r="I55" s="61"/>
      <c r="J55" s="60"/>
      <c r="K55" s="60"/>
      <c r="L55" s="86"/>
      <c r="M55" s="61"/>
      <c r="N55" s="60"/>
      <c r="O55" s="314"/>
      <c r="P55" s="60"/>
      <c r="Q55" s="61"/>
      <c r="R55" s="86"/>
      <c r="S55" s="86"/>
      <c r="T55" s="60"/>
      <c r="U55" s="1"/>
      <c r="V55" s="1"/>
      <c r="W55" s="1"/>
      <c r="X55" s="1"/>
      <c r="Y55" s="1"/>
      <c r="Z55" s="1"/>
      <c r="AA55" s="1"/>
      <c r="AB55" s="1"/>
      <c r="AC55" s="1"/>
      <c r="AD55" s="1"/>
      <c r="AE55" s="1"/>
      <c r="AF55" s="1"/>
      <c r="AG55" s="1"/>
      <c r="AH55" s="1"/>
      <c r="AI55" s="1"/>
      <c r="AJ55" s="1"/>
      <c r="AK55" s="1"/>
      <c r="AL55" s="1"/>
      <c r="AM55" s="1"/>
      <c r="AN55" s="1"/>
      <c r="AO55" s="1"/>
      <c r="AP55" s="1"/>
      <c r="AQ55" s="1"/>
    </row>
    <row r="56" spans="1:43">
      <c r="A56" s="185" t="s">
        <v>293</v>
      </c>
      <c r="B56"/>
      <c r="C56"/>
      <c r="D56"/>
      <c r="E56"/>
      <c r="F56"/>
      <c r="G56"/>
      <c r="H56"/>
      <c r="I56"/>
      <c r="J56"/>
      <c r="K56"/>
      <c r="L56" s="311"/>
      <c r="M56"/>
      <c r="N56"/>
      <c r="O56" s="311"/>
      <c r="P56"/>
      <c r="Q56"/>
      <c r="R56" s="86"/>
      <c r="S56" s="86"/>
      <c r="T56" s="60"/>
      <c r="U56" s="1"/>
      <c r="V56" s="1"/>
      <c r="W56" s="1"/>
      <c r="X56" s="1"/>
      <c r="Y56" s="1"/>
      <c r="Z56" s="1"/>
      <c r="AA56" s="1"/>
      <c r="AB56" s="1"/>
      <c r="AC56" s="1"/>
      <c r="AD56" s="1"/>
      <c r="AE56" s="1"/>
      <c r="AF56" s="1"/>
      <c r="AG56" s="1"/>
      <c r="AH56" s="1"/>
      <c r="AI56" s="1"/>
      <c r="AJ56" s="1"/>
      <c r="AK56" s="1"/>
      <c r="AL56" s="1"/>
      <c r="AM56" s="1"/>
      <c r="AN56" s="1"/>
      <c r="AO56" s="1"/>
      <c r="AP56" s="1"/>
      <c r="AQ56" s="1"/>
    </row>
    <row r="57" spans="1:43">
      <c r="A57" t="s">
        <v>294</v>
      </c>
      <c r="B57" s="88">
        <f>+bichvar!N56</f>
        <v>0</v>
      </c>
      <c r="C57" s="88">
        <f>+bidcvar!N56</f>
        <v>3450.6</v>
      </c>
      <c r="D57" s="88">
        <f>+bncvar!N56</f>
        <v>8280.9</v>
      </c>
      <c r="E57" s="88">
        <f>+bphvar!N56</f>
        <v>0</v>
      </c>
      <c r="F57" s="88">
        <f>+buhvar!N56</f>
        <v>1117.48</v>
      </c>
      <c r="G57" s="88">
        <f>+'bmhvar '!N56</f>
        <v>0</v>
      </c>
      <c r="H57" s="88">
        <f>+promobkvar!N56</f>
        <v>7413.8</v>
      </c>
      <c r="I57" s="88">
        <f>+socabkvar!N56</f>
        <v>0</v>
      </c>
      <c r="J57" s="88">
        <f>+sogebkvar!N56</f>
        <v>31334.799999999999</v>
      </c>
      <c r="K57" s="88">
        <f>+unibkvar!N56</f>
        <v>745.5</v>
      </c>
      <c r="L57" s="191">
        <f>SUM(B57:K57)</f>
        <v>52343.08</v>
      </c>
      <c r="M57" s="88">
        <f>+capitalbkvar!N56</f>
        <v>0</v>
      </c>
      <c r="N57" s="88">
        <f>+sgbelvar!N56</f>
        <v>0</v>
      </c>
      <c r="O57" s="200">
        <f>SUM(M57:N57)</f>
        <v>0</v>
      </c>
      <c r="P57" s="88">
        <f>+cbnavar!N56</f>
        <v>0</v>
      </c>
      <c r="Q57" s="88">
        <f>+scotiavar!N56</f>
        <v>0</v>
      </c>
      <c r="R57" s="197">
        <f>SUM(P57:Q57)</f>
        <v>0</v>
      </c>
      <c r="S57" s="191">
        <f>+L57+O57+R57</f>
        <v>52343.08</v>
      </c>
      <c r="T57" s="60"/>
      <c r="U57" s="1"/>
      <c r="V57" s="1"/>
      <c r="W57" s="1"/>
      <c r="X57" s="1"/>
      <c r="Y57" s="1"/>
      <c r="Z57" s="1"/>
      <c r="AA57" s="1"/>
      <c r="AB57" s="1"/>
      <c r="AC57" s="1"/>
      <c r="AD57" s="1"/>
      <c r="AE57" s="1"/>
      <c r="AF57" s="1"/>
      <c r="AG57" s="1"/>
      <c r="AH57" s="1"/>
      <c r="AI57" s="1"/>
      <c r="AJ57" s="1"/>
      <c r="AK57" s="1"/>
      <c r="AL57" s="1"/>
      <c r="AM57" s="1"/>
      <c r="AN57" s="1"/>
      <c r="AO57" s="1"/>
      <c r="AP57" s="1"/>
      <c r="AQ57" s="1"/>
    </row>
    <row r="58" spans="1:43">
      <c r="A58" t="s">
        <v>295</v>
      </c>
      <c r="B58" s="88">
        <f>+bichvar!N57</f>
        <v>0</v>
      </c>
      <c r="C58" s="88">
        <f>+bidcvar!N57</f>
        <v>150745</v>
      </c>
      <c r="D58" s="88">
        <f>+bncvar!N57</f>
        <v>30038.799999999999</v>
      </c>
      <c r="E58" s="88">
        <f>+bphvar!N57</f>
        <v>12304.9</v>
      </c>
      <c r="F58" s="88">
        <f>+buhvar!N57</f>
        <v>2425</v>
      </c>
      <c r="G58" s="88">
        <f>+'bmhvar '!N57</f>
        <v>0</v>
      </c>
      <c r="H58" s="88">
        <f>+promobkvar!N57</f>
        <v>14464.8</v>
      </c>
      <c r="I58" s="88">
        <f>+socabkvar!N57</f>
        <v>0</v>
      </c>
      <c r="J58" s="88">
        <f>+sogebkvar!N57</f>
        <v>150501.6</v>
      </c>
      <c r="K58" s="88">
        <f>+unibkvar!N57</f>
        <v>59699.9</v>
      </c>
      <c r="L58" s="191">
        <f>SUM(B58:K58)</f>
        <v>420180</v>
      </c>
      <c r="M58" s="88">
        <f>+capitalbkvar!N57</f>
        <v>0</v>
      </c>
      <c r="N58" s="88">
        <f>+sgbelvar!N57</f>
        <v>0</v>
      </c>
      <c r="O58" s="200">
        <f>SUM(M58:N58)</f>
        <v>0</v>
      </c>
      <c r="P58" s="88">
        <f>+cbnavar!N57</f>
        <v>201876.2</v>
      </c>
      <c r="Q58" s="88">
        <f>+scotiavar!N57</f>
        <v>0</v>
      </c>
      <c r="R58" s="197">
        <f>SUM(P58:Q58)</f>
        <v>201876.2</v>
      </c>
      <c r="S58" s="191">
        <f>+L58+O58+R58</f>
        <v>622056.19999999995</v>
      </c>
      <c r="T58" s="60"/>
      <c r="U58" s="1"/>
      <c r="V58" s="1"/>
      <c r="W58" s="1"/>
      <c r="X58" s="1"/>
      <c r="Y58" s="1"/>
      <c r="Z58" s="1"/>
      <c r="AA58" s="1"/>
      <c r="AB58" s="1"/>
      <c r="AC58" s="1"/>
      <c r="AD58" s="1"/>
      <c r="AE58" s="1"/>
      <c r="AF58" s="1"/>
      <c r="AG58" s="1"/>
      <c r="AH58" s="1"/>
      <c r="AI58" s="1"/>
      <c r="AJ58" s="1"/>
      <c r="AK58" s="1"/>
      <c r="AL58" s="1"/>
      <c r="AM58" s="1"/>
      <c r="AN58" s="1"/>
      <c r="AO58" s="1"/>
      <c r="AP58" s="1"/>
      <c r="AQ58" s="1"/>
    </row>
    <row r="59" spans="1:43">
      <c r="A59" t="s">
        <v>284</v>
      </c>
      <c r="B59" s="88">
        <f>+bichvar!N58</f>
        <v>0</v>
      </c>
      <c r="C59" s="88">
        <f>+bidcvar!N58</f>
        <v>112052.3</v>
      </c>
      <c r="D59" s="88">
        <f>+bncvar!N58</f>
        <v>82231.100000000006</v>
      </c>
      <c r="E59" s="88">
        <f>+bphvar!N58</f>
        <v>2706.5</v>
      </c>
      <c r="F59" s="88">
        <f>+buhvar!N58</f>
        <v>-3542.48</v>
      </c>
      <c r="G59" s="88">
        <f>+'bmhvar '!N58</f>
        <v>0</v>
      </c>
      <c r="H59" s="88">
        <f>+promobkvar!N58</f>
        <v>42997</v>
      </c>
      <c r="I59" s="88">
        <f>+socabkvar!N58</f>
        <v>81704.899999999994</v>
      </c>
      <c r="J59" s="88">
        <f>+sogebkvar!N58</f>
        <v>131311</v>
      </c>
      <c r="K59" s="88">
        <f>+unibkvar!N58</f>
        <v>74455.399999999994</v>
      </c>
      <c r="L59" s="191">
        <f>SUM(B59:K59)</f>
        <v>523915.72</v>
      </c>
      <c r="M59" s="88">
        <f>+capitalbkvar!N58</f>
        <v>0</v>
      </c>
      <c r="N59" s="88">
        <f>+sgbelvar!N58</f>
        <v>0</v>
      </c>
      <c r="O59" s="200">
        <f>SUM(M59:N59)</f>
        <v>0</v>
      </c>
      <c r="P59" s="88">
        <f>+cbnavar!N58</f>
        <v>246199.2</v>
      </c>
      <c r="Q59" s="88">
        <f>+scotiavar!N58</f>
        <v>0</v>
      </c>
      <c r="R59" s="197">
        <f>SUM(P59:Q59)</f>
        <v>246199.2</v>
      </c>
      <c r="S59" s="191">
        <f>+L59+O59+R59</f>
        <v>770114.91999999993</v>
      </c>
      <c r="T59" s="60"/>
      <c r="U59" s="1"/>
      <c r="V59" s="1"/>
      <c r="W59" s="1"/>
      <c r="X59" s="1"/>
      <c r="Y59" s="1"/>
      <c r="Z59" s="1"/>
      <c r="AA59" s="1"/>
      <c r="AB59" s="1"/>
      <c r="AC59" s="1"/>
      <c r="AD59" s="1"/>
      <c r="AE59" s="1"/>
      <c r="AF59" s="1"/>
      <c r="AG59" s="1"/>
      <c r="AH59" s="1"/>
      <c r="AI59" s="1"/>
      <c r="AJ59" s="1"/>
      <c r="AK59" s="1"/>
      <c r="AL59" s="1"/>
      <c r="AM59" s="1"/>
      <c r="AN59" s="1"/>
      <c r="AO59" s="1"/>
      <c r="AP59" s="1"/>
      <c r="AQ59" s="1"/>
    </row>
    <row r="60" spans="1:43">
      <c r="C60" s="12"/>
      <c r="E60" s="12"/>
      <c r="G60" s="12"/>
      <c r="I60" s="12"/>
      <c r="L60" s="94"/>
      <c r="M60" s="12"/>
      <c r="O60" s="299"/>
      <c r="Q60" s="12"/>
      <c r="R60" s="118"/>
      <c r="S60" s="94"/>
      <c r="T60" s="60"/>
      <c r="U60" s="1"/>
      <c r="V60" s="1"/>
      <c r="W60" s="1"/>
      <c r="X60" s="1"/>
      <c r="Y60" s="1"/>
      <c r="Z60" s="1"/>
      <c r="AA60" s="1"/>
      <c r="AB60" s="1"/>
      <c r="AC60" s="1"/>
      <c r="AD60" s="1"/>
      <c r="AE60" s="1"/>
      <c r="AF60" s="1"/>
      <c r="AG60" s="1"/>
      <c r="AH60" s="1"/>
      <c r="AI60" s="1"/>
      <c r="AJ60" s="1"/>
      <c r="AK60" s="1"/>
      <c r="AL60" s="1"/>
      <c r="AM60" s="1"/>
      <c r="AN60" s="1"/>
      <c r="AO60" s="1"/>
      <c r="AP60" s="1"/>
      <c r="AQ60" s="1"/>
    </row>
    <row r="61" spans="1:43">
      <c r="A61" t="s">
        <v>410</v>
      </c>
      <c r="B61" s="88">
        <f>+bichvar!N60</f>
        <v>2594.5</v>
      </c>
      <c r="C61" s="88">
        <f>+bidcvar!N60</f>
        <v>745533.5</v>
      </c>
      <c r="D61" s="88">
        <f>+bncvar!N60</f>
        <v>805866.8</v>
      </c>
      <c r="E61" s="88">
        <f>+bphvar!N60</f>
        <v>267625.40000000002</v>
      </c>
      <c r="F61" s="88">
        <f>+buhvar!N60</f>
        <v>603075.69999999995</v>
      </c>
      <c r="G61" s="88">
        <f>+'bmhvar '!N60</f>
        <v>0</v>
      </c>
      <c r="H61" s="88">
        <f>+promobkvar!N60</f>
        <v>748693.2</v>
      </c>
      <c r="I61" s="88">
        <f>+socabkvar!N60</f>
        <v>524069.5</v>
      </c>
      <c r="J61" s="88">
        <f>+sogebkvar!N60</f>
        <v>1193500.3999999999</v>
      </c>
      <c r="K61" s="88">
        <f>+unibkvar!N60</f>
        <v>934976.8</v>
      </c>
      <c r="L61" s="191">
        <f>SUM(B61:K61)</f>
        <v>5825935.7999999998</v>
      </c>
      <c r="M61" s="88">
        <f>+capitalbkvar!N60</f>
        <v>292779.8</v>
      </c>
      <c r="N61" s="88">
        <f>+sgbelvar!N60</f>
        <v>254159</v>
      </c>
      <c r="O61" s="200">
        <f>SUM(M61:N61)</f>
        <v>546938.80000000005</v>
      </c>
      <c r="P61" s="88">
        <f>+cbnavar!N60</f>
        <v>472625.7</v>
      </c>
      <c r="Q61" s="88">
        <f>+scotiavar!N60</f>
        <v>370419.3</v>
      </c>
      <c r="R61" s="197">
        <f>SUM(P61:Q61)</f>
        <v>843045</v>
      </c>
      <c r="S61" s="191">
        <f>+L61+O61+R61</f>
        <v>7215919.5999999996</v>
      </c>
      <c r="T61" s="60"/>
      <c r="U61" s="1"/>
      <c r="V61" s="1"/>
      <c r="W61" s="1"/>
      <c r="X61" s="1"/>
      <c r="Y61" s="1"/>
      <c r="Z61" s="1"/>
      <c r="AA61" s="1"/>
      <c r="AB61" s="1"/>
      <c r="AC61" s="1"/>
      <c r="AD61" s="1"/>
      <c r="AE61" s="1"/>
      <c r="AF61" s="1"/>
      <c r="AG61" s="1"/>
      <c r="AH61" s="1"/>
      <c r="AI61" s="1"/>
      <c r="AJ61" s="1"/>
      <c r="AK61" s="1"/>
      <c r="AL61" s="1"/>
      <c r="AM61" s="1"/>
      <c r="AN61" s="1"/>
      <c r="AO61" s="1"/>
      <c r="AP61" s="1"/>
      <c r="AQ61" s="1"/>
    </row>
    <row r="62" spans="1:43">
      <c r="A62" s="319" t="s">
        <v>411</v>
      </c>
      <c r="B62" s="88">
        <f>+bichvar!N61</f>
        <v>0</v>
      </c>
      <c r="C62" s="88">
        <f>+bidcvar!N61</f>
        <v>7028</v>
      </c>
      <c r="D62" s="88">
        <f>+bncvar!N61</f>
        <v>90053</v>
      </c>
      <c r="E62" s="88">
        <f>+bphvar!N61</f>
        <v>12104.6</v>
      </c>
      <c r="F62" s="88">
        <f>+buhvar!N61</f>
        <v>29284.1</v>
      </c>
      <c r="G62" s="88">
        <f>+'bmhvar '!N61</f>
        <v>0</v>
      </c>
      <c r="H62" s="88">
        <f>+promobkvar!N61</f>
        <v>53388.800000000003</v>
      </c>
      <c r="I62" s="88">
        <f>+socabkvar!N61</f>
        <v>7834.1</v>
      </c>
      <c r="J62" s="88">
        <f>+sogebkvar!N61</f>
        <v>43554.400000000001</v>
      </c>
      <c r="K62" s="88">
        <f>+unibkvar!N61</f>
        <v>9404.7000000000007</v>
      </c>
      <c r="L62" s="191">
        <f>SUM(B62:K62)</f>
        <v>252651.7</v>
      </c>
      <c r="M62" s="88">
        <f>+capitalbkvar!N61</f>
        <v>4200</v>
      </c>
      <c r="N62" s="88">
        <f>+sgbelvar!N61</f>
        <v>3787</v>
      </c>
      <c r="O62" s="200">
        <f>SUM(M62:N62)</f>
        <v>7987</v>
      </c>
      <c r="P62" s="88">
        <f>+cbnavar!N61</f>
        <v>18539.2</v>
      </c>
      <c r="Q62" s="88">
        <f>+scotiavar!N61</f>
        <v>0</v>
      </c>
      <c r="R62" s="197">
        <f>SUM(P62:Q62)</f>
        <v>18539.2</v>
      </c>
      <c r="S62" s="191">
        <f>+L62+O62+R62</f>
        <v>279177.90000000002</v>
      </c>
      <c r="T62" s="60"/>
      <c r="U62" s="1"/>
      <c r="V62" s="1"/>
      <c r="W62" s="1"/>
      <c r="X62" s="1"/>
      <c r="Y62" s="1"/>
      <c r="Z62" s="1"/>
      <c r="AA62" s="1"/>
      <c r="AB62" s="1"/>
      <c r="AC62" s="1"/>
      <c r="AD62" s="1"/>
      <c r="AE62" s="1"/>
      <c r="AF62" s="1"/>
      <c r="AG62" s="1"/>
      <c r="AH62" s="1"/>
      <c r="AI62" s="1"/>
      <c r="AJ62" s="1"/>
      <c r="AK62" s="1"/>
      <c r="AL62" s="1"/>
      <c r="AM62" s="1"/>
      <c r="AN62" s="1"/>
      <c r="AO62" s="1"/>
      <c r="AP62" s="1"/>
      <c r="AQ62" s="1"/>
    </row>
    <row r="63" spans="1:43">
      <c r="A63" t="s">
        <v>412</v>
      </c>
      <c r="B63" s="88">
        <f>+bichvar!N62</f>
        <v>63</v>
      </c>
      <c r="C63" s="88">
        <f>+bidcvar!N62</f>
        <v>4236.5</v>
      </c>
      <c r="D63" s="88">
        <f>+bncvar!N62</f>
        <v>149343.70000000001</v>
      </c>
      <c r="E63" s="88">
        <f>+bphvar!N62</f>
        <v>31933.3</v>
      </c>
      <c r="F63" s="88">
        <f>+buhvar!N62</f>
        <v>24491.5</v>
      </c>
      <c r="G63" s="88">
        <f>+'bmhvar '!N62</f>
        <v>0</v>
      </c>
      <c r="H63" s="88">
        <f>+promobkvar!N62</f>
        <v>47281.3</v>
      </c>
      <c r="I63" s="88">
        <f>+socabkvar!N62</f>
        <v>0</v>
      </c>
      <c r="J63" s="88">
        <f>+sogebkvar!N62</f>
        <v>44887.8</v>
      </c>
      <c r="K63" s="88">
        <f>+unibkvar!N62</f>
        <v>491.6</v>
      </c>
      <c r="L63" s="191">
        <f>SUM(B63:K63)</f>
        <v>302728.69999999995</v>
      </c>
      <c r="M63" s="88">
        <f>+capitalbkvar!N62</f>
        <v>1254.5999999999999</v>
      </c>
      <c r="N63" s="88">
        <f>+sgbelvar!N62</f>
        <v>4625.7</v>
      </c>
      <c r="O63" s="200">
        <f>SUM(M63:N63)</f>
        <v>5880.2999999999993</v>
      </c>
      <c r="P63" s="88">
        <f>+cbnavar!N62</f>
        <v>0</v>
      </c>
      <c r="Q63" s="88">
        <f>+scotiavar!N62</f>
        <v>42551.199999999997</v>
      </c>
      <c r="R63" s="197">
        <f>SUM(P63:Q63)</f>
        <v>42551.199999999997</v>
      </c>
      <c r="S63" s="191">
        <f>+L63+O63+R63</f>
        <v>351160.19999999995</v>
      </c>
      <c r="T63" s="60"/>
      <c r="U63" s="1"/>
      <c r="V63" s="1"/>
      <c r="W63" s="1"/>
      <c r="X63" s="1"/>
      <c r="Y63" s="1"/>
      <c r="Z63" s="1"/>
      <c r="AA63" s="1"/>
      <c r="AB63" s="1"/>
      <c r="AC63" s="1"/>
      <c r="AD63" s="1"/>
      <c r="AE63" s="1"/>
      <c r="AF63" s="1"/>
      <c r="AG63" s="1"/>
      <c r="AH63" s="1"/>
      <c r="AI63" s="1"/>
      <c r="AJ63" s="1"/>
      <c r="AK63" s="1"/>
      <c r="AL63" s="1"/>
      <c r="AM63" s="1"/>
      <c r="AN63" s="1"/>
      <c r="AO63" s="1"/>
      <c r="AP63" s="1"/>
      <c r="AQ63" s="1"/>
    </row>
    <row r="64" spans="1:43">
      <c r="B64"/>
      <c r="C64"/>
      <c r="D64"/>
      <c r="E64"/>
      <c r="F64"/>
      <c r="G64"/>
      <c r="H64"/>
      <c r="I64"/>
      <c r="J64"/>
      <c r="K64"/>
      <c r="L64"/>
      <c r="M64"/>
      <c r="N64"/>
      <c r="O64"/>
      <c r="P64"/>
      <c r="Q64"/>
      <c r="R64" s="60"/>
      <c r="S64" s="60"/>
      <c r="T64" s="60"/>
      <c r="U64" s="1"/>
      <c r="V64" s="1"/>
      <c r="W64" s="1"/>
      <c r="X64" s="1"/>
      <c r="Y64" s="1"/>
      <c r="Z64" s="1"/>
      <c r="AA64" s="1"/>
      <c r="AB64" s="1"/>
      <c r="AC64" s="1"/>
      <c r="AD64" s="1"/>
      <c r="AE64" s="1"/>
      <c r="AF64" s="1"/>
      <c r="AG64" s="1"/>
      <c r="AH64" s="1"/>
      <c r="AI64" s="1"/>
      <c r="AJ64" s="1"/>
      <c r="AK64" s="1"/>
      <c r="AL64" s="1"/>
      <c r="AM64" s="1"/>
      <c r="AN64" s="1"/>
      <c r="AO64" s="1"/>
      <c r="AP64" s="1"/>
      <c r="AQ64" s="1"/>
    </row>
    <row r="65" spans="2:43">
      <c r="B65"/>
      <c r="C65"/>
      <c r="D65"/>
      <c r="E65"/>
      <c r="F65"/>
      <c r="G65"/>
      <c r="H65"/>
      <c r="I65"/>
      <c r="J65"/>
      <c r="K65"/>
      <c r="L65"/>
      <c r="M65"/>
      <c r="N65"/>
      <c r="O65"/>
      <c r="P65"/>
      <c r="Q65"/>
      <c r="R65" s="60"/>
      <c r="S65" s="60"/>
      <c r="T65" s="60"/>
      <c r="U65" s="1"/>
      <c r="V65" s="1"/>
      <c r="W65" s="1"/>
      <c r="X65" s="1"/>
      <c r="Y65" s="1"/>
      <c r="Z65" s="1"/>
      <c r="AA65" s="1"/>
      <c r="AB65" s="1"/>
      <c r="AC65" s="1"/>
      <c r="AD65" s="1"/>
      <c r="AE65" s="1"/>
      <c r="AF65" s="1"/>
      <c r="AG65" s="1"/>
      <c r="AH65" s="1"/>
      <c r="AI65" s="1"/>
      <c r="AJ65" s="1"/>
      <c r="AK65" s="1"/>
      <c r="AL65" s="1"/>
      <c r="AM65" s="1"/>
      <c r="AN65" s="1"/>
      <c r="AO65" s="1"/>
      <c r="AP65" s="1"/>
      <c r="AQ65" s="1"/>
    </row>
    <row r="66" spans="2:43">
      <c r="B66"/>
      <c r="C66"/>
      <c r="D66"/>
      <c r="E66"/>
      <c r="F66"/>
      <c r="G66"/>
      <c r="H66"/>
      <c r="I66"/>
      <c r="J66"/>
      <c r="K66"/>
      <c r="L66"/>
      <c r="M66"/>
      <c r="N66"/>
      <c r="O66"/>
      <c r="P66"/>
      <c r="Q66"/>
      <c r="R66" s="60"/>
      <c r="S66" s="60"/>
      <c r="T66" s="60"/>
      <c r="U66" s="1"/>
      <c r="V66" s="1"/>
      <c r="W66" s="1"/>
      <c r="X66" s="1"/>
      <c r="Y66" s="1"/>
      <c r="Z66" s="1"/>
      <c r="AA66" s="1"/>
      <c r="AB66" s="1"/>
      <c r="AC66" s="1"/>
      <c r="AD66" s="1"/>
      <c r="AE66" s="1"/>
      <c r="AF66" s="1"/>
      <c r="AG66" s="1"/>
      <c r="AH66" s="1"/>
      <c r="AI66" s="1"/>
      <c r="AJ66" s="1"/>
      <c r="AK66" s="1"/>
      <c r="AL66" s="1"/>
      <c r="AM66" s="1"/>
      <c r="AN66" s="1"/>
      <c r="AO66" s="1"/>
      <c r="AP66" s="1"/>
      <c r="AQ66" s="1"/>
    </row>
    <row r="67" spans="2:43">
      <c r="B67"/>
      <c r="C67"/>
      <c r="D67"/>
      <c r="E67"/>
      <c r="F67"/>
      <c r="G67"/>
      <c r="H67"/>
      <c r="I67"/>
      <c r="J67"/>
      <c r="K67"/>
      <c r="L67"/>
      <c r="M67"/>
      <c r="N67"/>
      <c r="O67"/>
      <c r="P67"/>
      <c r="Q67"/>
      <c r="R67" s="60"/>
      <c r="S67" s="60"/>
      <c r="T67" s="60"/>
      <c r="U67" s="1"/>
      <c r="V67" s="1"/>
      <c r="W67" s="1"/>
      <c r="X67" s="1"/>
      <c r="Y67" s="1"/>
      <c r="Z67" s="1"/>
      <c r="AA67" s="1"/>
      <c r="AB67" s="1"/>
      <c r="AC67" s="1"/>
      <c r="AD67" s="1"/>
      <c r="AE67" s="1"/>
      <c r="AF67" s="1"/>
      <c r="AG67" s="1"/>
      <c r="AH67" s="1"/>
      <c r="AI67" s="1"/>
      <c r="AJ67" s="1"/>
      <c r="AK67" s="1"/>
      <c r="AL67" s="1"/>
      <c r="AM67" s="1"/>
      <c r="AN67" s="1"/>
      <c r="AO67" s="1"/>
      <c r="AP67" s="1"/>
      <c r="AQ67" s="1"/>
    </row>
    <row r="68" spans="2:43">
      <c r="B68"/>
      <c r="C68"/>
      <c r="D68"/>
      <c r="E68"/>
      <c r="F68"/>
      <c r="G68"/>
      <c r="H68"/>
      <c r="I68"/>
      <c r="J68"/>
      <c r="K68"/>
      <c r="L68"/>
      <c r="M68"/>
      <c r="N68"/>
      <c r="O68"/>
      <c r="P68"/>
      <c r="Q68"/>
      <c r="R68" s="60"/>
      <c r="S68" s="60"/>
      <c r="T68" s="60"/>
      <c r="U68" s="1"/>
      <c r="V68" s="1"/>
      <c r="W68" s="1"/>
      <c r="X68" s="1"/>
      <c r="Y68" s="1"/>
      <c r="Z68" s="1"/>
      <c r="AA68" s="1"/>
      <c r="AB68" s="1"/>
      <c r="AC68" s="1"/>
      <c r="AD68" s="1"/>
      <c r="AE68" s="1"/>
      <c r="AF68" s="1"/>
      <c r="AG68" s="1"/>
      <c r="AH68" s="1"/>
      <c r="AI68" s="1"/>
      <c r="AJ68" s="1"/>
      <c r="AK68" s="1"/>
      <c r="AL68" s="1"/>
      <c r="AM68" s="1"/>
      <c r="AN68" s="1"/>
      <c r="AO68" s="1"/>
      <c r="AP68" s="1"/>
      <c r="AQ68" s="1"/>
    </row>
    <row r="69" spans="2:43">
      <c r="B69"/>
      <c r="C69"/>
      <c r="D69"/>
      <c r="E69"/>
      <c r="F69"/>
      <c r="G69"/>
      <c r="H69"/>
      <c r="I69"/>
      <c r="J69"/>
      <c r="K69"/>
      <c r="L69"/>
      <c r="M69"/>
      <c r="N69"/>
      <c r="O69"/>
      <c r="P69"/>
      <c r="Q69"/>
      <c r="R69" s="60"/>
      <c r="S69" s="60"/>
      <c r="T69" s="60"/>
      <c r="U69" s="1"/>
      <c r="V69" s="1"/>
      <c r="W69" s="1"/>
      <c r="X69" s="1"/>
      <c r="Y69" s="1"/>
      <c r="Z69" s="1"/>
      <c r="AA69" s="1"/>
      <c r="AB69" s="1"/>
      <c r="AC69" s="1"/>
      <c r="AD69" s="1"/>
      <c r="AE69" s="1"/>
      <c r="AF69" s="1"/>
      <c r="AG69" s="1"/>
      <c r="AH69" s="1"/>
      <c r="AI69" s="1"/>
      <c r="AJ69" s="1"/>
      <c r="AK69" s="1"/>
      <c r="AL69" s="1"/>
      <c r="AM69" s="1"/>
      <c r="AN69" s="1"/>
      <c r="AO69" s="1"/>
      <c r="AP69" s="1"/>
      <c r="AQ69" s="1"/>
    </row>
    <row r="70" spans="2:43">
      <c r="B70"/>
      <c r="C70"/>
      <c r="D70"/>
      <c r="E70"/>
      <c r="F70"/>
      <c r="G70"/>
      <c r="H70"/>
      <c r="I70"/>
      <c r="J70"/>
      <c r="K70"/>
      <c r="L70"/>
      <c r="M70"/>
      <c r="N70"/>
      <c r="O70"/>
      <c r="P70"/>
      <c r="Q70"/>
      <c r="R70" s="60"/>
      <c r="S70" s="60"/>
      <c r="T70" s="60"/>
      <c r="U70" s="1"/>
      <c r="V70" s="1"/>
      <c r="W70" s="1"/>
      <c r="X70" s="1"/>
      <c r="Y70" s="1"/>
      <c r="Z70" s="1"/>
      <c r="AA70" s="1"/>
      <c r="AB70" s="1"/>
      <c r="AC70" s="1"/>
      <c r="AD70" s="1"/>
      <c r="AE70" s="1"/>
      <c r="AF70" s="1"/>
      <c r="AG70" s="1"/>
      <c r="AH70" s="1"/>
      <c r="AI70" s="1"/>
      <c r="AJ70" s="1"/>
      <c r="AK70" s="1"/>
      <c r="AL70" s="1"/>
      <c r="AM70" s="1"/>
      <c r="AN70" s="1"/>
      <c r="AO70" s="1"/>
      <c r="AP70" s="1"/>
      <c r="AQ70" s="1"/>
    </row>
    <row r="71" spans="2:43">
      <c r="B71"/>
      <c r="C71"/>
      <c r="D71"/>
      <c r="E71"/>
      <c r="F71"/>
      <c r="G71"/>
      <c r="H71"/>
      <c r="I71"/>
      <c r="J71"/>
      <c r="K71"/>
      <c r="L71"/>
      <c r="M71"/>
      <c r="N71"/>
      <c r="O71"/>
      <c r="P71"/>
      <c r="Q71"/>
      <c r="R71" s="60"/>
      <c r="S71" s="60"/>
      <c r="T71" s="60"/>
      <c r="U71" s="1"/>
      <c r="V71" s="1"/>
      <c r="W71" s="1"/>
      <c r="X71" s="1"/>
      <c r="Y71" s="1"/>
      <c r="Z71" s="1"/>
      <c r="AA71" s="1"/>
      <c r="AB71" s="1"/>
      <c r="AC71" s="1"/>
      <c r="AD71" s="1"/>
      <c r="AE71" s="1"/>
      <c r="AF71" s="1"/>
      <c r="AG71" s="1"/>
      <c r="AH71" s="1"/>
      <c r="AI71" s="1"/>
      <c r="AJ71" s="1"/>
      <c r="AK71" s="1"/>
      <c r="AL71" s="1"/>
      <c r="AM71" s="1"/>
      <c r="AN71" s="1"/>
      <c r="AO71" s="1"/>
      <c r="AP71" s="1"/>
      <c r="AQ71" s="1"/>
    </row>
    <row r="72" spans="2:43">
      <c r="B72"/>
      <c r="C72"/>
      <c r="D72"/>
      <c r="E72"/>
      <c r="F72"/>
      <c r="G72"/>
      <c r="H72"/>
      <c r="I72"/>
      <c r="J72"/>
      <c r="K72"/>
      <c r="L72"/>
      <c r="M72"/>
      <c r="N72"/>
      <c r="O72"/>
      <c r="P72"/>
      <c r="Q72"/>
      <c r="R72" s="60"/>
      <c r="S72" s="60"/>
      <c r="T72" s="60"/>
      <c r="U72" s="1"/>
      <c r="V72" s="1"/>
      <c r="W72" s="1"/>
      <c r="X72" s="1"/>
      <c r="Y72" s="1"/>
      <c r="Z72" s="1"/>
      <c r="AA72" s="1"/>
      <c r="AB72" s="1"/>
      <c r="AC72" s="1"/>
      <c r="AD72" s="1"/>
      <c r="AE72" s="1"/>
      <c r="AF72" s="1"/>
      <c r="AG72" s="1"/>
      <c r="AH72" s="1"/>
      <c r="AI72" s="1"/>
      <c r="AJ72" s="1"/>
      <c r="AK72" s="1"/>
      <c r="AL72" s="1"/>
      <c r="AM72" s="1"/>
      <c r="AN72" s="1"/>
      <c r="AO72" s="1"/>
      <c r="AP72" s="1"/>
      <c r="AQ72" s="1"/>
    </row>
    <row r="73" spans="2:43">
      <c r="B73"/>
      <c r="C73"/>
      <c r="D73"/>
      <c r="E73"/>
      <c r="F73"/>
      <c r="G73"/>
      <c r="H73"/>
      <c r="I73"/>
      <c r="J73"/>
      <c r="K73"/>
      <c r="L73"/>
      <c r="M73"/>
      <c r="N73"/>
      <c r="O73"/>
      <c r="P73"/>
      <c r="Q73"/>
      <c r="R73" s="60"/>
      <c r="S73" s="60"/>
      <c r="T73" s="60"/>
      <c r="U73" s="1"/>
      <c r="V73" s="1"/>
      <c r="W73" s="1"/>
      <c r="X73" s="1"/>
      <c r="Y73" s="1"/>
      <c r="Z73" s="1"/>
      <c r="AA73" s="1"/>
      <c r="AB73" s="1"/>
      <c r="AC73" s="1"/>
      <c r="AD73" s="1"/>
      <c r="AE73" s="1"/>
      <c r="AF73" s="1"/>
      <c r="AG73" s="1"/>
      <c r="AH73" s="1"/>
      <c r="AI73" s="1"/>
      <c r="AJ73" s="1"/>
      <c r="AK73" s="1"/>
      <c r="AL73" s="1"/>
      <c r="AM73" s="1"/>
      <c r="AN73" s="1"/>
      <c r="AO73" s="1"/>
      <c r="AP73" s="1"/>
      <c r="AQ73" s="1"/>
    </row>
    <row r="74" spans="2:43">
      <c r="B74"/>
      <c r="C74"/>
      <c r="D74"/>
      <c r="E74"/>
      <c r="F74"/>
      <c r="G74"/>
      <c r="H74"/>
      <c r="I74"/>
      <c r="J74"/>
      <c r="K74"/>
      <c r="L74"/>
      <c r="M74"/>
      <c r="N74"/>
      <c r="O74"/>
      <c r="P74"/>
      <c r="Q74"/>
      <c r="R74" s="60"/>
      <c r="S74" s="60"/>
      <c r="T74" s="60"/>
      <c r="U74" s="1"/>
      <c r="V74" s="1"/>
      <c r="W74" s="1"/>
      <c r="X74" s="1"/>
      <c r="Y74" s="1"/>
      <c r="Z74" s="1"/>
      <c r="AA74" s="1"/>
      <c r="AB74" s="1"/>
      <c r="AC74" s="1"/>
      <c r="AD74" s="1"/>
      <c r="AE74" s="1"/>
      <c r="AF74" s="1"/>
      <c r="AG74" s="1"/>
      <c r="AH74" s="1"/>
      <c r="AI74" s="1"/>
      <c r="AJ74" s="1"/>
      <c r="AK74" s="1"/>
      <c r="AL74" s="1"/>
      <c r="AM74" s="1"/>
      <c r="AN74" s="1"/>
      <c r="AO74" s="1"/>
      <c r="AP74" s="1"/>
      <c r="AQ74" s="1"/>
    </row>
    <row r="75" spans="2:43">
      <c r="B75"/>
      <c r="C75"/>
      <c r="D75"/>
      <c r="E75"/>
      <c r="F75"/>
      <c r="G75"/>
      <c r="H75"/>
      <c r="I75"/>
      <c r="J75"/>
      <c r="K75"/>
      <c r="L75"/>
      <c r="M75"/>
      <c r="N75"/>
      <c r="O75"/>
      <c r="P75"/>
      <c r="Q75"/>
      <c r="R75" s="60"/>
      <c r="S75" s="60"/>
      <c r="T75" s="60"/>
      <c r="U75" s="1"/>
      <c r="V75" s="1"/>
      <c r="W75" s="1"/>
      <c r="X75" s="1"/>
      <c r="Y75" s="1"/>
      <c r="Z75" s="1"/>
      <c r="AA75" s="1"/>
      <c r="AB75" s="1"/>
      <c r="AC75" s="1"/>
      <c r="AD75" s="1"/>
      <c r="AE75" s="1"/>
      <c r="AF75" s="1"/>
      <c r="AG75" s="1"/>
      <c r="AH75" s="1"/>
      <c r="AI75" s="1"/>
      <c r="AJ75" s="1"/>
      <c r="AK75" s="1"/>
      <c r="AL75" s="1"/>
      <c r="AM75" s="1"/>
      <c r="AN75" s="1"/>
      <c r="AO75" s="1"/>
      <c r="AP75" s="1"/>
      <c r="AQ75" s="1"/>
    </row>
    <row r="76" spans="2:43">
      <c r="B76"/>
      <c r="C76"/>
      <c r="D76"/>
      <c r="E76"/>
      <c r="F76"/>
      <c r="G76"/>
      <c r="H76"/>
      <c r="I76"/>
      <c r="J76"/>
      <c r="K76"/>
      <c r="L76"/>
      <c r="M76"/>
      <c r="N76"/>
      <c r="O76"/>
      <c r="P76"/>
      <c r="Q76"/>
      <c r="R76" s="60"/>
      <c r="S76" s="60"/>
      <c r="T76" s="60"/>
      <c r="U76" s="1"/>
      <c r="V76" s="1"/>
      <c r="W76" s="1"/>
      <c r="X76" s="1"/>
      <c r="Y76" s="1"/>
      <c r="Z76" s="1"/>
      <c r="AA76" s="1"/>
      <c r="AB76" s="1"/>
      <c r="AC76" s="1"/>
      <c r="AD76" s="1"/>
      <c r="AE76" s="1"/>
      <c r="AF76" s="1"/>
      <c r="AG76" s="1"/>
      <c r="AH76" s="1"/>
      <c r="AI76" s="1"/>
      <c r="AJ76" s="1"/>
      <c r="AK76" s="1"/>
      <c r="AL76" s="1"/>
      <c r="AM76" s="1"/>
      <c r="AN76" s="1"/>
      <c r="AO76" s="1"/>
      <c r="AP76" s="1"/>
      <c r="AQ76" s="1"/>
    </row>
    <row r="77" spans="2:43">
      <c r="B77"/>
      <c r="C77"/>
      <c r="D77"/>
      <c r="E77"/>
      <c r="F77"/>
      <c r="G77"/>
      <c r="H77"/>
      <c r="I77"/>
      <c r="J77"/>
      <c r="K77"/>
      <c r="L77"/>
      <c r="M77"/>
      <c r="N77"/>
      <c r="O77"/>
      <c r="P77"/>
      <c r="Q77"/>
      <c r="R77" s="60"/>
      <c r="S77" s="60"/>
      <c r="T77" s="60"/>
      <c r="U77" s="1"/>
      <c r="V77" s="1"/>
      <c r="W77" s="1"/>
      <c r="X77" s="1"/>
      <c r="Y77" s="1"/>
      <c r="Z77" s="1"/>
      <c r="AA77" s="1"/>
      <c r="AB77" s="1"/>
      <c r="AC77" s="1"/>
      <c r="AD77" s="1"/>
      <c r="AE77" s="1"/>
      <c r="AF77" s="1"/>
      <c r="AG77" s="1"/>
      <c r="AH77" s="1"/>
      <c r="AI77" s="1"/>
      <c r="AJ77" s="1"/>
      <c r="AK77" s="1"/>
      <c r="AL77" s="1"/>
      <c r="AM77" s="1"/>
      <c r="AN77" s="1"/>
      <c r="AO77" s="1"/>
      <c r="AP77" s="1"/>
      <c r="AQ77" s="1"/>
    </row>
    <row r="78" spans="2:43">
      <c r="B78"/>
      <c r="C78"/>
      <c r="D78"/>
      <c r="E78"/>
      <c r="F78"/>
      <c r="G78"/>
      <c r="H78"/>
      <c r="I78"/>
      <c r="J78"/>
      <c r="K78"/>
      <c r="L78"/>
      <c r="M78"/>
      <c r="N78"/>
      <c r="O78"/>
      <c r="P78"/>
      <c r="Q78"/>
      <c r="R78" s="60"/>
      <c r="S78" s="60"/>
      <c r="T78" s="60"/>
      <c r="U78" s="1"/>
      <c r="V78" s="1"/>
      <c r="W78" s="1"/>
      <c r="X78" s="1"/>
      <c r="Y78" s="1"/>
      <c r="Z78" s="1"/>
      <c r="AA78" s="1"/>
      <c r="AB78" s="1"/>
      <c r="AC78" s="1"/>
      <c r="AD78" s="1"/>
      <c r="AE78" s="1"/>
      <c r="AF78" s="1"/>
      <c r="AG78" s="1"/>
      <c r="AH78" s="1"/>
      <c r="AI78" s="1"/>
      <c r="AJ78" s="1"/>
      <c r="AK78" s="1"/>
      <c r="AL78" s="1"/>
      <c r="AM78" s="1"/>
      <c r="AN78" s="1"/>
      <c r="AO78" s="1"/>
      <c r="AP78" s="1"/>
      <c r="AQ78" s="1"/>
    </row>
    <row r="79" spans="2:43">
      <c r="B79"/>
      <c r="C79"/>
      <c r="D79"/>
      <c r="E79"/>
      <c r="F79"/>
      <c r="G79"/>
      <c r="H79"/>
      <c r="I79"/>
      <c r="J79"/>
      <c r="K79"/>
      <c r="L79"/>
      <c r="M79"/>
      <c r="N79"/>
      <c r="O79"/>
      <c r="P79"/>
      <c r="Q79"/>
      <c r="R79" s="60"/>
      <c r="S79" s="60"/>
      <c r="T79" s="60"/>
      <c r="U79" s="1"/>
      <c r="V79" s="1"/>
      <c r="W79" s="1"/>
      <c r="X79" s="1"/>
      <c r="Y79" s="1"/>
      <c r="Z79" s="1"/>
      <c r="AA79" s="1"/>
      <c r="AB79" s="1"/>
      <c r="AC79" s="1"/>
      <c r="AD79" s="1"/>
      <c r="AE79" s="1"/>
      <c r="AF79" s="1"/>
      <c r="AG79" s="1"/>
      <c r="AH79" s="1"/>
      <c r="AI79" s="1"/>
      <c r="AJ79" s="1"/>
      <c r="AK79" s="1"/>
      <c r="AL79" s="1"/>
      <c r="AM79" s="1"/>
      <c r="AN79" s="1"/>
      <c r="AO79" s="1"/>
      <c r="AP79" s="1"/>
      <c r="AQ79" s="1"/>
    </row>
    <row r="80" spans="2:43">
      <c r="B80"/>
      <c r="C80"/>
      <c r="D80"/>
      <c r="E80"/>
      <c r="F80"/>
      <c r="G80"/>
      <c r="H80"/>
      <c r="I80"/>
      <c r="J80"/>
      <c r="K80"/>
      <c r="L80"/>
      <c r="M80"/>
      <c r="N80"/>
      <c r="O80"/>
      <c r="P80"/>
      <c r="Q80"/>
      <c r="R80" s="60"/>
      <c r="S80" s="60"/>
      <c r="T80" s="60"/>
      <c r="U80" s="1"/>
      <c r="V80" s="1"/>
      <c r="W80" s="1"/>
      <c r="X80" s="1"/>
      <c r="Y80" s="1"/>
      <c r="Z80" s="1"/>
      <c r="AA80" s="1"/>
      <c r="AB80" s="1"/>
      <c r="AC80" s="1"/>
      <c r="AD80" s="1"/>
      <c r="AE80" s="1"/>
      <c r="AF80" s="1"/>
      <c r="AG80" s="1"/>
      <c r="AH80" s="1"/>
      <c r="AI80" s="1"/>
      <c r="AJ80" s="1"/>
      <c r="AK80" s="1"/>
      <c r="AL80" s="1"/>
      <c r="AM80" s="1"/>
      <c r="AN80" s="1"/>
      <c r="AO80" s="1"/>
      <c r="AP80" s="1"/>
      <c r="AQ80" s="1"/>
    </row>
    <row r="81" spans="2:43">
      <c r="B81"/>
      <c r="C81"/>
      <c r="D81"/>
      <c r="E81"/>
      <c r="F81"/>
      <c r="G81"/>
      <c r="H81"/>
      <c r="I81"/>
      <c r="J81"/>
      <c r="K81"/>
      <c r="L81"/>
      <c r="M81"/>
      <c r="N81"/>
      <c r="O81"/>
      <c r="P81"/>
      <c r="Q81"/>
      <c r="R81" s="60"/>
      <c r="S81" s="60"/>
      <c r="T81" s="60"/>
      <c r="U81" s="1"/>
      <c r="V81" s="1"/>
      <c r="W81" s="1"/>
      <c r="X81" s="1"/>
      <c r="Y81" s="1"/>
      <c r="Z81" s="1"/>
      <c r="AA81" s="1"/>
      <c r="AB81" s="1"/>
      <c r="AC81" s="1"/>
      <c r="AD81" s="1"/>
      <c r="AE81" s="1"/>
      <c r="AF81" s="1"/>
      <c r="AG81" s="1"/>
      <c r="AH81" s="1"/>
      <c r="AI81" s="1"/>
      <c r="AJ81" s="1"/>
      <c r="AK81" s="1"/>
      <c r="AL81" s="1"/>
      <c r="AM81" s="1"/>
      <c r="AN81" s="1"/>
      <c r="AO81" s="1"/>
      <c r="AP81" s="1"/>
      <c r="AQ81" s="1"/>
    </row>
    <row r="82" spans="2:43">
      <c r="B82"/>
      <c r="C82"/>
      <c r="D82"/>
      <c r="E82"/>
      <c r="F82"/>
      <c r="G82"/>
      <c r="H82"/>
      <c r="I82"/>
      <c r="J82"/>
      <c r="K82"/>
      <c r="L82"/>
      <c r="M82"/>
      <c r="N82"/>
      <c r="O82"/>
      <c r="P82"/>
      <c r="Q82"/>
      <c r="R82" s="60"/>
      <c r="S82" s="60"/>
      <c r="T82" s="60"/>
      <c r="U82" s="1"/>
      <c r="V82" s="1"/>
      <c r="W82" s="1"/>
      <c r="X82" s="1"/>
      <c r="Y82" s="1"/>
      <c r="Z82" s="1"/>
      <c r="AA82" s="1"/>
      <c r="AB82" s="1"/>
      <c r="AC82" s="1"/>
      <c r="AD82" s="1"/>
      <c r="AE82" s="1"/>
      <c r="AF82" s="1"/>
      <c r="AG82" s="1"/>
      <c r="AH82" s="1"/>
      <c r="AI82" s="1"/>
      <c r="AJ82" s="1"/>
      <c r="AK82" s="1"/>
      <c r="AL82" s="1"/>
      <c r="AM82" s="1"/>
      <c r="AN82" s="1"/>
      <c r="AO82" s="1"/>
      <c r="AP82" s="1"/>
      <c r="AQ82" s="1"/>
    </row>
    <row r="83" spans="2:43">
      <c r="B83"/>
      <c r="C83"/>
      <c r="D83"/>
      <c r="E83"/>
      <c r="F83"/>
      <c r="G83"/>
      <c r="H83"/>
      <c r="I83"/>
      <c r="J83"/>
      <c r="K83"/>
      <c r="L83"/>
      <c r="M83"/>
      <c r="N83"/>
      <c r="O83"/>
      <c r="P83"/>
      <c r="Q83"/>
      <c r="R83" s="60"/>
      <c r="S83" s="60"/>
      <c r="T83" s="60"/>
      <c r="U83" s="1"/>
      <c r="V83" s="1"/>
      <c r="W83" s="1"/>
      <c r="X83" s="1"/>
      <c r="Y83" s="1"/>
      <c r="Z83" s="1"/>
      <c r="AA83" s="1"/>
      <c r="AB83" s="1"/>
      <c r="AC83" s="1"/>
      <c r="AD83" s="1"/>
      <c r="AE83" s="1"/>
      <c r="AF83" s="1"/>
      <c r="AG83" s="1"/>
      <c r="AH83" s="1"/>
      <c r="AI83" s="1"/>
      <c r="AJ83" s="1"/>
      <c r="AK83" s="1"/>
      <c r="AL83" s="1"/>
      <c r="AM83" s="1"/>
      <c r="AN83" s="1"/>
      <c r="AO83" s="1"/>
      <c r="AP83" s="1"/>
      <c r="AQ83" s="1"/>
    </row>
    <row r="84" spans="2:43">
      <c r="B84"/>
      <c r="C84"/>
      <c r="D84"/>
      <c r="E84"/>
      <c r="F84"/>
      <c r="G84"/>
      <c r="H84"/>
      <c r="I84"/>
      <c r="J84"/>
      <c r="K84"/>
      <c r="L84"/>
      <c r="M84"/>
      <c r="N84"/>
      <c r="O84"/>
      <c r="P84"/>
      <c r="Q84"/>
      <c r="R84" s="60"/>
      <c r="S84" s="60"/>
      <c r="T84" s="60"/>
      <c r="U84" s="1"/>
      <c r="V84" s="1"/>
      <c r="W84" s="1"/>
      <c r="X84" s="1"/>
      <c r="Y84" s="1"/>
      <c r="Z84" s="1"/>
      <c r="AA84" s="1"/>
      <c r="AB84" s="1"/>
      <c r="AC84" s="1"/>
      <c r="AD84" s="1"/>
      <c r="AE84" s="1"/>
      <c r="AF84" s="1"/>
      <c r="AG84" s="1"/>
      <c r="AH84" s="1"/>
      <c r="AI84" s="1"/>
      <c r="AJ84" s="1"/>
      <c r="AK84" s="1"/>
      <c r="AL84" s="1"/>
      <c r="AM84" s="1"/>
      <c r="AN84" s="1"/>
      <c r="AO84" s="1"/>
      <c r="AP84" s="1"/>
      <c r="AQ84" s="1"/>
    </row>
    <row r="85" spans="2:43">
      <c r="B85"/>
      <c r="C85"/>
      <c r="D85"/>
      <c r="E85"/>
      <c r="F85"/>
      <c r="G85"/>
      <c r="H85"/>
      <c r="I85"/>
      <c r="J85"/>
      <c r="K85"/>
      <c r="L85"/>
      <c r="M85"/>
      <c r="N85"/>
      <c r="O85"/>
      <c r="P85"/>
      <c r="Q85"/>
      <c r="R85" s="60"/>
      <c r="S85" s="60"/>
      <c r="T85" s="60"/>
      <c r="U85" s="1"/>
      <c r="V85" s="1"/>
      <c r="W85" s="1"/>
      <c r="X85" s="1"/>
      <c r="Y85" s="1"/>
      <c r="Z85" s="1"/>
      <c r="AA85" s="1"/>
      <c r="AB85" s="1"/>
      <c r="AC85" s="1"/>
      <c r="AD85" s="1"/>
      <c r="AE85" s="1"/>
      <c r="AF85" s="1"/>
      <c r="AG85" s="1"/>
      <c r="AH85" s="1"/>
      <c r="AI85" s="1"/>
      <c r="AJ85" s="1"/>
      <c r="AK85" s="1"/>
      <c r="AL85" s="1"/>
      <c r="AM85" s="1"/>
      <c r="AN85" s="1"/>
      <c r="AO85" s="1"/>
      <c r="AP85" s="1"/>
      <c r="AQ85" s="1"/>
    </row>
    <row r="86" spans="2:43">
      <c r="B86"/>
      <c r="C86"/>
      <c r="D86"/>
      <c r="E86"/>
      <c r="F86"/>
      <c r="G86"/>
      <c r="H86"/>
      <c r="I86"/>
      <c r="J86"/>
      <c r="K86"/>
      <c r="L86"/>
      <c r="M86"/>
      <c r="N86"/>
      <c r="O86"/>
      <c r="P86"/>
      <c r="Q86"/>
      <c r="R86" s="60"/>
      <c r="S86" s="60"/>
      <c r="T86" s="60"/>
      <c r="U86" s="1"/>
      <c r="V86" s="1"/>
      <c r="W86" s="1"/>
      <c r="X86" s="1"/>
      <c r="Y86" s="1"/>
      <c r="Z86" s="1"/>
      <c r="AA86" s="1"/>
      <c r="AB86" s="1"/>
      <c r="AC86" s="1"/>
      <c r="AD86" s="1"/>
      <c r="AE86" s="1"/>
      <c r="AF86" s="1"/>
      <c r="AG86" s="1"/>
      <c r="AH86" s="1"/>
      <c r="AI86" s="1"/>
      <c r="AJ86" s="1"/>
      <c r="AK86" s="1"/>
      <c r="AL86" s="1"/>
      <c r="AM86" s="1"/>
      <c r="AN86" s="1"/>
      <c r="AO86" s="1"/>
      <c r="AP86" s="1"/>
      <c r="AQ86" s="1"/>
    </row>
    <row r="87" spans="2:43">
      <c r="B87"/>
      <c r="C87"/>
      <c r="D87"/>
      <c r="E87"/>
      <c r="F87"/>
      <c r="G87"/>
      <c r="H87"/>
      <c r="I87"/>
      <c r="J87"/>
      <c r="K87"/>
      <c r="L87"/>
      <c r="M87"/>
      <c r="N87"/>
      <c r="O87"/>
      <c r="P87"/>
      <c r="Q87"/>
      <c r="R87" s="60"/>
      <c r="S87" s="60"/>
      <c r="T87" s="60"/>
      <c r="U87" s="1"/>
      <c r="V87" s="1"/>
      <c r="W87" s="1"/>
      <c r="X87" s="1"/>
      <c r="Y87" s="1"/>
      <c r="Z87" s="1"/>
      <c r="AA87" s="1"/>
      <c r="AB87" s="1"/>
      <c r="AC87" s="1"/>
      <c r="AD87" s="1"/>
      <c r="AE87" s="1"/>
      <c r="AF87" s="1"/>
      <c r="AG87" s="1"/>
      <c r="AH87" s="1"/>
      <c r="AI87" s="1"/>
      <c r="AJ87" s="1"/>
      <c r="AK87" s="1"/>
      <c r="AL87" s="1"/>
      <c r="AM87" s="1"/>
      <c r="AN87" s="1"/>
      <c r="AO87" s="1"/>
      <c r="AP87" s="1"/>
      <c r="AQ87" s="1"/>
    </row>
    <row r="88" spans="2:43">
      <c r="B88"/>
      <c r="C88"/>
      <c r="D88"/>
      <c r="E88"/>
      <c r="F88"/>
      <c r="G88"/>
      <c r="H88"/>
      <c r="I88"/>
      <c r="J88"/>
      <c r="K88"/>
      <c r="L88"/>
      <c r="M88"/>
      <c r="N88"/>
      <c r="O88"/>
      <c r="P88"/>
      <c r="Q88"/>
      <c r="R88" s="60"/>
      <c r="S88" s="60"/>
      <c r="T88" s="60"/>
      <c r="U88" s="1"/>
      <c r="V88" s="1"/>
      <c r="W88" s="1"/>
      <c r="X88" s="1"/>
      <c r="Y88" s="1"/>
      <c r="Z88" s="1"/>
      <c r="AA88" s="1"/>
      <c r="AB88" s="1"/>
      <c r="AC88" s="1"/>
      <c r="AD88" s="1"/>
      <c r="AE88" s="1"/>
      <c r="AF88" s="1"/>
      <c r="AG88" s="1"/>
      <c r="AH88" s="1"/>
      <c r="AI88" s="1"/>
      <c r="AJ88" s="1"/>
      <c r="AK88" s="1"/>
      <c r="AL88" s="1"/>
      <c r="AM88" s="1"/>
      <c r="AN88" s="1"/>
      <c r="AO88" s="1"/>
      <c r="AP88" s="1"/>
      <c r="AQ88" s="1"/>
    </row>
    <row r="89" spans="2:43">
      <c r="B89"/>
      <c r="C89"/>
      <c r="D89"/>
      <c r="E89"/>
      <c r="F89"/>
      <c r="G89"/>
      <c r="H89"/>
      <c r="I89"/>
      <c r="J89"/>
      <c r="K89"/>
      <c r="L89"/>
      <c r="M89"/>
      <c r="N89"/>
      <c r="O89"/>
      <c r="P89"/>
      <c r="Q89"/>
      <c r="R89" s="60"/>
      <c r="S89" s="60"/>
      <c r="T89" s="60"/>
      <c r="U89" s="1"/>
      <c r="V89" s="1"/>
      <c r="W89" s="1"/>
      <c r="X89" s="1"/>
      <c r="Y89" s="1"/>
      <c r="Z89" s="1"/>
      <c r="AA89" s="1"/>
      <c r="AB89" s="1"/>
      <c r="AC89" s="1"/>
      <c r="AD89" s="1"/>
      <c r="AE89" s="1"/>
      <c r="AF89" s="1"/>
      <c r="AG89" s="1"/>
      <c r="AH89" s="1"/>
      <c r="AI89" s="1"/>
      <c r="AJ89" s="1"/>
      <c r="AK89" s="1"/>
      <c r="AL89" s="1"/>
      <c r="AM89" s="1"/>
      <c r="AN89" s="1"/>
      <c r="AO89" s="1"/>
      <c r="AP89" s="1"/>
      <c r="AQ89" s="1"/>
    </row>
    <row r="90" spans="2:43">
      <c r="B90"/>
      <c r="C90"/>
      <c r="D90"/>
      <c r="E90"/>
      <c r="F90"/>
      <c r="G90"/>
      <c r="H90"/>
      <c r="I90"/>
      <c r="J90"/>
      <c r="K90"/>
      <c r="L90"/>
      <c r="M90"/>
      <c r="N90"/>
      <c r="O90"/>
      <c r="P90"/>
      <c r="Q90"/>
      <c r="R90" s="60"/>
      <c r="S90" s="60"/>
      <c r="T90" s="60"/>
      <c r="U90" s="1"/>
      <c r="V90" s="1"/>
      <c r="W90" s="1"/>
      <c r="X90" s="1"/>
      <c r="Y90" s="1"/>
      <c r="Z90" s="1"/>
      <c r="AA90" s="1"/>
      <c r="AB90" s="1"/>
      <c r="AC90" s="1"/>
      <c r="AD90" s="1"/>
      <c r="AE90" s="1"/>
      <c r="AF90" s="1"/>
      <c r="AG90" s="1"/>
      <c r="AH90" s="1"/>
      <c r="AI90" s="1"/>
      <c r="AJ90" s="1"/>
      <c r="AK90" s="1"/>
      <c r="AL90" s="1"/>
      <c r="AM90" s="1"/>
      <c r="AN90" s="1"/>
      <c r="AO90" s="1"/>
      <c r="AP90" s="1"/>
      <c r="AQ90" s="1"/>
    </row>
    <row r="91" spans="2:43">
      <c r="B91"/>
      <c r="C91"/>
      <c r="D91"/>
      <c r="E91"/>
      <c r="F91"/>
      <c r="G91"/>
      <c r="H91"/>
      <c r="I91"/>
      <c r="J91"/>
      <c r="K91"/>
      <c r="L91"/>
      <c r="M91"/>
      <c r="N91"/>
      <c r="O91"/>
      <c r="P91"/>
      <c r="Q91"/>
      <c r="R91" s="60"/>
      <c r="S91" s="60"/>
      <c r="T91" s="60"/>
      <c r="U91" s="1"/>
      <c r="V91" s="1"/>
      <c r="W91" s="1"/>
      <c r="X91" s="1"/>
      <c r="Y91" s="1"/>
      <c r="Z91" s="1"/>
      <c r="AA91" s="1"/>
      <c r="AB91" s="1"/>
      <c r="AC91" s="1"/>
      <c r="AD91" s="1"/>
      <c r="AE91" s="1"/>
      <c r="AF91" s="1"/>
      <c r="AG91" s="1"/>
      <c r="AH91" s="1"/>
      <c r="AI91" s="1"/>
      <c r="AJ91" s="1"/>
      <c r="AK91" s="1"/>
      <c r="AL91" s="1"/>
      <c r="AM91" s="1"/>
      <c r="AN91" s="1"/>
      <c r="AO91" s="1"/>
      <c r="AP91" s="1"/>
      <c r="AQ91" s="1"/>
    </row>
    <row r="92" spans="2:43">
      <c r="B92"/>
      <c r="C92"/>
      <c r="D92"/>
      <c r="E92"/>
      <c r="F92"/>
      <c r="G92"/>
      <c r="H92"/>
      <c r="I92"/>
      <c r="J92"/>
      <c r="K92"/>
      <c r="L92"/>
      <c r="M92"/>
      <c r="N92"/>
      <c r="O92"/>
      <c r="P92"/>
      <c r="Q92"/>
      <c r="R92" s="60"/>
      <c r="S92" s="60"/>
      <c r="T92" s="60"/>
      <c r="U92" s="1"/>
      <c r="V92" s="1"/>
      <c r="W92" s="1"/>
      <c r="X92" s="1"/>
      <c r="Y92" s="1"/>
      <c r="Z92" s="1"/>
      <c r="AA92" s="1"/>
      <c r="AB92" s="1"/>
      <c r="AC92" s="1"/>
      <c r="AD92" s="1"/>
      <c r="AE92" s="1"/>
      <c r="AF92" s="1"/>
      <c r="AG92" s="1"/>
      <c r="AH92" s="1"/>
      <c r="AI92" s="1"/>
      <c r="AJ92" s="1"/>
      <c r="AK92" s="1"/>
      <c r="AL92" s="1"/>
      <c r="AM92" s="1"/>
      <c r="AN92" s="1"/>
      <c r="AO92" s="1"/>
      <c r="AP92" s="1"/>
      <c r="AQ92" s="1"/>
    </row>
    <row r="93" spans="2:43">
      <c r="B93"/>
      <c r="C93"/>
      <c r="D93"/>
      <c r="E93"/>
      <c r="F93"/>
      <c r="G93"/>
      <c r="H93"/>
      <c r="I93"/>
      <c r="J93"/>
      <c r="K93"/>
      <c r="L93"/>
      <c r="M93"/>
      <c r="N93"/>
      <c r="O93"/>
      <c r="P93"/>
      <c r="Q93"/>
      <c r="R93" s="60"/>
      <c r="S93" s="60"/>
      <c r="T93" s="60"/>
      <c r="U93" s="1"/>
      <c r="V93" s="1"/>
      <c r="W93" s="1"/>
      <c r="X93" s="1"/>
      <c r="Y93" s="1"/>
      <c r="Z93" s="1"/>
      <c r="AA93" s="1"/>
      <c r="AB93" s="1"/>
      <c r="AC93" s="1"/>
      <c r="AD93" s="1"/>
      <c r="AE93" s="1"/>
      <c r="AF93" s="1"/>
      <c r="AG93" s="1"/>
      <c r="AH93" s="1"/>
      <c r="AI93" s="1"/>
      <c r="AJ93" s="1"/>
      <c r="AK93" s="1"/>
      <c r="AL93" s="1"/>
      <c r="AM93" s="1"/>
      <c r="AN93" s="1"/>
      <c r="AO93" s="1"/>
      <c r="AP93" s="1"/>
      <c r="AQ93" s="1"/>
    </row>
    <row r="94" spans="2:43">
      <c r="B94"/>
      <c r="C94"/>
      <c r="D94"/>
      <c r="E94"/>
      <c r="F94"/>
      <c r="G94"/>
      <c r="H94"/>
      <c r="I94"/>
      <c r="J94"/>
      <c r="K94"/>
      <c r="L94"/>
      <c r="M94"/>
      <c r="N94"/>
      <c r="O94"/>
      <c r="P94"/>
      <c r="Q94"/>
      <c r="R94" s="60"/>
      <c r="S94" s="60"/>
      <c r="T94" s="60"/>
      <c r="U94" s="1"/>
      <c r="V94" s="1"/>
      <c r="W94" s="1"/>
      <c r="X94" s="1"/>
      <c r="Y94" s="1"/>
      <c r="Z94" s="1"/>
      <c r="AA94" s="1"/>
      <c r="AB94" s="1"/>
      <c r="AC94" s="1"/>
      <c r="AD94" s="1"/>
      <c r="AE94" s="1"/>
      <c r="AF94" s="1"/>
      <c r="AG94" s="1"/>
      <c r="AH94" s="1"/>
      <c r="AI94" s="1"/>
      <c r="AJ94" s="1"/>
      <c r="AK94" s="1"/>
      <c r="AL94" s="1"/>
      <c r="AM94" s="1"/>
      <c r="AN94" s="1"/>
      <c r="AO94" s="1"/>
      <c r="AP94" s="1"/>
      <c r="AQ94" s="1"/>
    </row>
    <row r="95" spans="2:43">
      <c r="B95"/>
      <c r="C95"/>
      <c r="D95"/>
      <c r="E95"/>
      <c r="F95"/>
      <c r="G95"/>
      <c r="H95"/>
      <c r="I95"/>
      <c r="J95"/>
      <c r="K95"/>
      <c r="L95"/>
      <c r="M95"/>
      <c r="N95"/>
      <c r="O95"/>
      <c r="P95"/>
      <c r="Q95"/>
      <c r="R95" s="60"/>
      <c r="S95" s="60"/>
      <c r="T95" s="60"/>
      <c r="U95" s="1"/>
      <c r="V95" s="1"/>
      <c r="W95" s="1"/>
      <c r="X95" s="1"/>
      <c r="Y95" s="1"/>
      <c r="Z95" s="1"/>
      <c r="AA95" s="1"/>
      <c r="AB95" s="1"/>
      <c r="AC95" s="1"/>
      <c r="AD95" s="1"/>
      <c r="AE95" s="1"/>
      <c r="AF95" s="1"/>
      <c r="AG95" s="1"/>
      <c r="AH95" s="1"/>
      <c r="AI95" s="1"/>
      <c r="AJ95" s="1"/>
      <c r="AK95" s="1"/>
      <c r="AL95" s="1"/>
      <c r="AM95" s="1"/>
      <c r="AN95" s="1"/>
      <c r="AO95" s="1"/>
      <c r="AP95" s="1"/>
      <c r="AQ95" s="1"/>
    </row>
    <row r="96" spans="2:43">
      <c r="B96"/>
      <c r="C96"/>
      <c r="D96"/>
      <c r="E96"/>
      <c r="F96"/>
      <c r="G96"/>
      <c r="H96"/>
      <c r="I96"/>
      <c r="J96"/>
      <c r="K96"/>
      <c r="L96"/>
      <c r="M96"/>
      <c r="N96"/>
      <c r="O96"/>
      <c r="P96"/>
      <c r="Q96"/>
      <c r="R96" s="60"/>
      <c r="S96" s="60"/>
      <c r="T96" s="60"/>
      <c r="U96" s="1"/>
      <c r="V96" s="1"/>
      <c r="W96" s="1"/>
      <c r="X96" s="1"/>
      <c r="Y96" s="1"/>
      <c r="Z96" s="1"/>
      <c r="AA96" s="1"/>
      <c r="AB96" s="1"/>
      <c r="AC96" s="1"/>
      <c r="AD96" s="1"/>
      <c r="AE96" s="1"/>
      <c r="AF96" s="1"/>
      <c r="AG96" s="1"/>
      <c r="AH96" s="1"/>
      <c r="AI96" s="1"/>
      <c r="AJ96" s="1"/>
      <c r="AK96" s="1"/>
      <c r="AL96" s="1"/>
      <c r="AM96" s="1"/>
      <c r="AN96" s="1"/>
      <c r="AO96" s="1"/>
      <c r="AP96" s="1"/>
      <c r="AQ96" s="1"/>
    </row>
    <row r="97" spans="2:43">
      <c r="B97"/>
      <c r="C97"/>
      <c r="D97"/>
      <c r="E97"/>
      <c r="F97"/>
      <c r="G97"/>
      <c r="H97"/>
      <c r="I97"/>
      <c r="J97"/>
      <c r="K97"/>
      <c r="L97"/>
      <c r="M97"/>
      <c r="N97"/>
      <c r="O97"/>
      <c r="P97"/>
      <c r="Q97"/>
      <c r="R97" s="60"/>
      <c r="S97" s="60"/>
      <c r="T97" s="60"/>
      <c r="U97" s="1"/>
      <c r="V97" s="1"/>
      <c r="W97" s="1"/>
      <c r="X97" s="1"/>
      <c r="Y97" s="1"/>
      <c r="Z97" s="1"/>
      <c r="AA97" s="1"/>
      <c r="AB97" s="1"/>
      <c r="AC97" s="1"/>
      <c r="AD97" s="1"/>
      <c r="AE97" s="1"/>
      <c r="AF97" s="1"/>
      <c r="AG97" s="1"/>
      <c r="AH97" s="1"/>
      <c r="AI97" s="1"/>
      <c r="AJ97" s="1"/>
      <c r="AK97" s="1"/>
      <c r="AL97" s="1"/>
      <c r="AM97" s="1"/>
      <c r="AN97" s="1"/>
      <c r="AO97" s="1"/>
      <c r="AP97" s="1"/>
      <c r="AQ97" s="1"/>
    </row>
    <row r="98" spans="2:43">
      <c r="B98"/>
      <c r="C98"/>
      <c r="D98"/>
      <c r="E98"/>
      <c r="F98"/>
      <c r="G98"/>
      <c r="H98"/>
      <c r="I98"/>
      <c r="J98"/>
      <c r="K98"/>
      <c r="L98"/>
      <c r="M98"/>
      <c r="N98"/>
      <c r="O98"/>
      <c r="P98"/>
      <c r="Q98"/>
      <c r="R98" s="60"/>
      <c r="S98" s="60"/>
      <c r="T98" s="60"/>
      <c r="U98" s="1"/>
      <c r="V98" s="1"/>
      <c r="W98" s="1"/>
      <c r="X98" s="1"/>
      <c r="Y98" s="1"/>
      <c r="Z98" s="1"/>
      <c r="AA98" s="1"/>
      <c r="AB98" s="1"/>
      <c r="AC98" s="1"/>
      <c r="AD98" s="1"/>
      <c r="AE98" s="1"/>
      <c r="AF98" s="1"/>
      <c r="AG98" s="1"/>
      <c r="AH98" s="1"/>
      <c r="AI98" s="1"/>
      <c r="AJ98" s="1"/>
      <c r="AK98" s="1"/>
      <c r="AL98" s="1"/>
      <c r="AM98" s="1"/>
      <c r="AN98" s="1"/>
      <c r="AO98" s="1"/>
      <c r="AP98" s="1"/>
      <c r="AQ98" s="1"/>
    </row>
    <row r="99" spans="2:43">
      <c r="B99"/>
      <c r="C99"/>
      <c r="D99"/>
      <c r="E99"/>
      <c r="F99"/>
      <c r="G99"/>
      <c r="H99"/>
      <c r="I99"/>
      <c r="J99"/>
      <c r="K99"/>
      <c r="L99"/>
      <c r="M99"/>
      <c r="N99"/>
      <c r="O99"/>
      <c r="P99"/>
      <c r="Q99"/>
      <c r="R99" s="60"/>
      <c r="S99" s="60"/>
      <c r="T99" s="60"/>
      <c r="U99" s="1"/>
      <c r="V99" s="1"/>
      <c r="W99" s="1"/>
      <c r="X99" s="1"/>
      <c r="Y99" s="1"/>
      <c r="Z99" s="1"/>
      <c r="AA99" s="1"/>
      <c r="AB99" s="1"/>
      <c r="AC99" s="1"/>
      <c r="AD99" s="1"/>
      <c r="AE99" s="1"/>
      <c r="AF99" s="1"/>
      <c r="AG99" s="1"/>
      <c r="AH99" s="1"/>
      <c r="AI99" s="1"/>
      <c r="AJ99" s="1"/>
      <c r="AK99" s="1"/>
      <c r="AL99" s="1"/>
      <c r="AM99" s="1"/>
      <c r="AN99" s="1"/>
      <c r="AO99" s="1"/>
      <c r="AP99" s="1"/>
      <c r="AQ99" s="1"/>
    </row>
    <row r="100" spans="2:43">
      <c r="B100"/>
      <c r="C100"/>
      <c r="D100"/>
      <c r="E100"/>
      <c r="F100"/>
      <c r="G100"/>
      <c r="H100"/>
      <c r="I100"/>
      <c r="J100"/>
      <c r="K100"/>
      <c r="L100"/>
      <c r="M100"/>
      <c r="N100"/>
      <c r="O100"/>
      <c r="P100"/>
      <c r="Q100"/>
      <c r="R100" s="60"/>
      <c r="S100" s="60"/>
      <c r="T100" s="60"/>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2:43">
      <c r="B101"/>
      <c r="C101"/>
      <c r="D101"/>
      <c r="E101"/>
      <c r="F101"/>
      <c r="G101"/>
      <c r="H101"/>
      <c r="I101"/>
      <c r="J101"/>
      <c r="K101"/>
      <c r="L101"/>
      <c r="M101"/>
      <c r="N101"/>
      <c r="O101"/>
      <c r="P101"/>
      <c r="Q101"/>
      <c r="R101" s="60"/>
      <c r="S101" s="60"/>
      <c r="T101" s="60"/>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2:43">
      <c r="B102"/>
      <c r="C102"/>
      <c r="D102"/>
      <c r="E102"/>
      <c r="F102"/>
      <c r="G102"/>
      <c r="H102"/>
      <c r="I102"/>
      <c r="J102"/>
      <c r="K102"/>
      <c r="L102"/>
      <c r="M102"/>
      <c r="N102"/>
      <c r="O102"/>
      <c r="P102"/>
      <c r="Q102"/>
      <c r="R102" s="60"/>
      <c r="S102" s="60"/>
      <c r="T102" s="60"/>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2:43">
      <c r="B103"/>
      <c r="C103"/>
      <c r="D103"/>
      <c r="E103"/>
      <c r="F103"/>
      <c r="G103"/>
      <c r="H103"/>
      <c r="I103"/>
      <c r="J103"/>
      <c r="K103"/>
      <c r="L103"/>
      <c r="M103"/>
      <c r="N103"/>
      <c r="O103"/>
      <c r="P103"/>
      <c r="Q103"/>
      <c r="R103" s="60"/>
      <c r="S103" s="60"/>
      <c r="T103" s="60"/>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2:43">
      <c r="B104"/>
      <c r="C104"/>
      <c r="D104"/>
      <c r="E104"/>
      <c r="F104"/>
      <c r="G104"/>
      <c r="H104"/>
      <c r="I104"/>
      <c r="J104"/>
      <c r="K104"/>
      <c r="L104"/>
      <c r="M104"/>
      <c r="N104"/>
      <c r="O104"/>
      <c r="P104"/>
      <c r="Q104"/>
      <c r="R104" s="60"/>
      <c r="S104" s="60"/>
      <c r="T104" s="60"/>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2:43">
      <c r="B105"/>
      <c r="C105"/>
      <c r="D105"/>
      <c r="E105"/>
      <c r="F105"/>
      <c r="G105"/>
      <c r="H105"/>
      <c r="I105"/>
      <c r="J105"/>
      <c r="K105"/>
      <c r="L105"/>
      <c r="M105"/>
      <c r="N105"/>
      <c r="O105"/>
      <c r="P105"/>
      <c r="Q105"/>
      <c r="R105" s="60"/>
      <c r="S105" s="60"/>
      <c r="T105" s="60"/>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2:43">
      <c r="B106"/>
      <c r="C106"/>
      <c r="D106"/>
      <c r="E106"/>
      <c r="F106"/>
      <c r="G106"/>
      <c r="H106"/>
      <c r="I106"/>
      <c r="J106"/>
      <c r="K106"/>
      <c r="L106"/>
      <c r="M106"/>
      <c r="N106"/>
      <c r="O106"/>
      <c r="P106"/>
      <c r="Q106"/>
      <c r="R106" s="60"/>
      <c r="S106" s="60"/>
      <c r="T106" s="60"/>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2:43">
      <c r="B107"/>
      <c r="C107"/>
      <c r="D107"/>
      <c r="E107"/>
      <c r="F107"/>
      <c r="G107"/>
      <c r="H107"/>
      <c r="I107"/>
      <c r="J107"/>
      <c r="K107"/>
      <c r="L107"/>
      <c r="M107"/>
      <c r="N107"/>
      <c r="O107"/>
      <c r="P107"/>
      <c r="Q107"/>
      <c r="R107" s="60"/>
      <c r="S107" s="60"/>
      <c r="T107" s="60"/>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2:43">
      <c r="B108"/>
      <c r="C108"/>
      <c r="D108"/>
      <c r="E108"/>
      <c r="F108"/>
      <c r="G108"/>
      <c r="H108"/>
      <c r="I108"/>
      <c r="J108"/>
      <c r="K108"/>
      <c r="L108"/>
      <c r="M108"/>
      <c r="N108"/>
      <c r="O108"/>
      <c r="P108"/>
      <c r="Q108"/>
      <c r="R108" s="60"/>
      <c r="S108" s="60"/>
      <c r="T108" s="60"/>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2:43">
      <c r="B109"/>
      <c r="C109"/>
      <c r="D109"/>
      <c r="E109"/>
      <c r="F109"/>
      <c r="G109"/>
      <c r="H109"/>
      <c r="I109"/>
      <c r="J109"/>
      <c r="K109"/>
      <c r="L109"/>
      <c r="M109"/>
      <c r="N109"/>
      <c r="O109"/>
      <c r="P109"/>
      <c r="Q109"/>
      <c r="R109" s="60"/>
      <c r="S109" s="60"/>
      <c r="T109" s="60"/>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2:43">
      <c r="B110"/>
      <c r="C110"/>
      <c r="D110"/>
      <c r="E110"/>
      <c r="F110"/>
      <c r="G110"/>
      <c r="H110"/>
      <c r="I110"/>
      <c r="J110"/>
      <c r="K110"/>
      <c r="L110"/>
      <c r="M110"/>
      <c r="N110"/>
      <c r="O110"/>
      <c r="P110"/>
      <c r="Q110"/>
      <c r="R110" s="60"/>
      <c r="S110" s="60"/>
      <c r="T110" s="60"/>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2:43">
      <c r="B111"/>
      <c r="C111"/>
      <c r="D111"/>
      <c r="E111"/>
      <c r="F111"/>
      <c r="G111"/>
      <c r="H111"/>
      <c r="I111"/>
      <c r="J111"/>
      <c r="K111"/>
      <c r="L111"/>
      <c r="M111"/>
      <c r="N111"/>
      <c r="O111"/>
      <c r="P111"/>
      <c r="Q111"/>
      <c r="R111" s="60"/>
      <c r="S111" s="60"/>
      <c r="T111" s="60"/>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2:43">
      <c r="B112"/>
      <c r="C112"/>
      <c r="D112"/>
      <c r="E112"/>
      <c r="F112"/>
      <c r="G112"/>
      <c r="H112"/>
      <c r="I112"/>
      <c r="J112"/>
      <c r="K112"/>
      <c r="L112"/>
      <c r="M112"/>
      <c r="N112"/>
      <c r="O112"/>
      <c r="P112"/>
      <c r="Q112"/>
      <c r="R112" s="60"/>
      <c r="S112" s="60"/>
      <c r="T112" s="60"/>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2:43">
      <c r="B113"/>
      <c r="C113"/>
      <c r="D113"/>
      <c r="E113"/>
      <c r="F113"/>
      <c r="G113"/>
      <c r="H113"/>
      <c r="I113"/>
      <c r="J113"/>
      <c r="K113"/>
      <c r="L113"/>
      <c r="M113"/>
      <c r="N113"/>
      <c r="O113"/>
      <c r="P113"/>
      <c r="Q113"/>
      <c r="R113" s="60"/>
      <c r="S113" s="60"/>
      <c r="T113" s="60"/>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2:43">
      <c r="B114"/>
      <c r="C114"/>
      <c r="D114"/>
      <c r="E114"/>
      <c r="F114"/>
      <c r="G114"/>
      <c r="H114"/>
      <c r="I114"/>
      <c r="J114"/>
      <c r="K114"/>
      <c r="L114"/>
      <c r="M114"/>
      <c r="N114"/>
      <c r="O114"/>
      <c r="P114"/>
      <c r="Q114"/>
      <c r="R114" s="60"/>
      <c r="S114" s="60"/>
      <c r="T114" s="60"/>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2:43">
      <c r="B115"/>
      <c r="C115"/>
      <c r="D115"/>
      <c r="E115"/>
      <c r="F115"/>
      <c r="G115"/>
      <c r="H115"/>
      <c r="I115"/>
      <c r="J115"/>
      <c r="K115"/>
      <c r="L115"/>
      <c r="M115"/>
      <c r="N115"/>
      <c r="O115"/>
      <c r="P115"/>
      <c r="Q115"/>
      <c r="R115" s="60"/>
      <c r="S115" s="60"/>
      <c r="T115" s="60"/>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2:43">
      <c r="B116"/>
      <c r="C116"/>
      <c r="D116"/>
      <c r="E116"/>
      <c r="F116"/>
      <c r="G116"/>
      <c r="H116"/>
      <c r="I116"/>
      <c r="J116"/>
      <c r="K116"/>
      <c r="L116"/>
      <c r="M116"/>
      <c r="N116"/>
      <c r="O116"/>
      <c r="P116"/>
      <c r="Q116"/>
      <c r="R116" s="60"/>
      <c r="S116" s="60"/>
      <c r="T116" s="60"/>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2:43">
      <c r="B117"/>
      <c r="C117"/>
      <c r="D117"/>
      <c r="E117"/>
      <c r="F117"/>
      <c r="G117"/>
      <c r="H117"/>
      <c r="I117"/>
      <c r="J117"/>
      <c r="K117"/>
      <c r="L117"/>
      <c r="M117"/>
      <c r="N117"/>
      <c r="O117"/>
      <c r="P117"/>
      <c r="Q117"/>
      <c r="R117" s="60"/>
      <c r="S117" s="60"/>
      <c r="T117" s="60"/>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2:43">
      <c r="B118"/>
      <c r="C118"/>
      <c r="D118"/>
      <c r="E118"/>
      <c r="F118"/>
      <c r="G118"/>
      <c r="H118"/>
      <c r="I118"/>
      <c r="J118"/>
      <c r="K118"/>
      <c r="L118"/>
      <c r="M118"/>
      <c r="N118"/>
      <c r="O118"/>
      <c r="P118"/>
      <c r="Q118"/>
      <c r="R118" s="60"/>
      <c r="S118" s="60"/>
      <c r="T118" s="60"/>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2:43">
      <c r="B119"/>
      <c r="C119"/>
      <c r="D119"/>
      <c r="E119"/>
      <c r="F119"/>
      <c r="G119"/>
      <c r="H119"/>
      <c r="I119"/>
      <c r="J119"/>
      <c r="K119"/>
      <c r="L119"/>
      <c r="M119"/>
      <c r="N119"/>
      <c r="O119"/>
      <c r="P119"/>
      <c r="Q119"/>
      <c r="R119" s="60"/>
      <c r="S119" s="60"/>
      <c r="T119" s="60"/>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2:43">
      <c r="B120"/>
      <c r="C120"/>
      <c r="D120"/>
      <c r="E120"/>
      <c r="F120"/>
      <c r="G120"/>
      <c r="H120"/>
      <c r="I120"/>
      <c r="J120"/>
      <c r="K120"/>
      <c r="L120"/>
      <c r="M120"/>
      <c r="N120"/>
      <c r="O120"/>
      <c r="P120"/>
      <c r="Q120"/>
      <c r="R120" s="60"/>
      <c r="S120" s="60"/>
      <c r="T120" s="60"/>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2:43">
      <c r="B121"/>
      <c r="C121"/>
      <c r="D121"/>
      <c r="E121"/>
      <c r="F121"/>
      <c r="G121"/>
      <c r="H121"/>
      <c r="I121"/>
      <c r="J121"/>
      <c r="K121"/>
      <c r="L121"/>
      <c r="M121"/>
      <c r="N121"/>
      <c r="O121"/>
      <c r="P121"/>
      <c r="Q121"/>
      <c r="R121" s="60"/>
      <c r="S121" s="60"/>
      <c r="T121" s="60"/>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2:43">
      <c r="B122"/>
      <c r="C122"/>
      <c r="D122"/>
      <c r="E122"/>
      <c r="F122"/>
      <c r="G122"/>
      <c r="H122"/>
      <c r="I122"/>
      <c r="J122"/>
      <c r="K122"/>
      <c r="L122"/>
      <c r="M122"/>
      <c r="N122"/>
      <c r="O122"/>
      <c r="P122"/>
      <c r="Q122"/>
      <c r="R122" s="60"/>
      <c r="S122" s="60"/>
      <c r="T122" s="60"/>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2:43">
      <c r="B123"/>
      <c r="C123"/>
      <c r="D123"/>
      <c r="E123"/>
      <c r="F123"/>
      <c r="G123"/>
      <c r="H123"/>
      <c r="I123"/>
      <c r="J123"/>
      <c r="K123"/>
      <c r="L123"/>
      <c r="M123"/>
      <c r="N123"/>
      <c r="O123"/>
      <c r="P123"/>
      <c r="Q123"/>
      <c r="R123" s="60"/>
      <c r="S123" s="60"/>
      <c r="T123" s="60"/>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2:43">
      <c r="B124"/>
      <c r="C124"/>
      <c r="D124"/>
      <c r="E124"/>
      <c r="F124"/>
      <c r="G124"/>
      <c r="H124"/>
      <c r="I124"/>
      <c r="J124"/>
      <c r="K124"/>
      <c r="L124"/>
      <c r="M124"/>
      <c r="N124"/>
      <c r="O124"/>
      <c r="P124"/>
      <c r="Q124"/>
      <c r="R124" s="60"/>
      <c r="S124" s="60"/>
      <c r="T124" s="60"/>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2:43">
      <c r="B125"/>
      <c r="C125"/>
      <c r="D125"/>
      <c r="E125"/>
      <c r="F125"/>
      <c r="G125"/>
      <c r="H125"/>
      <c r="I125"/>
      <c r="J125"/>
      <c r="K125"/>
      <c r="L125"/>
      <c r="M125"/>
      <c r="N125"/>
      <c r="O125"/>
      <c r="P125"/>
      <c r="Q125"/>
      <c r="R125" s="60"/>
      <c r="S125" s="60"/>
      <c r="T125" s="60"/>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2:43">
      <c r="B126"/>
      <c r="C126"/>
      <c r="D126"/>
      <c r="E126"/>
      <c r="F126"/>
      <c r="G126"/>
      <c r="H126"/>
      <c r="I126"/>
      <c r="J126"/>
      <c r="K126"/>
      <c r="L126"/>
      <c r="M126"/>
      <c r="N126"/>
      <c r="O126"/>
      <c r="P126"/>
      <c r="Q126"/>
      <c r="R126" s="60"/>
      <c r="S126" s="60"/>
      <c r="T126" s="60"/>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2:43">
      <c r="B127"/>
      <c r="C127"/>
      <c r="D127"/>
      <c r="E127"/>
      <c r="F127"/>
      <c r="G127"/>
      <c r="H127"/>
      <c r="I127"/>
      <c r="J127"/>
      <c r="K127"/>
      <c r="L127"/>
      <c r="M127"/>
      <c r="N127"/>
      <c r="O127"/>
      <c r="P127"/>
      <c r="Q127"/>
      <c r="R127" s="60"/>
      <c r="S127" s="60"/>
      <c r="T127" s="60"/>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2:43">
      <c r="B128"/>
      <c r="C128"/>
      <c r="D128"/>
      <c r="E128"/>
      <c r="F128"/>
      <c r="G128"/>
      <c r="H128"/>
      <c r="I128"/>
      <c r="J128"/>
      <c r="K128"/>
      <c r="L128"/>
      <c r="M128"/>
      <c r="N128"/>
      <c r="O128"/>
      <c r="P128"/>
      <c r="Q128"/>
      <c r="R128" s="60"/>
      <c r="S128" s="60"/>
      <c r="T128" s="60"/>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c r="B129"/>
      <c r="C129"/>
      <c r="D129"/>
      <c r="E129"/>
      <c r="F129"/>
      <c r="G129"/>
      <c r="H129"/>
      <c r="I129"/>
      <c r="J129"/>
      <c r="K129"/>
      <c r="L129"/>
      <c r="M129"/>
      <c r="N129"/>
      <c r="O129"/>
      <c r="P129"/>
      <c r="Q129"/>
      <c r="R129" s="60"/>
      <c r="S129" s="60"/>
      <c r="T129" s="60"/>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c r="B130"/>
      <c r="C130"/>
      <c r="D130"/>
      <c r="E130"/>
      <c r="F130"/>
      <c r="G130"/>
      <c r="H130"/>
      <c r="I130"/>
      <c r="J130"/>
      <c r="K130"/>
      <c r="L130"/>
      <c r="M130"/>
      <c r="N130"/>
      <c r="O130"/>
      <c r="P130"/>
      <c r="Q130"/>
      <c r="R130" s="60"/>
      <c r="S130" s="60"/>
      <c r="T130" s="60"/>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c r="B131"/>
      <c r="C131"/>
      <c r="D131"/>
      <c r="E131"/>
      <c r="F131"/>
      <c r="G131"/>
      <c r="H131"/>
      <c r="I131"/>
      <c r="J131"/>
      <c r="K131"/>
      <c r="L131"/>
      <c r="M131"/>
      <c r="N131"/>
      <c r="O131"/>
      <c r="P131"/>
      <c r="Q131"/>
      <c r="R131" s="60"/>
      <c r="S131" s="60"/>
      <c r="T131" s="60"/>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c r="B132"/>
      <c r="C132"/>
      <c r="D132"/>
      <c r="E132"/>
      <c r="F132"/>
      <c r="G132"/>
      <c r="H132"/>
      <c r="I132"/>
      <c r="J132"/>
      <c r="K132"/>
      <c r="L132"/>
      <c r="M132"/>
      <c r="N132"/>
      <c r="O132"/>
      <c r="P132"/>
      <c r="Q132"/>
      <c r="R132" s="60"/>
      <c r="S132" s="60"/>
      <c r="T132" s="60"/>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c r="B133"/>
      <c r="C133"/>
      <c r="D133"/>
      <c r="E133"/>
      <c r="F133"/>
      <c r="G133"/>
      <c r="H133"/>
      <c r="I133"/>
      <c r="J133"/>
      <c r="K133"/>
      <c r="L133"/>
      <c r="M133"/>
      <c r="N133"/>
      <c r="O133"/>
      <c r="P133"/>
      <c r="Q133"/>
      <c r="R133" s="60"/>
      <c r="S133" s="60"/>
      <c r="T133" s="60"/>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c r="B134"/>
      <c r="C134"/>
      <c r="D134"/>
      <c r="E134"/>
      <c r="F134"/>
      <c r="G134"/>
      <c r="H134"/>
      <c r="I134"/>
      <c r="J134"/>
      <c r="K134"/>
      <c r="L134"/>
      <c r="M134"/>
      <c r="N134"/>
      <c r="O134"/>
      <c r="P134"/>
      <c r="Q134"/>
      <c r="R134" s="60"/>
      <c r="S134" s="60"/>
      <c r="T134" s="60"/>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c r="B135"/>
      <c r="C135"/>
      <c r="D135"/>
      <c r="E135"/>
      <c r="F135"/>
      <c r="G135"/>
      <c r="H135"/>
      <c r="I135"/>
      <c r="J135"/>
      <c r="K135"/>
      <c r="L135"/>
      <c r="M135"/>
      <c r="N135"/>
      <c r="O135"/>
      <c r="P135"/>
      <c r="Q135"/>
      <c r="R135" s="60"/>
      <c r="S135" s="60"/>
      <c r="T135" s="60"/>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c r="B136"/>
      <c r="C136"/>
      <c r="D136"/>
      <c r="E136"/>
      <c r="F136"/>
      <c r="G136"/>
      <c r="H136"/>
      <c r="I136"/>
      <c r="J136"/>
      <c r="K136"/>
      <c r="L136"/>
      <c r="M136"/>
      <c r="N136"/>
      <c r="O136"/>
      <c r="P136"/>
      <c r="Q136"/>
      <c r="R136" s="60"/>
      <c r="S136" s="60"/>
      <c r="T136" s="60"/>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c r="B137"/>
      <c r="C137"/>
      <c r="D137"/>
      <c r="E137"/>
      <c r="F137"/>
      <c r="G137"/>
      <c r="H137"/>
      <c r="I137"/>
      <c r="J137"/>
      <c r="K137"/>
      <c r="L137"/>
      <c r="M137"/>
      <c r="N137"/>
      <c r="O137"/>
      <c r="P137"/>
      <c r="Q137"/>
      <c r="R137" s="60"/>
      <c r="S137" s="60"/>
      <c r="T137" s="60"/>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c r="B138"/>
      <c r="C138"/>
      <c r="D138"/>
      <c r="E138"/>
      <c r="F138"/>
      <c r="G138"/>
      <c r="H138"/>
      <c r="I138"/>
      <c r="J138"/>
      <c r="K138"/>
      <c r="L138"/>
      <c r="M138"/>
      <c r="N138"/>
      <c r="O138"/>
      <c r="P138"/>
      <c r="Q138"/>
      <c r="R138" s="60"/>
      <c r="S138" s="60"/>
      <c r="T138" s="60"/>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c r="B139"/>
      <c r="C139"/>
      <c r="D139"/>
      <c r="E139"/>
      <c r="F139"/>
      <c r="G139"/>
      <c r="H139"/>
      <c r="I139"/>
      <c r="J139"/>
      <c r="K139"/>
      <c r="L139"/>
      <c r="M139"/>
      <c r="N139"/>
      <c r="O139"/>
      <c r="P139"/>
      <c r="Q139"/>
      <c r="R139" s="60"/>
      <c r="S139" s="60"/>
      <c r="T139" s="60"/>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c r="A140" s="1"/>
      <c r="B140" s="60"/>
      <c r="C140" s="61"/>
      <c r="D140" s="60"/>
      <c r="E140" s="61"/>
      <c r="F140" s="60"/>
      <c r="G140" s="61"/>
      <c r="H140" s="60"/>
      <c r="I140" s="61"/>
      <c r="J140" s="60"/>
      <c r="K140" s="60"/>
      <c r="L140" s="60"/>
      <c r="M140" s="61"/>
      <c r="N140" s="60"/>
      <c r="O140" s="61"/>
      <c r="P140" s="60"/>
      <c r="Q140" s="61"/>
      <c r="R140" s="60"/>
      <c r="S140" s="60"/>
      <c r="T140" s="60"/>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c r="A141" s="1" t="s">
        <v>374</v>
      </c>
      <c r="B141" s="65">
        <v>0</v>
      </c>
      <c r="C141" s="67"/>
      <c r="D141" s="65"/>
      <c r="E141" s="67"/>
      <c r="F141" s="65"/>
      <c r="G141" s="67"/>
      <c r="H141" s="65"/>
      <c r="I141" s="67"/>
      <c r="J141" s="65"/>
      <c r="K141" s="65"/>
      <c r="L141" s="65"/>
      <c r="M141" s="67"/>
      <c r="N141" s="65"/>
      <c r="O141" s="67"/>
      <c r="P141" s="60"/>
      <c r="Q141" s="67"/>
      <c r="R141" s="60"/>
      <c r="S141" s="60"/>
      <c r="T141" s="60"/>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c r="A142" s="1"/>
      <c r="B142" s="60"/>
      <c r="C142" s="61"/>
      <c r="D142" s="60"/>
      <c r="E142" s="61"/>
      <c r="F142" s="60"/>
      <c r="G142" s="61"/>
      <c r="H142" s="60"/>
      <c r="I142" s="61"/>
      <c r="J142" s="60"/>
      <c r="K142" s="60"/>
      <c r="L142" s="60"/>
      <c r="M142" s="61"/>
      <c r="N142" s="60"/>
      <c r="O142" s="61"/>
      <c r="P142" s="60"/>
      <c r="Q142" s="61"/>
      <c r="R142" s="60"/>
      <c r="S142" s="60"/>
      <c r="T142" s="60"/>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c r="A143" s="1" t="s">
        <v>375</v>
      </c>
      <c r="B143" s="65">
        <v>0</v>
      </c>
      <c r="C143" s="67"/>
      <c r="D143" s="65"/>
      <c r="E143" s="67"/>
      <c r="F143" s="65"/>
      <c r="G143" s="67"/>
      <c r="H143" s="65"/>
      <c r="I143" s="67"/>
      <c r="J143" s="65"/>
      <c r="K143" s="65"/>
      <c r="L143" s="65"/>
      <c r="M143" s="67"/>
      <c r="N143" s="65"/>
      <c r="O143" s="67"/>
      <c r="P143" s="60"/>
      <c r="Q143" s="67"/>
      <c r="R143" s="60"/>
      <c r="S143" s="60"/>
      <c r="T143" s="60"/>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c r="A144" s="1"/>
      <c r="B144" s="60"/>
      <c r="C144" s="61"/>
      <c r="D144" s="60"/>
      <c r="E144" s="61"/>
      <c r="F144" s="60"/>
      <c r="G144" s="61"/>
      <c r="H144" s="60"/>
      <c r="I144" s="61"/>
      <c r="J144" s="60"/>
      <c r="K144" s="60"/>
      <c r="L144" s="60"/>
      <c r="M144" s="61"/>
      <c r="N144" s="60"/>
      <c r="O144" s="61"/>
      <c r="P144" s="60"/>
      <c r="Q144" s="61"/>
      <c r="R144" s="60"/>
      <c r="S144" s="60"/>
      <c r="T144" s="60"/>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c r="A145" s="1" t="s">
        <v>376</v>
      </c>
      <c r="B145" s="65">
        <f>+B148+B149+B150</f>
        <v>0</v>
      </c>
      <c r="C145" s="67"/>
      <c r="D145" s="65"/>
      <c r="E145" s="67"/>
      <c r="F145" s="65"/>
      <c r="G145" s="67"/>
      <c r="H145" s="65"/>
      <c r="I145" s="67"/>
      <c r="J145" s="65"/>
      <c r="K145" s="65"/>
      <c r="L145" s="65"/>
      <c r="M145" s="67"/>
      <c r="N145" s="65"/>
      <c r="O145" s="67"/>
      <c r="P145" s="60"/>
      <c r="Q145" s="67"/>
      <c r="R145" s="60"/>
      <c r="S145" s="60"/>
      <c r="T145" s="60"/>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c r="A146" s="1" t="s">
        <v>377</v>
      </c>
      <c r="B146" s="60">
        <v>0</v>
      </c>
      <c r="C146" s="61"/>
      <c r="D146" s="60"/>
      <c r="E146" s="61"/>
      <c r="F146" s="60"/>
      <c r="G146" s="61"/>
      <c r="H146" s="60"/>
      <c r="I146" s="61"/>
      <c r="J146" s="60"/>
      <c r="K146" s="60"/>
      <c r="L146" s="60"/>
      <c r="M146" s="61"/>
      <c r="N146" s="60"/>
      <c r="O146" s="61"/>
      <c r="P146" s="60"/>
      <c r="Q146" s="61"/>
      <c r="R146" s="60"/>
      <c r="S146" s="60"/>
      <c r="T146" s="60"/>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c r="A147" s="1" t="s">
        <v>378</v>
      </c>
      <c r="B147" s="60">
        <v>0</v>
      </c>
      <c r="C147" s="61"/>
      <c r="D147" s="60"/>
      <c r="E147" s="61"/>
      <c r="F147" s="60"/>
      <c r="G147" s="61"/>
      <c r="H147" s="60"/>
      <c r="I147" s="61"/>
      <c r="J147" s="60"/>
      <c r="K147" s="60"/>
      <c r="L147" s="60"/>
      <c r="M147" s="61"/>
      <c r="N147" s="60"/>
      <c r="O147" s="61"/>
      <c r="P147" s="60"/>
      <c r="Q147" s="61"/>
      <c r="R147" s="60"/>
      <c r="S147" s="60"/>
      <c r="T147" s="60"/>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c r="A148" s="1" t="s">
        <v>289</v>
      </c>
      <c r="B148" s="65">
        <f>+B146+B147</f>
        <v>0</v>
      </c>
      <c r="C148" s="61"/>
      <c r="D148" s="60"/>
      <c r="E148" s="61"/>
      <c r="F148" s="60"/>
      <c r="G148" s="61"/>
      <c r="H148" s="60"/>
      <c r="I148" s="61"/>
      <c r="J148" s="60"/>
      <c r="K148" s="60"/>
      <c r="L148" s="60"/>
      <c r="M148" s="61"/>
      <c r="N148" s="60"/>
      <c r="O148" s="61"/>
      <c r="P148" s="60"/>
      <c r="Q148" s="61"/>
      <c r="R148" s="60"/>
      <c r="S148" s="60"/>
      <c r="T148" s="60"/>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c r="A149" s="1" t="s">
        <v>379</v>
      </c>
      <c r="B149" s="60">
        <v>0</v>
      </c>
      <c r="C149" s="61"/>
      <c r="D149" s="60"/>
      <c r="E149" s="61"/>
      <c r="F149" s="60"/>
      <c r="G149" s="61"/>
      <c r="H149" s="60"/>
      <c r="I149" s="61"/>
      <c r="J149" s="60"/>
      <c r="K149" s="60"/>
      <c r="L149" s="60"/>
      <c r="M149" s="61"/>
      <c r="N149" s="60"/>
      <c r="O149" s="61"/>
      <c r="P149" s="60"/>
      <c r="Q149" s="61"/>
      <c r="R149" s="60"/>
      <c r="S149" s="60"/>
      <c r="T149" s="60"/>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c r="A150" s="1" t="s">
        <v>380</v>
      </c>
      <c r="B150" s="60">
        <v>0</v>
      </c>
      <c r="C150" s="61"/>
      <c r="D150" s="60"/>
      <c r="E150" s="61"/>
      <c r="F150" s="60"/>
      <c r="G150" s="61"/>
      <c r="H150" s="60"/>
      <c r="I150" s="61"/>
      <c r="J150" s="60"/>
      <c r="K150" s="60"/>
      <c r="L150" s="60"/>
      <c r="M150" s="61"/>
      <c r="N150" s="60"/>
      <c r="O150" s="61"/>
      <c r="P150" s="60"/>
      <c r="Q150" s="61"/>
      <c r="R150" s="60"/>
      <c r="S150" s="60"/>
      <c r="T150" s="60"/>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c r="A151" s="1"/>
      <c r="B151" s="60"/>
      <c r="C151" s="61"/>
      <c r="D151" s="60"/>
      <c r="E151" s="61"/>
      <c r="F151" s="60"/>
      <c r="G151" s="61"/>
      <c r="H151" s="60"/>
      <c r="I151" s="61"/>
      <c r="J151" s="60"/>
      <c r="K151" s="60"/>
      <c r="L151" s="60"/>
      <c r="M151" s="61"/>
      <c r="N151" s="60"/>
      <c r="O151" s="61"/>
      <c r="P151" s="60"/>
      <c r="Q151" s="61"/>
      <c r="R151" s="60"/>
      <c r="S151" s="60"/>
      <c r="T151" s="60"/>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c r="A152" s="1" t="s">
        <v>381</v>
      </c>
      <c r="B152" s="65">
        <f>SUM(B153:B154)</f>
        <v>0</v>
      </c>
      <c r="C152" s="67"/>
      <c r="D152" s="65"/>
      <c r="E152" s="67"/>
      <c r="F152" s="65"/>
      <c r="G152" s="67"/>
      <c r="H152" s="65"/>
      <c r="I152" s="67"/>
      <c r="J152" s="65"/>
      <c r="K152" s="65"/>
      <c r="L152" s="65"/>
      <c r="M152" s="67"/>
      <c r="N152" s="65"/>
      <c r="O152" s="67"/>
      <c r="P152" s="60"/>
      <c r="Q152" s="67"/>
      <c r="R152" s="60"/>
      <c r="S152" s="60"/>
      <c r="T152" s="60"/>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c r="A153" s="1" t="s">
        <v>382</v>
      </c>
      <c r="B153" s="60">
        <v>0</v>
      </c>
      <c r="C153" s="61"/>
      <c r="D153" s="60"/>
      <c r="E153" s="61"/>
      <c r="F153" s="60"/>
      <c r="G153" s="61"/>
      <c r="H153" s="60"/>
      <c r="I153" s="61"/>
      <c r="J153" s="60"/>
      <c r="K153" s="60"/>
      <c r="L153" s="60"/>
      <c r="M153" s="61"/>
      <c r="N153" s="60"/>
      <c r="O153" s="61"/>
      <c r="P153" s="60"/>
      <c r="Q153" s="61"/>
      <c r="R153" s="60"/>
      <c r="S153" s="60"/>
      <c r="T153" s="60"/>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c r="A154" s="1" t="s">
        <v>383</v>
      </c>
      <c r="B154" s="60">
        <v>0</v>
      </c>
      <c r="C154" s="61"/>
      <c r="D154" s="60"/>
      <c r="E154" s="61"/>
      <c r="F154" s="60"/>
      <c r="G154" s="61"/>
      <c r="H154" s="60"/>
      <c r="I154" s="61"/>
      <c r="J154" s="60"/>
      <c r="K154" s="60"/>
      <c r="L154" s="60"/>
      <c r="M154" s="61"/>
      <c r="N154" s="60"/>
      <c r="O154" s="61"/>
      <c r="P154" s="60"/>
      <c r="Q154" s="61"/>
      <c r="R154" s="60"/>
      <c r="S154" s="60"/>
      <c r="T154" s="60"/>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c r="A155" s="1"/>
      <c r="B155" s="60"/>
      <c r="C155" s="61"/>
      <c r="D155" s="60"/>
      <c r="E155" s="61"/>
      <c r="F155" s="60"/>
      <c r="G155" s="61"/>
      <c r="H155" s="60"/>
      <c r="I155" s="61"/>
      <c r="J155" s="60"/>
      <c r="K155" s="60"/>
      <c r="L155" s="60"/>
      <c r="M155" s="61"/>
      <c r="N155" s="60"/>
      <c r="O155" s="61"/>
      <c r="P155" s="60"/>
      <c r="Q155" s="61"/>
      <c r="R155" s="60"/>
      <c r="S155" s="60"/>
      <c r="T155" s="60"/>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c r="A156" s="1" t="s">
        <v>384</v>
      </c>
      <c r="B156" s="65">
        <f t="shared" ref="B156:I156" si="15">+B107+B111+B113+B115+B130+B139+B141+B143+B145+B152</f>
        <v>0</v>
      </c>
      <c r="C156" s="67">
        <f t="shared" si="15"/>
        <v>0</v>
      </c>
      <c r="D156" s="65">
        <f t="shared" si="15"/>
        <v>0</v>
      </c>
      <c r="E156" s="67">
        <f t="shared" si="15"/>
        <v>0</v>
      </c>
      <c r="F156" s="65">
        <f t="shared" si="15"/>
        <v>0</v>
      </c>
      <c r="G156" s="67">
        <f t="shared" si="15"/>
        <v>0</v>
      </c>
      <c r="H156" s="65">
        <f t="shared" si="15"/>
        <v>0</v>
      </c>
      <c r="I156" s="67">
        <f t="shared" si="15"/>
        <v>0</v>
      </c>
      <c r="J156" s="65"/>
      <c r="K156" s="65"/>
      <c r="L156" s="65"/>
      <c r="M156" s="67">
        <f>+M107+M111+M113+M115+M130+M139+M141+M143+M145+M152</f>
        <v>0</v>
      </c>
      <c r="N156" s="65">
        <f>+N107+N111+N113+N115+N130+N139+N141+N143+N145+N152</f>
        <v>0</v>
      </c>
      <c r="O156" s="67">
        <f>+O107+O111+O113+O115+O130+O139+O141+O143+O145+O152</f>
        <v>0</v>
      </c>
      <c r="P156" s="60"/>
      <c r="Q156" s="67">
        <f>+Q107+Q111+Q113+Q115+Q130+Q139+Q141+Q143+Q145+Q152</f>
        <v>0</v>
      </c>
      <c r="R156" s="60"/>
      <c r="S156" s="60"/>
      <c r="T156" s="60"/>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c r="A157" s="1"/>
      <c r="B157" s="60"/>
      <c r="C157" s="61"/>
      <c r="D157" s="60"/>
      <c r="E157" s="61"/>
      <c r="F157" s="60"/>
      <c r="G157" s="61"/>
      <c r="H157" s="60"/>
      <c r="I157" s="61"/>
      <c r="J157" s="60"/>
      <c r="K157" s="60"/>
      <c r="L157" s="60"/>
      <c r="M157" s="61"/>
      <c r="N157" s="60"/>
      <c r="O157" s="61"/>
      <c r="P157" s="60"/>
      <c r="Q157" s="61"/>
      <c r="R157" s="60"/>
      <c r="S157" s="60"/>
      <c r="T157" s="60"/>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c r="A158" s="1"/>
      <c r="B158" s="60"/>
      <c r="C158" s="61"/>
      <c r="D158" s="60"/>
      <c r="E158" s="61"/>
      <c r="F158" s="60"/>
      <c r="G158" s="61"/>
      <c r="H158" s="60"/>
      <c r="I158" s="61"/>
      <c r="J158" s="60"/>
      <c r="K158" s="60"/>
      <c r="L158" s="60"/>
      <c r="M158" s="61"/>
      <c r="N158" s="60"/>
      <c r="O158" s="61"/>
      <c r="P158" s="60"/>
      <c r="Q158" s="61"/>
      <c r="R158" s="60"/>
      <c r="S158" s="60"/>
      <c r="T158" s="60"/>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c r="A159" s="1"/>
      <c r="B159" s="60"/>
      <c r="C159" s="61"/>
      <c r="D159" s="60"/>
      <c r="E159" s="61"/>
      <c r="F159" s="60"/>
      <c r="G159" s="61"/>
      <c r="H159" s="60"/>
      <c r="I159" s="61"/>
      <c r="J159" s="60"/>
      <c r="K159" s="60"/>
      <c r="L159" s="60"/>
      <c r="M159" s="61"/>
      <c r="N159" s="60"/>
      <c r="O159" s="61"/>
      <c r="P159" s="60"/>
      <c r="Q159" s="61"/>
      <c r="R159" s="60"/>
      <c r="S159" s="60"/>
      <c r="T159" s="60"/>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c r="A160" s="1"/>
      <c r="B160" s="60"/>
      <c r="C160" s="61"/>
      <c r="D160" s="60"/>
      <c r="E160" s="61"/>
      <c r="F160" s="60"/>
      <c r="G160" s="61"/>
      <c r="H160" s="60"/>
      <c r="I160" s="61"/>
      <c r="J160" s="60"/>
      <c r="K160" s="60"/>
      <c r="L160" s="60"/>
      <c r="M160" s="61"/>
      <c r="N160" s="60"/>
      <c r="O160" s="61"/>
      <c r="P160" s="60"/>
      <c r="Q160" s="61"/>
      <c r="R160" s="60"/>
      <c r="S160" s="60"/>
      <c r="T160" s="60"/>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c r="A161" s="1"/>
      <c r="B161" s="60"/>
      <c r="C161" s="61"/>
      <c r="D161" s="60"/>
      <c r="E161" s="61"/>
      <c r="F161" s="60"/>
      <c r="G161" s="61"/>
      <c r="H161" s="60"/>
      <c r="I161" s="61"/>
      <c r="J161" s="60"/>
      <c r="K161" s="60"/>
      <c r="L161" s="60"/>
      <c r="M161" s="61"/>
      <c r="N161" s="60"/>
      <c r="O161" s="61"/>
      <c r="P161" s="60"/>
      <c r="Q161" s="61"/>
      <c r="R161" s="60"/>
      <c r="S161" s="60"/>
      <c r="T161" s="60"/>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c r="A162" s="1"/>
      <c r="B162" s="60"/>
      <c r="C162" s="61"/>
      <c r="D162" s="60"/>
      <c r="E162" s="61"/>
      <c r="F162" s="60"/>
      <c r="G162" s="61"/>
      <c r="H162" s="60"/>
      <c r="I162" s="61"/>
      <c r="J162" s="60"/>
      <c r="K162" s="60"/>
      <c r="L162" s="60"/>
      <c r="M162" s="61"/>
      <c r="N162" s="60"/>
      <c r="O162" s="61"/>
      <c r="P162" s="60"/>
      <c r="Q162" s="61"/>
      <c r="R162" s="60"/>
      <c r="S162" s="60"/>
      <c r="T162" s="60"/>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c r="A163" s="1"/>
      <c r="B163" s="60"/>
      <c r="C163" s="61"/>
      <c r="D163" s="60"/>
      <c r="E163" s="61"/>
      <c r="F163" s="60"/>
      <c r="G163" s="61"/>
      <c r="H163" s="60"/>
      <c r="I163" s="61"/>
      <c r="J163" s="60"/>
      <c r="K163" s="60"/>
      <c r="L163" s="60"/>
      <c r="M163" s="61"/>
      <c r="N163" s="60"/>
      <c r="O163" s="61"/>
      <c r="P163" s="60"/>
      <c r="Q163" s="61"/>
      <c r="R163" s="60"/>
      <c r="S163" s="60"/>
      <c r="T163" s="60"/>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c r="A164" s="1"/>
      <c r="B164" s="60"/>
      <c r="C164" s="61"/>
      <c r="D164" s="60"/>
      <c r="E164" s="61"/>
      <c r="F164" s="60"/>
      <c r="G164" s="61"/>
      <c r="H164" s="60"/>
      <c r="I164" s="61"/>
      <c r="J164" s="60"/>
      <c r="K164" s="60"/>
      <c r="L164" s="60"/>
      <c r="M164" s="61"/>
      <c r="N164" s="60"/>
      <c r="O164" s="61"/>
      <c r="P164" s="60"/>
      <c r="Q164" s="61"/>
      <c r="R164" s="60"/>
      <c r="S164" s="60"/>
      <c r="T164" s="60"/>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c r="A165" s="1"/>
      <c r="B165" s="60"/>
      <c r="C165" s="61"/>
      <c r="D165" s="60"/>
      <c r="E165" s="61"/>
      <c r="F165" s="60"/>
      <c r="G165" s="61"/>
      <c r="H165" s="60"/>
      <c r="I165" s="61"/>
      <c r="J165" s="60"/>
      <c r="K165" s="60"/>
      <c r="L165" s="60"/>
      <c r="M165" s="61"/>
      <c r="N165" s="60"/>
      <c r="O165" s="61"/>
      <c r="P165" s="60"/>
      <c r="Q165" s="61"/>
      <c r="R165" s="60"/>
      <c r="S165" s="60"/>
      <c r="T165" s="60"/>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c r="A166" s="1"/>
      <c r="B166" s="60"/>
      <c r="C166" s="61"/>
      <c r="D166" s="60"/>
      <c r="E166" s="61"/>
      <c r="F166" s="60"/>
      <c r="G166" s="61"/>
      <c r="H166" s="60"/>
      <c r="I166" s="61"/>
      <c r="J166" s="60"/>
      <c r="K166" s="60"/>
      <c r="L166" s="60"/>
      <c r="M166" s="61"/>
      <c r="N166" s="60"/>
      <c r="O166" s="61"/>
      <c r="P166" s="60"/>
      <c r="Q166" s="61"/>
      <c r="R166" s="60"/>
      <c r="S166" s="60"/>
      <c r="T166" s="60"/>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c r="A167" s="1"/>
      <c r="B167" s="60"/>
      <c r="C167" s="61"/>
      <c r="D167" s="60"/>
      <c r="E167" s="61"/>
      <c r="F167" s="60"/>
      <c r="G167" s="61"/>
      <c r="H167" s="60"/>
      <c r="I167" s="61"/>
      <c r="J167" s="60"/>
      <c r="K167" s="60"/>
      <c r="L167" s="60"/>
      <c r="M167" s="61"/>
      <c r="N167" s="60"/>
      <c r="O167" s="61"/>
      <c r="P167" s="60"/>
      <c r="Q167" s="61"/>
      <c r="R167" s="60"/>
      <c r="S167" s="60"/>
      <c r="T167" s="60"/>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c r="A168" s="1"/>
      <c r="B168" s="60"/>
      <c r="C168" s="61"/>
      <c r="D168" s="60"/>
      <c r="E168" s="61"/>
      <c r="F168" s="60"/>
      <c r="G168" s="61"/>
      <c r="H168" s="60"/>
      <c r="I168" s="61"/>
      <c r="J168" s="60"/>
      <c r="K168" s="60"/>
      <c r="L168" s="60"/>
      <c r="M168" s="61"/>
      <c r="N168" s="60"/>
      <c r="O168" s="61"/>
      <c r="P168" s="60"/>
      <c r="Q168" s="61"/>
      <c r="R168" s="60"/>
      <c r="S168" s="60"/>
      <c r="T168" s="60"/>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c r="A169" s="1"/>
      <c r="B169" s="60"/>
      <c r="C169" s="61"/>
      <c r="D169" s="60"/>
      <c r="E169" s="61"/>
      <c r="F169" s="60"/>
      <c r="G169" s="61"/>
      <c r="H169" s="60"/>
      <c r="I169" s="61"/>
      <c r="J169" s="60"/>
      <c r="K169" s="60"/>
      <c r="L169" s="60"/>
      <c r="M169" s="61"/>
      <c r="N169" s="60"/>
      <c r="O169" s="61"/>
      <c r="P169" s="60"/>
      <c r="Q169" s="61"/>
      <c r="R169" s="60"/>
      <c r="S169" s="60"/>
      <c r="T169" s="60"/>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c r="A170" s="1"/>
      <c r="B170" s="60"/>
      <c r="C170" s="61"/>
      <c r="D170" s="60"/>
      <c r="E170" s="61"/>
      <c r="F170" s="60"/>
      <c r="G170" s="61"/>
      <c r="H170" s="60"/>
      <c r="I170" s="61"/>
      <c r="J170" s="60"/>
      <c r="K170" s="60"/>
      <c r="L170" s="60"/>
      <c r="M170" s="61"/>
      <c r="N170" s="60"/>
      <c r="O170" s="61"/>
      <c r="P170" s="60"/>
      <c r="Q170" s="61"/>
      <c r="R170" s="60"/>
      <c r="S170" s="60"/>
      <c r="T170" s="60"/>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c r="A171" s="1"/>
      <c r="B171" s="60"/>
      <c r="C171" s="61"/>
      <c r="D171" s="60"/>
      <c r="E171" s="61"/>
      <c r="F171" s="60"/>
      <c r="G171" s="61"/>
      <c r="H171" s="60"/>
      <c r="I171" s="61"/>
      <c r="J171" s="60"/>
      <c r="K171" s="60"/>
      <c r="L171" s="60"/>
      <c r="M171" s="61"/>
      <c r="N171" s="60"/>
      <c r="O171" s="61"/>
      <c r="P171" s="60"/>
      <c r="Q171" s="61"/>
      <c r="R171" s="60"/>
      <c r="S171" s="60"/>
      <c r="T171" s="60"/>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c r="A172" s="1"/>
      <c r="B172" s="60"/>
      <c r="C172" s="61"/>
      <c r="D172" s="60"/>
      <c r="E172" s="61"/>
      <c r="F172" s="60"/>
      <c r="G172" s="61"/>
      <c r="H172" s="60"/>
      <c r="I172" s="61"/>
      <c r="J172" s="60"/>
      <c r="K172" s="60"/>
      <c r="L172" s="60"/>
      <c r="M172" s="61"/>
      <c r="N172" s="60"/>
      <c r="O172" s="61"/>
      <c r="P172" s="60"/>
      <c r="Q172" s="61"/>
      <c r="R172" s="60"/>
      <c r="S172" s="60"/>
      <c r="T172" s="60"/>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c r="A173" s="1"/>
      <c r="B173" s="60"/>
      <c r="C173" s="61"/>
      <c r="D173" s="60"/>
      <c r="E173" s="61"/>
      <c r="F173" s="60"/>
      <c r="G173" s="61"/>
      <c r="H173" s="60"/>
      <c r="I173" s="61"/>
      <c r="J173" s="60"/>
      <c r="K173" s="60"/>
      <c r="L173" s="60"/>
      <c r="M173" s="61"/>
      <c r="N173" s="60"/>
      <c r="O173" s="61"/>
      <c r="P173" s="60"/>
      <c r="Q173" s="61"/>
      <c r="R173" s="60"/>
      <c r="S173" s="60"/>
      <c r="T173" s="60"/>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c r="A174" s="1"/>
      <c r="B174" s="60"/>
      <c r="C174" s="61"/>
      <c r="D174" s="60"/>
      <c r="E174" s="61"/>
      <c r="F174" s="60"/>
      <c r="G174" s="61"/>
      <c r="H174" s="60"/>
      <c r="I174" s="61"/>
      <c r="J174" s="60"/>
      <c r="K174" s="60"/>
      <c r="L174" s="60"/>
      <c r="M174" s="61"/>
      <c r="N174" s="60"/>
      <c r="O174" s="61"/>
      <c r="P174" s="60"/>
      <c r="Q174" s="61"/>
      <c r="R174" s="60"/>
      <c r="S174" s="60"/>
      <c r="T174" s="60"/>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c r="A175" s="1"/>
      <c r="B175" s="60"/>
      <c r="C175" s="61"/>
      <c r="D175" s="60"/>
      <c r="E175" s="61"/>
      <c r="F175" s="60"/>
      <c r="G175" s="61"/>
      <c r="H175" s="60"/>
      <c r="I175" s="61"/>
      <c r="J175" s="60"/>
      <c r="K175" s="60"/>
      <c r="L175" s="60"/>
      <c r="M175" s="61"/>
      <c r="N175" s="60"/>
      <c r="O175" s="61"/>
      <c r="P175" s="60"/>
      <c r="Q175" s="61"/>
      <c r="R175" s="60"/>
      <c r="S175" s="60"/>
      <c r="T175" s="60"/>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c r="A176" s="1"/>
      <c r="B176" s="60"/>
      <c r="C176" s="61"/>
      <c r="D176" s="60"/>
      <c r="E176" s="61"/>
      <c r="F176" s="60"/>
      <c r="G176" s="61"/>
      <c r="H176" s="60"/>
      <c r="I176" s="61"/>
      <c r="J176" s="60"/>
      <c r="K176" s="60"/>
      <c r="L176" s="60"/>
      <c r="M176" s="61"/>
      <c r="N176" s="60"/>
      <c r="O176" s="61"/>
      <c r="P176" s="60"/>
      <c r="Q176" s="61"/>
      <c r="R176" s="60"/>
      <c r="S176" s="60"/>
      <c r="T176" s="60"/>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c r="A177" s="1"/>
      <c r="B177" s="60"/>
      <c r="C177" s="61"/>
      <c r="D177" s="60"/>
      <c r="E177" s="61"/>
      <c r="F177" s="60"/>
      <c r="G177" s="61"/>
      <c r="H177" s="60"/>
      <c r="I177" s="61"/>
      <c r="J177" s="60"/>
      <c r="K177" s="60"/>
      <c r="L177" s="60"/>
      <c r="M177" s="61"/>
      <c r="N177" s="60"/>
      <c r="O177" s="61"/>
      <c r="P177" s="60"/>
      <c r="Q177" s="61"/>
      <c r="R177" s="60"/>
      <c r="S177" s="60"/>
      <c r="T177" s="60"/>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c r="A178" s="1"/>
      <c r="B178" s="60"/>
      <c r="C178" s="61"/>
      <c r="D178" s="60"/>
      <c r="E178" s="61"/>
      <c r="F178" s="60"/>
      <c r="G178" s="61"/>
      <c r="H178" s="60"/>
      <c r="I178" s="61"/>
      <c r="J178" s="60"/>
      <c r="K178" s="60"/>
      <c r="L178" s="60"/>
      <c r="M178" s="61"/>
      <c r="N178" s="60"/>
      <c r="O178" s="61"/>
      <c r="P178" s="60"/>
      <c r="Q178" s="61"/>
      <c r="R178" s="60"/>
      <c r="S178" s="60"/>
      <c r="T178" s="60"/>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c r="A179" s="1"/>
      <c r="B179" s="60"/>
      <c r="C179" s="61"/>
      <c r="D179" s="60"/>
      <c r="E179" s="61"/>
      <c r="F179" s="60"/>
      <c r="G179" s="61"/>
      <c r="H179" s="60"/>
      <c r="I179" s="61"/>
      <c r="J179" s="60"/>
      <c r="K179" s="60"/>
      <c r="L179" s="60"/>
      <c r="M179" s="61"/>
      <c r="N179" s="60"/>
      <c r="O179" s="61"/>
      <c r="P179" s="60"/>
      <c r="Q179" s="61"/>
      <c r="R179" s="60"/>
      <c r="S179" s="60"/>
      <c r="T179" s="60"/>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c r="A180" s="1"/>
      <c r="B180" s="60"/>
      <c r="C180" s="61"/>
      <c r="D180" s="60"/>
      <c r="E180" s="61"/>
      <c r="F180" s="60"/>
      <c r="G180" s="61"/>
      <c r="H180" s="60"/>
      <c r="I180" s="61"/>
      <c r="J180" s="60"/>
      <c r="K180" s="60"/>
      <c r="L180" s="60"/>
      <c r="M180" s="61"/>
      <c r="N180" s="60"/>
      <c r="O180" s="61"/>
      <c r="P180" s="60"/>
      <c r="Q180" s="61"/>
      <c r="R180" s="60"/>
      <c r="S180" s="60"/>
      <c r="T180" s="60"/>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c r="A181" s="1"/>
      <c r="B181" s="60"/>
      <c r="C181" s="61"/>
      <c r="D181" s="60"/>
      <c r="E181" s="61"/>
      <c r="F181" s="60"/>
      <c r="G181" s="61"/>
      <c r="H181" s="60"/>
      <c r="I181" s="61"/>
      <c r="J181" s="60"/>
      <c r="K181" s="60"/>
      <c r="L181" s="60"/>
      <c r="M181" s="61"/>
      <c r="N181" s="60"/>
      <c r="O181" s="61"/>
      <c r="P181" s="60"/>
      <c r="Q181" s="61"/>
      <c r="R181" s="60"/>
      <c r="S181" s="60"/>
      <c r="T181" s="60"/>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c r="A182" s="1"/>
      <c r="B182" s="60"/>
      <c r="C182" s="61"/>
      <c r="D182" s="60"/>
      <c r="E182" s="61"/>
      <c r="F182" s="60"/>
      <c r="G182" s="61"/>
      <c r="H182" s="60"/>
      <c r="I182" s="61"/>
      <c r="J182" s="60"/>
      <c r="K182" s="60"/>
      <c r="L182" s="60"/>
      <c r="M182" s="61"/>
      <c r="N182" s="60"/>
      <c r="O182" s="61"/>
      <c r="P182" s="60"/>
      <c r="Q182" s="61"/>
      <c r="R182" s="60"/>
      <c r="S182" s="60"/>
      <c r="T182" s="60"/>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c r="A183" s="1"/>
      <c r="B183" s="60"/>
      <c r="C183" s="61"/>
      <c r="D183" s="60"/>
      <c r="E183" s="61"/>
      <c r="F183" s="60"/>
      <c r="G183" s="61"/>
      <c r="H183" s="60"/>
      <c r="I183" s="61"/>
      <c r="J183" s="60"/>
      <c r="K183" s="60"/>
      <c r="L183" s="60"/>
      <c r="M183" s="61"/>
      <c r="N183" s="60"/>
      <c r="O183" s="61"/>
      <c r="P183" s="60"/>
      <c r="Q183" s="61"/>
      <c r="R183" s="60"/>
      <c r="S183" s="60"/>
      <c r="T183" s="60"/>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c r="A184" s="1"/>
      <c r="B184" s="60"/>
      <c r="C184" s="61"/>
      <c r="D184" s="60"/>
      <c r="E184" s="61"/>
      <c r="F184" s="60"/>
      <c r="G184" s="61"/>
      <c r="H184" s="60"/>
      <c r="I184" s="61"/>
      <c r="J184" s="60"/>
      <c r="K184" s="60"/>
      <c r="L184" s="60"/>
      <c r="M184" s="61"/>
      <c r="N184" s="60"/>
      <c r="O184" s="61"/>
      <c r="P184" s="60"/>
      <c r="Q184" s="61"/>
      <c r="R184" s="60"/>
      <c r="S184" s="60"/>
      <c r="T184" s="60"/>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c r="A185" s="1"/>
      <c r="B185" s="60"/>
      <c r="C185" s="61"/>
      <c r="D185" s="60"/>
      <c r="E185" s="61"/>
      <c r="F185" s="60"/>
      <c r="G185" s="61"/>
      <c r="H185" s="60"/>
      <c r="I185" s="61"/>
      <c r="J185" s="60"/>
      <c r="K185" s="60"/>
      <c r="L185" s="60"/>
      <c r="M185" s="61"/>
      <c r="N185" s="60"/>
      <c r="O185" s="61"/>
      <c r="P185" s="60"/>
      <c r="Q185" s="61"/>
      <c r="R185" s="60"/>
      <c r="S185" s="60"/>
      <c r="T185" s="60"/>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c r="A186" s="1"/>
      <c r="B186" s="60"/>
      <c r="C186" s="61"/>
      <c r="D186" s="60"/>
      <c r="E186" s="61"/>
      <c r="F186" s="60"/>
      <c r="G186" s="61"/>
      <c r="H186" s="60"/>
      <c r="I186" s="61"/>
      <c r="J186" s="60"/>
      <c r="K186" s="60"/>
      <c r="L186" s="60"/>
      <c r="M186" s="61"/>
      <c r="N186" s="60"/>
      <c r="O186" s="61"/>
      <c r="P186" s="60"/>
      <c r="Q186" s="61"/>
      <c r="R186" s="60"/>
      <c r="S186" s="60"/>
      <c r="T186" s="60"/>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c r="A187" s="1"/>
      <c r="B187" s="60"/>
      <c r="C187" s="61"/>
      <c r="D187" s="60"/>
      <c r="E187" s="61"/>
      <c r="F187" s="60"/>
      <c r="G187" s="61"/>
      <c r="H187" s="60"/>
      <c r="I187" s="61"/>
      <c r="J187" s="60"/>
      <c r="K187" s="60"/>
      <c r="L187" s="60"/>
      <c r="M187" s="61"/>
      <c r="N187" s="60"/>
      <c r="O187" s="61"/>
      <c r="P187" s="60"/>
      <c r="Q187" s="61"/>
      <c r="R187" s="60"/>
      <c r="S187" s="60"/>
      <c r="T187" s="60"/>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c r="A188" s="1"/>
      <c r="B188" s="60"/>
      <c r="C188" s="61"/>
      <c r="D188" s="60"/>
      <c r="E188" s="61"/>
      <c r="F188" s="60"/>
      <c r="G188" s="61"/>
      <c r="H188" s="60"/>
      <c r="I188" s="61"/>
      <c r="J188" s="60"/>
      <c r="K188" s="60"/>
      <c r="L188" s="60"/>
      <c r="M188" s="61"/>
      <c r="N188" s="60"/>
      <c r="O188" s="61"/>
      <c r="P188" s="60"/>
      <c r="Q188" s="61"/>
      <c r="R188" s="60"/>
      <c r="S188" s="60"/>
      <c r="T188" s="60"/>
      <c r="U188" s="1"/>
      <c r="V188" s="1"/>
      <c r="W188" s="1"/>
      <c r="X188" s="1"/>
      <c r="Y188" s="1"/>
      <c r="Z188" s="1"/>
      <c r="AA188" s="1"/>
      <c r="AB188" s="1"/>
      <c r="AC188" s="1"/>
      <c r="AD188" s="1"/>
      <c r="AE188" s="1"/>
      <c r="AF188" s="1"/>
      <c r="AG188" s="1"/>
      <c r="AH188" s="1"/>
      <c r="AI188" s="1"/>
      <c r="AJ188" s="1"/>
      <c r="AK188" s="1"/>
      <c r="AL188" s="1"/>
      <c r="AM188" s="1"/>
      <c r="AN188" s="1"/>
      <c r="AO188" s="1"/>
      <c r="AP188" s="1"/>
      <c r="AQ188" s="1"/>
    </row>
  </sheetData>
  <pageMargins left="0.2" right="0.2" top="0.62" bottom="0.75" header="0.5" footer="0.5"/>
  <pageSetup scale="45" orientation="landscape" r:id="rId1"/>
  <headerFooter alignWithMargins="0">
    <oddFooter>&amp;R&amp;16&amp;P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123"/>
  <sheetViews>
    <sheetView topLeftCell="A6" workbookViewId="0">
      <pane xSplit="1" ySplit="1" topLeftCell="B7" activePane="bottomRight" state="frozen"/>
      <selection activeCell="A6" sqref="A6"/>
      <selection pane="topRight" activeCell="B6" sqref="B6"/>
      <selection pane="bottomLeft" activeCell="A7" sqref="A7"/>
      <selection pane="bottomRight" activeCell="A8" sqref="A8"/>
    </sheetView>
  </sheetViews>
  <sheetFormatPr defaultRowHeight="15.75"/>
  <cols>
    <col min="1" max="1" width="54.875" customWidth="1"/>
    <col min="2" max="20" width="13.625" style="27" customWidth="1"/>
    <col min="21" max="21" width="13.75" style="27" customWidth="1"/>
    <col min="22" max="22" width="11" style="27" customWidth="1"/>
    <col min="23" max="256" width="11" customWidth="1"/>
  </cols>
  <sheetData>
    <row r="1" spans="1:23">
      <c r="A1" s="114" t="s">
        <v>163</v>
      </c>
      <c r="B1" s="40"/>
      <c r="C1" s="40"/>
      <c r="D1" s="40"/>
      <c r="E1" s="40"/>
      <c r="F1" s="40"/>
      <c r="G1" s="40"/>
      <c r="H1" s="40"/>
      <c r="I1" s="40"/>
      <c r="J1" s="40"/>
      <c r="K1" s="40"/>
      <c r="L1" s="40"/>
      <c r="M1" s="40"/>
      <c r="N1" s="40"/>
      <c r="O1" s="40"/>
      <c r="P1" s="40"/>
      <c r="Q1" s="40"/>
      <c r="R1" s="40"/>
      <c r="S1" s="40"/>
      <c r="T1" s="40"/>
      <c r="U1" s="320"/>
    </row>
    <row r="2" spans="1:23">
      <c r="A2" s="114" t="s">
        <v>360</v>
      </c>
      <c r="B2" s="40"/>
      <c r="C2" s="40"/>
      <c r="D2" s="40"/>
      <c r="E2" s="40"/>
      <c r="F2" s="40"/>
      <c r="G2" s="40"/>
      <c r="H2" s="40"/>
      <c r="I2" s="40"/>
      <c r="J2" s="40"/>
      <c r="K2" s="40"/>
      <c r="L2" s="40"/>
      <c r="M2" s="40"/>
      <c r="N2" s="40"/>
      <c r="O2" s="40"/>
      <c r="P2" s="40"/>
      <c r="Q2" s="40"/>
      <c r="R2" s="40"/>
      <c r="S2" s="40"/>
      <c r="T2" s="40"/>
      <c r="U2" s="320"/>
    </row>
    <row r="3" spans="1:23">
      <c r="A3" s="114" t="s">
        <v>425</v>
      </c>
      <c r="B3" s="40"/>
      <c r="C3" s="40"/>
      <c r="D3" s="40"/>
      <c r="E3" s="40"/>
      <c r="F3" s="40"/>
      <c r="G3" s="40"/>
      <c r="H3" s="40"/>
      <c r="I3" s="40"/>
      <c r="J3" s="40"/>
      <c r="K3" s="40"/>
      <c r="L3" s="40"/>
      <c r="M3" s="40"/>
      <c r="N3" s="40"/>
      <c r="O3" s="40"/>
      <c r="P3" s="40"/>
      <c r="Q3" s="40"/>
      <c r="R3" s="40"/>
      <c r="S3" s="40"/>
      <c r="T3" s="40"/>
      <c r="U3" s="320"/>
    </row>
    <row r="4" spans="1:23">
      <c r="A4" s="114" t="s">
        <v>179</v>
      </c>
      <c r="B4" s="40"/>
      <c r="C4" s="40"/>
      <c r="D4" s="40"/>
      <c r="E4" s="40"/>
      <c r="F4" s="40"/>
      <c r="G4" s="40"/>
      <c r="H4" s="40"/>
      <c r="I4" s="40"/>
      <c r="J4" s="40"/>
      <c r="K4" s="40"/>
      <c r="L4" s="40"/>
      <c r="M4" s="40"/>
      <c r="N4" s="40"/>
      <c r="O4" s="40"/>
      <c r="P4" s="40"/>
      <c r="Q4" s="40"/>
      <c r="R4" s="40"/>
      <c r="S4" s="40"/>
      <c r="T4" s="40"/>
    </row>
    <row r="5" spans="1:23">
      <c r="B5" s="69"/>
      <c r="C5" s="511" t="s">
        <v>0</v>
      </c>
      <c r="D5" s="511"/>
      <c r="E5" s="69"/>
      <c r="F5" s="69"/>
      <c r="G5" s="69"/>
      <c r="H5" s="69"/>
      <c r="I5" s="69"/>
      <c r="J5" s="69"/>
      <c r="K5" s="69"/>
      <c r="L5" s="69"/>
      <c r="M5" s="69"/>
      <c r="N5" s="69"/>
      <c r="O5" s="69"/>
      <c r="P5" s="69"/>
      <c r="Q5" s="69"/>
      <c r="R5" s="69"/>
      <c r="S5" s="69"/>
      <c r="T5" s="69"/>
    </row>
    <row r="6" spans="1:23" ht="16.5" thickBot="1">
      <c r="A6" s="1"/>
      <c r="B6" s="327" t="s">
        <v>98</v>
      </c>
      <c r="C6" s="229" t="s">
        <v>100</v>
      </c>
      <c r="D6" s="229" t="s">
        <v>101</v>
      </c>
      <c r="E6" s="327" t="s">
        <v>102</v>
      </c>
      <c r="F6" s="229" t="s">
        <v>107</v>
      </c>
      <c r="G6" s="229" t="s">
        <v>103</v>
      </c>
      <c r="H6" s="229" t="s">
        <v>104</v>
      </c>
      <c r="I6" s="327" t="s">
        <v>105</v>
      </c>
      <c r="J6" s="327" t="s">
        <v>361</v>
      </c>
      <c r="K6" s="350" t="s">
        <v>362</v>
      </c>
      <c r="L6" s="1106" t="s">
        <v>250</v>
      </c>
      <c r="M6" s="327" t="s">
        <v>108</v>
      </c>
      <c r="N6" s="350" t="s">
        <v>362</v>
      </c>
      <c r="O6" s="327" t="s">
        <v>109</v>
      </c>
      <c r="P6" s="229" t="s">
        <v>110</v>
      </c>
      <c r="Q6" s="350" t="s">
        <v>362</v>
      </c>
      <c r="R6" s="350" t="s">
        <v>111</v>
      </c>
      <c r="S6"/>
      <c r="T6"/>
      <c r="U6" s="28"/>
      <c r="V6" s="28"/>
      <c r="W6" s="9"/>
    </row>
    <row r="7" spans="1:23">
      <c r="A7" s="2" t="s">
        <v>426</v>
      </c>
      <c r="B7" s="315"/>
      <c r="C7" s="315"/>
      <c r="D7" s="315"/>
      <c r="E7" s="316"/>
      <c r="F7" s="316"/>
      <c r="G7" s="316"/>
      <c r="H7" s="316"/>
      <c r="I7" s="315"/>
      <c r="J7" s="315"/>
      <c r="K7" s="317"/>
      <c r="L7" s="1107"/>
      <c r="M7" s="315"/>
      <c r="N7" s="318"/>
      <c r="O7" s="315"/>
      <c r="P7" s="316"/>
      <c r="Q7" s="317"/>
      <c r="R7" s="317"/>
      <c r="S7"/>
      <c r="T7"/>
      <c r="U7" s="28"/>
      <c r="V7" s="28"/>
      <c r="W7" s="9"/>
    </row>
    <row r="8" spans="1:23">
      <c r="A8" s="2"/>
      <c r="B8" s="315"/>
      <c r="C8" s="315"/>
      <c r="D8" s="315"/>
      <c r="E8" s="316"/>
      <c r="F8" s="316"/>
      <c r="G8" s="316"/>
      <c r="H8" s="316"/>
      <c r="I8" s="315"/>
      <c r="J8" s="315"/>
      <c r="K8" s="317"/>
      <c r="L8" s="1107"/>
      <c r="M8" s="315"/>
      <c r="N8" s="318"/>
      <c r="O8" s="315"/>
      <c r="P8" s="316"/>
      <c r="Q8" s="317"/>
      <c r="R8" s="317"/>
      <c r="S8"/>
      <c r="T8"/>
      <c r="U8" s="28"/>
      <c r="V8" s="28"/>
      <c r="W8" s="9"/>
    </row>
    <row r="9" spans="1:23">
      <c r="A9" s="102" t="s">
        <v>328</v>
      </c>
      <c r="B9" s="69"/>
      <c r="C9" s="69"/>
      <c r="D9" s="69"/>
      <c r="E9" s="69"/>
      <c r="F9" s="69"/>
      <c r="G9" s="69"/>
      <c r="H9" s="69"/>
      <c r="I9" s="69"/>
      <c r="J9" s="69"/>
      <c r="K9" s="204"/>
      <c r="L9" s="1108"/>
      <c r="M9" s="69"/>
      <c r="N9" s="204"/>
      <c r="O9" s="69"/>
      <c r="P9" s="69"/>
      <c r="Q9" s="204"/>
      <c r="R9" s="205"/>
      <c r="S9"/>
      <c r="T9"/>
    </row>
    <row r="10" spans="1:23">
      <c r="A10" s="102" t="s">
        <v>329</v>
      </c>
      <c r="B10" s="88" t="s">
        <v>0</v>
      </c>
      <c r="C10" s="88" t="s">
        <v>0</v>
      </c>
      <c r="D10" s="88"/>
      <c r="E10" s="88" t="s">
        <v>0</v>
      </c>
      <c r="F10" s="88" t="s">
        <v>0</v>
      </c>
      <c r="G10" s="88" t="s">
        <v>0</v>
      </c>
      <c r="H10" s="88" t="s">
        <v>0</v>
      </c>
      <c r="I10" s="88" t="s">
        <v>0</v>
      </c>
      <c r="J10" s="88" t="s">
        <v>0</v>
      </c>
      <c r="K10" s="197" t="s">
        <v>0</v>
      </c>
      <c r="L10" s="118"/>
      <c r="M10" s="88" t="s">
        <v>0</v>
      </c>
      <c r="N10" s="197" t="s">
        <v>0</v>
      </c>
      <c r="O10" s="88" t="s">
        <v>0</v>
      </c>
      <c r="P10" s="88" t="s">
        <v>0</v>
      </c>
      <c r="Q10" s="201" t="s">
        <v>0</v>
      </c>
      <c r="R10" s="191" t="s">
        <v>0</v>
      </c>
      <c r="S10"/>
      <c r="T10"/>
    </row>
    <row r="11" spans="1:23" ht="18.75">
      <c r="A11" s="102" t="s">
        <v>330</v>
      </c>
      <c r="B11" s="338">
        <f>+'BICHRÉSULT     '!B50</f>
        <v>126.6</v>
      </c>
      <c r="C11" s="338">
        <f>+'bncrésult '!B50</f>
        <v>13238</v>
      </c>
      <c r="D11" s="338">
        <f>+'BPHRÉSULT  '!B50</f>
        <v>13506.9</v>
      </c>
      <c r="E11" s="338">
        <f>+buhrésult!B50</f>
        <v>38051</v>
      </c>
      <c r="F11" s="338">
        <f>+'CAPITALBKRÉSULT      '!B50</f>
        <v>22449</v>
      </c>
      <c r="G11" s="338">
        <f>+'PROMOBKRÉSULT    '!B50</f>
        <v>35400.5</v>
      </c>
      <c r="H11" s="338">
        <f>+SOCABKRÉSULT!B50</f>
        <v>52505.1</v>
      </c>
      <c r="I11" s="338">
        <f>+SOGEBKRÉSULT!B50</f>
        <v>71582.3</v>
      </c>
      <c r="J11" s="338">
        <f>+'UNIBKRÉSULT   '!B50</f>
        <v>58320.7</v>
      </c>
      <c r="K11" s="340">
        <f>SUM(B11:J11)</f>
        <v>305180.10000000003</v>
      </c>
      <c r="L11" s="1112">
        <f>+BHdRÉSULT!B10</f>
        <v>113.3</v>
      </c>
      <c r="M11" s="338">
        <f>+'SGBELRÉSULT       '!B50</f>
        <v>14599.9</v>
      </c>
      <c r="N11" s="340">
        <f>+L11+M11</f>
        <v>14713.199999999999</v>
      </c>
      <c r="O11" s="338">
        <f>+'CBNARÉSULT         '!B50</f>
        <v>29093</v>
      </c>
      <c r="P11" s="338">
        <f>+'SCOTIARÉSULT         '!B50</f>
        <v>22562</v>
      </c>
      <c r="Q11" s="340">
        <f>SUM(O11:P11)</f>
        <v>51655</v>
      </c>
      <c r="R11" s="340">
        <f>+K11+N11+Q11</f>
        <v>371548.30000000005</v>
      </c>
      <c r="S11" t="s">
        <v>0</v>
      </c>
      <c r="T11"/>
    </row>
    <row r="12" spans="1:23" ht="18.75">
      <c r="A12" s="102" t="s">
        <v>354</v>
      </c>
      <c r="B12" s="338">
        <f>+'BICHRÉSULT     '!B51</f>
        <v>0</v>
      </c>
      <c r="C12" s="338">
        <f>+'bncrésult '!B51</f>
        <v>12860</v>
      </c>
      <c r="D12" s="338">
        <f>+'BPHRÉSULT  '!B51</f>
        <v>5701.3</v>
      </c>
      <c r="E12" s="338">
        <f>+buhrésult!B51</f>
        <v>5389</v>
      </c>
      <c r="F12" s="338">
        <f>+'CAPITALBKRÉSULT      '!B51</f>
        <v>2428</v>
      </c>
      <c r="G12" s="338">
        <f>+'PROMOBKRÉSULT    '!B51</f>
        <v>3972</v>
      </c>
      <c r="H12" s="338">
        <f>+SOCABKRÉSULT!B51</f>
        <v>4677.3999999999996</v>
      </c>
      <c r="I12" s="338">
        <f>+SOGEBKRÉSULT!B51</f>
        <v>30836.6</v>
      </c>
      <c r="J12" s="338">
        <f>+'UNIBKRÉSULT   '!B51</f>
        <v>8941.9</v>
      </c>
      <c r="K12" s="340">
        <f>SUM(B12:J12)</f>
        <v>74806.199999999983</v>
      </c>
      <c r="L12" s="1112">
        <f>+BHdRÉSULT!B11</f>
        <v>0</v>
      </c>
      <c r="M12" s="338">
        <f>+'SGBELRÉSULT       '!B51</f>
        <v>1369.2</v>
      </c>
      <c r="N12" s="340">
        <f>+L12+M12</f>
        <v>1369.2</v>
      </c>
      <c r="O12" s="338">
        <f>+'CBNARÉSULT         '!B51</f>
        <v>5308</v>
      </c>
      <c r="P12" s="338">
        <f>+'SCOTIARÉSULT         '!B51</f>
        <v>1572</v>
      </c>
      <c r="Q12" s="340">
        <f>SUM(O12:P12)</f>
        <v>6880</v>
      </c>
      <c r="R12" s="340">
        <f>+K12+N12+Q12</f>
        <v>83055.39999999998</v>
      </c>
      <c r="S12"/>
      <c r="T12"/>
    </row>
    <row r="13" spans="1:23" ht="18.75">
      <c r="A13" s="102" t="s">
        <v>332</v>
      </c>
      <c r="B13" s="341">
        <f>+'BICHRÉSULT     '!B52</f>
        <v>0</v>
      </c>
      <c r="C13" s="341">
        <f>+'bncrésult '!B52</f>
        <v>4656</v>
      </c>
      <c r="D13" s="341">
        <f>+'BPHRÉSULT  '!B52</f>
        <v>449.6</v>
      </c>
      <c r="E13" s="341">
        <f>+buhrésult!B52</f>
        <v>1853</v>
      </c>
      <c r="F13" s="341">
        <f>+'CAPITALBKRÉSULT      '!B52</f>
        <v>2580</v>
      </c>
      <c r="G13" s="341">
        <f>+'PROMOBKRÉSULT    '!B52</f>
        <v>1252.4000000000001</v>
      </c>
      <c r="H13" s="341">
        <f>+SOCABKRÉSULT!B52</f>
        <v>1758.5</v>
      </c>
      <c r="I13" s="341">
        <f>+SOGEBKRÉSULT!B52</f>
        <v>7905.6</v>
      </c>
      <c r="J13" s="1114">
        <f>+'UNIBKRÉSULT   '!B52</f>
        <v>8294.2999999999993</v>
      </c>
      <c r="K13" s="343">
        <f>SUM(B13:J13)</f>
        <v>28749.399999999998</v>
      </c>
      <c r="L13" s="1113">
        <f>+BHdRÉSULT!B12</f>
        <v>0</v>
      </c>
      <c r="M13" s="1114">
        <f>+'SGBELRÉSULT       '!B52</f>
        <v>216.1</v>
      </c>
      <c r="N13" s="343">
        <f>+L13+M13</f>
        <v>216.1</v>
      </c>
      <c r="O13" s="341">
        <f>+'CBNARÉSULT         '!B52</f>
        <v>33</v>
      </c>
      <c r="P13" s="1114">
        <f>+'SCOTIARÉSULT         '!B52</f>
        <v>1143</v>
      </c>
      <c r="Q13" s="343">
        <f>SUM(O13:P13)</f>
        <v>1176</v>
      </c>
      <c r="R13" s="343">
        <f>+K13+N13+Q13</f>
        <v>30141.499999999996</v>
      </c>
      <c r="S13"/>
      <c r="T13"/>
    </row>
    <row r="14" spans="1:23" ht="18.75">
      <c r="A14" s="102"/>
      <c r="B14" s="338">
        <f>SUM(B11:B13)</f>
        <v>126.6</v>
      </c>
      <c r="C14" s="338">
        <f>SUM(C11:C13)</f>
        <v>30754</v>
      </c>
      <c r="D14" s="338">
        <f>SUM(D11:D13)</f>
        <v>19657.8</v>
      </c>
      <c r="E14" s="338">
        <f>SUM(E11:E13)</f>
        <v>45293</v>
      </c>
      <c r="F14" s="338">
        <f t="shared" ref="F14:M14" si="0">SUM(F11:F13)</f>
        <v>27457</v>
      </c>
      <c r="G14" s="338">
        <f t="shared" si="0"/>
        <v>40624.9</v>
      </c>
      <c r="H14" s="338">
        <f t="shared" si="0"/>
        <v>58941</v>
      </c>
      <c r="I14" s="338">
        <f t="shared" si="0"/>
        <v>110324.5</v>
      </c>
      <c r="J14" s="338">
        <f t="shared" si="0"/>
        <v>75556.899999999994</v>
      </c>
      <c r="K14" s="340">
        <f t="shared" si="0"/>
        <v>408735.70000000007</v>
      </c>
      <c r="L14" s="338">
        <f t="shared" si="0"/>
        <v>113.3</v>
      </c>
      <c r="M14" s="338">
        <f t="shared" si="0"/>
        <v>16185.2</v>
      </c>
      <c r="N14" s="340">
        <f>+M14</f>
        <v>16185.2</v>
      </c>
      <c r="O14" s="338">
        <f>SUM(O11:O13)</f>
        <v>34434</v>
      </c>
      <c r="P14" s="338">
        <f>SUM(P11:P13)</f>
        <v>25277</v>
      </c>
      <c r="Q14" s="340">
        <f>SUM(Q11:Q13)</f>
        <v>59711</v>
      </c>
      <c r="R14" s="340">
        <f>SUM(R11:R13)</f>
        <v>484745.2</v>
      </c>
      <c r="S14"/>
      <c r="T14"/>
    </row>
    <row r="15" spans="1:23" ht="18.75">
      <c r="A15" s="102" t="s">
        <v>333</v>
      </c>
      <c r="B15" s="341">
        <f>+'BICHRÉSULT     '!B54</f>
        <v>29.9</v>
      </c>
      <c r="C15" s="341">
        <f>+'bncrésult '!B54</f>
        <v>10052</v>
      </c>
      <c r="D15" s="341">
        <f>+'BPHRÉSULT  '!B54</f>
        <v>10502</v>
      </c>
      <c r="E15" s="341">
        <f>+buhrésult!B54</f>
        <v>17536</v>
      </c>
      <c r="F15" s="341">
        <f>+'CAPITALBKRÉSULT      '!B54</f>
        <v>9329</v>
      </c>
      <c r="G15" s="341">
        <f>+'PROMOBKRÉSULT    '!B54</f>
        <v>11241.6</v>
      </c>
      <c r="H15" s="341">
        <f>+SOCABKRÉSULT!B54</f>
        <v>39207.9</v>
      </c>
      <c r="I15" s="341">
        <f>+SOGEBKRÉSULT!B54</f>
        <v>27803.9</v>
      </c>
      <c r="J15" s="1114">
        <f>+'UNIBKRÉSULT   '!B54</f>
        <v>21807.200000000001</v>
      </c>
      <c r="K15" s="343">
        <f>SUM(B15:J15)</f>
        <v>147509.5</v>
      </c>
      <c r="L15" s="1113">
        <f>+BHdRÉSULT!B14</f>
        <v>47.6</v>
      </c>
      <c r="M15" s="1114">
        <f>+'SGBELRÉSULT       '!B54</f>
        <v>4949.8</v>
      </c>
      <c r="N15" s="343">
        <f>+L15+M15</f>
        <v>4997.4000000000005</v>
      </c>
      <c r="O15" s="341">
        <f>+'CBNARÉSULT         '!B54</f>
        <v>14402</v>
      </c>
      <c r="P15" s="1114">
        <f>+'SCOTIARÉSULT         '!B54</f>
        <v>7492</v>
      </c>
      <c r="Q15" s="343">
        <f>SUM(O15:P15)</f>
        <v>21894</v>
      </c>
      <c r="R15" s="343">
        <f>+K15+N15+Q15</f>
        <v>174400.9</v>
      </c>
      <c r="S15"/>
      <c r="T15"/>
    </row>
    <row r="16" spans="1:23" ht="18.75">
      <c r="A16" s="102"/>
      <c r="B16" s="338">
        <f>+B14-B15</f>
        <v>96.699999999999989</v>
      </c>
      <c r="C16" s="338">
        <f>+C14-C15</f>
        <v>20702</v>
      </c>
      <c r="D16" s="338">
        <f>+D14-D15</f>
        <v>9155.7999999999993</v>
      </c>
      <c r="E16" s="338">
        <f>+E14-E15</f>
        <v>27757</v>
      </c>
      <c r="F16" s="338">
        <f t="shared" ref="F16:M16" si="1">+F14-F15</f>
        <v>18128</v>
      </c>
      <c r="G16" s="338">
        <f t="shared" si="1"/>
        <v>29383.300000000003</v>
      </c>
      <c r="H16" s="338">
        <f t="shared" si="1"/>
        <v>19733.099999999999</v>
      </c>
      <c r="I16" s="338">
        <f t="shared" si="1"/>
        <v>82520.600000000006</v>
      </c>
      <c r="J16" s="338">
        <f t="shared" si="1"/>
        <v>53749.7</v>
      </c>
      <c r="K16" s="340">
        <f t="shared" si="1"/>
        <v>261226.20000000007</v>
      </c>
      <c r="L16" s="338">
        <f t="shared" si="1"/>
        <v>65.699999999999989</v>
      </c>
      <c r="M16" s="338">
        <f t="shared" si="1"/>
        <v>11235.400000000001</v>
      </c>
      <c r="N16" s="340">
        <f>+M16</f>
        <v>11235.400000000001</v>
      </c>
      <c r="O16" s="338">
        <f>+O14-O15</f>
        <v>20032</v>
      </c>
      <c r="P16" s="338">
        <f>+P14-P15</f>
        <v>17785</v>
      </c>
      <c r="Q16" s="340">
        <f>+Q14-Q15</f>
        <v>37817</v>
      </c>
      <c r="R16" s="425">
        <f>+R14-R15</f>
        <v>310344.30000000005</v>
      </c>
      <c r="S16"/>
      <c r="T16"/>
    </row>
    <row r="17" spans="1:20" ht="9" customHeight="1">
      <c r="A17" s="102"/>
      <c r="B17" s="338"/>
      <c r="C17" s="338"/>
      <c r="D17" s="338"/>
      <c r="E17" s="338" t="s">
        <v>0</v>
      </c>
      <c r="F17" s="338"/>
      <c r="G17" s="338"/>
      <c r="H17" s="338"/>
      <c r="I17" s="338"/>
      <c r="J17" s="338"/>
      <c r="K17" s="340"/>
      <c r="L17" s="1109"/>
      <c r="M17" s="338"/>
      <c r="N17" s="340" t="s">
        <v>0</v>
      </c>
      <c r="O17" s="338"/>
      <c r="P17" s="338"/>
      <c r="Q17" s="340"/>
      <c r="R17" s="340"/>
      <c r="S17"/>
      <c r="T17"/>
    </row>
    <row r="18" spans="1:20" ht="18.75">
      <c r="A18" s="102" t="s">
        <v>334</v>
      </c>
      <c r="B18" s="338"/>
      <c r="C18" s="338"/>
      <c r="D18" s="338"/>
      <c r="E18" s="338" t="s">
        <v>0</v>
      </c>
      <c r="F18" s="338"/>
      <c r="G18" s="338"/>
      <c r="H18" s="338"/>
      <c r="I18" s="338"/>
      <c r="J18" s="338"/>
      <c r="K18" s="340"/>
      <c r="L18" s="1109"/>
      <c r="M18" s="338"/>
      <c r="N18" s="340" t="s">
        <v>0</v>
      </c>
      <c r="O18" s="338"/>
      <c r="P18" s="338"/>
      <c r="Q18" s="340"/>
      <c r="R18" s="340"/>
      <c r="S18"/>
      <c r="T18"/>
    </row>
    <row r="19" spans="1:20" ht="18.75">
      <c r="A19" s="102" t="s">
        <v>335</v>
      </c>
      <c r="B19" s="338">
        <f>+'BICHRÉSULT     '!B58</f>
        <v>54.4</v>
      </c>
      <c r="C19" s="338">
        <f>+'bncrésult '!B58</f>
        <v>7583</v>
      </c>
      <c r="D19" s="338">
        <f>+'BPHRÉSULT  '!B58</f>
        <v>1208.7</v>
      </c>
      <c r="E19" s="338">
        <f>+buhrésult!B58</f>
        <v>10040</v>
      </c>
      <c r="F19" s="338">
        <f>+'CAPITALBKRÉSULT      '!B58</f>
        <v>2592</v>
      </c>
      <c r="G19" s="338">
        <f>+'PROMOBKRÉSULT    '!B58</f>
        <v>5992.9</v>
      </c>
      <c r="H19" s="338">
        <f>+SOCABKRÉSULT!B58</f>
        <v>5445.6</v>
      </c>
      <c r="I19" s="338">
        <f>+SOGEBKRÉSULT!B58</f>
        <v>9951.5</v>
      </c>
      <c r="J19" s="338">
        <f>+'UNIBKRÉSULT   '!B58</f>
        <v>9752.7999999999993</v>
      </c>
      <c r="K19" s="340">
        <f>SUM(B19:J19)</f>
        <v>52620.899999999994</v>
      </c>
      <c r="L19" s="1112">
        <f>+BHdRÉSULT!B18</f>
        <v>0</v>
      </c>
      <c r="M19" s="338">
        <f>+'SGBELRÉSULT       '!B58</f>
        <v>748.4</v>
      </c>
      <c r="N19" s="340">
        <f>+L19+M19</f>
        <v>748.4</v>
      </c>
      <c r="O19" s="338">
        <f>+'CBNARÉSULT         '!B58</f>
        <v>3662</v>
      </c>
      <c r="P19" s="338">
        <f>+'SCOTIARÉSULT         '!B58</f>
        <v>2503</v>
      </c>
      <c r="Q19" s="340">
        <f>SUM(O19:P19)</f>
        <v>6165</v>
      </c>
      <c r="R19" s="340">
        <f>+K19+N19+Q19</f>
        <v>59534.299999999996</v>
      </c>
      <c r="S19"/>
      <c r="T19"/>
    </row>
    <row r="20" spans="1:20" ht="18.75">
      <c r="A20" s="102" t="s">
        <v>336</v>
      </c>
      <c r="B20" s="338">
        <f>+'BICHRÉSULT     '!B59</f>
        <v>0</v>
      </c>
      <c r="C20" s="338">
        <f>+'bncrésult '!B59</f>
        <v>2228</v>
      </c>
      <c r="D20" s="338">
        <f>+'BPHRÉSULT  '!B59</f>
        <v>624.79999999999995</v>
      </c>
      <c r="E20" s="338">
        <f>+buhrésult!B59</f>
        <v>3052</v>
      </c>
      <c r="F20" s="338">
        <f>+'CAPITALBKRÉSULT      '!B59</f>
        <v>704</v>
      </c>
      <c r="G20" s="338">
        <f>+'PROMOBKRÉSULT    '!B59</f>
        <v>6789.1</v>
      </c>
      <c r="H20" s="338">
        <f>+SOCABKRÉSULT!B59</f>
        <v>6733.3</v>
      </c>
      <c r="I20" s="338">
        <f>+SOGEBKRÉSULT!B59</f>
        <v>13303.2</v>
      </c>
      <c r="J20" s="338">
        <f>+'UNIBKRÉSULT   '!B59</f>
        <v>16839.400000000001</v>
      </c>
      <c r="K20" s="340">
        <f>SUM(B20:J20)</f>
        <v>50273.8</v>
      </c>
      <c r="L20" s="1112">
        <f>+BHdRÉSULT!B19</f>
        <v>0</v>
      </c>
      <c r="M20" s="338">
        <f>+'SGBELRÉSULT       '!B59</f>
        <v>1638.2</v>
      </c>
      <c r="N20" s="340">
        <f>+L20+M20</f>
        <v>1638.2</v>
      </c>
      <c r="O20" s="338">
        <f>+'CBNARÉSULT         '!B59</f>
        <v>8738</v>
      </c>
      <c r="P20" s="338">
        <f>+'SCOTIARÉSULT         '!B59</f>
        <v>1276</v>
      </c>
      <c r="Q20" s="340">
        <f>SUM(O20:P20)</f>
        <v>10014</v>
      </c>
      <c r="R20" s="340">
        <f>+K20+N20+Q20</f>
        <v>61926</v>
      </c>
      <c r="S20"/>
      <c r="T20"/>
    </row>
    <row r="21" spans="1:20" ht="18.75">
      <c r="A21" s="102" t="s">
        <v>284</v>
      </c>
      <c r="B21" s="341">
        <f>+'BICHRÉSULT     '!B60</f>
        <v>144.69999999999999</v>
      </c>
      <c r="C21" s="341">
        <f>+'bncrésult '!B60</f>
        <v>525</v>
      </c>
      <c r="D21" s="341">
        <f>+'BPHRÉSULT  '!B60</f>
        <v>23.4</v>
      </c>
      <c r="E21" s="341">
        <f>+buhrésult!B60</f>
        <v>788</v>
      </c>
      <c r="F21" s="341">
        <f>+'CAPITALBKRÉSULT      '!B60</f>
        <v>2970</v>
      </c>
      <c r="G21" s="341">
        <f>+'PROMOBKRÉSULT    '!B60</f>
        <v>3</v>
      </c>
      <c r="H21" s="341">
        <f>+SOCABKRÉSULT!B60</f>
        <v>0</v>
      </c>
      <c r="I21" s="341">
        <f>+SOGEBKRÉSULT!B60</f>
        <v>10747.2</v>
      </c>
      <c r="J21" s="1114">
        <f>+'UNIBKRÉSULT   '!B60</f>
        <v>1028.3</v>
      </c>
      <c r="K21" s="343">
        <f>SUM(B21:J21)</f>
        <v>16229.6</v>
      </c>
      <c r="L21" s="1113">
        <f>+BHdRÉSULT!B20</f>
        <v>0.2</v>
      </c>
      <c r="M21" s="1114">
        <f>+'SGBELRÉSULT       '!B60</f>
        <v>109.4</v>
      </c>
      <c r="N21" s="343">
        <f>+L21+M21</f>
        <v>109.60000000000001</v>
      </c>
      <c r="O21" s="341">
        <f>+'CBNARÉSULT         '!B60</f>
        <v>-299</v>
      </c>
      <c r="P21" s="1114">
        <f>+'SCOTIARÉSULT         '!B60</f>
        <v>12</v>
      </c>
      <c r="Q21" s="343">
        <f>SUM(O21:P21)</f>
        <v>-287</v>
      </c>
      <c r="R21" s="343">
        <f>+K21+N21+Q21</f>
        <v>16052.2</v>
      </c>
      <c r="S21"/>
      <c r="T21"/>
    </row>
    <row r="22" spans="1:20" ht="18.75">
      <c r="A22" s="102"/>
      <c r="B22" s="338">
        <f>SUM(B19:B21)</f>
        <v>199.1</v>
      </c>
      <c r="C22" s="338">
        <f>SUM(C19:C21)</f>
        <v>10336</v>
      </c>
      <c r="D22" s="338">
        <f>SUM(D19:D21)</f>
        <v>1856.9</v>
      </c>
      <c r="E22" s="338">
        <f>SUM(E19:E21)</f>
        <v>13880</v>
      </c>
      <c r="F22" s="338">
        <f t="shared" ref="F22:M22" si="2">SUM(F19:F21)</f>
        <v>6266</v>
      </c>
      <c r="G22" s="338">
        <f t="shared" si="2"/>
        <v>12785</v>
      </c>
      <c r="H22" s="338">
        <f t="shared" si="2"/>
        <v>12178.900000000001</v>
      </c>
      <c r="I22" s="338">
        <f t="shared" si="2"/>
        <v>34001.9</v>
      </c>
      <c r="J22" s="338">
        <f t="shared" si="2"/>
        <v>27620.5</v>
      </c>
      <c r="K22" s="340">
        <f t="shared" si="2"/>
        <v>119124.3</v>
      </c>
      <c r="L22" s="338">
        <f t="shared" si="2"/>
        <v>0.2</v>
      </c>
      <c r="M22" s="338">
        <f t="shared" si="2"/>
        <v>2496</v>
      </c>
      <c r="N22" s="340">
        <f>+M22</f>
        <v>2496</v>
      </c>
      <c r="O22" s="338">
        <f>SUM(O19:O21)</f>
        <v>12101</v>
      </c>
      <c r="P22" s="338">
        <f>SUM(P19:P21)</f>
        <v>3791</v>
      </c>
      <c r="Q22" s="340">
        <f>SUM(Q19:Q21)</f>
        <v>15892</v>
      </c>
      <c r="R22" s="425">
        <f>SUM(R19:R21)</f>
        <v>137512.5</v>
      </c>
      <c r="S22"/>
      <c r="T22"/>
    </row>
    <row r="23" spans="1:20" ht="9" customHeight="1">
      <c r="A23" s="102"/>
      <c r="B23" s="341"/>
      <c r="C23" s="341"/>
      <c r="D23" s="341"/>
      <c r="E23" s="341" t="s">
        <v>0</v>
      </c>
      <c r="F23" s="341"/>
      <c r="G23" s="341"/>
      <c r="H23" s="341"/>
      <c r="I23" s="341"/>
      <c r="J23" s="341"/>
      <c r="K23" s="343"/>
      <c r="L23" s="1110"/>
      <c r="M23" s="341"/>
      <c r="N23" s="343" t="s">
        <v>0</v>
      </c>
      <c r="O23" s="341"/>
      <c r="P23" s="341"/>
      <c r="Q23" s="343"/>
      <c r="R23" s="343"/>
      <c r="S23"/>
      <c r="T23"/>
    </row>
    <row r="24" spans="1:20" ht="18.75">
      <c r="A24" s="102" t="s">
        <v>337</v>
      </c>
      <c r="B24" s="338">
        <f>+B16+B22</f>
        <v>295.79999999999995</v>
      </c>
      <c r="C24" s="338">
        <f>+C16+C22</f>
        <v>31038</v>
      </c>
      <c r="D24" s="338">
        <f>+D16+D22</f>
        <v>11012.699999999999</v>
      </c>
      <c r="E24" s="338">
        <f>+E16+E22</f>
        <v>41637</v>
      </c>
      <c r="F24" s="338">
        <f t="shared" ref="F24:M24" si="3">+F16+F22</f>
        <v>24394</v>
      </c>
      <c r="G24" s="338">
        <f t="shared" si="3"/>
        <v>42168.3</v>
      </c>
      <c r="H24" s="338">
        <f t="shared" si="3"/>
        <v>31912</v>
      </c>
      <c r="I24" s="338">
        <f t="shared" si="3"/>
        <v>116522.5</v>
      </c>
      <c r="J24" s="338">
        <f t="shared" si="3"/>
        <v>81370.2</v>
      </c>
      <c r="K24" s="340">
        <f t="shared" si="3"/>
        <v>380350.50000000006</v>
      </c>
      <c r="L24" s="338">
        <f t="shared" si="3"/>
        <v>65.899999999999991</v>
      </c>
      <c r="M24" s="338">
        <f t="shared" si="3"/>
        <v>13731.400000000001</v>
      </c>
      <c r="N24" s="340">
        <f>+L24+M24</f>
        <v>13797.300000000001</v>
      </c>
      <c r="O24" s="338">
        <f>+O16+O22</f>
        <v>32133</v>
      </c>
      <c r="P24" s="338">
        <f>+P16+P22</f>
        <v>21576</v>
      </c>
      <c r="Q24" s="340">
        <f>+Q16+Q22</f>
        <v>53709</v>
      </c>
      <c r="R24" s="425">
        <f>+R16+R22</f>
        <v>447856.80000000005</v>
      </c>
      <c r="S24"/>
      <c r="T24"/>
    </row>
    <row r="25" spans="1:20" ht="9.6" customHeight="1">
      <c r="A25" s="102"/>
      <c r="B25" s="338"/>
      <c r="C25" s="338"/>
      <c r="D25" s="338"/>
      <c r="E25" s="338" t="s">
        <v>0</v>
      </c>
      <c r="F25" s="338"/>
      <c r="G25" s="338"/>
      <c r="H25" s="338"/>
      <c r="I25" s="338"/>
      <c r="J25" s="338"/>
      <c r="K25" s="340"/>
      <c r="L25" s="1109"/>
      <c r="M25" s="338"/>
      <c r="N25" s="340"/>
      <c r="O25" s="338"/>
      <c r="P25" s="338"/>
      <c r="Q25" s="340"/>
      <c r="R25" s="340"/>
      <c r="S25"/>
      <c r="T25"/>
    </row>
    <row r="26" spans="1:20" ht="18.75">
      <c r="A26" s="102" t="s">
        <v>338</v>
      </c>
      <c r="B26" s="338">
        <f>+'BICHRÉSULT     '!B65</f>
        <v>0</v>
      </c>
      <c r="C26" s="338">
        <f>+'bncrésult '!B65</f>
        <v>0</v>
      </c>
      <c r="D26" s="338">
        <f>+'BPHRÉSULT  '!B65</f>
        <v>1800</v>
      </c>
      <c r="E26" s="338">
        <f>+buhrésult!B65</f>
        <v>2499</v>
      </c>
      <c r="F26" s="338">
        <f>+'CAPITALBKRÉSULT      '!B65</f>
        <v>750</v>
      </c>
      <c r="G26" s="338">
        <f>+'PROMOBKRÉSULT    '!B65</f>
        <v>0</v>
      </c>
      <c r="H26" s="338">
        <f>+SOCABKRÉSULT!B65</f>
        <v>2300</v>
      </c>
      <c r="I26" s="338">
        <f>+SOGEBKRÉSULT!B65</f>
        <v>3000</v>
      </c>
      <c r="J26" s="338">
        <f>+'UNIBKRÉSULT   '!B65</f>
        <v>4350</v>
      </c>
      <c r="K26" s="340">
        <f>SUM(B26:J26)</f>
        <v>14699</v>
      </c>
      <c r="L26" s="1112">
        <f>+BHdRÉSULT!B25</f>
        <v>143.80000000000001</v>
      </c>
      <c r="M26" s="338">
        <f>+'SGBELRÉSULT       '!B65</f>
        <v>1278.4000000000001</v>
      </c>
      <c r="N26" s="340">
        <f>+L26+M26</f>
        <v>1422.2</v>
      </c>
      <c r="O26" s="338">
        <f>+'CBNARÉSULT         '!B65</f>
        <v>0</v>
      </c>
      <c r="P26" s="338">
        <f>+'SCOTIARÉSULT         '!B65</f>
        <v>838</v>
      </c>
      <c r="Q26" s="340">
        <f>SUM(O26:P26)</f>
        <v>838</v>
      </c>
      <c r="R26" s="340">
        <f>+K26+N26+Q26</f>
        <v>16959.2</v>
      </c>
      <c r="S26"/>
      <c r="T26"/>
    </row>
    <row r="27" spans="1:20" ht="9.6" customHeight="1">
      <c r="A27" s="102"/>
      <c r="B27" s="338"/>
      <c r="C27" s="338" t="s">
        <v>0</v>
      </c>
      <c r="D27" s="338"/>
      <c r="E27" s="338" t="s">
        <v>0</v>
      </c>
      <c r="F27" s="338"/>
      <c r="G27" s="338"/>
      <c r="H27" s="338"/>
      <c r="I27" s="338"/>
      <c r="J27" s="338"/>
      <c r="K27" s="340"/>
      <c r="L27" s="1109"/>
      <c r="M27" s="338"/>
      <c r="N27" s="340"/>
      <c r="O27" s="338"/>
      <c r="P27" s="338"/>
      <c r="Q27" s="340"/>
      <c r="R27" s="340"/>
      <c r="S27"/>
      <c r="T27"/>
    </row>
    <row r="28" spans="1:20" ht="18.75">
      <c r="A28" s="102" t="s">
        <v>339</v>
      </c>
      <c r="B28" s="341"/>
      <c r="C28" s="341"/>
      <c r="D28" s="341"/>
      <c r="E28" s="341" t="s">
        <v>0</v>
      </c>
      <c r="F28" s="341"/>
      <c r="G28" s="341"/>
      <c r="H28" s="341"/>
      <c r="I28" s="341"/>
      <c r="J28" s="341"/>
      <c r="K28" s="343"/>
      <c r="L28" s="1110"/>
      <c r="M28" s="341"/>
      <c r="N28" s="343"/>
      <c r="O28" s="341"/>
      <c r="P28" s="341"/>
      <c r="Q28" s="343"/>
      <c r="R28" s="343"/>
      <c r="S28"/>
      <c r="T28"/>
    </row>
    <row r="29" spans="1:20" ht="18.75">
      <c r="A29" s="102" t="s">
        <v>340</v>
      </c>
      <c r="B29" s="338">
        <f>+B24-B26</f>
        <v>295.79999999999995</v>
      </c>
      <c r="C29" s="338">
        <f>+C24-C26</f>
        <v>31038</v>
      </c>
      <c r="D29" s="338">
        <f>+D24-D26</f>
        <v>9212.6999999999989</v>
      </c>
      <c r="E29" s="338">
        <f>+E24-E26</f>
        <v>39138</v>
      </c>
      <c r="F29" s="338">
        <f t="shared" ref="F29:M29" si="4">+F24-F26</f>
        <v>23644</v>
      </c>
      <c r="G29" s="338">
        <f t="shared" si="4"/>
        <v>42168.3</v>
      </c>
      <c r="H29" s="338">
        <f t="shared" si="4"/>
        <v>29612</v>
      </c>
      <c r="I29" s="338">
        <f t="shared" si="4"/>
        <v>113522.5</v>
      </c>
      <c r="J29" s="338">
        <f t="shared" si="4"/>
        <v>77020.2</v>
      </c>
      <c r="K29" s="340">
        <f t="shared" si="4"/>
        <v>365651.50000000006</v>
      </c>
      <c r="L29" s="338">
        <f t="shared" si="4"/>
        <v>-77.90000000000002</v>
      </c>
      <c r="M29" s="338">
        <f t="shared" si="4"/>
        <v>12453.000000000002</v>
      </c>
      <c r="N29" s="340">
        <f>+L29+M29</f>
        <v>12375.100000000002</v>
      </c>
      <c r="O29" s="338">
        <f>+O24-O26</f>
        <v>32133</v>
      </c>
      <c r="P29" s="338">
        <f>+P24-P26</f>
        <v>20738</v>
      </c>
      <c r="Q29" s="340">
        <f>+Q24-Q26</f>
        <v>52871</v>
      </c>
      <c r="R29" s="425">
        <f>+R24-R26</f>
        <v>430897.60000000003</v>
      </c>
      <c r="S29"/>
      <c r="T29"/>
    </row>
    <row r="30" spans="1:20" ht="9" customHeight="1">
      <c r="A30" s="102"/>
      <c r="B30" s="338"/>
      <c r="C30" s="338"/>
      <c r="D30" s="338"/>
      <c r="E30" s="338" t="s">
        <v>0</v>
      </c>
      <c r="F30" s="338"/>
      <c r="G30" s="338"/>
      <c r="H30" s="339"/>
      <c r="I30" s="338"/>
      <c r="J30" s="338"/>
      <c r="K30" s="340"/>
      <c r="L30" s="1109"/>
      <c r="M30" s="338"/>
      <c r="N30" s="340"/>
      <c r="O30" s="338"/>
      <c r="P30" s="338"/>
      <c r="Q30" s="340"/>
      <c r="R30" s="340"/>
      <c r="S30"/>
      <c r="T30"/>
    </row>
    <row r="31" spans="1:20" ht="18.75">
      <c r="A31" s="102" t="s">
        <v>341</v>
      </c>
      <c r="B31" s="338"/>
      <c r="C31" s="338"/>
      <c r="D31" s="338"/>
      <c r="E31" s="338" t="s">
        <v>0</v>
      </c>
      <c r="F31" s="338"/>
      <c r="G31" s="338"/>
      <c r="H31" s="339"/>
      <c r="I31" s="338"/>
      <c r="J31" s="338"/>
      <c r="K31" s="340"/>
      <c r="L31" s="1109"/>
      <c r="M31" s="338"/>
      <c r="N31" s="340"/>
      <c r="O31" s="338"/>
      <c r="P31" s="338"/>
      <c r="Q31" s="340"/>
      <c r="R31" s="340"/>
      <c r="S31"/>
      <c r="T31"/>
    </row>
    <row r="32" spans="1:20" ht="18.75">
      <c r="A32" s="102" t="s">
        <v>342</v>
      </c>
      <c r="B32" s="338">
        <f>+'BICHRÉSULT     '!B71</f>
        <v>137.1</v>
      </c>
      <c r="C32" s="338">
        <f>+'bncrésult '!B71</f>
        <v>20469</v>
      </c>
      <c r="D32" s="338">
        <f>+'BPHRÉSULT  '!B71</f>
        <v>4988</v>
      </c>
      <c r="E32" s="338">
        <f>+buhrésult!B71</f>
        <v>15771</v>
      </c>
      <c r="F32" s="338">
        <f>+'CAPITALBKRÉSULT      '!B71</f>
        <v>7604</v>
      </c>
      <c r="G32" s="338">
        <f>+'PROMOBKRÉSULT    '!B71</f>
        <v>11379.7</v>
      </c>
      <c r="H32" s="338">
        <f>+SOCABKRÉSULT!B71</f>
        <v>8801.2000000000007</v>
      </c>
      <c r="I32" s="338">
        <f>+SOGEBKRÉSULT!B71</f>
        <v>44529.2</v>
      </c>
      <c r="J32" s="338">
        <f>+'UNIBKRÉSULT   '!B71</f>
        <v>26150.799999999999</v>
      </c>
      <c r="K32" s="340">
        <f>SUM(B32:J32)</f>
        <v>139830</v>
      </c>
      <c r="L32" s="1112">
        <f>+BHdRÉSULT!B31</f>
        <v>506.9</v>
      </c>
      <c r="M32" s="338">
        <f>+'SGBELRÉSULT       '!B71</f>
        <v>3282.2</v>
      </c>
      <c r="N32" s="340">
        <f>+L32+M32</f>
        <v>3789.1</v>
      </c>
      <c r="O32" s="338">
        <f>+'CBNARÉSULT         '!B71</f>
        <v>7428</v>
      </c>
      <c r="P32" s="338">
        <f>+'SCOTIARÉSULT         '!B71</f>
        <v>8636</v>
      </c>
      <c r="Q32" s="340">
        <f>SUM(O32:P32)</f>
        <v>16064</v>
      </c>
      <c r="R32" s="340">
        <f>+K32+N32+Q32</f>
        <v>159683.1</v>
      </c>
      <c r="S32"/>
      <c r="T32"/>
    </row>
    <row r="33" spans="1:21" ht="18.75">
      <c r="A33" s="102" t="s">
        <v>343</v>
      </c>
      <c r="B33" s="338">
        <f>+'BICHRÉSULT     '!B72</f>
        <v>12</v>
      </c>
      <c r="C33" s="338">
        <f>+'bncrésult '!B72</f>
        <v>287</v>
      </c>
      <c r="D33" s="338">
        <f>+'BPHRÉSULT  '!B72</f>
        <v>202.7</v>
      </c>
      <c r="E33" s="338">
        <f>+buhrésult!B72</f>
        <v>2358</v>
      </c>
      <c r="F33" s="338">
        <f>+'CAPITALBKRÉSULT      '!B72</f>
        <v>1083</v>
      </c>
      <c r="G33" s="338">
        <f>+'PROMOBKRÉSULT    '!B72</f>
        <v>2662.6</v>
      </c>
      <c r="H33" s="338">
        <f>+SOCABKRÉSULT!B72</f>
        <v>840.3</v>
      </c>
      <c r="I33" s="338">
        <f>+SOGEBKRÉSULT!B72</f>
        <v>2276.9</v>
      </c>
      <c r="J33" s="338">
        <f>+'UNIBKRÉSULT   '!B72</f>
        <v>2490.1999999999998</v>
      </c>
      <c r="K33" s="340">
        <f>SUM(B33:J33)</f>
        <v>12212.7</v>
      </c>
      <c r="L33" s="1112">
        <f>+BHdRÉSULT!B32</f>
        <v>78.2</v>
      </c>
      <c r="M33" s="338">
        <f>+'SGBELRÉSULT       '!B72</f>
        <v>702.3</v>
      </c>
      <c r="N33" s="340">
        <f>+L33+M33</f>
        <v>780.5</v>
      </c>
      <c r="O33" s="338">
        <f>+'CBNARÉSULT         '!B72</f>
        <v>1700</v>
      </c>
      <c r="P33" s="338">
        <f>+'SCOTIARÉSULT         '!B72</f>
        <v>1482</v>
      </c>
      <c r="Q33" s="340">
        <f>SUM(O33:P33)</f>
        <v>3182</v>
      </c>
      <c r="R33" s="340">
        <f>+K33+N33+Q33</f>
        <v>16175.2</v>
      </c>
      <c r="S33"/>
      <c r="T33"/>
    </row>
    <row r="34" spans="1:21" ht="18.75">
      <c r="A34" s="102" t="s">
        <v>344</v>
      </c>
      <c r="B34" s="338">
        <f>+'BICHRÉSULT     '!B73</f>
        <v>3.3</v>
      </c>
      <c r="C34" s="338">
        <f>+'bncrésult '!B73</f>
        <v>4488</v>
      </c>
      <c r="D34" s="338">
        <f>+'BPHRÉSULT  '!B73</f>
        <v>1408.8</v>
      </c>
      <c r="E34" s="338">
        <f>+buhrésult!B73</f>
        <v>7225</v>
      </c>
      <c r="F34" s="338">
        <f>+'CAPITALBKRÉSULT      '!B73</f>
        <v>3071</v>
      </c>
      <c r="G34" s="338">
        <f>+'PROMOBKRÉSULT    '!B73</f>
        <v>3960.6</v>
      </c>
      <c r="H34" s="338">
        <f>+SOCABKRÉSULT!B73</f>
        <v>1909.8</v>
      </c>
      <c r="I34" s="338">
        <f>+SOGEBKRÉSULT!B73</f>
        <v>16482.099999999999</v>
      </c>
      <c r="J34" s="338">
        <f>+'UNIBKRÉSULT   '!B73</f>
        <v>7628.3</v>
      </c>
      <c r="K34" s="340">
        <f>SUM(B34:J34)</f>
        <v>46176.9</v>
      </c>
      <c r="L34" s="1112">
        <f>+BHdRÉSULT!B33</f>
        <v>122.1</v>
      </c>
      <c r="M34" s="338">
        <f>+'SGBELRÉSULT       '!B73</f>
        <v>556.20000000000005</v>
      </c>
      <c r="N34" s="340">
        <f>+L34+M34</f>
        <v>678.30000000000007</v>
      </c>
      <c r="O34" s="338">
        <f>+'CBNARÉSULT         '!B73</f>
        <v>1524</v>
      </c>
      <c r="P34" s="338">
        <f>+'SCOTIARÉSULT         '!B73</f>
        <v>1381</v>
      </c>
      <c r="Q34" s="340">
        <f>SUM(O34:P34)</f>
        <v>2905</v>
      </c>
      <c r="R34" s="340">
        <f>+K34+N34+Q34</f>
        <v>49760.200000000004</v>
      </c>
      <c r="S34"/>
      <c r="T34"/>
    </row>
    <row r="35" spans="1:21" ht="18.75">
      <c r="A35" s="102" t="s">
        <v>345</v>
      </c>
      <c r="B35" s="341">
        <f>+'BICHRÉSULT     '!B74</f>
        <v>87.7</v>
      </c>
      <c r="C35" s="341">
        <f>+'bncrésult '!B74</f>
        <v>7048</v>
      </c>
      <c r="D35" s="341">
        <f>+'BPHRÉSULT  '!B74</f>
        <v>2320.6999999999998</v>
      </c>
      <c r="E35" s="341">
        <f>+buhrésult!B74</f>
        <v>15811</v>
      </c>
      <c r="F35" s="341">
        <f>+'CAPITALBKRÉSULT      '!B74</f>
        <v>7574</v>
      </c>
      <c r="G35" s="341">
        <f>+'PROMOBKRÉSULT    '!B74</f>
        <v>11731.7</v>
      </c>
      <c r="H35" s="341">
        <f>+SOCABKRÉSULT!B74</f>
        <v>11556.7</v>
      </c>
      <c r="I35" s="341">
        <f>+SOGEBKRÉSULT!B74</f>
        <v>30327.3</v>
      </c>
      <c r="J35" s="1114">
        <f>+'UNIBKRÉSULT   '!B74</f>
        <v>24206.1</v>
      </c>
      <c r="K35" s="343">
        <f>SUM(B35:J35)</f>
        <v>110663.20000000001</v>
      </c>
      <c r="L35" s="1113">
        <f>+BHdRÉSULT!B34</f>
        <v>411.8</v>
      </c>
      <c r="M35" s="1114">
        <f>+'SGBELRÉSULT       '!B74</f>
        <v>2402.8000000000002</v>
      </c>
      <c r="N35" s="343">
        <f>+L35+M35</f>
        <v>2814.6000000000004</v>
      </c>
      <c r="O35" s="341">
        <f>+'CBNARÉSULT         '!B74</f>
        <v>4391</v>
      </c>
      <c r="P35" s="1114">
        <f>+'SCOTIARÉSULT         '!B74</f>
        <v>7047</v>
      </c>
      <c r="Q35" s="343">
        <f>SUM(O35:P35)</f>
        <v>11438</v>
      </c>
      <c r="R35" s="343">
        <f>+K35+N35+Q35</f>
        <v>124915.80000000002</v>
      </c>
      <c r="S35"/>
      <c r="T35"/>
    </row>
    <row r="36" spans="1:21" ht="18.75">
      <c r="A36" s="102"/>
      <c r="B36" s="338">
        <f>SUM(B32:B35)</f>
        <v>240.10000000000002</v>
      </c>
      <c r="C36" s="338">
        <f>SUM(C32:C35)</f>
        <v>32292</v>
      </c>
      <c r="D36" s="338">
        <f>SUM(D32:D35)</f>
        <v>8920.2000000000007</v>
      </c>
      <c r="E36" s="338">
        <f>SUM(E32:E35)</f>
        <v>41165</v>
      </c>
      <c r="F36" s="338">
        <f t="shared" ref="F36:M36" si="5">SUM(F32:F35)</f>
        <v>19332</v>
      </c>
      <c r="G36" s="338">
        <f t="shared" si="5"/>
        <v>29734.600000000002</v>
      </c>
      <c r="H36" s="338">
        <f t="shared" si="5"/>
        <v>23108</v>
      </c>
      <c r="I36" s="338">
        <f t="shared" si="5"/>
        <v>93615.5</v>
      </c>
      <c r="J36" s="338">
        <f t="shared" si="5"/>
        <v>60475.4</v>
      </c>
      <c r="K36" s="340">
        <f t="shared" si="5"/>
        <v>308882.80000000005</v>
      </c>
      <c r="L36" s="338">
        <f t="shared" si="5"/>
        <v>1119</v>
      </c>
      <c r="M36" s="338">
        <f t="shared" si="5"/>
        <v>6943.5</v>
      </c>
      <c r="N36" s="340">
        <f>+L36+M36</f>
        <v>8062.5</v>
      </c>
      <c r="O36" s="338">
        <f>SUM(O32:O35)</f>
        <v>15043</v>
      </c>
      <c r="P36" s="338">
        <f>SUM(P32:P35)</f>
        <v>18546</v>
      </c>
      <c r="Q36" s="340">
        <f>SUM(Q32:Q35)</f>
        <v>33589</v>
      </c>
      <c r="R36" s="340">
        <f>SUM(R32:R35)</f>
        <v>350534.30000000005</v>
      </c>
      <c r="S36"/>
      <c r="T36"/>
    </row>
    <row r="37" spans="1:21" ht="8.4499999999999993" customHeight="1">
      <c r="A37" s="102"/>
      <c r="B37" s="341"/>
      <c r="C37" s="341"/>
      <c r="D37" s="341"/>
      <c r="E37" s="341"/>
      <c r="F37" s="341"/>
      <c r="G37" s="341"/>
      <c r="H37" s="342"/>
      <c r="I37" s="341"/>
      <c r="J37" s="341"/>
      <c r="K37" s="343"/>
      <c r="L37" s="1110"/>
      <c r="M37" s="341"/>
      <c r="N37" s="343"/>
      <c r="O37" s="341"/>
      <c r="P37" s="341"/>
      <c r="Q37" s="343"/>
      <c r="R37" s="343"/>
      <c r="S37"/>
      <c r="T37"/>
    </row>
    <row r="38" spans="1:21" ht="18.75">
      <c r="A38" s="102" t="s">
        <v>346</v>
      </c>
      <c r="B38" s="338">
        <f>+B29-B36</f>
        <v>55.699999999999932</v>
      </c>
      <c r="C38" s="338">
        <f>+C29-C36</f>
        <v>-1254</v>
      </c>
      <c r="D38" s="338">
        <f>+D29-D36</f>
        <v>292.49999999999818</v>
      </c>
      <c r="E38" s="338">
        <f>+E29-E36</f>
        <v>-2027</v>
      </c>
      <c r="F38" s="338">
        <f t="shared" ref="F38:M38" si="6">+F29-F36</f>
        <v>4312</v>
      </c>
      <c r="G38" s="338">
        <f t="shared" si="6"/>
        <v>12433.7</v>
      </c>
      <c r="H38" s="338">
        <f t="shared" si="6"/>
        <v>6504</v>
      </c>
      <c r="I38" s="510">
        <f t="shared" si="6"/>
        <v>19907</v>
      </c>
      <c r="J38" s="509">
        <f t="shared" si="6"/>
        <v>16544.799999999996</v>
      </c>
      <c r="K38" s="340">
        <f t="shared" si="6"/>
        <v>56768.700000000012</v>
      </c>
      <c r="L38" s="338">
        <f t="shared" si="6"/>
        <v>-1196.9000000000001</v>
      </c>
      <c r="M38" s="338">
        <f t="shared" si="6"/>
        <v>5509.5000000000018</v>
      </c>
      <c r="N38" s="340">
        <f>+L38+M38</f>
        <v>4312.6000000000022</v>
      </c>
      <c r="O38" s="338">
        <f>+O29-O36</f>
        <v>17090</v>
      </c>
      <c r="P38" s="338">
        <f>+P29-P36</f>
        <v>2192</v>
      </c>
      <c r="Q38" s="340">
        <f>+Q29-Q36</f>
        <v>19282</v>
      </c>
      <c r="R38" s="340">
        <f>+R29-R36</f>
        <v>80363.299999999988</v>
      </c>
      <c r="S38"/>
      <c r="T38"/>
    </row>
    <row r="39" spans="1:21" ht="10.15" customHeight="1">
      <c r="A39" s="102"/>
      <c r="B39" s="338"/>
      <c r="C39" s="338"/>
      <c r="D39" s="338"/>
      <c r="E39" s="338" t="s">
        <v>0</v>
      </c>
      <c r="F39" s="338"/>
      <c r="G39" s="338"/>
      <c r="H39" s="339"/>
      <c r="I39" s="338"/>
      <c r="J39" s="338"/>
      <c r="K39" s="340"/>
      <c r="L39" s="1109"/>
      <c r="M39" s="338"/>
      <c r="N39" s="340"/>
      <c r="O39" s="338"/>
      <c r="P39" s="338"/>
      <c r="Q39" s="340"/>
      <c r="R39" s="340"/>
      <c r="S39"/>
      <c r="T39"/>
    </row>
    <row r="40" spans="1:21" ht="18.75">
      <c r="A40" s="102" t="s">
        <v>347</v>
      </c>
      <c r="B40" s="338">
        <f>+'BICHRÉSULT     '!B79</f>
        <v>18.600000000000001</v>
      </c>
      <c r="C40" s="338">
        <f>+'bncrésult '!B79</f>
        <v>0</v>
      </c>
      <c r="D40" s="338">
        <f>+'BPHRÉSULT  '!B79</f>
        <v>0</v>
      </c>
      <c r="E40" s="338">
        <f>+buhrésult!B79</f>
        <v>-710</v>
      </c>
      <c r="F40" s="338">
        <f>+'CAPITALBKRÉSULT      '!B79</f>
        <v>0</v>
      </c>
      <c r="G40" s="338">
        <f>+'PROMOBKRÉSULT    '!B79</f>
        <v>3584.5</v>
      </c>
      <c r="H40" s="338">
        <f>+SOCABKRÉSULT!B79</f>
        <v>700</v>
      </c>
      <c r="I40" s="338">
        <f>+SOGEBKRÉSULT!B79</f>
        <v>3662.4</v>
      </c>
      <c r="J40" s="338">
        <f>+'UNIBKRÉSULT   '!B79</f>
        <v>5143.1000000000004</v>
      </c>
      <c r="K40" s="340">
        <f>SUM(B40:J40)</f>
        <v>12398.6</v>
      </c>
      <c r="L40" s="1112">
        <f>+BHdRÉSULT!B39</f>
        <v>0</v>
      </c>
      <c r="M40" s="338">
        <f>+'SGBELRÉSULT       '!B79</f>
        <v>1666.9</v>
      </c>
      <c r="N40" s="340">
        <f>+L40+M40</f>
        <v>1666.9</v>
      </c>
      <c r="O40" s="338">
        <f>+'CBNARÉSULT         '!B79</f>
        <v>5773</v>
      </c>
      <c r="P40" s="338">
        <f>+'SCOTIARÉSULT         '!B79</f>
        <v>951</v>
      </c>
      <c r="Q40" s="340">
        <f>SUM(O40:P40)</f>
        <v>6724</v>
      </c>
      <c r="R40" s="340">
        <f>+K40+N40+Q40</f>
        <v>20789.5</v>
      </c>
      <c r="S40"/>
      <c r="T40"/>
    </row>
    <row r="41" spans="1:21" ht="17.45" customHeight="1" thickBot="1">
      <c r="A41" s="102" t="s">
        <v>0</v>
      </c>
      <c r="B41" s="347" t="s">
        <v>0</v>
      </c>
      <c r="C41" s="347" t="s">
        <v>0</v>
      </c>
      <c r="D41" s="347"/>
      <c r="E41" s="347" t="s">
        <v>0</v>
      </c>
      <c r="F41" s="347"/>
      <c r="G41" s="347" t="s">
        <v>0</v>
      </c>
      <c r="H41" s="348" t="s">
        <v>0</v>
      </c>
      <c r="I41" s="347" t="s">
        <v>0</v>
      </c>
      <c r="J41" s="347" t="s">
        <v>0</v>
      </c>
      <c r="K41" s="349" t="s">
        <v>0</v>
      </c>
      <c r="L41" s="1111"/>
      <c r="M41" s="347"/>
      <c r="N41" s="349"/>
      <c r="O41" s="347"/>
      <c r="P41" s="347"/>
      <c r="Q41" s="349"/>
      <c r="R41" s="349" t="str">
        <f>+K41</f>
        <v xml:space="preserve"> </v>
      </c>
      <c r="S41" t="s">
        <v>0</v>
      </c>
      <c r="T41"/>
    </row>
    <row r="42" spans="1:21" ht="18.75">
      <c r="A42" s="183" t="s">
        <v>427</v>
      </c>
      <c r="B42" s="344">
        <f>+B38-B40</f>
        <v>37.09999999999993</v>
      </c>
      <c r="C42" s="344">
        <f>+C38-C40</f>
        <v>-1254</v>
      </c>
      <c r="D42" s="344">
        <f>+D38-D40</f>
        <v>292.49999999999818</v>
      </c>
      <c r="E42" s="344">
        <f>+E38-E40</f>
        <v>-1317</v>
      </c>
      <c r="F42" s="344">
        <f t="shared" ref="F42:M42" si="7">+F38-F40</f>
        <v>4312</v>
      </c>
      <c r="G42" s="344">
        <f t="shared" si="7"/>
        <v>8849.2000000000007</v>
      </c>
      <c r="H42" s="344">
        <f t="shared" si="7"/>
        <v>5804</v>
      </c>
      <c r="I42" s="344">
        <f t="shared" si="7"/>
        <v>16244.6</v>
      </c>
      <c r="J42" s="344">
        <f t="shared" si="7"/>
        <v>11401.699999999995</v>
      </c>
      <c r="K42" s="340">
        <f t="shared" si="7"/>
        <v>44370.100000000013</v>
      </c>
      <c r="L42" s="344">
        <f t="shared" si="7"/>
        <v>-1196.9000000000001</v>
      </c>
      <c r="M42" s="344">
        <f t="shared" si="7"/>
        <v>3842.6000000000017</v>
      </c>
      <c r="N42" s="340">
        <f>+L42+M42</f>
        <v>2645.7000000000016</v>
      </c>
      <c r="O42" s="344">
        <f>+O38-O40</f>
        <v>11317</v>
      </c>
      <c r="P42" s="344">
        <f>+P38-P40</f>
        <v>1241</v>
      </c>
      <c r="Q42" s="340">
        <f>+Q38-Q40</f>
        <v>12558</v>
      </c>
      <c r="R42" s="340">
        <f>+R38-R40</f>
        <v>59573.799999999988</v>
      </c>
      <c r="S42"/>
      <c r="T42"/>
    </row>
    <row r="43" spans="1:21">
      <c r="A43" s="1"/>
      <c r="B43" s="60" t="s">
        <v>0</v>
      </c>
      <c r="C43" s="60"/>
      <c r="D43" s="60"/>
      <c r="E43" s="60"/>
      <c r="F43" s="60"/>
      <c r="G43" s="60"/>
      <c r="H43" s="60"/>
      <c r="I43" s="60"/>
      <c r="J43" s="60"/>
      <c r="K43" s="60"/>
      <c r="L43" s="60"/>
      <c r="M43" s="86"/>
      <c r="N43" s="60"/>
      <c r="O43" s="60"/>
      <c r="P43" s="86"/>
      <c r="Q43" s="60"/>
      <c r="R43" s="60"/>
      <c r="S43" s="86"/>
      <c r="T43" s="65"/>
    </row>
    <row r="44" spans="1:21" ht="7.9" customHeight="1" thickBot="1">
      <c r="A44" s="70"/>
      <c r="B44" s="71"/>
      <c r="C44" s="71"/>
      <c r="D44" s="71"/>
      <c r="E44" s="74" t="s">
        <v>0</v>
      </c>
      <c r="F44" s="71"/>
      <c r="G44" s="71"/>
      <c r="H44" s="71"/>
      <c r="I44" s="71"/>
      <c r="J44" s="71"/>
      <c r="K44" s="71"/>
      <c r="L44" s="71"/>
      <c r="M44" s="71"/>
      <c r="N44" s="71"/>
      <c r="O44" s="71"/>
      <c r="P44" s="71"/>
      <c r="Q44" s="71"/>
      <c r="R44" s="71"/>
      <c r="S44" s="71"/>
      <c r="T44" s="71"/>
      <c r="U44" s="30"/>
    </row>
    <row r="45" spans="1:21" ht="7.9" customHeight="1">
      <c r="A45" s="72"/>
      <c r="B45" s="73"/>
      <c r="C45" s="73"/>
      <c r="D45" s="73"/>
      <c r="E45" s="60" t="s">
        <v>0</v>
      </c>
      <c r="F45" s="73"/>
      <c r="G45" s="73"/>
      <c r="H45" s="73"/>
      <c r="I45" s="73"/>
      <c r="J45" s="73"/>
      <c r="K45" s="73"/>
      <c r="L45" s="73"/>
      <c r="M45" s="73"/>
      <c r="N45" s="73"/>
      <c r="O45" s="73"/>
      <c r="P45" s="73"/>
      <c r="Q45" s="69"/>
      <c r="R45" s="69"/>
      <c r="S45" s="69"/>
      <c r="T45" s="69"/>
    </row>
    <row r="46" spans="1:21" ht="7.9" customHeight="1">
      <c r="A46" s="72"/>
      <c r="B46" s="73"/>
      <c r="C46" s="73"/>
      <c r="D46" s="73"/>
      <c r="E46" s="60"/>
      <c r="F46" s="73"/>
      <c r="G46" s="73"/>
      <c r="H46" s="73"/>
      <c r="I46" s="73"/>
      <c r="J46" s="73"/>
      <c r="K46" s="73"/>
      <c r="L46" s="73"/>
      <c r="M46" s="73"/>
      <c r="N46" s="73"/>
      <c r="O46" s="73"/>
      <c r="P46" s="73"/>
      <c r="Q46" s="69"/>
      <c r="R46" s="69"/>
      <c r="S46" s="69"/>
      <c r="T46" s="69"/>
    </row>
    <row r="47" spans="1:21" ht="7.9" customHeight="1">
      <c r="A47" s="72"/>
      <c r="B47" s="73"/>
      <c r="C47" s="73"/>
      <c r="D47" s="73"/>
      <c r="E47" s="60"/>
      <c r="F47" s="73"/>
      <c r="G47" s="73"/>
      <c r="H47" s="73"/>
      <c r="I47" s="73"/>
      <c r="J47" s="73"/>
      <c r="K47" s="73"/>
      <c r="L47" s="73"/>
      <c r="M47" s="73"/>
      <c r="N47" s="73"/>
      <c r="O47" s="73"/>
      <c r="P47" s="73"/>
      <c r="Q47" s="69"/>
      <c r="R47" s="69"/>
      <c r="S47" s="69"/>
      <c r="T47" s="69"/>
    </row>
    <row r="48" spans="1:21" ht="16.5" thickBot="1">
      <c r="A48" s="1"/>
      <c r="B48" s="327" t="s">
        <v>98</v>
      </c>
      <c r="C48" s="327" t="s">
        <v>99</v>
      </c>
      <c r="D48" s="327" t="s">
        <v>126</v>
      </c>
      <c r="E48" s="229" t="s">
        <v>100</v>
      </c>
      <c r="F48" s="229" t="s">
        <v>101</v>
      </c>
      <c r="G48" s="327" t="s">
        <v>102</v>
      </c>
      <c r="H48" s="229" t="s">
        <v>103</v>
      </c>
      <c r="I48" s="229" t="s">
        <v>104</v>
      </c>
      <c r="J48" s="327" t="s">
        <v>105</v>
      </c>
      <c r="K48" s="327" t="s">
        <v>361</v>
      </c>
      <c r="L48" s="350" t="s">
        <v>362</v>
      </c>
      <c r="M48" s="229" t="s">
        <v>107</v>
      </c>
      <c r="N48" s="327" t="s">
        <v>108</v>
      </c>
      <c r="O48" s="351" t="s">
        <v>362</v>
      </c>
      <c r="P48" s="327" t="s">
        <v>109</v>
      </c>
      <c r="Q48" s="229" t="s">
        <v>110</v>
      </c>
      <c r="R48" s="350" t="s">
        <v>362</v>
      </c>
      <c r="S48" s="350" t="s">
        <v>111</v>
      </c>
    </row>
    <row r="49" spans="1:19">
      <c r="A49" s="2" t="s">
        <v>428</v>
      </c>
      <c r="B49" s="315"/>
      <c r="C49" s="315"/>
      <c r="D49" s="315"/>
      <c r="E49" s="316"/>
      <c r="F49" s="316"/>
      <c r="G49" s="315"/>
      <c r="H49" s="316"/>
      <c r="I49" s="316"/>
      <c r="J49" s="315"/>
      <c r="K49" s="315"/>
      <c r="L49" s="317"/>
      <c r="M49" s="316"/>
      <c r="N49" s="315"/>
      <c r="O49" s="318"/>
      <c r="P49" s="315"/>
      <c r="Q49" s="316"/>
      <c r="R49" s="317"/>
      <c r="S49" s="317"/>
    </row>
    <row r="50" spans="1:19">
      <c r="A50" s="2"/>
      <c r="B50" s="315"/>
      <c r="C50" s="315"/>
      <c r="D50" s="315"/>
      <c r="E50" s="316"/>
      <c r="F50" s="316"/>
      <c r="G50" s="315"/>
      <c r="H50" s="316"/>
      <c r="I50" s="316"/>
      <c r="J50" s="315"/>
      <c r="K50" s="315"/>
      <c r="L50" s="317"/>
      <c r="M50" s="316"/>
      <c r="N50" s="315"/>
      <c r="O50" s="318"/>
      <c r="P50" s="315"/>
      <c r="Q50" s="316"/>
      <c r="R50" s="317"/>
      <c r="S50" s="317"/>
    </row>
    <row r="51" spans="1:19">
      <c r="A51" s="102" t="s">
        <v>328</v>
      </c>
      <c r="B51" s="69"/>
      <c r="C51" s="69"/>
      <c r="D51" s="69"/>
      <c r="E51" s="69"/>
      <c r="F51" s="69"/>
      <c r="G51" s="69" t="s">
        <v>0</v>
      </c>
      <c r="H51" s="69"/>
      <c r="I51" s="69"/>
      <c r="J51" s="69"/>
      <c r="K51" s="69"/>
      <c r="L51" s="204"/>
      <c r="M51" s="69"/>
      <c r="N51" s="69"/>
      <c r="O51" s="204"/>
      <c r="P51" s="69"/>
      <c r="Q51" s="69"/>
      <c r="R51" s="204"/>
      <c r="S51" s="205"/>
    </row>
    <row r="52" spans="1:19">
      <c r="A52" s="102" t="s">
        <v>329</v>
      </c>
      <c r="B52" s="88" t="s">
        <v>0</v>
      </c>
      <c r="C52" s="88" t="str">
        <f>+'BIDCRÉSULT '!D49</f>
        <v xml:space="preserve"> </v>
      </c>
      <c r="D52" s="88"/>
      <c r="E52" s="88" t="s">
        <v>0</v>
      </c>
      <c r="F52" s="88" t="s">
        <v>0</v>
      </c>
      <c r="G52" s="88" t="s">
        <v>0</v>
      </c>
      <c r="H52" s="88" t="s">
        <v>0</v>
      </c>
      <c r="I52" s="110" t="s">
        <v>0</v>
      </c>
      <c r="J52" s="88" t="s">
        <v>0</v>
      </c>
      <c r="K52" s="88" t="s">
        <v>0</v>
      </c>
      <c r="L52" s="201" t="s">
        <v>0</v>
      </c>
      <c r="M52" s="88" t="s">
        <v>0</v>
      </c>
      <c r="N52" s="88" t="s">
        <v>0</v>
      </c>
      <c r="O52" s="201" t="s">
        <v>275</v>
      </c>
      <c r="P52" s="88" t="s">
        <v>0</v>
      </c>
      <c r="Q52" s="88" t="s">
        <v>0</v>
      </c>
      <c r="R52" s="201" t="s">
        <v>0</v>
      </c>
      <c r="S52" s="191" t="s">
        <v>0</v>
      </c>
    </row>
    <row r="53" spans="1:19" ht="18.75">
      <c r="A53" s="102" t="s">
        <v>330</v>
      </c>
      <c r="B53" s="338">
        <f>+'BICHRÉSULT     '!J10</f>
        <v>131.5</v>
      </c>
      <c r="C53" s="338">
        <f>+'BIDCRÉSULT '!J10</f>
        <v>33091.199999999997</v>
      </c>
      <c r="D53" s="338">
        <f>+BMHRÉSULT!J10</f>
        <v>517.79999999999995</v>
      </c>
      <c r="E53" s="338">
        <f>+'bncrésult '!J10</f>
        <v>20594</v>
      </c>
      <c r="F53" s="338">
        <f>+'BPHRÉSULT  '!J10</f>
        <v>11557.400000000001</v>
      </c>
      <c r="G53" s="338">
        <f>+buhrésult!J10</f>
        <v>35913</v>
      </c>
      <c r="H53" s="338">
        <f>+'PROMOBKRÉSULT    '!J10</f>
        <v>29025.600000000002</v>
      </c>
      <c r="I53" s="338">
        <f>+SOCABKRÉSULT!J10</f>
        <v>39785.800000000003</v>
      </c>
      <c r="J53" s="338">
        <f>+SOGEBKRÉSULT!J10</f>
        <v>57859.399999999994</v>
      </c>
      <c r="K53" s="338">
        <f>+'UNIBKRÉSULT   '!J10</f>
        <v>55663.8</v>
      </c>
      <c r="L53" s="340">
        <f>SUM(B53:K53)</f>
        <v>284139.5</v>
      </c>
      <c r="M53" s="338">
        <f>+'CAPITALBKRÉSULT      '!J10</f>
        <v>20768</v>
      </c>
      <c r="N53" s="338">
        <f>+'SGBELRÉSULT       '!J10</f>
        <v>13738.6</v>
      </c>
      <c r="O53" s="340">
        <f>SUM(M53:N53)</f>
        <v>34506.6</v>
      </c>
      <c r="P53" s="338">
        <f>+'CBNARÉSULT         '!J10</f>
        <v>30341</v>
      </c>
      <c r="Q53" s="338">
        <f>+'SCOTIARÉSULT         '!J10</f>
        <v>22917</v>
      </c>
      <c r="R53" s="340">
        <f>SUM(P53:Q53)</f>
        <v>53258</v>
      </c>
      <c r="S53" s="340">
        <f>+L53+O53+R53</f>
        <v>371904.1</v>
      </c>
    </row>
    <row r="54" spans="1:19" ht="18.75">
      <c r="A54" s="102" t="s">
        <v>354</v>
      </c>
      <c r="B54" s="338">
        <f>+'BICHRÉSULT     '!J11</f>
        <v>0</v>
      </c>
      <c r="C54" s="338">
        <f>+'BIDCRÉSULT '!J11</f>
        <v>2223</v>
      </c>
      <c r="D54" s="338">
        <f>+BMHRÉSULT!J11</f>
        <v>499.4</v>
      </c>
      <c r="E54" s="338">
        <f>+'bncrésult '!J11</f>
        <v>10006</v>
      </c>
      <c r="F54" s="338">
        <f>+'BPHRÉSULT  '!J11</f>
        <v>8554.7000000000007</v>
      </c>
      <c r="G54" s="338">
        <f>+buhrésult!J11</f>
        <v>10763</v>
      </c>
      <c r="H54" s="338">
        <f>+'PROMOBKRÉSULT    '!J11</f>
        <v>2424.4</v>
      </c>
      <c r="I54" s="338">
        <f>+SOCABKRÉSULT!J11</f>
        <v>3293.1</v>
      </c>
      <c r="J54" s="338">
        <f>+SOGEBKRÉSULT!J11</f>
        <v>29181.599999999999</v>
      </c>
      <c r="K54" s="338">
        <f>+'UNIBKRÉSULT   '!J11</f>
        <v>8362.5</v>
      </c>
      <c r="L54" s="340">
        <f>SUM(B54:K54)</f>
        <v>75307.7</v>
      </c>
      <c r="M54" s="338">
        <f>+'CAPITALBKRÉSULT      '!J11</f>
        <v>906</v>
      </c>
      <c r="N54" s="338">
        <f>+'SGBELRÉSULT       '!J11</f>
        <v>1572</v>
      </c>
      <c r="O54" s="340">
        <f>SUM(M54:N54)</f>
        <v>2478</v>
      </c>
      <c r="P54" s="338">
        <f>+'CBNARÉSULT         '!J11</f>
        <v>359</v>
      </c>
      <c r="Q54" s="338">
        <f>+'SCOTIARÉSULT         '!J11</f>
        <v>228</v>
      </c>
      <c r="R54" s="340">
        <f>SUM(P54:Q54)</f>
        <v>587</v>
      </c>
      <c r="S54" s="340">
        <f>+L54+O54+R54</f>
        <v>78372.7</v>
      </c>
    </row>
    <row r="55" spans="1:19" ht="18.75">
      <c r="A55" s="102" t="s">
        <v>332</v>
      </c>
      <c r="B55" s="341">
        <f>+'BICHRÉSULT     '!J12</f>
        <v>0</v>
      </c>
      <c r="C55" s="341">
        <f>+'BIDCRÉSULT '!J12</f>
        <v>802.4</v>
      </c>
      <c r="D55" s="341">
        <f>+BMHRÉSULT!J12</f>
        <v>97.1</v>
      </c>
      <c r="E55" s="341">
        <f>+'bncrésult '!J12</f>
        <v>0</v>
      </c>
      <c r="F55" s="341">
        <f>+'BPHRÉSULT  '!J12</f>
        <v>1230.3000000000002</v>
      </c>
      <c r="G55" s="341">
        <f>+buhrésult!J12</f>
        <v>2083</v>
      </c>
      <c r="H55" s="341">
        <f>+'PROMOBKRÉSULT    '!J12</f>
        <v>1333.7</v>
      </c>
      <c r="I55" s="341">
        <f>+SOCABKRÉSULT!J12</f>
        <v>2120.6000000000004</v>
      </c>
      <c r="J55" s="341">
        <f>+SOGEBKRÉSULT!J12</f>
        <v>7398.1</v>
      </c>
      <c r="K55" s="1114">
        <f>+'UNIBKRÉSULT   '!J12</f>
        <v>7454.0999999999995</v>
      </c>
      <c r="L55" s="343">
        <f>SUM(B55:K55)</f>
        <v>22519.3</v>
      </c>
      <c r="M55" s="341">
        <f>+'CAPITALBKRÉSULT      '!J12</f>
        <v>1019</v>
      </c>
      <c r="N55" s="1114">
        <f>+'SGBELRÉSULT       '!J12</f>
        <v>364.4</v>
      </c>
      <c r="O55" s="343">
        <f>SUM(M55:N55)</f>
        <v>1383.4</v>
      </c>
      <c r="P55" s="341">
        <f>+'CBNARÉSULT         '!J12</f>
        <v>0</v>
      </c>
      <c r="Q55" s="1114">
        <f>+'SCOTIARÉSULT         '!J12</f>
        <v>1132</v>
      </c>
      <c r="R55" s="343">
        <f>SUM(P55:Q55)</f>
        <v>1132</v>
      </c>
      <c r="S55" s="343">
        <f>+L55+O55+R55</f>
        <v>25034.7</v>
      </c>
    </row>
    <row r="56" spans="1:19" ht="18.75">
      <c r="A56" s="102"/>
      <c r="B56" s="338">
        <f t="shared" ref="B56:G56" si="8">SUM(B53:B55)</f>
        <v>131.5</v>
      </c>
      <c r="C56" s="338">
        <f t="shared" si="8"/>
        <v>36116.6</v>
      </c>
      <c r="D56" s="338">
        <f t="shared" si="8"/>
        <v>1114.3</v>
      </c>
      <c r="E56" s="338">
        <f t="shared" si="8"/>
        <v>30600</v>
      </c>
      <c r="F56" s="338">
        <f t="shared" si="8"/>
        <v>21342.400000000001</v>
      </c>
      <c r="G56" s="338">
        <f t="shared" si="8"/>
        <v>48759</v>
      </c>
      <c r="H56" s="338">
        <f>SUM(H53:H55)</f>
        <v>32783.700000000004</v>
      </c>
      <c r="I56" s="338">
        <f>SUM(I53:I55)</f>
        <v>45199.5</v>
      </c>
      <c r="J56" s="338">
        <f>SUM(J53:J55)</f>
        <v>94439.1</v>
      </c>
      <c r="K56" s="338">
        <f>SUM(K53:K55)</f>
        <v>71480.400000000009</v>
      </c>
      <c r="L56" s="340">
        <f t="shared" ref="L56:S56" si="9">SUM(L53:L55)</f>
        <v>381966.5</v>
      </c>
      <c r="M56" s="338">
        <f t="shared" si="9"/>
        <v>22693</v>
      </c>
      <c r="N56" s="338">
        <f t="shared" si="9"/>
        <v>15675</v>
      </c>
      <c r="O56" s="340">
        <f t="shared" si="9"/>
        <v>38368</v>
      </c>
      <c r="P56" s="345">
        <f t="shared" si="9"/>
        <v>30700</v>
      </c>
      <c r="Q56" s="345">
        <f t="shared" si="9"/>
        <v>24277</v>
      </c>
      <c r="R56" s="340">
        <f t="shared" si="9"/>
        <v>54977</v>
      </c>
      <c r="S56" s="340">
        <f t="shared" si="9"/>
        <v>475311.5</v>
      </c>
    </row>
    <row r="57" spans="1:19" ht="18.75">
      <c r="A57" s="102" t="s">
        <v>333</v>
      </c>
      <c r="B57" s="341">
        <f>+'BICHRÉSULT     '!J14</f>
        <v>31.1</v>
      </c>
      <c r="C57" s="341">
        <f>+'BIDCRÉSULT '!J14</f>
        <v>15941</v>
      </c>
      <c r="D57" s="341">
        <f>+BMHRÉSULT!J14</f>
        <v>203.7</v>
      </c>
      <c r="E57" s="341">
        <f>+'bncrésult '!J14</f>
        <v>11605</v>
      </c>
      <c r="F57" s="341">
        <f>+'BPHRÉSULT  '!J14</f>
        <v>13262</v>
      </c>
      <c r="G57" s="341">
        <f>+buhrésult!J14</f>
        <v>22424</v>
      </c>
      <c r="H57" s="341">
        <f>+'PROMOBKRÉSULT    '!J14</f>
        <v>17984.3</v>
      </c>
      <c r="I57" s="341">
        <f>+SOCABKRÉSULT!J14</f>
        <v>32816.5</v>
      </c>
      <c r="J57" s="341">
        <f>+SOGEBKRÉSULT!J14</f>
        <v>41214.300000000003</v>
      </c>
      <c r="K57" s="1114">
        <f>+'UNIBKRÉSULT   '!J14</f>
        <v>34211.5</v>
      </c>
      <c r="L57" s="343">
        <f>SUM(B57:K57)</f>
        <v>189693.40000000002</v>
      </c>
      <c r="M57" s="341">
        <f>+'CAPITALBKRÉSULT      '!J14</f>
        <v>7168</v>
      </c>
      <c r="N57" s="1114">
        <f>+'SGBELRÉSULT       '!J14</f>
        <v>9289.7000000000007</v>
      </c>
      <c r="O57" s="343">
        <f>SUM(M57:N57)</f>
        <v>16457.7</v>
      </c>
      <c r="P57" s="341">
        <f>+'CBNARÉSULT         '!J14</f>
        <v>14798</v>
      </c>
      <c r="Q57" s="1114">
        <f>+'SCOTIARÉSULT         '!J14</f>
        <v>8602</v>
      </c>
      <c r="R57" s="343">
        <f>SUM(P57:Q57)</f>
        <v>23400</v>
      </c>
      <c r="S57" s="343">
        <f>+L57+O57+R57</f>
        <v>229551.10000000003</v>
      </c>
    </row>
    <row r="58" spans="1:19" ht="18.75">
      <c r="A58" s="102"/>
      <c r="B58" s="338">
        <f t="shared" ref="B58:G58" si="10">+B56-B57</f>
        <v>100.4</v>
      </c>
      <c r="C58" s="338">
        <f t="shared" si="10"/>
        <v>20175.599999999999</v>
      </c>
      <c r="D58" s="338">
        <f t="shared" si="10"/>
        <v>910.59999999999991</v>
      </c>
      <c r="E58" s="338">
        <f t="shared" si="10"/>
        <v>18995</v>
      </c>
      <c r="F58" s="338">
        <f t="shared" si="10"/>
        <v>8080.4000000000015</v>
      </c>
      <c r="G58" s="338">
        <f t="shared" si="10"/>
        <v>26335</v>
      </c>
      <c r="H58" s="338">
        <f>+H56-H57</f>
        <v>14799.400000000005</v>
      </c>
      <c r="I58" s="338">
        <f>+I56-I57</f>
        <v>12383</v>
      </c>
      <c r="J58" s="338">
        <f>+J56-J57</f>
        <v>53224.800000000003</v>
      </c>
      <c r="K58" s="338">
        <f>+K56-K57</f>
        <v>37268.900000000009</v>
      </c>
      <c r="L58" s="340">
        <f t="shared" ref="L58:S58" si="11">+L56-L57</f>
        <v>192273.09999999998</v>
      </c>
      <c r="M58" s="338">
        <f t="shared" si="11"/>
        <v>15525</v>
      </c>
      <c r="N58" s="338">
        <f t="shared" si="11"/>
        <v>6385.2999999999993</v>
      </c>
      <c r="O58" s="340">
        <f t="shared" si="11"/>
        <v>21910.3</v>
      </c>
      <c r="P58" s="338">
        <f t="shared" si="11"/>
        <v>15902</v>
      </c>
      <c r="Q58" s="338">
        <f t="shared" si="11"/>
        <v>15675</v>
      </c>
      <c r="R58" s="340">
        <f t="shared" si="11"/>
        <v>31577</v>
      </c>
      <c r="S58" s="340">
        <f t="shared" si="11"/>
        <v>245760.39999999997</v>
      </c>
    </row>
    <row r="59" spans="1:19" ht="18.75">
      <c r="A59" s="102"/>
      <c r="B59" s="338"/>
      <c r="C59" s="338"/>
      <c r="D59" s="338"/>
      <c r="E59" s="338"/>
      <c r="F59" s="338"/>
      <c r="G59" s="338"/>
      <c r="H59" s="338"/>
      <c r="I59" s="339"/>
      <c r="J59" s="338"/>
      <c r="K59" s="338"/>
      <c r="L59" s="340"/>
      <c r="M59" s="338"/>
      <c r="N59" s="338"/>
      <c r="O59" s="340"/>
      <c r="P59" s="338"/>
      <c r="Q59" s="338"/>
      <c r="R59" s="340"/>
      <c r="S59" s="340"/>
    </row>
    <row r="60" spans="1:19" ht="18.75">
      <c r="A60" s="102" t="s">
        <v>334</v>
      </c>
      <c r="B60" s="338"/>
      <c r="C60" s="338"/>
      <c r="D60" s="338"/>
      <c r="E60" s="338"/>
      <c r="F60" s="338"/>
      <c r="G60" s="338"/>
      <c r="H60" s="338"/>
      <c r="I60" s="339"/>
      <c r="J60" s="338"/>
      <c r="K60" s="338"/>
      <c r="L60" s="340"/>
      <c r="M60" s="338"/>
      <c r="N60" s="338"/>
      <c r="O60" s="340" t="s">
        <v>0</v>
      </c>
      <c r="P60" s="338"/>
      <c r="Q60" s="338"/>
      <c r="R60" s="340"/>
      <c r="S60" s="340"/>
    </row>
    <row r="61" spans="1:19" ht="18.75">
      <c r="A61" s="102" t="s">
        <v>335</v>
      </c>
      <c r="B61" s="338">
        <f>+'BICHRÉSULT     '!J18</f>
        <v>19.8</v>
      </c>
      <c r="C61" s="338">
        <f>+'BIDCRÉSULT '!J18</f>
        <v>1655.8000000000002</v>
      </c>
      <c r="D61" s="338">
        <f>+BMHRÉSULT!J18</f>
        <v>27.1</v>
      </c>
      <c r="E61" s="338">
        <f>+'bncrésult '!J18</f>
        <v>4746</v>
      </c>
      <c r="F61" s="338">
        <f>+'BPHRÉSULT  '!J18</f>
        <v>1107.5999999999999</v>
      </c>
      <c r="G61" s="338">
        <f>+buhrésult!J18</f>
        <v>8206</v>
      </c>
      <c r="H61" s="338">
        <f>+'PROMOBKRÉSULT    '!J18</f>
        <v>5266.2000000000007</v>
      </c>
      <c r="I61" s="338">
        <f>+SOCABKRÉSULT!J18</f>
        <v>6496</v>
      </c>
      <c r="J61" s="338">
        <f>+SOGEBKRÉSULT!J18</f>
        <v>7284.7999999999993</v>
      </c>
      <c r="K61" s="338">
        <f>+'UNIBKRÉSULT   '!J18</f>
        <v>6906.0999999999995</v>
      </c>
      <c r="L61" s="340">
        <f>SUM(B61:K61)</f>
        <v>41715.4</v>
      </c>
      <c r="M61" s="338">
        <f>+'CAPITALBKRÉSULT      '!J18</f>
        <v>1026</v>
      </c>
      <c r="N61" s="338">
        <f>+'SGBELRÉSULT       '!J18</f>
        <v>1098.8</v>
      </c>
      <c r="O61" s="340">
        <f>SUM(M61:N61)</f>
        <v>2124.8000000000002</v>
      </c>
      <c r="P61" s="338">
        <f>+'CBNARÉSULT         '!J18</f>
        <v>4277</v>
      </c>
      <c r="Q61" s="338">
        <f>+'SCOTIARÉSULT         '!J18</f>
        <v>2160</v>
      </c>
      <c r="R61" s="340">
        <f>SUM(P61:Q61)</f>
        <v>6437</v>
      </c>
      <c r="S61" s="340">
        <f>+L61+O61+R61</f>
        <v>50277.200000000004</v>
      </c>
    </row>
    <row r="62" spans="1:19" ht="18.75">
      <c r="A62" s="102" t="s">
        <v>336</v>
      </c>
      <c r="B62" s="338">
        <f>+'BICHRÉSULT     '!J19</f>
        <v>0</v>
      </c>
      <c r="C62" s="338">
        <f>+'BIDCRÉSULT '!J19</f>
        <v>1446.6999999999998</v>
      </c>
      <c r="D62" s="338">
        <f>+BMHRÉSULT!J19</f>
        <v>289.89999999999998</v>
      </c>
      <c r="E62" s="338">
        <f>+'bncrésult '!J19</f>
        <v>32</v>
      </c>
      <c r="F62" s="338">
        <f>+'BPHRÉSULT  '!J19</f>
        <v>4579.6000000000004</v>
      </c>
      <c r="G62" s="338">
        <f>+buhrésult!J19</f>
        <v>3234</v>
      </c>
      <c r="H62" s="338">
        <f>+'PROMOBKRÉSULT    '!J19</f>
        <v>4735.8999999999996</v>
      </c>
      <c r="I62" s="338">
        <f>+SOCABKRÉSULT!J19</f>
        <v>3959.3</v>
      </c>
      <c r="J62" s="338">
        <f>+SOGEBKRÉSULT!J19</f>
        <v>14561.7</v>
      </c>
      <c r="K62" s="338">
        <f>+'UNIBKRÉSULT   '!J19</f>
        <v>9870.2000000000007</v>
      </c>
      <c r="L62" s="340">
        <f>SUM(B62:K62)</f>
        <v>42709.3</v>
      </c>
      <c r="M62" s="338">
        <f>+'CAPITALBKRÉSULT      '!J19</f>
        <v>1861</v>
      </c>
      <c r="N62" s="338">
        <f>+'SGBELRÉSULT       '!J19</f>
        <v>657.3</v>
      </c>
      <c r="O62" s="340">
        <f>SUM(M62:N62)</f>
        <v>2518.3000000000002</v>
      </c>
      <c r="P62" s="338">
        <f>+'CBNARÉSULT         '!J19</f>
        <v>3127</v>
      </c>
      <c r="Q62" s="338">
        <f>+'SCOTIARÉSULT         '!J19</f>
        <v>1196</v>
      </c>
      <c r="R62" s="340">
        <f>SUM(P62:Q62)</f>
        <v>4323</v>
      </c>
      <c r="S62" s="340">
        <f>+L62+O62+R62</f>
        <v>49550.600000000006</v>
      </c>
    </row>
    <row r="63" spans="1:19" ht="18.75">
      <c r="A63" s="102" t="s">
        <v>284</v>
      </c>
      <c r="B63" s="341">
        <f>+'BICHRÉSULT     '!J20</f>
        <v>133.69999999999999</v>
      </c>
      <c r="C63" s="341">
        <f>+'BIDCRÉSULT '!J20</f>
        <v>1050</v>
      </c>
      <c r="D63" s="341">
        <f>+BMHRÉSULT!J20</f>
        <v>17</v>
      </c>
      <c r="E63" s="341">
        <f>+'bncrésult '!J20</f>
        <v>3171</v>
      </c>
      <c r="F63" s="341">
        <f>+'BPHRÉSULT  '!J20</f>
        <v>37.200000000000003</v>
      </c>
      <c r="G63" s="341">
        <f>+buhrésult!J20</f>
        <v>987</v>
      </c>
      <c r="H63" s="341">
        <f>+'PROMOBKRÉSULT    '!J20</f>
        <v>1201.8</v>
      </c>
      <c r="I63" s="341">
        <f>+SOCABKRÉSULT!J20</f>
        <v>1046.5</v>
      </c>
      <c r="J63" s="341">
        <f>+SOGEBKRÉSULT!J20</f>
        <v>1289.0999999999999</v>
      </c>
      <c r="K63" s="1114">
        <f>+'UNIBKRÉSULT   '!J20</f>
        <v>35.5</v>
      </c>
      <c r="L63" s="343">
        <f>SUM(B63:K63)</f>
        <v>8968.7999999999993</v>
      </c>
      <c r="M63" s="341">
        <f>+'CAPITALBKRÉSULT      '!J20</f>
        <v>-144</v>
      </c>
      <c r="N63" s="1114">
        <f>+'SGBELRÉSULT       '!J20</f>
        <v>-145.6</v>
      </c>
      <c r="O63" s="343">
        <f>SUM(M63:N63)</f>
        <v>-289.60000000000002</v>
      </c>
      <c r="P63" s="341">
        <f>+'CBNARÉSULT         '!J20</f>
        <v>51</v>
      </c>
      <c r="Q63" s="1114">
        <f>+'SCOTIARÉSULT         '!J20</f>
        <v>21</v>
      </c>
      <c r="R63" s="343">
        <f>SUM(P63:Q63)</f>
        <v>72</v>
      </c>
      <c r="S63" s="343">
        <f>+L63+O63+R63</f>
        <v>8751.1999999999989</v>
      </c>
    </row>
    <row r="64" spans="1:19" ht="18.75">
      <c r="A64" s="102"/>
      <c r="B64" s="338">
        <f t="shared" ref="B64:G64" si="12">SUM(B61:B63)</f>
        <v>153.5</v>
      </c>
      <c r="C64" s="338">
        <f t="shared" si="12"/>
        <v>4152.5</v>
      </c>
      <c r="D64" s="338">
        <f t="shared" si="12"/>
        <v>334</v>
      </c>
      <c r="E64" s="338">
        <f t="shared" si="12"/>
        <v>7949</v>
      </c>
      <c r="F64" s="338">
        <f t="shared" si="12"/>
        <v>5724.4000000000005</v>
      </c>
      <c r="G64" s="338">
        <f t="shared" si="12"/>
        <v>12427</v>
      </c>
      <c r="H64" s="338">
        <f>SUM(H61:H63)</f>
        <v>11203.9</v>
      </c>
      <c r="I64" s="338">
        <f>SUM(I61:I63)</f>
        <v>11501.8</v>
      </c>
      <c r="J64" s="338">
        <f>SUM(J61:J63)</f>
        <v>23135.599999999999</v>
      </c>
      <c r="K64" s="338">
        <f>SUM(K61:K63)</f>
        <v>16811.8</v>
      </c>
      <c r="L64" s="340">
        <f t="shared" ref="L64:S64" si="13">SUM(L61:L63)</f>
        <v>93393.500000000015</v>
      </c>
      <c r="M64" s="338">
        <f t="shared" si="13"/>
        <v>2743</v>
      </c>
      <c r="N64" s="338">
        <f t="shared" si="13"/>
        <v>1610.5</v>
      </c>
      <c r="O64" s="340">
        <f t="shared" si="13"/>
        <v>4353.5</v>
      </c>
      <c r="P64" s="338">
        <f t="shared" si="13"/>
        <v>7455</v>
      </c>
      <c r="Q64" s="338">
        <f t="shared" si="13"/>
        <v>3377</v>
      </c>
      <c r="R64" s="340">
        <f t="shared" si="13"/>
        <v>10832</v>
      </c>
      <c r="S64" s="340">
        <f t="shared" si="13"/>
        <v>108579.00000000001</v>
      </c>
    </row>
    <row r="65" spans="1:19" ht="18.75">
      <c r="A65" s="102"/>
      <c r="B65" s="341"/>
      <c r="C65" s="341"/>
      <c r="D65" s="341"/>
      <c r="E65" s="341"/>
      <c r="F65" s="341"/>
      <c r="G65" s="341"/>
      <c r="H65" s="341"/>
      <c r="I65" s="342"/>
      <c r="J65" s="341"/>
      <c r="K65" s="341"/>
      <c r="L65" s="343"/>
      <c r="M65" s="341"/>
      <c r="N65" s="341"/>
      <c r="O65" s="343"/>
      <c r="P65" s="341"/>
      <c r="Q65" s="341"/>
      <c r="R65" s="343"/>
      <c r="S65" s="343"/>
    </row>
    <row r="66" spans="1:19" ht="18.75">
      <c r="A66" s="102" t="s">
        <v>337</v>
      </c>
      <c r="B66" s="338">
        <f t="shared" ref="B66:G66" si="14">+B58+B64</f>
        <v>253.9</v>
      </c>
      <c r="C66" s="338">
        <f t="shared" si="14"/>
        <v>24328.1</v>
      </c>
      <c r="D66" s="338">
        <f t="shared" si="14"/>
        <v>1244.5999999999999</v>
      </c>
      <c r="E66" s="338">
        <f t="shared" si="14"/>
        <v>26944</v>
      </c>
      <c r="F66" s="338">
        <f t="shared" si="14"/>
        <v>13804.800000000003</v>
      </c>
      <c r="G66" s="338">
        <f t="shared" si="14"/>
        <v>38762</v>
      </c>
      <c r="H66" s="338">
        <f>+H58+H64</f>
        <v>26003.300000000003</v>
      </c>
      <c r="I66" s="338">
        <f>+I58+I64</f>
        <v>23884.799999999999</v>
      </c>
      <c r="J66" s="338">
        <f>+J58+J64</f>
        <v>76360.399999999994</v>
      </c>
      <c r="K66" s="338">
        <f>+K58+K64</f>
        <v>54080.700000000012</v>
      </c>
      <c r="L66" s="340">
        <f t="shared" ref="L66:S66" si="15">+L58+L64</f>
        <v>285666.59999999998</v>
      </c>
      <c r="M66" s="338">
        <f t="shared" si="15"/>
        <v>18268</v>
      </c>
      <c r="N66" s="338">
        <f t="shared" si="15"/>
        <v>7995.7999999999993</v>
      </c>
      <c r="O66" s="340">
        <f t="shared" si="15"/>
        <v>26263.8</v>
      </c>
      <c r="P66" s="338">
        <f t="shared" si="15"/>
        <v>23357</v>
      </c>
      <c r="Q66" s="338">
        <f t="shared" si="15"/>
        <v>19052</v>
      </c>
      <c r="R66" s="340">
        <f t="shared" si="15"/>
        <v>42409</v>
      </c>
      <c r="S66" s="340">
        <f t="shared" si="15"/>
        <v>354339.39999999997</v>
      </c>
    </row>
    <row r="67" spans="1:19" ht="18.75">
      <c r="A67" s="102"/>
      <c r="B67" s="338"/>
      <c r="C67" s="338"/>
      <c r="D67" s="338"/>
      <c r="E67" s="338"/>
      <c r="F67" s="338"/>
      <c r="G67" s="338"/>
      <c r="H67" s="338"/>
      <c r="I67" s="339"/>
      <c r="J67" s="338"/>
      <c r="K67" s="338"/>
      <c r="L67" s="340"/>
      <c r="M67" s="338"/>
      <c r="N67" s="338"/>
      <c r="O67" s="340"/>
      <c r="P67" s="338"/>
      <c r="Q67" s="338"/>
      <c r="R67" s="340"/>
      <c r="S67" s="340"/>
    </row>
    <row r="68" spans="1:19" ht="18.75">
      <c r="A68" s="102" t="s">
        <v>338</v>
      </c>
      <c r="B68" s="338">
        <f>+'BICHRÉSULT     '!J25</f>
        <v>0</v>
      </c>
      <c r="C68" s="338">
        <f>+'BIDCRÉSULT '!J25</f>
        <v>2211.8000000000002</v>
      </c>
      <c r="D68" s="338">
        <f>+BMHRÉSULT!J25</f>
        <v>0</v>
      </c>
      <c r="E68" s="338">
        <f>+'bncrésult '!J25</f>
        <v>0</v>
      </c>
      <c r="F68" s="338">
        <f>+'BPHRÉSULT  '!J25</f>
        <v>1800</v>
      </c>
      <c r="G68" s="338">
        <f>+buhrésult!J25</f>
        <v>1998</v>
      </c>
      <c r="H68" s="338">
        <f>+'PROMOBKRÉSULT    '!J25</f>
        <v>3000</v>
      </c>
      <c r="I68" s="338">
        <f>+SOCABKRÉSULT!J25</f>
        <v>3200</v>
      </c>
      <c r="J68" s="338">
        <f>+SOGEBKRÉSULT!J25</f>
        <v>3000</v>
      </c>
      <c r="K68" s="338">
        <f>+'UNIBKRÉSULT   '!J25</f>
        <v>1150</v>
      </c>
      <c r="L68" s="340">
        <f>SUM(B68:K68)</f>
        <v>16359.8</v>
      </c>
      <c r="M68" s="338">
        <f>+'CAPITALBKRÉSULT      '!J25</f>
        <v>300</v>
      </c>
      <c r="N68" s="338">
        <f>+'SGBELRÉSULT       '!J25</f>
        <v>300</v>
      </c>
      <c r="O68" s="340">
        <f>SUM(M68:N68)</f>
        <v>600</v>
      </c>
      <c r="P68" s="338">
        <f>+'CBNARÉSULT         '!J25</f>
        <v>1743</v>
      </c>
      <c r="Q68" s="338">
        <f>+'SCOTIARÉSULT         '!J25</f>
        <v>500</v>
      </c>
      <c r="R68" s="340">
        <f>SUM(P68:Q68)</f>
        <v>2243</v>
      </c>
      <c r="S68" s="340">
        <f>+L68+O68+R68</f>
        <v>19202.8</v>
      </c>
    </row>
    <row r="69" spans="1:19" ht="18.75">
      <c r="A69" s="102"/>
      <c r="B69" s="338"/>
      <c r="C69" s="338"/>
      <c r="D69" s="338"/>
      <c r="E69" s="338"/>
      <c r="F69" s="338"/>
      <c r="G69" s="338"/>
      <c r="H69" s="338"/>
      <c r="I69" s="338" t="s">
        <v>0</v>
      </c>
      <c r="J69" s="338"/>
      <c r="K69" s="338"/>
      <c r="L69" s="340"/>
      <c r="M69" s="338"/>
      <c r="N69" s="338"/>
      <c r="O69" s="340"/>
      <c r="P69" s="338"/>
      <c r="Q69" s="338"/>
      <c r="R69" s="340"/>
      <c r="S69" s="340"/>
    </row>
    <row r="70" spans="1:19" ht="18.75">
      <c r="A70" s="102" t="s">
        <v>339</v>
      </c>
      <c r="B70" s="341"/>
      <c r="C70" s="341"/>
      <c r="D70" s="341"/>
      <c r="E70" s="341"/>
      <c r="F70" s="341"/>
      <c r="G70" s="341"/>
      <c r="H70" s="341"/>
      <c r="I70" s="342"/>
      <c r="J70" s="341"/>
      <c r="K70" s="341"/>
      <c r="L70" s="343"/>
      <c r="M70" s="341"/>
      <c r="N70" s="341"/>
      <c r="O70" s="343"/>
      <c r="P70" s="341"/>
      <c r="Q70" s="341"/>
      <c r="R70" s="343"/>
      <c r="S70" s="343"/>
    </row>
    <row r="71" spans="1:19" ht="18.75">
      <c r="A71" s="102" t="s">
        <v>340</v>
      </c>
      <c r="B71" s="338">
        <f t="shared" ref="B71:G71" si="16">+B66-B68</f>
        <v>253.9</v>
      </c>
      <c r="C71" s="338">
        <f t="shared" si="16"/>
        <v>22116.3</v>
      </c>
      <c r="D71" s="338">
        <f t="shared" si="16"/>
        <v>1244.5999999999999</v>
      </c>
      <c r="E71" s="338">
        <f t="shared" si="16"/>
        <v>26944</v>
      </c>
      <c r="F71" s="338">
        <f t="shared" si="16"/>
        <v>12004.800000000003</v>
      </c>
      <c r="G71" s="338">
        <f t="shared" si="16"/>
        <v>36764</v>
      </c>
      <c r="H71" s="338">
        <f>+H66-H68</f>
        <v>23003.300000000003</v>
      </c>
      <c r="I71" s="338">
        <f>+I66-I68</f>
        <v>20684.8</v>
      </c>
      <c r="J71" s="338">
        <f>+J66-J68</f>
        <v>73360.399999999994</v>
      </c>
      <c r="K71" s="338">
        <f>+K66-K68</f>
        <v>52930.700000000012</v>
      </c>
      <c r="L71" s="340">
        <f t="shared" ref="L71:S71" si="17">+L66-L68</f>
        <v>269306.8</v>
      </c>
      <c r="M71" s="338">
        <f t="shared" si="17"/>
        <v>17968</v>
      </c>
      <c r="N71" s="338">
        <f t="shared" si="17"/>
        <v>7695.7999999999993</v>
      </c>
      <c r="O71" s="340">
        <f t="shared" si="17"/>
        <v>25663.8</v>
      </c>
      <c r="P71" s="338">
        <f t="shared" si="17"/>
        <v>21614</v>
      </c>
      <c r="Q71" s="338">
        <f t="shared" si="17"/>
        <v>18552</v>
      </c>
      <c r="R71" s="340">
        <f t="shared" si="17"/>
        <v>40166</v>
      </c>
      <c r="S71" s="340">
        <f t="shared" si="17"/>
        <v>335136.59999999998</v>
      </c>
    </row>
    <row r="72" spans="1:19" ht="18.75">
      <c r="A72" s="102"/>
      <c r="B72" s="338"/>
      <c r="C72" s="338"/>
      <c r="D72" s="338"/>
      <c r="E72" s="338"/>
      <c r="F72" s="338"/>
      <c r="G72" s="338"/>
      <c r="H72" s="338"/>
      <c r="I72" s="339"/>
      <c r="J72" s="338"/>
      <c r="K72" s="338"/>
      <c r="L72" s="340"/>
      <c r="M72" s="338"/>
      <c r="N72" s="338"/>
      <c r="O72" s="340"/>
      <c r="P72" s="338"/>
      <c r="Q72" s="338"/>
      <c r="R72" s="340"/>
      <c r="S72" s="340"/>
    </row>
    <row r="73" spans="1:19" ht="18.75">
      <c r="A73" s="102" t="s">
        <v>341</v>
      </c>
      <c r="B73" s="338"/>
      <c r="C73" s="338"/>
      <c r="D73" s="338"/>
      <c r="E73" s="338"/>
      <c r="F73" s="338"/>
      <c r="G73" s="338"/>
      <c r="H73" s="338"/>
      <c r="I73" s="339"/>
      <c r="J73" s="338"/>
      <c r="K73" s="338"/>
      <c r="L73" s="340"/>
      <c r="M73" s="338"/>
      <c r="N73" s="338"/>
      <c r="O73" s="340"/>
      <c r="P73" s="338"/>
      <c r="Q73" s="338"/>
      <c r="R73" s="340"/>
      <c r="S73" s="340"/>
    </row>
    <row r="74" spans="1:19" ht="18.75">
      <c r="A74" s="102" t="s">
        <v>342</v>
      </c>
      <c r="B74" s="338">
        <f>+'BICHRÉSULT     '!J31</f>
        <v>97</v>
      </c>
      <c r="C74" s="338">
        <f>+'BIDCRÉSULT '!J31</f>
        <v>9384.9</v>
      </c>
      <c r="D74" s="338">
        <f>+BMHRÉSULT!J31</f>
        <v>454.70000000000005</v>
      </c>
      <c r="E74" s="338">
        <f>+'bncrésult '!J31</f>
        <v>30490</v>
      </c>
      <c r="F74" s="338">
        <f>+'BPHRÉSULT  '!J31</f>
        <v>5275.5</v>
      </c>
      <c r="G74" s="338">
        <f>+buhrésult!J31</f>
        <v>13497</v>
      </c>
      <c r="H74" s="338">
        <f>+'PROMOBKRÉSULT    '!J31</f>
        <v>9186</v>
      </c>
      <c r="I74" s="338">
        <f>+SOCABKRÉSULT!J31</f>
        <v>6985.6</v>
      </c>
      <c r="J74" s="338">
        <f>+SOGEBKRÉSULT!J31</f>
        <v>29671.4</v>
      </c>
      <c r="K74" s="338">
        <f>+'UNIBKRÉSULT   '!J31</f>
        <v>17914.599999999999</v>
      </c>
      <c r="L74" s="340">
        <f>SUM(B74:K74)</f>
        <v>122956.70000000001</v>
      </c>
      <c r="M74" s="338">
        <f>+'CAPITALBKRÉSULT      '!J31</f>
        <v>5497</v>
      </c>
      <c r="N74" s="338">
        <f>+'SGBELRÉSULT       '!J31</f>
        <v>2278.1</v>
      </c>
      <c r="O74" s="340">
        <f>SUM(M74:N74)</f>
        <v>7775.1</v>
      </c>
      <c r="P74" s="338">
        <f>+'CBNARÉSULT         '!J31</f>
        <v>7769</v>
      </c>
      <c r="Q74" s="338">
        <f>+'SCOTIARÉSULT         '!J31</f>
        <v>8481</v>
      </c>
      <c r="R74" s="340">
        <f>SUM(P74:Q74)</f>
        <v>16250</v>
      </c>
      <c r="S74" s="340">
        <f>+L74+O74+R74</f>
        <v>146981.80000000002</v>
      </c>
    </row>
    <row r="75" spans="1:19" ht="18.75">
      <c r="A75" s="102" t="s">
        <v>343</v>
      </c>
      <c r="B75" s="338">
        <f>+'BICHRÉSULT     '!J32</f>
        <v>12</v>
      </c>
      <c r="C75" s="338">
        <f>+'BIDCRÉSULT '!J32</f>
        <v>510.20000000000005</v>
      </c>
      <c r="D75" s="338">
        <f>+BMHRÉSULT!J32</f>
        <v>23.4</v>
      </c>
      <c r="E75" s="338">
        <f>+'bncrésult '!J32</f>
        <v>542</v>
      </c>
      <c r="F75" s="338">
        <f>+'BPHRÉSULT  '!J32</f>
        <v>143.10000000000002</v>
      </c>
      <c r="G75" s="338">
        <f>+buhrésult!J32</f>
        <v>2121</v>
      </c>
      <c r="H75" s="338">
        <f>+'PROMOBKRÉSULT    '!J32</f>
        <v>1509.8999999999999</v>
      </c>
      <c r="I75" s="338">
        <f>+SOCABKRÉSULT!J32</f>
        <v>685.4</v>
      </c>
      <c r="J75" s="338">
        <f>+SOGEBKRÉSULT!J32</f>
        <v>1807.1</v>
      </c>
      <c r="K75" s="338">
        <f>+'UNIBKRÉSULT   '!J32</f>
        <v>2062.6</v>
      </c>
      <c r="L75" s="340">
        <f>SUM(B75:K75)</f>
        <v>9416.6999999999989</v>
      </c>
      <c r="M75" s="338">
        <f>+'CAPITALBKRÉSULT      '!J32</f>
        <v>607</v>
      </c>
      <c r="N75" s="338">
        <f>+'SGBELRÉSULT       '!J32</f>
        <v>774.5</v>
      </c>
      <c r="O75" s="340">
        <f>SUM(M75:N75)</f>
        <v>1381.5</v>
      </c>
      <c r="P75" s="338">
        <f>+'CBNARÉSULT         '!J32</f>
        <v>1512</v>
      </c>
      <c r="Q75" s="338">
        <f>+'SCOTIARÉSULT         '!J32</f>
        <v>1383</v>
      </c>
      <c r="R75" s="340">
        <f>SUM(P75:Q75)</f>
        <v>2895</v>
      </c>
      <c r="S75" s="340">
        <f>+L75+O75+R75</f>
        <v>13693.199999999999</v>
      </c>
    </row>
    <row r="76" spans="1:19" ht="18.75">
      <c r="A76" s="102" t="s">
        <v>344</v>
      </c>
      <c r="B76" s="338">
        <f>+'BICHRÉSULT     '!J33</f>
        <v>3.3000000000000003</v>
      </c>
      <c r="C76" s="338">
        <f>+'BIDCRÉSULT '!J33</f>
        <v>4721.8</v>
      </c>
      <c r="D76" s="338">
        <f>+BMHRÉSULT!J33</f>
        <v>369.5</v>
      </c>
      <c r="E76" s="338">
        <f>+'bncrésult '!J33</f>
        <v>1953</v>
      </c>
      <c r="F76" s="338">
        <f>+'BPHRÉSULT  '!J33</f>
        <v>1148.0999999999999</v>
      </c>
      <c r="G76" s="338">
        <f>+buhrésult!J33</f>
        <v>4341</v>
      </c>
      <c r="H76" s="338">
        <f>+'PROMOBKRÉSULT    '!J33</f>
        <v>3971</v>
      </c>
      <c r="I76" s="338">
        <f>+SOCABKRÉSULT!J33</f>
        <v>1670.6</v>
      </c>
      <c r="J76" s="338">
        <f>+SOGEBKRÉSULT!J33</f>
        <v>11113.3</v>
      </c>
      <c r="K76" s="338">
        <f>+'UNIBKRÉSULT   '!J33</f>
        <v>5052.1000000000004</v>
      </c>
      <c r="L76" s="340">
        <f>SUM(B76:K76)</f>
        <v>34343.699999999997</v>
      </c>
      <c r="M76" s="338">
        <f>+'CAPITALBKRÉSULT      '!J33</f>
        <v>2454</v>
      </c>
      <c r="N76" s="338">
        <f>+'SGBELRÉSULT       '!J33</f>
        <v>533.5</v>
      </c>
      <c r="O76" s="340">
        <f>SUM(M76:N76)</f>
        <v>2987.5</v>
      </c>
      <c r="P76" s="338">
        <f>+'CBNARÉSULT         '!J33</f>
        <v>1091</v>
      </c>
      <c r="Q76" s="338">
        <f>+'SCOTIARÉSULT         '!J33</f>
        <v>1141</v>
      </c>
      <c r="R76" s="340">
        <f>SUM(P76:Q76)</f>
        <v>2232</v>
      </c>
      <c r="S76" s="340">
        <f>+L76+O76+R76</f>
        <v>39563.199999999997</v>
      </c>
    </row>
    <row r="77" spans="1:19" ht="18.75">
      <c r="A77" s="102" t="s">
        <v>345</v>
      </c>
      <c r="B77" s="341">
        <f>+'BICHRÉSULT     '!J34</f>
        <v>51.6</v>
      </c>
      <c r="C77" s="341">
        <f>+'BIDCRÉSULT '!J34</f>
        <v>11930.8</v>
      </c>
      <c r="D77" s="341">
        <f>+BMHRÉSULT!J34</f>
        <v>266.89999999999998</v>
      </c>
      <c r="E77" s="341">
        <f>+'bncrésult '!J34</f>
        <v>5939</v>
      </c>
      <c r="F77" s="341">
        <f>+'BPHRÉSULT  '!J34</f>
        <v>2796.5</v>
      </c>
      <c r="G77" s="341">
        <f>+buhrésult!J34</f>
        <v>12507</v>
      </c>
      <c r="H77" s="341">
        <f>+'PROMOBKRÉSULT    '!J34</f>
        <v>8015.1000000000013</v>
      </c>
      <c r="I77" s="341">
        <f>+SOCABKRÉSULT!J34</f>
        <v>8713.9</v>
      </c>
      <c r="J77" s="341">
        <f>+SOGEBKRÉSULT!J34</f>
        <v>24238.1</v>
      </c>
      <c r="K77" s="1114">
        <f>+'UNIBKRÉSULT   '!J34</f>
        <v>16833</v>
      </c>
      <c r="L77" s="343">
        <f>SUM(B77:K77)</f>
        <v>91291.9</v>
      </c>
      <c r="M77" s="341">
        <f>+'CAPITALBKRÉSULT      '!J34</f>
        <v>5338</v>
      </c>
      <c r="N77" s="1114">
        <f>+'SGBELRÉSULT       '!J34</f>
        <v>2359.7999999999997</v>
      </c>
      <c r="O77" s="343">
        <f>SUM(M77:N77)</f>
        <v>7697.7999999999993</v>
      </c>
      <c r="P77" s="341">
        <f>+'CBNARÉSULT         '!J34</f>
        <v>3961</v>
      </c>
      <c r="Q77" s="1114">
        <f>+'SCOTIARÉSULT         '!J34</f>
        <v>5597</v>
      </c>
      <c r="R77" s="343">
        <f>SUM(P77:Q77)</f>
        <v>9558</v>
      </c>
      <c r="S77" s="343">
        <f>+L77+O77+R77</f>
        <v>108547.7</v>
      </c>
    </row>
    <row r="78" spans="1:19" ht="18.75">
      <c r="A78" s="102"/>
      <c r="B78" s="338">
        <f t="shared" ref="B78:G78" si="18">SUM(B74:B77)</f>
        <v>163.9</v>
      </c>
      <c r="C78" s="338">
        <f t="shared" si="18"/>
        <v>26547.7</v>
      </c>
      <c r="D78" s="338">
        <f t="shared" si="18"/>
        <v>1114.5</v>
      </c>
      <c r="E78" s="338">
        <f t="shared" si="18"/>
        <v>38924</v>
      </c>
      <c r="F78" s="338">
        <f t="shared" si="18"/>
        <v>9363.2000000000007</v>
      </c>
      <c r="G78" s="338">
        <f t="shared" si="18"/>
        <v>32466</v>
      </c>
      <c r="H78" s="338">
        <f>SUM(H74:H77)</f>
        <v>22682</v>
      </c>
      <c r="I78" s="338">
        <f>SUM(I74:I77)</f>
        <v>18055.5</v>
      </c>
      <c r="J78" s="338">
        <f>SUM(J74:J77)</f>
        <v>66829.899999999994</v>
      </c>
      <c r="K78" s="338">
        <f>SUM(K74:K77)</f>
        <v>41862.299999999996</v>
      </c>
      <c r="L78" s="340">
        <f t="shared" ref="L78:S78" si="19">SUM(L74:L77)</f>
        <v>258009.00000000003</v>
      </c>
      <c r="M78" s="338">
        <f t="shared" si="19"/>
        <v>13896</v>
      </c>
      <c r="N78" s="338">
        <f t="shared" si="19"/>
        <v>5945.9</v>
      </c>
      <c r="O78" s="340">
        <f t="shared" si="19"/>
        <v>19841.900000000001</v>
      </c>
      <c r="P78" s="338">
        <f t="shared" si="19"/>
        <v>14333</v>
      </c>
      <c r="Q78" s="338">
        <f t="shared" si="19"/>
        <v>16602</v>
      </c>
      <c r="R78" s="340">
        <f t="shared" si="19"/>
        <v>30935</v>
      </c>
      <c r="S78" s="340">
        <f t="shared" si="19"/>
        <v>308785.90000000002</v>
      </c>
    </row>
    <row r="79" spans="1:19" ht="18.75">
      <c r="A79" s="102"/>
      <c r="B79" s="341"/>
      <c r="C79" s="341"/>
      <c r="D79" s="341"/>
      <c r="E79" s="341"/>
      <c r="F79" s="341"/>
      <c r="G79" s="341"/>
      <c r="H79" s="341"/>
      <c r="I79" s="342"/>
      <c r="J79" s="341"/>
      <c r="K79" s="341"/>
      <c r="L79" s="343"/>
      <c r="M79" s="341"/>
      <c r="N79" s="341"/>
      <c r="O79" s="343"/>
      <c r="P79" s="341"/>
      <c r="Q79" s="341"/>
      <c r="R79" s="343"/>
      <c r="S79" s="343"/>
    </row>
    <row r="80" spans="1:19" ht="18.75">
      <c r="A80" s="102" t="s">
        <v>346</v>
      </c>
      <c r="B80" s="338">
        <f t="shared" ref="B80:G80" si="20">+B71-B78</f>
        <v>90</v>
      </c>
      <c r="C80" s="338">
        <f t="shared" si="20"/>
        <v>-4431.4000000000015</v>
      </c>
      <c r="D80" s="338">
        <f t="shared" si="20"/>
        <v>130.09999999999991</v>
      </c>
      <c r="E80" s="338">
        <f t="shared" si="20"/>
        <v>-11980</v>
      </c>
      <c r="F80" s="338">
        <f t="shared" si="20"/>
        <v>2641.6000000000022</v>
      </c>
      <c r="G80" s="338">
        <f t="shared" si="20"/>
        <v>4298</v>
      </c>
      <c r="H80" s="338">
        <f>+H71-H78</f>
        <v>321.30000000000291</v>
      </c>
      <c r="I80" s="338">
        <f>+I71-I78</f>
        <v>2629.2999999999993</v>
      </c>
      <c r="J80" s="338">
        <f>+J71-J78</f>
        <v>6530.5</v>
      </c>
      <c r="K80" s="338">
        <f>+K71-K78</f>
        <v>11068.400000000016</v>
      </c>
      <c r="L80" s="340">
        <f t="shared" ref="L80:S80" si="21">+L71-L78</f>
        <v>11297.799999999959</v>
      </c>
      <c r="M80" s="338">
        <f t="shared" si="21"/>
        <v>4072</v>
      </c>
      <c r="N80" s="338">
        <f t="shared" si="21"/>
        <v>1749.8999999999996</v>
      </c>
      <c r="O80" s="340">
        <f t="shared" si="21"/>
        <v>5821.8999999999978</v>
      </c>
      <c r="P80" s="338">
        <f t="shared" si="21"/>
        <v>7281</v>
      </c>
      <c r="Q80" s="338">
        <f t="shared" si="21"/>
        <v>1950</v>
      </c>
      <c r="R80" s="340">
        <f t="shared" si="21"/>
        <v>9231</v>
      </c>
      <c r="S80" s="340">
        <f t="shared" si="21"/>
        <v>26350.699999999953</v>
      </c>
    </row>
    <row r="81" spans="1:20" ht="18.75">
      <c r="A81" s="102"/>
      <c r="B81" s="338"/>
      <c r="C81" s="338"/>
      <c r="D81" s="338"/>
      <c r="E81" s="338"/>
      <c r="F81" s="338"/>
      <c r="G81" s="338"/>
      <c r="H81" s="338"/>
      <c r="I81" s="339"/>
      <c r="J81" s="338"/>
      <c r="K81" s="338"/>
      <c r="L81" s="340"/>
      <c r="M81" s="338"/>
      <c r="N81" s="338"/>
      <c r="O81" s="340"/>
      <c r="P81" s="338"/>
      <c r="Q81" s="338"/>
      <c r="R81" s="340"/>
      <c r="S81" s="340"/>
    </row>
    <row r="82" spans="1:20" ht="18.75">
      <c r="A82" s="102" t="s">
        <v>347</v>
      </c>
      <c r="B82" s="338">
        <f>+'BICHRÉSULT     '!J39</f>
        <v>13.3</v>
      </c>
      <c r="C82" s="338">
        <f>+'BIDCRÉSULT '!J39</f>
        <v>-1416.2</v>
      </c>
      <c r="D82" s="338">
        <f>+BMHRÉSULT!J39</f>
        <v>45.4</v>
      </c>
      <c r="E82" s="338">
        <f>+'bncrésult '!J39</f>
        <v>0</v>
      </c>
      <c r="F82" s="338">
        <f>+'BPHRÉSULT  '!J39</f>
        <v>0</v>
      </c>
      <c r="G82" s="338">
        <f>+buhrésult!J39</f>
        <v>1504</v>
      </c>
      <c r="H82" s="338">
        <f>+'PROMOBKRÉSULT    '!J39</f>
        <v>-229.70000000000005</v>
      </c>
      <c r="I82" s="338">
        <f>+SOCABKRÉSULT!J39</f>
        <v>750</v>
      </c>
      <c r="J82" s="338">
        <f>+SOGEBKRÉSULT!J39</f>
        <v>2285.6</v>
      </c>
      <c r="K82" s="338">
        <f>+'UNIBKRÉSULT   '!J39</f>
        <v>3418.0000000000005</v>
      </c>
      <c r="L82" s="340">
        <f>SUM(B82:K82)</f>
        <v>6370.4</v>
      </c>
      <c r="M82" s="338">
        <f>+'CAPITALBKRÉSULT      '!J39</f>
        <v>1011</v>
      </c>
      <c r="N82" s="338">
        <f>+'SGBELRÉSULT       '!J39</f>
        <v>482.8</v>
      </c>
      <c r="O82" s="340">
        <f>SUM(M82:N82)</f>
        <v>1493.8</v>
      </c>
      <c r="P82" s="338">
        <f>+'CBNARÉSULT         '!J39</f>
        <v>2554</v>
      </c>
      <c r="Q82" s="338">
        <f>+'SCOTIARÉSULT         '!J39</f>
        <v>703</v>
      </c>
      <c r="R82" s="340">
        <f>SUM(P82:Q82)</f>
        <v>3257</v>
      </c>
      <c r="S82" s="340">
        <f>+L82+O82+R82</f>
        <v>11121.2</v>
      </c>
    </row>
    <row r="83" spans="1:20" ht="18.75">
      <c r="A83" s="102"/>
      <c r="B83" s="341"/>
      <c r="C83" s="341"/>
      <c r="D83" s="341"/>
      <c r="E83" s="341"/>
      <c r="F83" s="341"/>
      <c r="G83" s="341"/>
      <c r="H83" s="341"/>
      <c r="I83" s="342"/>
      <c r="J83" s="341"/>
      <c r="K83" s="341"/>
      <c r="L83" s="343"/>
      <c r="M83" s="341"/>
      <c r="N83" s="341"/>
      <c r="O83" s="343"/>
      <c r="P83" s="341"/>
      <c r="Q83" s="341"/>
      <c r="R83" s="343"/>
      <c r="S83" s="343"/>
    </row>
    <row r="84" spans="1:20" ht="18.75">
      <c r="A84" s="183" t="s">
        <v>427</v>
      </c>
      <c r="B84" s="344">
        <f t="shared" ref="B84:G84" si="22">+B80-B82</f>
        <v>76.7</v>
      </c>
      <c r="C84" s="344">
        <f t="shared" si="22"/>
        <v>-3015.2000000000016</v>
      </c>
      <c r="D84" s="344">
        <f t="shared" si="22"/>
        <v>84.699999999999903</v>
      </c>
      <c r="E84" s="344">
        <f t="shared" si="22"/>
        <v>-11980</v>
      </c>
      <c r="F84" s="344">
        <f t="shared" si="22"/>
        <v>2641.6000000000022</v>
      </c>
      <c r="G84" s="344">
        <f t="shared" si="22"/>
        <v>2794</v>
      </c>
      <c r="H84" s="344">
        <f>+H80-H82</f>
        <v>551.00000000000296</v>
      </c>
      <c r="I84" s="344">
        <f>+I80-I82</f>
        <v>1879.2999999999993</v>
      </c>
      <c r="J84" s="344">
        <f>+J80-J82</f>
        <v>4244.8999999999996</v>
      </c>
      <c r="K84" s="344">
        <f>+K80-K82</f>
        <v>7650.400000000016</v>
      </c>
      <c r="L84" s="340">
        <f t="shared" ref="L84:S84" si="23">+L80-L82</f>
        <v>4927.3999999999596</v>
      </c>
      <c r="M84" s="344">
        <f t="shared" si="23"/>
        <v>3061</v>
      </c>
      <c r="N84" s="344">
        <f t="shared" si="23"/>
        <v>1267.0999999999997</v>
      </c>
      <c r="O84" s="340">
        <f t="shared" si="23"/>
        <v>4328.0999999999976</v>
      </c>
      <c r="P84" s="344">
        <f t="shared" si="23"/>
        <v>4727</v>
      </c>
      <c r="Q84" s="344">
        <f t="shared" si="23"/>
        <v>1247</v>
      </c>
      <c r="R84" s="340">
        <f t="shared" si="23"/>
        <v>5974</v>
      </c>
      <c r="S84" s="340">
        <f t="shared" si="23"/>
        <v>15229.499999999953</v>
      </c>
    </row>
    <row r="85" spans="1:20">
      <c r="A85" s="1"/>
      <c r="B85" s="60"/>
      <c r="C85" s="60"/>
      <c r="D85" s="60"/>
      <c r="E85" s="60"/>
      <c r="F85" s="60"/>
      <c r="G85" s="60"/>
      <c r="H85" s="60"/>
      <c r="I85" s="60"/>
      <c r="J85" s="60"/>
      <c r="K85" s="60"/>
      <c r="L85" s="60"/>
      <c r="M85" s="86"/>
      <c r="N85" s="60"/>
      <c r="O85" s="60"/>
      <c r="P85" s="86"/>
      <c r="Q85" s="60"/>
      <c r="R85" s="60"/>
      <c r="S85" s="86"/>
      <c r="T85" s="65"/>
    </row>
    <row r="86" spans="1:20">
      <c r="B86" s="26"/>
      <c r="E86" s="26"/>
      <c r="G86" s="26"/>
      <c r="H86" s="26"/>
      <c r="N86" s="29"/>
    </row>
    <row r="87" spans="1:20">
      <c r="B87" s="29"/>
      <c r="E87" s="29"/>
      <c r="G87" s="29"/>
      <c r="H87" s="29"/>
      <c r="N87" s="29"/>
    </row>
    <row r="88" spans="1:20">
      <c r="A88" t="s">
        <v>429</v>
      </c>
      <c r="B88" s="149">
        <f>+B16/B14</f>
        <v>0.76382306477093198</v>
      </c>
      <c r="C88" s="149">
        <f>+C16/C14</f>
        <v>0.67314820836313971</v>
      </c>
      <c r="D88" s="43">
        <v>0</v>
      </c>
      <c r="E88" s="43">
        <v>0</v>
      </c>
      <c r="F88" s="149">
        <f>+D16/D14</f>
        <v>0.46575913886599718</v>
      </c>
      <c r="G88" s="149">
        <f>+E16/E14</f>
        <v>0.61283200494557655</v>
      </c>
      <c r="H88" s="149">
        <f>+G16/G14</f>
        <v>0.72328301115818139</v>
      </c>
      <c r="I88" s="149">
        <f>+H16/H14</f>
        <v>0.33479411615004834</v>
      </c>
      <c r="J88" s="149">
        <f>+I16/I14</f>
        <v>0.74798072957502648</v>
      </c>
      <c r="K88" s="149">
        <f>+J16/J14</f>
        <v>0.71138042984823358</v>
      </c>
      <c r="L88" s="149"/>
      <c r="M88" s="15" t="s">
        <v>0</v>
      </c>
      <c r="N88" s="149">
        <f>+F16/F14</f>
        <v>0.66023236333175506</v>
      </c>
      <c r="O88" s="149">
        <f>+M16/M14</f>
        <v>0.69417739663396194</v>
      </c>
      <c r="P88" s="149"/>
      <c r="Q88" s="149">
        <f>+O16/O14</f>
        <v>0.58175059534181328</v>
      </c>
      <c r="R88" s="149">
        <f>+P16/P14</f>
        <v>0.70360406693832334</v>
      </c>
    </row>
    <row r="90" spans="1:20">
      <c r="A90" t="s">
        <v>430</v>
      </c>
      <c r="B90" s="149">
        <f>+B36/B24</f>
        <v>0.81169709263015566</v>
      </c>
      <c r="C90" s="149">
        <f>+C36/C24</f>
        <v>1.0404020877633868</v>
      </c>
      <c r="D90" s="43">
        <v>0</v>
      </c>
      <c r="E90" s="43">
        <v>0</v>
      </c>
      <c r="F90" s="149">
        <f>+D36/D24</f>
        <v>0.80999210002996558</v>
      </c>
      <c r="G90" s="149">
        <f>+E36/E24</f>
        <v>0.98866392871724673</v>
      </c>
      <c r="H90" s="149">
        <f>+G36/G24</f>
        <v>0.70514106568204082</v>
      </c>
      <c r="I90" s="149">
        <f>+H36/H24</f>
        <v>0.72411631987966907</v>
      </c>
      <c r="J90" s="149">
        <f>+I36/I24</f>
        <v>0.80341135832135424</v>
      </c>
      <c r="K90" s="149">
        <f>+J36/J24</f>
        <v>0.74321311733288109</v>
      </c>
      <c r="L90" s="149"/>
      <c r="M90" s="149"/>
      <c r="N90" s="149">
        <f>+F36/F24</f>
        <v>0.79248995654669185</v>
      </c>
      <c r="O90" s="149">
        <f>+M36/M24</f>
        <v>0.5056658461628093</v>
      </c>
      <c r="P90" s="149"/>
      <c r="Q90" s="149">
        <f>+O36/O24</f>
        <v>0.46814800983412691</v>
      </c>
      <c r="R90" s="149">
        <f>+P36/P24</f>
        <v>0.85956618464961065</v>
      </c>
    </row>
    <row r="92" spans="1:20">
      <c r="Q92"/>
      <c r="R92"/>
    </row>
    <row r="93" spans="1:20">
      <c r="B93" s="572" t="s">
        <v>431</v>
      </c>
      <c r="C93" s="40"/>
      <c r="E93" s="572" t="s">
        <v>432</v>
      </c>
      <c r="F93" s="40"/>
      <c r="H93" s="572" t="s">
        <v>334</v>
      </c>
      <c r="I93" s="40"/>
      <c r="K93" s="572" t="s">
        <v>433</v>
      </c>
      <c r="L93" s="572"/>
      <c r="M93" s="40"/>
      <c r="O93" s="572" t="s">
        <v>434</v>
      </c>
      <c r="P93" s="40"/>
      <c r="R93" s="572" t="s">
        <v>435</v>
      </c>
      <c r="S93" s="40"/>
    </row>
    <row r="95" spans="1:20">
      <c r="B95" s="573" t="s">
        <v>105</v>
      </c>
      <c r="C95" s="12">
        <f>+SOGEBKRÉSULT!B13</f>
        <v>110324.5</v>
      </c>
      <c r="E95" s="573" t="s">
        <v>98</v>
      </c>
      <c r="F95" s="149">
        <f>+'BICHRÉSULT     '!B15/'BICHRÉSULT     '!B13</f>
        <v>0.76382306477093198</v>
      </c>
      <c r="G95" s="15" t="s">
        <v>0</v>
      </c>
      <c r="H95" s="573" t="s">
        <v>105</v>
      </c>
      <c r="I95" s="16">
        <f>+SOGEBKRÉSULT!B21</f>
        <v>34001.9</v>
      </c>
      <c r="K95" s="9" t="s">
        <v>127</v>
      </c>
      <c r="L95" s="142">
        <f>+BHdRÉSULT!B35/BHdRÉSULT!B23</f>
        <v>16.980273141122915</v>
      </c>
      <c r="O95" s="573" t="s">
        <v>105</v>
      </c>
      <c r="P95" s="12">
        <f>+SOGEBKRÉSULT!B35</f>
        <v>93615.5</v>
      </c>
      <c r="R95" s="573" t="s">
        <v>105</v>
      </c>
      <c r="S95" s="12">
        <f>+SOGEBKRÉSULT!B41</f>
        <v>16244.6</v>
      </c>
    </row>
    <row r="96" spans="1:20">
      <c r="B96" s="573" t="s">
        <v>106</v>
      </c>
      <c r="C96" s="12">
        <f>+'UNIBKRÉSULT   '!B13</f>
        <v>75556.899999999994</v>
      </c>
      <c r="E96" s="573" t="s">
        <v>105</v>
      </c>
      <c r="F96" s="149">
        <f>+SOGEBKRÉSULT!B15/SOGEBKRÉSULT!B13</f>
        <v>0.74798072957502648</v>
      </c>
      <c r="G96" s="15" t="s">
        <v>0</v>
      </c>
      <c r="H96" s="573" t="s">
        <v>106</v>
      </c>
      <c r="I96" s="16">
        <f>+'UNIBKRÉSULT   '!B21</f>
        <v>27620.5</v>
      </c>
      <c r="K96" s="573" t="s">
        <v>100</v>
      </c>
      <c r="L96" s="149">
        <f>+'bncrésult '!B35/'bncrésult '!B23</f>
        <v>1.0404020877633868</v>
      </c>
      <c r="O96" s="573" t="s">
        <v>106</v>
      </c>
      <c r="P96" s="12">
        <f>+'UNIBKRÉSULT   '!B35</f>
        <v>60475.4</v>
      </c>
      <c r="R96" s="573" t="s">
        <v>106</v>
      </c>
      <c r="S96" s="12">
        <f>+'UNIBKRÉSULT   '!B41</f>
        <v>11401.699999999995</v>
      </c>
    </row>
    <row r="97" spans="2:19">
      <c r="B97" s="9" t="s">
        <v>104</v>
      </c>
      <c r="C97" s="3">
        <f>+SOCABKRÉSULT!B13</f>
        <v>58941</v>
      </c>
      <c r="E97" s="573" t="s">
        <v>103</v>
      </c>
      <c r="F97" s="149">
        <f>+'PROMOBKRÉSULT    '!B15/'PROMOBKRÉSULT    '!B13</f>
        <v>0.72328301115818139</v>
      </c>
      <c r="G97" s="15" t="s">
        <v>0</v>
      </c>
      <c r="H97" s="573" t="s">
        <v>102</v>
      </c>
      <c r="I97" s="16">
        <f>+buhrésult!B21</f>
        <v>13880</v>
      </c>
      <c r="K97" s="573" t="s">
        <v>102</v>
      </c>
      <c r="L97" s="149">
        <f>+buhrésult!B35/buhrésult!B23</f>
        <v>0.98866392871724673</v>
      </c>
      <c r="O97" s="573" t="s">
        <v>102</v>
      </c>
      <c r="P97" s="12">
        <f>+buhrésult!B35</f>
        <v>41165</v>
      </c>
      <c r="R97" s="573" t="s">
        <v>109</v>
      </c>
      <c r="S97" s="12">
        <f>+'CBNARÉSULT         '!B41</f>
        <v>11317</v>
      </c>
    </row>
    <row r="98" spans="2:19">
      <c r="B98" s="573" t="s">
        <v>102</v>
      </c>
      <c r="C98" s="12">
        <f>+buhrésult!B13</f>
        <v>45293</v>
      </c>
      <c r="E98" s="573" t="s">
        <v>106</v>
      </c>
      <c r="F98" s="149">
        <f>+'UNIBKRÉSULT   '!B15/'UNIBKRÉSULT   '!B13</f>
        <v>0.71138042984823358</v>
      </c>
      <c r="G98" s="15" t="s">
        <v>0</v>
      </c>
      <c r="H98" s="573" t="s">
        <v>103</v>
      </c>
      <c r="I98" s="16">
        <f>+'PROMOBKRÉSULT    '!B21</f>
        <v>12785</v>
      </c>
      <c r="K98" s="573" t="s">
        <v>110</v>
      </c>
      <c r="L98" s="149">
        <f>+'SCOTIARÉSULT         '!B35/'SCOTIARÉSULT         '!B23</f>
        <v>0.85956618464961065</v>
      </c>
      <c r="O98" s="573" t="s">
        <v>100</v>
      </c>
      <c r="P98" s="12">
        <f>+'bncrésult '!B35</f>
        <v>32292</v>
      </c>
      <c r="R98" s="573" t="s">
        <v>103</v>
      </c>
      <c r="S98" s="12">
        <f>+'PROMOBKRÉSULT    '!B41</f>
        <v>8849.2000000000007</v>
      </c>
    </row>
    <row r="99" spans="2:19">
      <c r="B99" s="573" t="s">
        <v>103</v>
      </c>
      <c r="C99" s="12">
        <f>+'PROMOBKRÉSULT    '!B13</f>
        <v>40624.9</v>
      </c>
      <c r="E99" s="573" t="s">
        <v>110</v>
      </c>
      <c r="F99" s="149">
        <f>+'SCOTIARÉSULT         '!B15/'SCOTIARÉSULT         '!B13</f>
        <v>0.70360406693832334</v>
      </c>
      <c r="G99" s="15" t="s">
        <v>0</v>
      </c>
      <c r="H99" s="573" t="s">
        <v>104</v>
      </c>
      <c r="I99" s="16">
        <f>+SOCABKRÉSULT!B21</f>
        <v>12178.900000000001</v>
      </c>
      <c r="K99" s="573" t="s">
        <v>98</v>
      </c>
      <c r="L99" s="149">
        <f>+'BICHRÉSULT     '!B35/'BICHRÉSULT     '!B23</f>
        <v>0.81169709263015566</v>
      </c>
      <c r="O99" s="573" t="s">
        <v>103</v>
      </c>
      <c r="P99" s="12">
        <f>+'PROMOBKRÉSULT    '!B35</f>
        <v>29734.600000000002</v>
      </c>
      <c r="R99" s="573" t="s">
        <v>104</v>
      </c>
      <c r="S99" s="12">
        <f>+SOCABKRÉSULT!B41</f>
        <v>5804</v>
      </c>
    </row>
    <row r="100" spans="2:19">
      <c r="B100" s="9" t="s">
        <v>109</v>
      </c>
      <c r="C100" s="3">
        <f>+'CBNARÉSULT         '!B13</f>
        <v>34434</v>
      </c>
      <c r="E100" s="573" t="s">
        <v>108</v>
      </c>
      <c r="F100" s="149">
        <f>+'SGBELRÉSULT       '!B15/'SGBELRÉSULT       '!B13</f>
        <v>0.69417739663396194</v>
      </c>
      <c r="G100" s="15" t="s">
        <v>0</v>
      </c>
      <c r="H100" s="573" t="s">
        <v>109</v>
      </c>
      <c r="I100" s="16">
        <f>+'CBNARÉSULT         '!B21</f>
        <v>12101</v>
      </c>
      <c r="K100" s="573" t="s">
        <v>101</v>
      </c>
      <c r="L100" s="149">
        <f>+'BPHRÉSULT  '!B35/'BPHRÉSULT  '!B23</f>
        <v>0.80999210002996558</v>
      </c>
      <c r="O100" s="573" t="s">
        <v>104</v>
      </c>
      <c r="P100" s="12">
        <f>+SOCABKRÉSULT!B35</f>
        <v>23108</v>
      </c>
      <c r="R100" s="573" t="s">
        <v>107</v>
      </c>
      <c r="S100" s="12">
        <f>+'CAPITALBKRÉSULT      '!B41</f>
        <v>4312</v>
      </c>
    </row>
    <row r="101" spans="2:19">
      <c r="B101" s="573" t="s">
        <v>100</v>
      </c>
      <c r="C101" s="12">
        <f>+'bncrésult '!B13</f>
        <v>30754</v>
      </c>
      <c r="E101" s="573" t="s">
        <v>100</v>
      </c>
      <c r="F101" s="149">
        <f>+'bncrésult '!B15/'bncrésult '!B13</f>
        <v>0.67314820836313971</v>
      </c>
      <c r="G101" s="15" t="s">
        <v>0</v>
      </c>
      <c r="H101" s="573" t="s">
        <v>100</v>
      </c>
      <c r="I101" s="16">
        <f>+'bncrésult '!B21</f>
        <v>10336</v>
      </c>
      <c r="K101" s="573" t="s">
        <v>105</v>
      </c>
      <c r="L101" s="149">
        <f>+SOGEBKRÉSULT!B35/SOGEBKRÉSULT!B23</f>
        <v>0.80341135832135424</v>
      </c>
      <c r="O101" s="573" t="s">
        <v>107</v>
      </c>
      <c r="P101" s="12">
        <f>+'CAPITALBKRÉSULT      '!B35</f>
        <v>19332</v>
      </c>
      <c r="R101" s="573" t="s">
        <v>108</v>
      </c>
      <c r="S101" s="12">
        <f>+'SGBELRÉSULT       '!B41</f>
        <v>3842.6000000000017</v>
      </c>
    </row>
    <row r="102" spans="2:19">
      <c r="B102" s="573" t="s">
        <v>107</v>
      </c>
      <c r="C102" s="12">
        <f>+'CAPITALBKRÉSULT      '!B13</f>
        <v>27457</v>
      </c>
      <c r="E102" s="573" t="s">
        <v>107</v>
      </c>
      <c r="F102" s="149">
        <f>+'CAPITALBKRÉSULT      '!B15/'CAPITALBKRÉSULT      '!B13</f>
        <v>0.66023236333175506</v>
      </c>
      <c r="G102" s="15" t="s">
        <v>0</v>
      </c>
      <c r="H102" s="573" t="s">
        <v>107</v>
      </c>
      <c r="I102" s="16">
        <f>+'CAPITALBKRÉSULT      '!B21</f>
        <v>6266</v>
      </c>
      <c r="K102" s="573" t="s">
        <v>107</v>
      </c>
      <c r="L102" s="149">
        <f>+'CAPITALBKRÉSULT      '!B35/'CAPITALBKRÉSULT      '!B23</f>
        <v>0.79248995654669185</v>
      </c>
      <c r="O102" s="573" t="s">
        <v>110</v>
      </c>
      <c r="P102" s="12">
        <f>+'SCOTIARÉSULT         '!B35</f>
        <v>18546</v>
      </c>
      <c r="R102" s="573" t="s">
        <v>110</v>
      </c>
      <c r="S102" s="12">
        <f>+'SCOTIARÉSULT         '!B41</f>
        <v>1241</v>
      </c>
    </row>
    <row r="103" spans="2:19">
      <c r="B103" s="573" t="s">
        <v>110</v>
      </c>
      <c r="C103" s="12">
        <f>+'SCOTIARÉSULT         '!B13</f>
        <v>25277</v>
      </c>
      <c r="E103" s="573" t="s">
        <v>102</v>
      </c>
      <c r="F103" s="149">
        <f>+buhrésult!B15/buhrésult!B13</f>
        <v>0.61283200494557655</v>
      </c>
      <c r="G103" s="15" t="s">
        <v>0</v>
      </c>
      <c r="H103" s="573" t="s">
        <v>110</v>
      </c>
      <c r="I103" s="16">
        <f>+'SCOTIARÉSULT         '!B21</f>
        <v>3791</v>
      </c>
      <c r="K103" s="573" t="s">
        <v>106</v>
      </c>
      <c r="L103" s="149">
        <f>+'UNIBKRÉSULT   '!B35/'UNIBKRÉSULT   '!B23</f>
        <v>0.74321311733288109</v>
      </c>
      <c r="O103" s="573" t="s">
        <v>109</v>
      </c>
      <c r="P103" s="12">
        <f>+'CBNARÉSULT         '!B35</f>
        <v>15043</v>
      </c>
      <c r="R103" s="573" t="s">
        <v>101</v>
      </c>
      <c r="S103" s="12">
        <f>+'BPHRÉSULT  '!B41</f>
        <v>292.49999999999818</v>
      </c>
    </row>
    <row r="104" spans="2:19">
      <c r="B104" s="9" t="s">
        <v>101</v>
      </c>
      <c r="C104" s="3">
        <f>+'BPHRÉSULT  '!B13</f>
        <v>19657.8</v>
      </c>
      <c r="E104" s="573" t="s">
        <v>109</v>
      </c>
      <c r="F104" s="149">
        <f>+'CBNARÉSULT         '!B15/'CBNARÉSULT         '!B13</f>
        <v>0.58175059534181328</v>
      </c>
      <c r="G104" s="15" t="s">
        <v>0</v>
      </c>
      <c r="H104" s="573" t="s">
        <v>108</v>
      </c>
      <c r="I104" s="16">
        <f>+'SGBELRÉSULT       '!B21</f>
        <v>2496</v>
      </c>
      <c r="K104" s="573" t="s">
        <v>104</v>
      </c>
      <c r="L104" s="149">
        <f>+SOCABKRÉSULT!B35/SOCABKRÉSULT!B23</f>
        <v>0.72411631987966907</v>
      </c>
      <c r="O104" s="573" t="s">
        <v>101</v>
      </c>
      <c r="P104" s="12">
        <f>+'BPHRÉSULT  '!B35</f>
        <v>8920.2000000000007</v>
      </c>
      <c r="R104" s="573" t="s">
        <v>98</v>
      </c>
      <c r="S104" s="12">
        <f>+'BICHRÉSULT     '!B41</f>
        <v>37.09999999999993</v>
      </c>
    </row>
    <row r="105" spans="2:19">
      <c r="B105" s="573" t="s">
        <v>108</v>
      </c>
      <c r="C105" s="12">
        <f>+'SGBELRÉSULT       '!B13</f>
        <v>16185.2</v>
      </c>
      <c r="E105" s="9" t="s">
        <v>127</v>
      </c>
      <c r="F105" s="142">
        <f>+BHdRÉSULT!B15/BHdRÉSULT!B13</f>
        <v>0.57987643424536617</v>
      </c>
      <c r="G105" s="15" t="s">
        <v>0</v>
      </c>
      <c r="H105" s="573" t="s">
        <v>101</v>
      </c>
      <c r="I105" s="16">
        <f>+'BPHRÉSULT  '!B21</f>
        <v>1856.9</v>
      </c>
      <c r="K105" s="573" t="s">
        <v>103</v>
      </c>
      <c r="L105" s="149">
        <f>+'PROMOBKRÉSULT    '!B35/'PROMOBKRÉSULT    '!B23</f>
        <v>0.70514106568204082</v>
      </c>
      <c r="O105" s="573" t="s">
        <v>108</v>
      </c>
      <c r="P105" s="12">
        <f>+'SGBELRÉSULT       '!B35</f>
        <v>6943.5</v>
      </c>
      <c r="R105" s="573" t="s">
        <v>127</v>
      </c>
      <c r="S105" s="16">
        <f>+BHdRÉSULT!B41</f>
        <v>-1196.9000000000001</v>
      </c>
    </row>
    <row r="106" spans="2:19">
      <c r="B106" s="573" t="s">
        <v>98</v>
      </c>
      <c r="C106" s="12">
        <f>+'BICHRÉSULT     '!B13</f>
        <v>126.6</v>
      </c>
      <c r="E106" s="573" t="s">
        <v>101</v>
      </c>
      <c r="F106" s="149">
        <f>+'BPHRÉSULT  '!B15/'BPHRÉSULT  '!B13</f>
        <v>0.46575913886599718</v>
      </c>
      <c r="G106" s="15" t="s">
        <v>0</v>
      </c>
      <c r="H106" s="573" t="s">
        <v>98</v>
      </c>
      <c r="I106" s="16">
        <f>+'BICHRÉSULT     '!B21</f>
        <v>199.1</v>
      </c>
      <c r="K106" s="573" t="s">
        <v>108</v>
      </c>
      <c r="L106" s="149">
        <f>+'SGBELRÉSULT       '!B35/'SGBELRÉSULT       '!B23</f>
        <v>0.5056658461628093</v>
      </c>
      <c r="O106" s="573" t="s">
        <v>127</v>
      </c>
      <c r="P106" s="16">
        <f>+BHdRÉSULT!B35</f>
        <v>1119</v>
      </c>
      <c r="R106" s="912" t="s">
        <v>100</v>
      </c>
      <c r="S106" s="12">
        <f>+'bncrésult '!B41</f>
        <v>-1254</v>
      </c>
    </row>
    <row r="107" spans="2:19">
      <c r="B107" s="9" t="s">
        <v>127</v>
      </c>
      <c r="C107" s="3">
        <f>+BHdRÉSULT!B13</f>
        <v>113.3</v>
      </c>
      <c r="E107" s="573" t="s">
        <v>104</v>
      </c>
      <c r="F107" s="149">
        <f>+SOCABKRÉSULT!B15/SOCABKRÉSULT!B13</f>
        <v>0.33479411615004834</v>
      </c>
      <c r="H107" s="573" t="s">
        <v>127</v>
      </c>
      <c r="I107" s="16">
        <f>+BHdRÉSULT!B21</f>
        <v>0.2</v>
      </c>
      <c r="K107" s="573" t="s">
        <v>109</v>
      </c>
      <c r="L107" s="149">
        <f>+'CBNARÉSULT         '!B35/'CBNARÉSULT         '!B23</f>
        <v>0.46814800983412691</v>
      </c>
      <c r="M107"/>
      <c r="O107" s="573" t="s">
        <v>98</v>
      </c>
      <c r="P107" s="12">
        <f>+'BICHRÉSULT     '!B35</f>
        <v>240.10000000000002</v>
      </c>
      <c r="R107" s="573" t="s">
        <v>102</v>
      </c>
      <c r="S107" s="12">
        <f>+buhrésult!B41</f>
        <v>-1317</v>
      </c>
    </row>
    <row r="108" spans="2:19">
      <c r="B108"/>
      <c r="C108"/>
      <c r="H108"/>
      <c r="I108"/>
      <c r="K108"/>
      <c r="L108"/>
      <c r="M108"/>
      <c r="O108"/>
      <c r="P108"/>
      <c r="R108"/>
      <c r="S108"/>
    </row>
    <row r="109" spans="2:19">
      <c r="B109"/>
      <c r="C109"/>
      <c r="E109" s="29"/>
      <c r="K109"/>
      <c r="L109"/>
      <c r="M109"/>
    </row>
    <row r="110" spans="2:19">
      <c r="B110"/>
      <c r="C110"/>
      <c r="K110"/>
      <c r="L110"/>
      <c r="M110"/>
    </row>
    <row r="111" spans="2:19">
      <c r="B111"/>
      <c r="C111"/>
      <c r="E111"/>
      <c r="F111"/>
    </row>
    <row r="112" spans="2:19">
      <c r="B112"/>
      <c r="C112"/>
      <c r="E112"/>
      <c r="F112"/>
    </row>
    <row r="113" spans="5:6">
      <c r="E113"/>
      <c r="F113"/>
    </row>
    <row r="114" spans="5:6">
      <c r="E114"/>
      <c r="F114"/>
    </row>
    <row r="115" spans="5:6">
      <c r="E115"/>
      <c r="F115"/>
    </row>
    <row r="116" spans="5:6">
      <c r="E116"/>
      <c r="F116"/>
    </row>
    <row r="117" spans="5:6">
      <c r="E117"/>
      <c r="F117"/>
    </row>
    <row r="118" spans="5:6">
      <c r="E118"/>
      <c r="F118"/>
    </row>
    <row r="119" spans="5:6">
      <c r="E119"/>
      <c r="F119"/>
    </row>
    <row r="120" spans="5:6">
      <c r="E120"/>
      <c r="F120"/>
    </row>
    <row r="121" spans="5:6">
      <c r="E121"/>
      <c r="F121"/>
    </row>
    <row r="122" spans="5:6">
      <c r="E122"/>
      <c r="F122"/>
    </row>
    <row r="123" spans="5:6">
      <c r="E123"/>
      <c r="F123"/>
    </row>
  </sheetData>
  <pageMargins left="0.2" right="0.2" top="0.22" bottom="0.34" header="0.23" footer="0.22"/>
  <pageSetup scale="40" orientation="landscape" r:id="rId1"/>
  <headerFooter alignWithMargins="0">
    <oddFooter>&amp;L &amp;R&amp;16&amp;P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108"/>
  <sheetViews>
    <sheetView workbookViewId="0"/>
  </sheetViews>
  <sheetFormatPr defaultRowHeight="15.75"/>
  <cols>
    <col min="1" max="1" width="54.875" customWidth="1"/>
    <col min="2" max="10" width="13.625" style="27" customWidth="1"/>
    <col min="11" max="11" width="18.25" style="27" customWidth="1"/>
    <col min="12" max="12" width="14.625" style="27" customWidth="1"/>
    <col min="13" max="13" width="15" style="27" customWidth="1"/>
    <col min="14" max="14" width="14.625" style="27" customWidth="1"/>
    <col min="15" max="17" width="13.625" style="27" customWidth="1"/>
    <col min="18" max="18" width="15.75" style="27" customWidth="1"/>
    <col min="19" max="19" width="13.625" style="27" customWidth="1"/>
    <col min="20" max="20" width="16.75" style="27" customWidth="1"/>
    <col min="21" max="21" width="15" style="27" customWidth="1"/>
    <col min="22" max="22" width="13.75" style="27" customWidth="1"/>
    <col min="23" max="23" width="11" style="27" customWidth="1"/>
    <col min="24" max="256" width="11" customWidth="1"/>
  </cols>
  <sheetData>
    <row r="1" spans="1:24">
      <c r="A1" s="114" t="s">
        <v>163</v>
      </c>
      <c r="B1" s="40"/>
      <c r="C1" s="40"/>
      <c r="D1" s="40"/>
      <c r="E1" s="40"/>
      <c r="F1" s="40"/>
      <c r="G1" s="40"/>
      <c r="H1" s="40"/>
      <c r="I1" s="40"/>
      <c r="J1" s="40"/>
      <c r="K1" s="40"/>
      <c r="L1" s="40"/>
      <c r="M1" s="40"/>
      <c r="N1" s="40"/>
      <c r="O1" s="40"/>
      <c r="P1" s="40"/>
      <c r="Q1" s="40"/>
      <c r="R1" s="40"/>
      <c r="S1" s="40"/>
      <c r="T1" s="40"/>
      <c r="U1" s="40"/>
      <c r="V1" s="320"/>
    </row>
    <row r="2" spans="1:24">
      <c r="A2" s="114" t="s">
        <v>360</v>
      </c>
      <c r="B2" s="40"/>
      <c r="C2" s="40"/>
      <c r="D2" s="40"/>
      <c r="E2" s="40"/>
      <c r="F2" s="40"/>
      <c r="G2" s="40"/>
      <c r="H2" s="40"/>
      <c r="I2" s="40"/>
      <c r="J2" s="40"/>
      <c r="K2" s="40"/>
      <c r="L2" s="40"/>
      <c r="M2" s="40"/>
      <c r="N2" s="40"/>
      <c r="O2" s="40"/>
      <c r="P2" s="40"/>
      <c r="Q2" s="40"/>
      <c r="R2" s="40"/>
      <c r="S2" s="40"/>
      <c r="T2" s="40"/>
      <c r="U2" s="40"/>
      <c r="V2" s="320"/>
    </row>
    <row r="3" spans="1:24">
      <c r="A3" s="114" t="s">
        <v>436</v>
      </c>
      <c r="B3" s="40"/>
      <c r="C3" s="40"/>
      <c r="D3" s="40"/>
      <c r="E3" s="40"/>
      <c r="F3" s="40"/>
      <c r="G3" s="40"/>
      <c r="H3" s="40"/>
      <c r="I3" s="40"/>
      <c r="J3" s="40"/>
      <c r="K3" s="40"/>
      <c r="L3" s="40"/>
      <c r="M3" s="40"/>
      <c r="N3" s="40"/>
      <c r="O3" s="40"/>
      <c r="P3" s="40"/>
      <c r="Q3" s="40"/>
      <c r="R3" s="40"/>
      <c r="S3" s="40"/>
      <c r="T3" s="40"/>
      <c r="U3" s="40"/>
      <c r="V3" s="320"/>
    </row>
    <row r="4" spans="1:24">
      <c r="A4" s="114" t="s">
        <v>179</v>
      </c>
      <c r="B4" s="40"/>
      <c r="C4" s="40"/>
      <c r="D4" s="40"/>
      <c r="E4" s="40"/>
      <c r="F4" s="40"/>
      <c r="G4" s="40"/>
      <c r="H4" s="40"/>
      <c r="I4" s="40"/>
      <c r="J4" s="40"/>
      <c r="K4" s="40"/>
      <c r="L4" s="40"/>
      <c r="M4" s="40"/>
      <c r="N4" s="40"/>
      <c r="O4" s="40"/>
      <c r="P4" s="40"/>
      <c r="Q4" s="40"/>
      <c r="R4" s="40"/>
      <c r="S4" s="40"/>
      <c r="T4" s="40"/>
      <c r="U4" s="40"/>
    </row>
    <row r="5" spans="1:24">
      <c r="B5" s="69"/>
      <c r="C5" s="69"/>
      <c r="D5" s="69"/>
      <c r="E5" s="69"/>
      <c r="F5" s="69"/>
      <c r="G5" s="69"/>
      <c r="H5" s="69"/>
      <c r="I5" s="69"/>
      <c r="J5" s="69"/>
      <c r="K5" s="69"/>
      <c r="L5" s="69"/>
      <c r="M5" s="69"/>
      <c r="N5" s="69"/>
      <c r="O5" s="69"/>
      <c r="P5" s="69"/>
      <c r="Q5" s="69"/>
      <c r="R5" s="69"/>
      <c r="S5" s="69"/>
      <c r="T5" s="69"/>
      <c r="U5" s="69"/>
    </row>
    <row r="6" spans="1:24" ht="16.5" thickBot="1">
      <c r="A6" s="1"/>
      <c r="B6" s="327" t="s">
        <v>98</v>
      </c>
      <c r="C6" s="229" t="s">
        <v>100</v>
      </c>
      <c r="D6" s="229" t="s">
        <v>101</v>
      </c>
      <c r="E6" s="327" t="s">
        <v>102</v>
      </c>
      <c r="F6" s="229" t="s">
        <v>107</v>
      </c>
      <c r="G6" s="229" t="s">
        <v>103</v>
      </c>
      <c r="H6" s="229" t="s">
        <v>104</v>
      </c>
      <c r="I6" s="327" t="s">
        <v>105</v>
      </c>
      <c r="J6" s="327" t="s">
        <v>361</v>
      </c>
      <c r="K6" s="350" t="s">
        <v>362</v>
      </c>
      <c r="L6" s="1106" t="s">
        <v>250</v>
      </c>
      <c r="M6" s="327" t="s">
        <v>108</v>
      </c>
      <c r="N6" s="350" t="s">
        <v>362</v>
      </c>
      <c r="O6" s="327" t="s">
        <v>109</v>
      </c>
      <c r="P6" s="229" t="s">
        <v>110</v>
      </c>
      <c r="Q6" s="350" t="s">
        <v>362</v>
      </c>
      <c r="R6" s="350" t="s">
        <v>111</v>
      </c>
      <c r="U6"/>
      <c r="V6" s="28"/>
      <c r="W6" s="28"/>
      <c r="X6" s="9"/>
    </row>
    <row r="7" spans="1:24">
      <c r="A7" s="2" t="s">
        <v>437</v>
      </c>
      <c r="B7" s="315"/>
      <c r="C7" s="316"/>
      <c r="D7" s="316"/>
      <c r="E7" s="315"/>
      <c r="F7" s="316"/>
      <c r="G7" s="316"/>
      <c r="H7" s="316"/>
      <c r="I7" s="315"/>
      <c r="J7" s="315"/>
      <c r="K7" s="317"/>
      <c r="L7" s="1107"/>
      <c r="M7" s="315"/>
      <c r="N7" s="318"/>
      <c r="O7" s="315"/>
      <c r="P7" s="316"/>
      <c r="Q7" s="317"/>
      <c r="R7" s="317"/>
      <c r="U7"/>
      <c r="V7" s="28"/>
      <c r="W7" s="28"/>
      <c r="X7" s="9"/>
    </row>
    <row r="8" spans="1:24">
      <c r="A8" s="2"/>
      <c r="B8" s="315"/>
      <c r="C8" s="316"/>
      <c r="D8" s="316"/>
      <c r="E8" s="315"/>
      <c r="F8" s="316"/>
      <c r="G8" s="316"/>
      <c r="H8" s="316"/>
      <c r="I8" s="315"/>
      <c r="J8" s="315"/>
      <c r="K8" s="317"/>
      <c r="L8" s="1107"/>
      <c r="M8" s="315"/>
      <c r="N8" s="318"/>
      <c r="O8" s="315"/>
      <c r="P8" s="316"/>
      <c r="Q8" s="317"/>
      <c r="R8" s="317"/>
      <c r="U8"/>
      <c r="V8" s="28"/>
      <c r="W8" s="28"/>
      <c r="X8" s="9"/>
    </row>
    <row r="9" spans="1:24">
      <c r="A9" s="102" t="s">
        <v>328</v>
      </c>
      <c r="B9" s="69"/>
      <c r="C9" s="69"/>
      <c r="D9" s="69"/>
      <c r="E9" s="69" t="s">
        <v>0</v>
      </c>
      <c r="F9" s="69"/>
      <c r="G9" s="69"/>
      <c r="H9" s="69"/>
      <c r="I9" s="69"/>
      <c r="J9" s="69"/>
      <c r="K9" s="204"/>
      <c r="L9" s="1108"/>
      <c r="M9" s="69"/>
      <c r="N9" s="204"/>
      <c r="O9" s="69"/>
      <c r="P9" s="69"/>
      <c r="Q9" s="204"/>
      <c r="R9" s="205"/>
      <c r="U9"/>
    </row>
    <row r="10" spans="1:24">
      <c r="A10" s="102" t="s">
        <v>329</v>
      </c>
      <c r="B10" s="60" t="str">
        <f>+'BICHRÉSULT     '!R49</f>
        <v xml:space="preserve"> </v>
      </c>
      <c r="C10" s="60" t="str">
        <f>+'bncrésult '!R49</f>
        <v xml:space="preserve"> </v>
      </c>
      <c r="D10" s="60" t="str">
        <f>+'BPHRÉSULT  '!R49</f>
        <v xml:space="preserve"> </v>
      </c>
      <c r="E10" s="60" t="str">
        <f>+buhrésult!R49</f>
        <v xml:space="preserve"> </v>
      </c>
      <c r="F10" s="60" t="str">
        <f>+'CAPITALBKRÉSULT      '!R49</f>
        <v xml:space="preserve"> </v>
      </c>
      <c r="G10" s="60" t="str">
        <f>+'PROMOBKRÉSULT    '!R49</f>
        <v xml:space="preserve"> </v>
      </c>
      <c r="H10" s="60" t="str">
        <f>+SOCABKRÉSULT!R49</f>
        <v xml:space="preserve"> </v>
      </c>
      <c r="I10" s="60" t="str">
        <f>+SOGEBKRÉSULT!R49</f>
        <v xml:space="preserve"> </v>
      </c>
      <c r="J10" s="60" t="str">
        <f>+'UNIBKRÉSULT   '!R49</f>
        <v xml:space="preserve"> </v>
      </c>
      <c r="K10" s="190" t="s">
        <v>0</v>
      </c>
      <c r="L10" s="86"/>
      <c r="M10" s="60" t="str">
        <f>+'SGBELRÉSULT       '!R49</f>
        <v xml:space="preserve"> </v>
      </c>
      <c r="N10" s="190" t="s">
        <v>0</v>
      </c>
      <c r="O10" s="60" t="str">
        <f>+'CBNARÉSULT         '!R49</f>
        <v xml:space="preserve"> </v>
      </c>
      <c r="P10" s="60" t="str">
        <f>+'SCOTIARÉSULT         '!R49</f>
        <v xml:space="preserve"> </v>
      </c>
      <c r="Q10" s="190" t="s">
        <v>0</v>
      </c>
      <c r="R10" s="207" t="s">
        <v>0</v>
      </c>
      <c r="U10"/>
    </row>
    <row r="11" spans="1:24" ht="18.75">
      <c r="A11" s="102" t="s">
        <v>330</v>
      </c>
      <c r="B11" s="338">
        <f>+'BICHRÉSULT     '!R50</f>
        <v>126.6</v>
      </c>
      <c r="C11" s="338">
        <f>+'bncrésult '!R50</f>
        <v>13238</v>
      </c>
      <c r="D11" s="338">
        <f>+'BPHRÉSULT  '!R50</f>
        <v>13506.9</v>
      </c>
      <c r="E11" s="338">
        <f>+buhrésult!R50</f>
        <v>38051</v>
      </c>
      <c r="F11" s="338">
        <f>+'CAPITALBKRÉSULT      '!R50</f>
        <v>22449</v>
      </c>
      <c r="G11" s="338">
        <f>+'PROMOBKRÉSULT    '!R50</f>
        <v>35400.5</v>
      </c>
      <c r="H11" s="338">
        <f>+SOCABKRÉSULT!R50</f>
        <v>52505.1</v>
      </c>
      <c r="I11" s="338">
        <f>+SOGEBKRÉSULT!R50</f>
        <v>71582.3</v>
      </c>
      <c r="J11" s="338">
        <f>+'UNIBKRÉSULT   '!R50</f>
        <v>58320.7</v>
      </c>
      <c r="K11" s="340">
        <f>SUM(B11:J11)</f>
        <v>305180.10000000003</v>
      </c>
      <c r="L11" s="1112">
        <f>+BHdRÉSULT!R50</f>
        <v>113.3</v>
      </c>
      <c r="M11" s="338">
        <f>+'SGBELRÉSULT       '!R50</f>
        <v>14599.9</v>
      </c>
      <c r="N11" s="340">
        <f>+L11+M11</f>
        <v>14713.199999999999</v>
      </c>
      <c r="O11" s="338">
        <f>+'CBNARÉSULT         '!R50</f>
        <v>29093</v>
      </c>
      <c r="P11" s="338">
        <f>+'SCOTIARÉSULT         '!R50</f>
        <v>22562</v>
      </c>
      <c r="Q11" s="340">
        <f>SUM(O11:P11)</f>
        <v>51655</v>
      </c>
      <c r="R11" s="340">
        <f>+K11+N11+Q11</f>
        <v>371548.30000000005</v>
      </c>
      <c r="U11"/>
    </row>
    <row r="12" spans="1:24" ht="18.75">
      <c r="A12" s="102" t="s">
        <v>354</v>
      </c>
      <c r="B12" s="338">
        <f>+'BICHRÉSULT     '!R51</f>
        <v>0</v>
      </c>
      <c r="C12" s="338">
        <f>+'bncrésult '!R51</f>
        <v>12860</v>
      </c>
      <c r="D12" s="338">
        <f>+'BPHRÉSULT  '!R51</f>
        <v>5701.3</v>
      </c>
      <c r="E12" s="338">
        <f>+buhrésult!R51</f>
        <v>5389</v>
      </c>
      <c r="F12" s="338">
        <f>+'CAPITALBKRÉSULT      '!R51</f>
        <v>2428</v>
      </c>
      <c r="G12" s="338">
        <f>+'PROMOBKRÉSULT    '!R51</f>
        <v>3972</v>
      </c>
      <c r="H12" s="338">
        <f>+SOCABKRÉSULT!R51</f>
        <v>4677.3999999999996</v>
      </c>
      <c r="I12" s="338">
        <f>+SOGEBKRÉSULT!R51</f>
        <v>30836.6</v>
      </c>
      <c r="J12" s="338">
        <f>+'UNIBKRÉSULT   '!R51</f>
        <v>8941.9</v>
      </c>
      <c r="K12" s="340">
        <f>SUM(B12:J12)</f>
        <v>74806.199999999983</v>
      </c>
      <c r="L12" s="1112">
        <f>+BHdRÉSULT!R51</f>
        <v>0</v>
      </c>
      <c r="M12" s="338">
        <f>+'SGBELRÉSULT       '!R51</f>
        <v>1369.2</v>
      </c>
      <c r="N12" s="340">
        <f>+L12+M12</f>
        <v>1369.2</v>
      </c>
      <c r="O12" s="338">
        <f>+'CBNARÉSULT         '!R51</f>
        <v>5308</v>
      </c>
      <c r="P12" s="338">
        <f>+'SCOTIARÉSULT         '!R51</f>
        <v>1572</v>
      </c>
      <c r="Q12" s="340">
        <f>SUM(O12:P12)</f>
        <v>6880</v>
      </c>
      <c r="R12" s="340">
        <f>+K12+N12+Q12</f>
        <v>83055.39999999998</v>
      </c>
      <c r="U12"/>
    </row>
    <row r="13" spans="1:24" ht="18.75">
      <c r="A13" s="102" t="s">
        <v>332</v>
      </c>
      <c r="B13" s="341">
        <f>+'BICHRÉSULT     '!R52</f>
        <v>0</v>
      </c>
      <c r="C13" s="341">
        <f>+'bncrésult '!R52</f>
        <v>4656</v>
      </c>
      <c r="D13" s="341">
        <f>+'BPHRÉSULT  '!R52</f>
        <v>449.6</v>
      </c>
      <c r="E13" s="341">
        <f>+buhrésult!R52</f>
        <v>1853</v>
      </c>
      <c r="F13" s="341">
        <f>+'CAPITALBKRÉSULT      '!R52</f>
        <v>2580</v>
      </c>
      <c r="G13" s="341">
        <f>+'PROMOBKRÉSULT    '!R52</f>
        <v>1252.4000000000001</v>
      </c>
      <c r="H13" s="341">
        <f>+SOCABKRÉSULT!R52</f>
        <v>1758.5</v>
      </c>
      <c r="I13" s="341">
        <f>+SOGEBKRÉSULT!R52</f>
        <v>7905.6</v>
      </c>
      <c r="J13" s="341">
        <f>+'UNIBKRÉSULT   '!R52</f>
        <v>8294.2999999999993</v>
      </c>
      <c r="K13" s="343">
        <f>SUM(B13:J13)</f>
        <v>28749.399999999998</v>
      </c>
      <c r="L13" s="1113">
        <f>+BHdRÉSULT!R52</f>
        <v>0</v>
      </c>
      <c r="M13" s="341">
        <f>+'SGBELRÉSULT       '!R52</f>
        <v>216.1</v>
      </c>
      <c r="N13" s="343">
        <f>+L13+M13</f>
        <v>216.1</v>
      </c>
      <c r="O13" s="341">
        <f>+'CBNARÉSULT         '!R52</f>
        <v>33</v>
      </c>
      <c r="P13" s="341">
        <f>+'SCOTIARÉSULT         '!R52</f>
        <v>1143</v>
      </c>
      <c r="Q13" s="343">
        <f>SUM(O13:P13)</f>
        <v>1176</v>
      </c>
      <c r="R13" s="343">
        <f>+K13+N13+Q13</f>
        <v>30141.499999999996</v>
      </c>
      <c r="U13"/>
    </row>
    <row r="14" spans="1:24" ht="18.75">
      <c r="A14" s="102"/>
      <c r="B14" s="338">
        <f>SUM(B11:B13)</f>
        <v>126.6</v>
      </c>
      <c r="C14" s="338">
        <f>SUM(C11:C13)</f>
        <v>30754</v>
      </c>
      <c r="D14" s="338">
        <f>SUM(D11:D13)</f>
        <v>19657.8</v>
      </c>
      <c r="E14" s="338">
        <f>SUM(E11:E13)</f>
        <v>45293</v>
      </c>
      <c r="F14" s="338">
        <f t="shared" ref="F14:N14" si="0">SUM(F11:F13)</f>
        <v>27457</v>
      </c>
      <c r="G14" s="338">
        <f t="shared" si="0"/>
        <v>40624.9</v>
      </c>
      <c r="H14" s="338">
        <f t="shared" si="0"/>
        <v>58941</v>
      </c>
      <c r="I14" s="338">
        <f t="shared" si="0"/>
        <v>110324.5</v>
      </c>
      <c r="J14" s="338">
        <f t="shared" si="0"/>
        <v>75556.899999999994</v>
      </c>
      <c r="K14" s="340">
        <f t="shared" si="0"/>
        <v>408735.70000000007</v>
      </c>
      <c r="L14" s="338">
        <f t="shared" si="0"/>
        <v>113.3</v>
      </c>
      <c r="M14" s="338">
        <f t="shared" si="0"/>
        <v>16185.2</v>
      </c>
      <c r="N14" s="1115">
        <f t="shared" si="0"/>
        <v>16298.5</v>
      </c>
      <c r="O14" s="338">
        <f>SUM(O11:O13)</f>
        <v>34434</v>
      </c>
      <c r="P14" s="338">
        <f>SUM(P11:P13)</f>
        <v>25277</v>
      </c>
      <c r="Q14" s="340">
        <f>SUM(Q11:Q13)</f>
        <v>59711</v>
      </c>
      <c r="R14" s="340">
        <f>SUM(R11:R13)</f>
        <v>484745.2</v>
      </c>
      <c r="U14"/>
    </row>
    <row r="15" spans="1:24" ht="18.75">
      <c r="A15" s="102" t="s">
        <v>333</v>
      </c>
      <c r="B15" s="341">
        <f>+'BICHRÉSULT     '!R54</f>
        <v>29.9</v>
      </c>
      <c r="C15" s="341">
        <f>+'bncrésult '!R54</f>
        <v>10052</v>
      </c>
      <c r="D15" s="341">
        <f>+'BPHRÉSULT  '!R54</f>
        <v>10502</v>
      </c>
      <c r="E15" s="341">
        <f>+buhrésult!R54</f>
        <v>17536</v>
      </c>
      <c r="F15" s="341">
        <f>+'CAPITALBKRÉSULT      '!R54</f>
        <v>9329</v>
      </c>
      <c r="G15" s="341">
        <f>+'PROMOBKRÉSULT    '!R54</f>
        <v>11241.6</v>
      </c>
      <c r="H15" s="341">
        <f>+SOCABKRÉSULT!R54</f>
        <v>39207.9</v>
      </c>
      <c r="I15" s="341">
        <f>+SOGEBKRÉSULT!R54</f>
        <v>27803.9</v>
      </c>
      <c r="J15" s="341">
        <f>+'UNIBKRÉSULT   '!R54</f>
        <v>21807.200000000001</v>
      </c>
      <c r="K15" s="343">
        <f>SUM(B15:J15)</f>
        <v>147509.5</v>
      </c>
      <c r="L15" s="1113">
        <f>+BHdRÉSULT!R54</f>
        <v>47.6</v>
      </c>
      <c r="M15" s="341">
        <f>+'SGBELRÉSULT       '!R54</f>
        <v>4949.8</v>
      </c>
      <c r="N15" s="343">
        <f>+L15+M15</f>
        <v>4997.4000000000005</v>
      </c>
      <c r="O15" s="341">
        <f>+'CBNARÉSULT         '!R54</f>
        <v>14402</v>
      </c>
      <c r="P15" s="341">
        <f>+'SCOTIARÉSULT         '!R54</f>
        <v>7492</v>
      </c>
      <c r="Q15" s="343">
        <f>SUM(O15:P15)</f>
        <v>21894</v>
      </c>
      <c r="R15" s="343">
        <f>+K15+N15+Q15</f>
        <v>174400.9</v>
      </c>
      <c r="U15"/>
    </row>
    <row r="16" spans="1:24" ht="18.75">
      <c r="A16" s="102"/>
      <c r="B16" s="338">
        <f>+B14-B15</f>
        <v>96.699999999999989</v>
      </c>
      <c r="C16" s="338">
        <f>+C14-C15</f>
        <v>20702</v>
      </c>
      <c r="D16" s="338">
        <f>+D14-D15</f>
        <v>9155.7999999999993</v>
      </c>
      <c r="E16" s="338">
        <f>+E14-E15</f>
        <v>27757</v>
      </c>
      <c r="F16" s="338">
        <f t="shared" ref="F16:N16" si="1">+F14-F15</f>
        <v>18128</v>
      </c>
      <c r="G16" s="338">
        <f t="shared" si="1"/>
        <v>29383.300000000003</v>
      </c>
      <c r="H16" s="338">
        <f t="shared" si="1"/>
        <v>19733.099999999999</v>
      </c>
      <c r="I16" s="338">
        <f t="shared" si="1"/>
        <v>82520.600000000006</v>
      </c>
      <c r="J16" s="338">
        <f t="shared" si="1"/>
        <v>53749.7</v>
      </c>
      <c r="K16" s="340">
        <f t="shared" si="1"/>
        <v>261226.20000000007</v>
      </c>
      <c r="L16" s="338">
        <f t="shared" si="1"/>
        <v>65.699999999999989</v>
      </c>
      <c r="M16" s="338">
        <f t="shared" si="1"/>
        <v>11235.400000000001</v>
      </c>
      <c r="N16" s="1115">
        <f t="shared" si="1"/>
        <v>11301.099999999999</v>
      </c>
      <c r="O16" s="338">
        <f>+O14-O15</f>
        <v>20032</v>
      </c>
      <c r="P16" s="338">
        <f>+P14-P15</f>
        <v>17785</v>
      </c>
      <c r="Q16" s="340">
        <f>+Q14-Q15</f>
        <v>37817</v>
      </c>
      <c r="R16" s="340">
        <f>+R14-R15</f>
        <v>310344.30000000005</v>
      </c>
      <c r="U16"/>
    </row>
    <row r="17" spans="1:21" ht="9" customHeight="1">
      <c r="A17" s="102"/>
      <c r="B17" s="338"/>
      <c r="C17" s="338" t="s">
        <v>0</v>
      </c>
      <c r="D17" s="338"/>
      <c r="E17" s="338"/>
      <c r="F17" s="338"/>
      <c r="G17" s="338"/>
      <c r="H17" s="339"/>
      <c r="I17" s="338"/>
      <c r="J17" s="338"/>
      <c r="K17" s="340"/>
      <c r="L17" s="1109"/>
      <c r="M17" s="338"/>
      <c r="N17" s="340" t="s">
        <v>0</v>
      </c>
      <c r="O17" s="338"/>
      <c r="P17" s="338"/>
      <c r="Q17" s="340"/>
      <c r="R17" s="340"/>
      <c r="U17"/>
    </row>
    <row r="18" spans="1:21" ht="18.75">
      <c r="A18" s="102" t="s">
        <v>334</v>
      </c>
      <c r="B18" s="338"/>
      <c r="C18" s="338" t="s">
        <v>0</v>
      </c>
      <c r="D18" s="338"/>
      <c r="E18" s="338"/>
      <c r="F18" s="338"/>
      <c r="G18" s="338"/>
      <c r="H18" s="339"/>
      <c r="I18" s="338"/>
      <c r="J18" s="338"/>
      <c r="K18" s="340"/>
      <c r="L18" s="1109"/>
      <c r="M18" s="338"/>
      <c r="N18" s="340" t="s">
        <v>0</v>
      </c>
      <c r="O18" s="338"/>
      <c r="P18" s="338"/>
      <c r="Q18" s="340"/>
      <c r="R18" s="340"/>
      <c r="U18"/>
    </row>
    <row r="19" spans="1:21" ht="18.75">
      <c r="A19" s="102" t="s">
        <v>335</v>
      </c>
      <c r="B19" s="338">
        <f>+'BICHRÉSULT     '!R58</f>
        <v>54.4</v>
      </c>
      <c r="C19" s="338">
        <f>+'bncrésult '!R58</f>
        <v>7583</v>
      </c>
      <c r="D19" s="338">
        <f>+'BPHRÉSULT  '!R58</f>
        <v>1208.7</v>
      </c>
      <c r="E19" s="338">
        <f>+buhrésult!R58</f>
        <v>10040</v>
      </c>
      <c r="F19" s="338">
        <f>+'CAPITALBKRÉSULT      '!R58</f>
        <v>2592</v>
      </c>
      <c r="G19" s="338">
        <f>+'PROMOBKRÉSULT    '!R58</f>
        <v>5992.9</v>
      </c>
      <c r="H19" s="338">
        <f>+SOCABKRÉSULT!R58</f>
        <v>5445.6</v>
      </c>
      <c r="I19" s="338">
        <f>+SOGEBKRÉSULT!R58</f>
        <v>9951.5</v>
      </c>
      <c r="J19" s="338">
        <f>+'UNIBKRÉSULT   '!R58</f>
        <v>9752.7999999999993</v>
      </c>
      <c r="K19" s="340">
        <f>SUM(B19:J19)</f>
        <v>52620.899999999994</v>
      </c>
      <c r="L19" s="1112">
        <f>+BHdRÉSULT!R58</f>
        <v>0</v>
      </c>
      <c r="M19" s="338">
        <f>+'SGBELRÉSULT       '!R58</f>
        <v>748.4</v>
      </c>
      <c r="N19" s="340">
        <f>+L19+M19</f>
        <v>748.4</v>
      </c>
      <c r="O19" s="338">
        <f>+'CBNARÉSULT         '!R58</f>
        <v>3662</v>
      </c>
      <c r="P19" s="338">
        <f>+'SCOTIARÉSULT         '!R58</f>
        <v>2503</v>
      </c>
      <c r="Q19" s="340">
        <f>SUM(O19:P19)</f>
        <v>6165</v>
      </c>
      <c r="R19" s="340">
        <f>+K19+N19+Q19</f>
        <v>59534.299999999996</v>
      </c>
      <c r="U19"/>
    </row>
    <row r="20" spans="1:21" ht="18.75">
      <c r="A20" s="102" t="s">
        <v>336</v>
      </c>
      <c r="B20" s="338">
        <f>+'BICHRÉSULT     '!R59</f>
        <v>0</v>
      </c>
      <c r="C20" s="338">
        <f>+'bncrésult '!R59</f>
        <v>2228</v>
      </c>
      <c r="D20" s="338">
        <f>+'BPHRÉSULT  '!R59</f>
        <v>624.79999999999995</v>
      </c>
      <c r="E20" s="338">
        <f>+buhrésult!R59</f>
        <v>3052</v>
      </c>
      <c r="F20" s="338">
        <f>+'CAPITALBKRÉSULT      '!R59</f>
        <v>704</v>
      </c>
      <c r="G20" s="338">
        <f>+'PROMOBKRÉSULT    '!R59</f>
        <v>6789.1</v>
      </c>
      <c r="H20" s="338">
        <f>+SOCABKRÉSULT!R59</f>
        <v>6733.3</v>
      </c>
      <c r="I20" s="338">
        <f>+SOGEBKRÉSULT!R59</f>
        <v>13303.2</v>
      </c>
      <c r="J20" s="338">
        <f>+'UNIBKRÉSULT   '!R59</f>
        <v>16839.400000000001</v>
      </c>
      <c r="K20" s="340">
        <f>SUM(B20:J20)</f>
        <v>50273.8</v>
      </c>
      <c r="L20" s="1112">
        <f>+BHdRÉSULT!R59</f>
        <v>0</v>
      </c>
      <c r="M20" s="338">
        <f>+'SGBELRÉSULT       '!R59</f>
        <v>1638.2</v>
      </c>
      <c r="N20" s="340">
        <f>+L20+M20</f>
        <v>1638.2</v>
      </c>
      <c r="O20" s="338">
        <f>+'CBNARÉSULT         '!R59</f>
        <v>8738</v>
      </c>
      <c r="P20" s="338">
        <f>+'SCOTIARÉSULT         '!R59</f>
        <v>1276</v>
      </c>
      <c r="Q20" s="340">
        <f>SUM(O20:P20)</f>
        <v>10014</v>
      </c>
      <c r="R20" s="340">
        <f>+K20+N20+Q20</f>
        <v>61926</v>
      </c>
      <c r="U20"/>
    </row>
    <row r="21" spans="1:21" ht="18.75">
      <c r="A21" s="102" t="s">
        <v>284</v>
      </c>
      <c r="B21" s="341">
        <f>+'BICHRÉSULT     '!R60</f>
        <v>144.69999999999999</v>
      </c>
      <c r="C21" s="341">
        <f>+'bncrésult '!R60</f>
        <v>525</v>
      </c>
      <c r="D21" s="341">
        <f>+'BPHRÉSULT  '!R60</f>
        <v>23.4</v>
      </c>
      <c r="E21" s="341">
        <f>+buhrésult!R60</f>
        <v>788</v>
      </c>
      <c r="F21" s="341">
        <f>+'CAPITALBKRÉSULT      '!R60</f>
        <v>2970</v>
      </c>
      <c r="G21" s="341">
        <f>+'PROMOBKRÉSULT    '!R60</f>
        <v>3</v>
      </c>
      <c r="H21" s="341">
        <f>+SOCABKRÉSULT!R60</f>
        <v>0</v>
      </c>
      <c r="I21" s="341">
        <f>+SOGEBKRÉSULT!R60</f>
        <v>10747.2</v>
      </c>
      <c r="J21" s="341">
        <f>+'UNIBKRÉSULT   '!R60</f>
        <v>1028.3</v>
      </c>
      <c r="K21" s="343">
        <f>SUM(B21:J21)</f>
        <v>16229.6</v>
      </c>
      <c r="L21" s="1113">
        <f>+BHdRÉSULT!R60</f>
        <v>0.2</v>
      </c>
      <c r="M21" s="341">
        <f>+'SGBELRÉSULT       '!R60</f>
        <v>109.4</v>
      </c>
      <c r="N21" s="343">
        <f>+L21+M21</f>
        <v>109.60000000000001</v>
      </c>
      <c r="O21" s="341">
        <f>+'CBNARÉSULT         '!R60</f>
        <v>-299</v>
      </c>
      <c r="P21" s="341">
        <f>+'SCOTIARÉSULT         '!R60</f>
        <v>12</v>
      </c>
      <c r="Q21" s="343">
        <f>SUM(O21:P21)</f>
        <v>-287</v>
      </c>
      <c r="R21" s="343">
        <f>+K21+N21+Q21</f>
        <v>16052.2</v>
      </c>
      <c r="U21"/>
    </row>
    <row r="22" spans="1:21" ht="18.75">
      <c r="A22" s="102"/>
      <c r="B22" s="338">
        <f>SUM(B19:B21)</f>
        <v>199.1</v>
      </c>
      <c r="C22" s="338">
        <f>SUM(C19:C21)</f>
        <v>10336</v>
      </c>
      <c r="D22" s="338">
        <f>SUM(D19:D21)</f>
        <v>1856.9</v>
      </c>
      <c r="E22" s="338">
        <f>SUM(E19:E21)</f>
        <v>13880</v>
      </c>
      <c r="F22" s="338">
        <f t="shared" ref="F22:N22" si="2">SUM(F19:F21)</f>
        <v>6266</v>
      </c>
      <c r="G22" s="338">
        <f t="shared" si="2"/>
        <v>12785</v>
      </c>
      <c r="H22" s="338">
        <f t="shared" si="2"/>
        <v>12178.900000000001</v>
      </c>
      <c r="I22" s="338">
        <f t="shared" si="2"/>
        <v>34001.9</v>
      </c>
      <c r="J22" s="338">
        <f t="shared" si="2"/>
        <v>27620.5</v>
      </c>
      <c r="K22" s="340">
        <f t="shared" si="2"/>
        <v>119124.3</v>
      </c>
      <c r="L22" s="338">
        <f t="shared" si="2"/>
        <v>0.2</v>
      </c>
      <c r="M22" s="338">
        <f t="shared" si="2"/>
        <v>2496</v>
      </c>
      <c r="N22" s="1115">
        <f t="shared" si="2"/>
        <v>2496.1999999999998</v>
      </c>
      <c r="O22" s="338">
        <f>SUM(O19:O21)</f>
        <v>12101</v>
      </c>
      <c r="P22" s="338">
        <f>SUM(P19:P21)</f>
        <v>3791</v>
      </c>
      <c r="Q22" s="340">
        <f>SUM(Q19:Q21)</f>
        <v>15892</v>
      </c>
      <c r="R22" s="340">
        <f>SUM(R19:R21)</f>
        <v>137512.5</v>
      </c>
      <c r="U22"/>
    </row>
    <row r="23" spans="1:21" ht="9" customHeight="1">
      <c r="A23" s="102"/>
      <c r="B23" s="341"/>
      <c r="C23" s="341" t="s">
        <v>0</v>
      </c>
      <c r="D23" s="341"/>
      <c r="E23" s="341"/>
      <c r="F23" s="341"/>
      <c r="G23" s="341"/>
      <c r="H23" s="342"/>
      <c r="I23" s="341"/>
      <c r="J23" s="341"/>
      <c r="K23" s="343"/>
      <c r="L23" s="1110"/>
      <c r="M23" s="341"/>
      <c r="N23" s="343" t="s">
        <v>0</v>
      </c>
      <c r="O23" s="341"/>
      <c r="P23" s="341"/>
      <c r="Q23" s="343"/>
      <c r="R23" s="343"/>
      <c r="U23"/>
    </row>
    <row r="24" spans="1:21" ht="18.75">
      <c r="A24" s="102" t="s">
        <v>337</v>
      </c>
      <c r="B24" s="338">
        <f>+B16+B22</f>
        <v>295.79999999999995</v>
      </c>
      <c r="C24" s="338">
        <f>+C16+C22</f>
        <v>31038</v>
      </c>
      <c r="D24" s="338">
        <f>+D16+D22</f>
        <v>11012.699999999999</v>
      </c>
      <c r="E24" s="338">
        <f>+E16+E22</f>
        <v>41637</v>
      </c>
      <c r="F24" s="338">
        <f t="shared" ref="F24:N24" si="3">+F16+F22</f>
        <v>24394</v>
      </c>
      <c r="G24" s="338">
        <f t="shared" si="3"/>
        <v>42168.3</v>
      </c>
      <c r="H24" s="338">
        <f t="shared" si="3"/>
        <v>31912</v>
      </c>
      <c r="I24" s="338">
        <f t="shared" si="3"/>
        <v>116522.5</v>
      </c>
      <c r="J24" s="338">
        <f t="shared" si="3"/>
        <v>81370.2</v>
      </c>
      <c r="K24" s="340">
        <f t="shared" si="3"/>
        <v>380350.50000000006</v>
      </c>
      <c r="L24" s="1109"/>
      <c r="M24" s="338">
        <f t="shared" si="3"/>
        <v>13731.400000000001</v>
      </c>
      <c r="N24" s="1115">
        <f t="shared" si="3"/>
        <v>13797.3</v>
      </c>
      <c r="O24" s="338">
        <f>+O16+O22</f>
        <v>32133</v>
      </c>
      <c r="P24" s="338">
        <f>+P16+P22</f>
        <v>21576</v>
      </c>
      <c r="Q24" s="340">
        <f>+Q16+Q22</f>
        <v>53709</v>
      </c>
      <c r="R24" s="340">
        <f>+R16+R22</f>
        <v>447856.80000000005</v>
      </c>
      <c r="U24"/>
    </row>
    <row r="25" spans="1:21" ht="9.6" customHeight="1">
      <c r="A25" s="102"/>
      <c r="B25" s="338"/>
      <c r="C25" s="338" t="s">
        <v>0</v>
      </c>
      <c r="D25" s="338"/>
      <c r="E25" s="338"/>
      <c r="F25" s="338"/>
      <c r="G25" s="338"/>
      <c r="H25" s="339"/>
      <c r="I25" s="338"/>
      <c r="J25" s="338"/>
      <c r="K25" s="340"/>
      <c r="L25" s="1109"/>
      <c r="M25" s="338"/>
      <c r="N25" s="340" t="s">
        <v>0</v>
      </c>
      <c r="O25" s="338"/>
      <c r="P25" s="338"/>
      <c r="Q25" s="340"/>
      <c r="R25" s="340"/>
      <c r="U25"/>
    </row>
    <row r="26" spans="1:21" ht="18.75">
      <c r="A26" s="102" t="s">
        <v>338</v>
      </c>
      <c r="B26" s="338">
        <f>+'BICHRÉSULT     '!R65</f>
        <v>0</v>
      </c>
      <c r="C26" s="338">
        <f>+'bncrésult '!R65</f>
        <v>0</v>
      </c>
      <c r="D26" s="338">
        <f>+'BPHRÉSULT  '!R65</f>
        <v>1800</v>
      </c>
      <c r="E26" s="338">
        <f>+buhrésult!R65</f>
        <v>2499</v>
      </c>
      <c r="F26" s="338">
        <f>+'CAPITALBKRÉSULT      '!R65</f>
        <v>750</v>
      </c>
      <c r="G26" s="338">
        <f>+'PROMOBKRÉSULT    '!R65</f>
        <v>0</v>
      </c>
      <c r="H26" s="338">
        <f>+SOCABKRÉSULT!R65</f>
        <v>2300</v>
      </c>
      <c r="I26" s="338">
        <f>+SOGEBKRÉSULT!R65</f>
        <v>3000</v>
      </c>
      <c r="J26" s="338">
        <f>+'UNIBKRÉSULT   '!R65</f>
        <v>4350</v>
      </c>
      <c r="K26" s="340">
        <f>SUM(B26:J26)</f>
        <v>14699</v>
      </c>
      <c r="L26" s="1112">
        <f>+BHdRÉSULT!R65</f>
        <v>143.80000000000001</v>
      </c>
      <c r="M26" s="338">
        <f>+'SGBELRÉSULT       '!R65</f>
        <v>1278.4000000000001</v>
      </c>
      <c r="N26" s="340">
        <f>+L26+M26</f>
        <v>1422.2</v>
      </c>
      <c r="O26" s="338">
        <f>+'CBNARÉSULT         '!R65</f>
        <v>0</v>
      </c>
      <c r="P26" s="338">
        <f>+'SCOTIARÉSULT         '!R65</f>
        <v>838</v>
      </c>
      <c r="Q26" s="340">
        <f>SUM(O26:P26)</f>
        <v>838</v>
      </c>
      <c r="R26" s="340">
        <f>+K26+N26+Q26</f>
        <v>16959.2</v>
      </c>
      <c r="U26"/>
    </row>
    <row r="27" spans="1:21" ht="9.6" customHeight="1">
      <c r="A27" s="102"/>
      <c r="B27" s="338"/>
      <c r="C27" s="338" t="s">
        <v>0</v>
      </c>
      <c r="D27" s="338"/>
      <c r="E27" s="338"/>
      <c r="F27" s="338"/>
      <c r="G27" s="338"/>
      <c r="H27" s="339"/>
      <c r="I27" s="338"/>
      <c r="J27" s="338"/>
      <c r="K27" s="340"/>
      <c r="L27" s="1109"/>
      <c r="M27" s="338"/>
      <c r="N27" s="340" t="s">
        <v>0</v>
      </c>
      <c r="O27" s="338"/>
      <c r="P27" s="338"/>
      <c r="Q27" s="340"/>
      <c r="R27" s="340"/>
      <c r="U27"/>
    </row>
    <row r="28" spans="1:21" ht="18.75">
      <c r="A28" s="102" t="s">
        <v>339</v>
      </c>
      <c r="B28" s="341"/>
      <c r="C28" s="341" t="s">
        <v>0</v>
      </c>
      <c r="D28" s="341"/>
      <c r="E28" s="341"/>
      <c r="F28" s="341"/>
      <c r="G28" s="341"/>
      <c r="H28" s="342"/>
      <c r="I28" s="341"/>
      <c r="J28" s="341"/>
      <c r="K28" s="343"/>
      <c r="L28" s="1110"/>
      <c r="M28" s="341"/>
      <c r="N28" s="343" t="s">
        <v>0</v>
      </c>
      <c r="O28" s="341"/>
      <c r="P28" s="341"/>
      <c r="Q28" s="343"/>
      <c r="R28" s="343"/>
      <c r="U28"/>
    </row>
    <row r="29" spans="1:21" ht="18.75">
      <c r="A29" s="102" t="s">
        <v>340</v>
      </c>
      <c r="B29" s="338">
        <f>+B24-B26</f>
        <v>295.79999999999995</v>
      </c>
      <c r="C29" s="338">
        <f>+C24-C26</f>
        <v>31038</v>
      </c>
      <c r="D29" s="338">
        <f>+D24-D26</f>
        <v>9212.6999999999989</v>
      </c>
      <c r="E29" s="338">
        <f>+E24-E26</f>
        <v>39138</v>
      </c>
      <c r="F29" s="338">
        <f t="shared" ref="F29:N29" si="4">+F24-F26</f>
        <v>23644</v>
      </c>
      <c r="G29" s="338">
        <f t="shared" si="4"/>
        <v>42168.3</v>
      </c>
      <c r="H29" s="338">
        <f t="shared" si="4"/>
        <v>29612</v>
      </c>
      <c r="I29" s="338">
        <f t="shared" si="4"/>
        <v>113522.5</v>
      </c>
      <c r="J29" s="338">
        <f t="shared" si="4"/>
        <v>77020.2</v>
      </c>
      <c r="K29" s="340">
        <f t="shared" si="4"/>
        <v>365651.50000000006</v>
      </c>
      <c r="L29" s="338">
        <f t="shared" si="4"/>
        <v>-143.80000000000001</v>
      </c>
      <c r="M29" s="338">
        <f t="shared" si="4"/>
        <v>12453.000000000002</v>
      </c>
      <c r="N29" s="1115">
        <f t="shared" si="4"/>
        <v>12375.099999999999</v>
      </c>
      <c r="O29" s="338">
        <f>+O24-O26</f>
        <v>32133</v>
      </c>
      <c r="P29" s="338">
        <f>+P24-P26</f>
        <v>20738</v>
      </c>
      <c r="Q29" s="340">
        <f>+Q24-Q26</f>
        <v>52871</v>
      </c>
      <c r="R29" s="340">
        <f>+R24-R26</f>
        <v>430897.60000000003</v>
      </c>
      <c r="U29"/>
    </row>
    <row r="30" spans="1:21" ht="9" customHeight="1">
      <c r="A30" s="102"/>
      <c r="B30" s="338"/>
      <c r="C30" s="338" t="s">
        <v>0</v>
      </c>
      <c r="D30" s="338"/>
      <c r="E30" s="338"/>
      <c r="F30" s="338"/>
      <c r="G30" s="338"/>
      <c r="H30" s="339"/>
      <c r="I30" s="338"/>
      <c r="J30" s="338"/>
      <c r="K30" s="340"/>
      <c r="L30" s="1109"/>
      <c r="M30" s="338"/>
      <c r="N30" s="340" t="s">
        <v>0</v>
      </c>
      <c r="O30" s="338"/>
      <c r="P30" s="338"/>
      <c r="Q30" s="340"/>
      <c r="R30" s="340"/>
      <c r="U30"/>
    </row>
    <row r="31" spans="1:21" ht="18.75">
      <c r="A31" s="102" t="s">
        <v>341</v>
      </c>
      <c r="B31" s="338"/>
      <c r="C31" s="338" t="s">
        <v>0</v>
      </c>
      <c r="D31" s="338"/>
      <c r="E31" s="338"/>
      <c r="F31" s="338"/>
      <c r="G31" s="338"/>
      <c r="H31" s="339"/>
      <c r="I31" s="338"/>
      <c r="J31" s="338"/>
      <c r="K31" s="340"/>
      <c r="L31" s="1109"/>
      <c r="M31" s="338"/>
      <c r="N31" s="340" t="s">
        <v>0</v>
      </c>
      <c r="O31" s="338"/>
      <c r="P31" s="338"/>
      <c r="Q31" s="340"/>
      <c r="R31" s="340"/>
      <c r="U31"/>
    </row>
    <row r="32" spans="1:21" ht="18.75">
      <c r="A32" s="102" t="s">
        <v>342</v>
      </c>
      <c r="B32" s="338">
        <f>+'BICHRÉSULT     '!R71</f>
        <v>137.1</v>
      </c>
      <c r="C32" s="338">
        <f>+'bncrésult '!R71</f>
        <v>20469</v>
      </c>
      <c r="D32" s="338">
        <f>+'BPHRÉSULT  '!R71</f>
        <v>4988</v>
      </c>
      <c r="E32" s="338">
        <f>+buhrésult!R71</f>
        <v>15771</v>
      </c>
      <c r="F32" s="338">
        <f>+'CAPITALBKRÉSULT      '!R71</f>
        <v>7604</v>
      </c>
      <c r="G32" s="338">
        <f>+'PROMOBKRÉSULT    '!R71</f>
        <v>11379.7</v>
      </c>
      <c r="H32" s="338">
        <f>+SOCABKRÉSULT!R71</f>
        <v>8801.2000000000007</v>
      </c>
      <c r="I32" s="338">
        <f>+SOGEBKRÉSULT!R71</f>
        <v>44529.2</v>
      </c>
      <c r="J32" s="338">
        <f>+'UNIBKRÉSULT   '!R71</f>
        <v>26150.799999999999</v>
      </c>
      <c r="K32" s="340">
        <f>SUM(B32:J32)</f>
        <v>139830</v>
      </c>
      <c r="L32" s="1112">
        <f>+BHdRÉSULT!R71</f>
        <v>506.9</v>
      </c>
      <c r="M32" s="338">
        <f>+'SGBELRÉSULT       '!R71</f>
        <v>3282.2</v>
      </c>
      <c r="N32" s="340">
        <f>+L32+M32</f>
        <v>3789.1</v>
      </c>
      <c r="O32" s="338">
        <f>+'CBNARÉSULT         '!R71</f>
        <v>7428</v>
      </c>
      <c r="P32" s="338">
        <f>+'SCOTIARÉSULT         '!R71</f>
        <v>8636</v>
      </c>
      <c r="Q32" s="340">
        <f>SUM(O32:P32)</f>
        <v>16064</v>
      </c>
      <c r="R32" s="340">
        <f>+K32+N32+Q32</f>
        <v>159683.1</v>
      </c>
      <c r="U32"/>
    </row>
    <row r="33" spans="1:22" ht="18.75">
      <c r="A33" s="102" t="s">
        <v>343</v>
      </c>
      <c r="B33" s="338">
        <f>+'BICHRÉSULT     '!R72</f>
        <v>12</v>
      </c>
      <c r="C33" s="338">
        <f>+'bncrésult '!R72</f>
        <v>287</v>
      </c>
      <c r="D33" s="338">
        <f>+'BPHRÉSULT  '!R72</f>
        <v>202.7</v>
      </c>
      <c r="E33" s="338">
        <f>+buhrésult!R72</f>
        <v>2358</v>
      </c>
      <c r="F33" s="338">
        <f>+'CAPITALBKRÉSULT      '!R72</f>
        <v>1083</v>
      </c>
      <c r="G33" s="338">
        <f>+'PROMOBKRÉSULT    '!R72</f>
        <v>2662.6</v>
      </c>
      <c r="H33" s="338">
        <f>+SOCABKRÉSULT!R72</f>
        <v>840.3</v>
      </c>
      <c r="I33" s="338">
        <f>+SOGEBKRÉSULT!R72</f>
        <v>2276.9</v>
      </c>
      <c r="J33" s="338">
        <f>+'UNIBKRÉSULT   '!R72</f>
        <v>2490.1999999999998</v>
      </c>
      <c r="K33" s="340">
        <f>SUM(B33:J33)</f>
        <v>12212.7</v>
      </c>
      <c r="L33" s="1112">
        <f>+BHdRÉSULT!R72</f>
        <v>78.2</v>
      </c>
      <c r="M33" s="338">
        <f>+'SGBELRÉSULT       '!R72</f>
        <v>702.3</v>
      </c>
      <c r="N33" s="340">
        <f>+L33+M33</f>
        <v>780.5</v>
      </c>
      <c r="O33" s="338">
        <f>+'CBNARÉSULT         '!R72</f>
        <v>1700</v>
      </c>
      <c r="P33" s="338">
        <f>+'SCOTIARÉSULT         '!R72</f>
        <v>1482</v>
      </c>
      <c r="Q33" s="340">
        <f>SUM(O33:P33)</f>
        <v>3182</v>
      </c>
      <c r="R33" s="340">
        <f>+K33+N33+Q33</f>
        <v>16175.2</v>
      </c>
      <c r="U33"/>
    </row>
    <row r="34" spans="1:22" ht="18.75">
      <c r="A34" s="102" t="s">
        <v>344</v>
      </c>
      <c r="B34" s="338">
        <f>+'BICHRÉSULT     '!R73</f>
        <v>3.3</v>
      </c>
      <c r="C34" s="338">
        <f>+'bncrésult '!R73</f>
        <v>4488</v>
      </c>
      <c r="D34" s="338">
        <f>+'BPHRÉSULT  '!R73</f>
        <v>1408.8</v>
      </c>
      <c r="E34" s="338">
        <f>+buhrésult!R73</f>
        <v>7225</v>
      </c>
      <c r="F34" s="338">
        <f>+'CAPITALBKRÉSULT      '!R73</f>
        <v>3071</v>
      </c>
      <c r="G34" s="338">
        <f>+'PROMOBKRÉSULT    '!R73</f>
        <v>3960.6</v>
      </c>
      <c r="H34" s="338">
        <f>+SOCABKRÉSULT!R73</f>
        <v>1909.8</v>
      </c>
      <c r="I34" s="338">
        <f>+SOGEBKRÉSULT!R73</f>
        <v>16482.099999999999</v>
      </c>
      <c r="J34" s="338">
        <f>+'UNIBKRÉSULT   '!R73</f>
        <v>7628.3</v>
      </c>
      <c r="K34" s="340">
        <f>SUM(B34:J34)</f>
        <v>46176.9</v>
      </c>
      <c r="L34" s="1112">
        <f>+BHdRÉSULT!R73</f>
        <v>122.1</v>
      </c>
      <c r="M34" s="338">
        <f>+'SGBELRÉSULT       '!R73</f>
        <v>556.20000000000005</v>
      </c>
      <c r="N34" s="340">
        <f>+L34+M34</f>
        <v>678.30000000000007</v>
      </c>
      <c r="O34" s="338">
        <f>+'CBNARÉSULT         '!R73</f>
        <v>1524</v>
      </c>
      <c r="P34" s="338">
        <f>+'SCOTIARÉSULT         '!R73</f>
        <v>1381</v>
      </c>
      <c r="Q34" s="340">
        <f>SUM(O34:P34)</f>
        <v>2905</v>
      </c>
      <c r="R34" s="340">
        <f>+K34+N34+Q34</f>
        <v>49760.200000000004</v>
      </c>
      <c r="U34"/>
    </row>
    <row r="35" spans="1:22" ht="18.75">
      <c r="A35" s="102" t="s">
        <v>345</v>
      </c>
      <c r="B35" s="341">
        <f>+'BICHRÉSULT     '!R74</f>
        <v>87.7</v>
      </c>
      <c r="C35" s="341">
        <f>+'bncrésult '!R74</f>
        <v>7048</v>
      </c>
      <c r="D35" s="341">
        <f>+'BPHRÉSULT  '!R74</f>
        <v>2320.6999999999998</v>
      </c>
      <c r="E35" s="341">
        <f>+buhrésult!R74</f>
        <v>15811</v>
      </c>
      <c r="F35" s="341">
        <f>+'CAPITALBKRÉSULT      '!R74</f>
        <v>7574</v>
      </c>
      <c r="G35" s="341">
        <f>+'PROMOBKRÉSULT    '!R74</f>
        <v>11731.7</v>
      </c>
      <c r="H35" s="341">
        <f>+SOCABKRÉSULT!R74</f>
        <v>11556.7</v>
      </c>
      <c r="I35" s="341">
        <f>+SOGEBKRÉSULT!R74</f>
        <v>30327.3</v>
      </c>
      <c r="J35" s="341">
        <f>+'UNIBKRÉSULT   '!R74</f>
        <v>24206.1</v>
      </c>
      <c r="K35" s="343">
        <f>SUM(B35:J35)</f>
        <v>110663.20000000001</v>
      </c>
      <c r="L35" s="1113">
        <f>+BHdRÉSULT!R74</f>
        <v>411.8</v>
      </c>
      <c r="M35" s="341">
        <f>+'SGBELRÉSULT       '!R74</f>
        <v>2402.8000000000002</v>
      </c>
      <c r="N35" s="343">
        <f>+L35+M35</f>
        <v>2814.6000000000004</v>
      </c>
      <c r="O35" s="341">
        <f>+'CBNARÉSULT         '!R74</f>
        <v>4391</v>
      </c>
      <c r="P35" s="341">
        <f>+'SCOTIARÉSULT         '!R74</f>
        <v>7047</v>
      </c>
      <c r="Q35" s="343">
        <f>SUM(O35:P35)</f>
        <v>11438</v>
      </c>
      <c r="R35" s="343">
        <f>+K35+N35+Q35</f>
        <v>124915.80000000002</v>
      </c>
      <c r="U35"/>
    </row>
    <row r="36" spans="1:22" ht="18.75">
      <c r="A36" s="102"/>
      <c r="B36" s="338">
        <f>SUM(B32:B35)</f>
        <v>240.10000000000002</v>
      </c>
      <c r="C36" s="338">
        <f>SUM(C32:C35)</f>
        <v>32292</v>
      </c>
      <c r="D36" s="338">
        <f>SUM(D32:D35)</f>
        <v>8920.2000000000007</v>
      </c>
      <c r="E36" s="338">
        <f>SUM(E32:E35)</f>
        <v>41165</v>
      </c>
      <c r="F36" s="338">
        <f t="shared" ref="F36:N36" si="5">SUM(F32:F35)</f>
        <v>19332</v>
      </c>
      <c r="G36" s="338">
        <f t="shared" si="5"/>
        <v>29734.600000000002</v>
      </c>
      <c r="H36" s="338">
        <f t="shared" si="5"/>
        <v>23108</v>
      </c>
      <c r="I36" s="338">
        <f t="shared" si="5"/>
        <v>93615.5</v>
      </c>
      <c r="J36" s="338">
        <f t="shared" si="5"/>
        <v>60475.4</v>
      </c>
      <c r="K36" s="340">
        <f t="shared" si="5"/>
        <v>308882.80000000005</v>
      </c>
      <c r="L36" s="338">
        <f t="shared" si="5"/>
        <v>1119</v>
      </c>
      <c r="M36" s="338">
        <f t="shared" si="5"/>
        <v>6943.5</v>
      </c>
      <c r="N36" s="1115">
        <f t="shared" si="5"/>
        <v>8062.5000000000009</v>
      </c>
      <c r="O36" s="338">
        <f>SUM(O32:O35)</f>
        <v>15043</v>
      </c>
      <c r="P36" s="338">
        <f>SUM(P32:P35)</f>
        <v>18546</v>
      </c>
      <c r="Q36" s="340">
        <f>SUM(Q32:Q35)</f>
        <v>33589</v>
      </c>
      <c r="R36" s="340">
        <f>SUM(R32:R35)</f>
        <v>350534.30000000005</v>
      </c>
      <c r="U36"/>
    </row>
    <row r="37" spans="1:22" ht="8.4499999999999993" customHeight="1">
      <c r="A37" s="102"/>
      <c r="B37" s="341"/>
      <c r="C37" s="341"/>
      <c r="D37" s="341"/>
      <c r="E37" s="341"/>
      <c r="F37" s="341"/>
      <c r="G37" s="341"/>
      <c r="H37" s="342"/>
      <c r="I37" s="341"/>
      <c r="J37" s="341"/>
      <c r="K37" s="343"/>
      <c r="L37" s="1110"/>
      <c r="M37" s="341"/>
      <c r="N37" s="343"/>
      <c r="O37" s="341"/>
      <c r="P37" s="341"/>
      <c r="Q37" s="343"/>
      <c r="R37" s="343"/>
      <c r="U37"/>
    </row>
    <row r="38" spans="1:22" ht="18.75">
      <c r="A38" s="102" t="s">
        <v>346</v>
      </c>
      <c r="B38" s="338">
        <f>+B29-B36</f>
        <v>55.699999999999932</v>
      </c>
      <c r="C38" s="338">
        <f>+C29-C36</f>
        <v>-1254</v>
      </c>
      <c r="D38" s="338">
        <f>+D29-D36</f>
        <v>292.49999999999818</v>
      </c>
      <c r="E38" s="338">
        <f>+E29-E36</f>
        <v>-2027</v>
      </c>
      <c r="F38" s="338">
        <f t="shared" ref="F38:N38" si="6">+F29-F36</f>
        <v>4312</v>
      </c>
      <c r="G38" s="338">
        <f t="shared" si="6"/>
        <v>12433.7</v>
      </c>
      <c r="H38" s="338">
        <f t="shared" si="6"/>
        <v>6504</v>
      </c>
      <c r="I38" s="338">
        <f t="shared" si="6"/>
        <v>19907</v>
      </c>
      <c r="J38" s="338">
        <f t="shared" si="6"/>
        <v>16544.799999999996</v>
      </c>
      <c r="K38" s="340">
        <f t="shared" si="6"/>
        <v>56768.700000000012</v>
      </c>
      <c r="L38" s="338">
        <f t="shared" si="6"/>
        <v>-1262.8</v>
      </c>
      <c r="M38" s="338">
        <f t="shared" si="6"/>
        <v>5509.5000000000018</v>
      </c>
      <c r="N38" s="1115">
        <f t="shared" si="6"/>
        <v>4312.5999999999976</v>
      </c>
      <c r="O38" s="338">
        <f>+O29-O36</f>
        <v>17090</v>
      </c>
      <c r="P38" s="338">
        <f>+P29-P36</f>
        <v>2192</v>
      </c>
      <c r="Q38" s="340">
        <f>+Q29-Q36</f>
        <v>19282</v>
      </c>
      <c r="R38" s="340">
        <f>+R29-R36</f>
        <v>80363.299999999988</v>
      </c>
      <c r="U38"/>
    </row>
    <row r="39" spans="1:22" ht="10.15" customHeight="1">
      <c r="A39" s="102"/>
      <c r="B39" s="338"/>
      <c r="C39" s="338" t="s">
        <v>0</v>
      </c>
      <c r="D39" s="338"/>
      <c r="E39" s="338"/>
      <c r="F39" s="338"/>
      <c r="G39" s="338"/>
      <c r="H39" s="339"/>
      <c r="I39" s="338"/>
      <c r="J39" s="338"/>
      <c r="K39" s="340"/>
      <c r="L39" s="1109"/>
      <c r="M39" s="338"/>
      <c r="N39" s="340"/>
      <c r="O39" s="338"/>
      <c r="P39" s="338"/>
      <c r="Q39" s="340"/>
      <c r="R39" s="340"/>
      <c r="U39"/>
    </row>
    <row r="40" spans="1:22" ht="18.75">
      <c r="A40" s="102" t="s">
        <v>347</v>
      </c>
      <c r="B40" s="338">
        <f>+'BICHRÉSULT     '!R79</f>
        <v>18.600000000000001</v>
      </c>
      <c r="C40" s="338">
        <f>+'bncrésult '!R79</f>
        <v>0</v>
      </c>
      <c r="D40" s="338">
        <f>+'BPHRÉSULT  '!R79</f>
        <v>0</v>
      </c>
      <c r="E40" s="338">
        <f>+buhrésult!R79</f>
        <v>-710</v>
      </c>
      <c r="F40" s="338">
        <f>+'CAPITALBKRÉSULT      '!R79</f>
        <v>0</v>
      </c>
      <c r="G40" s="338">
        <f>+'PROMOBKRÉSULT    '!R79</f>
        <v>3584.5</v>
      </c>
      <c r="H40" s="338">
        <f>+SOCABKRÉSULT!R79</f>
        <v>700</v>
      </c>
      <c r="I40" s="338">
        <f>+SOGEBKRÉSULT!R79</f>
        <v>3662.4</v>
      </c>
      <c r="J40" s="338">
        <f>+'UNIBKRÉSULT   '!R79</f>
        <v>5143.1000000000004</v>
      </c>
      <c r="K40" s="340">
        <f>SUM(B40:J40)</f>
        <v>12398.6</v>
      </c>
      <c r="L40" s="1112">
        <f>+BHdRÉSULT!R79</f>
        <v>0</v>
      </c>
      <c r="M40" s="338">
        <f>+'SGBELRÉSULT       '!R79</f>
        <v>1666.9</v>
      </c>
      <c r="N40" s="340">
        <f>+L40+M40</f>
        <v>1666.9</v>
      </c>
      <c r="O40" s="338">
        <f>+'CBNARÉSULT         '!R79</f>
        <v>5773</v>
      </c>
      <c r="P40" s="338">
        <f>+'SCOTIARÉSULT         '!R79</f>
        <v>951</v>
      </c>
      <c r="Q40" s="340">
        <f>SUM(O40:P40)</f>
        <v>6724</v>
      </c>
      <c r="R40" s="340">
        <f>+K40+N40+Q40</f>
        <v>20789.5</v>
      </c>
      <c r="U40"/>
    </row>
    <row r="41" spans="1:22" ht="19.149999999999999" customHeight="1" thickBot="1">
      <c r="A41" s="102" t="s">
        <v>0</v>
      </c>
      <c r="B41" s="347" t="s">
        <v>0</v>
      </c>
      <c r="C41" s="347" t="s">
        <v>0</v>
      </c>
      <c r="D41" s="347" t="s">
        <v>0</v>
      </c>
      <c r="E41" s="347" t="s">
        <v>0</v>
      </c>
      <c r="F41" s="347" t="s">
        <v>0</v>
      </c>
      <c r="G41" s="347" t="s">
        <v>0</v>
      </c>
      <c r="H41" s="348" t="s">
        <v>0</v>
      </c>
      <c r="I41" s="347" t="s">
        <v>0</v>
      </c>
      <c r="J41" s="347" t="s">
        <v>0</v>
      </c>
      <c r="K41" s="349" t="s">
        <v>0</v>
      </c>
      <c r="L41" s="1111"/>
      <c r="M41" s="347" t="s">
        <v>0</v>
      </c>
      <c r="N41" s="349" t="s">
        <v>0</v>
      </c>
      <c r="O41" s="347" t="s">
        <v>0</v>
      </c>
      <c r="P41" s="347" t="s">
        <v>0</v>
      </c>
      <c r="Q41" s="349" t="s">
        <v>0</v>
      </c>
      <c r="R41" s="349" t="s">
        <v>0</v>
      </c>
      <c r="U41"/>
    </row>
    <row r="42" spans="1:22" ht="18.75">
      <c r="A42" s="183" t="s">
        <v>427</v>
      </c>
      <c r="B42" s="344">
        <f>+B38-B40</f>
        <v>37.09999999999993</v>
      </c>
      <c r="C42" s="344">
        <f>+C38-C40</f>
        <v>-1254</v>
      </c>
      <c r="D42" s="344">
        <f>+D38-D40</f>
        <v>292.49999999999818</v>
      </c>
      <c r="E42" s="344">
        <f>+E38-E40</f>
        <v>-1317</v>
      </c>
      <c r="F42" s="344">
        <f t="shared" ref="F42:N42" si="7">+F38-F40</f>
        <v>4312</v>
      </c>
      <c r="G42" s="344">
        <f t="shared" si="7"/>
        <v>8849.2000000000007</v>
      </c>
      <c r="H42" s="344">
        <f t="shared" si="7"/>
        <v>5804</v>
      </c>
      <c r="I42" s="344">
        <f t="shared" si="7"/>
        <v>16244.6</v>
      </c>
      <c r="J42" s="344">
        <f t="shared" si="7"/>
        <v>11401.699999999995</v>
      </c>
      <c r="K42" s="340">
        <f t="shared" si="7"/>
        <v>44370.100000000013</v>
      </c>
      <c r="L42" s="344">
        <f t="shared" si="7"/>
        <v>-1262.8</v>
      </c>
      <c r="M42" s="344">
        <f t="shared" si="7"/>
        <v>3842.6000000000017</v>
      </c>
      <c r="N42" s="1116">
        <f t="shared" si="7"/>
        <v>2645.6999999999975</v>
      </c>
      <c r="O42" s="344">
        <f>+O38-O40</f>
        <v>11317</v>
      </c>
      <c r="P42" s="344">
        <f>+P38-P40</f>
        <v>1241</v>
      </c>
      <c r="Q42" s="340">
        <f>+Q38-Q40</f>
        <v>12558</v>
      </c>
      <c r="R42" s="340">
        <f>+R38-R40</f>
        <v>59573.799999999988</v>
      </c>
      <c r="U42"/>
    </row>
    <row r="43" spans="1:22">
      <c r="A43" s="1"/>
      <c r="B43" s="60"/>
      <c r="C43" s="60"/>
      <c r="D43" s="60"/>
      <c r="E43" s="60"/>
      <c r="F43" s="60"/>
      <c r="G43" s="60"/>
      <c r="H43" s="60"/>
      <c r="I43" s="60"/>
      <c r="J43" s="60"/>
      <c r="K43" s="86"/>
      <c r="L43" s="86"/>
      <c r="M43" s="60"/>
      <c r="N43" s="60"/>
      <c r="O43" s="86"/>
      <c r="P43" s="60"/>
      <c r="Q43" s="60"/>
      <c r="R43" s="86"/>
      <c r="U43" s="65"/>
    </row>
    <row r="44" spans="1:22" ht="7.9" customHeight="1" thickBot="1">
      <c r="A44" s="70"/>
      <c r="B44" s="71"/>
      <c r="C44" s="71"/>
      <c r="D44" s="71"/>
      <c r="E44" s="74" t="s">
        <v>0</v>
      </c>
      <c r="F44" s="71"/>
      <c r="G44" s="71"/>
      <c r="H44" s="71"/>
      <c r="I44" s="71"/>
      <c r="J44" s="71"/>
      <c r="K44" s="71"/>
      <c r="L44" s="71"/>
      <c r="M44" s="71"/>
      <c r="N44" s="71"/>
      <c r="O44" s="71"/>
      <c r="P44" s="71"/>
      <c r="Q44" s="71"/>
      <c r="R44" s="71"/>
      <c r="S44" s="71"/>
      <c r="T44" s="71"/>
      <c r="U44" s="71"/>
      <c r="V44" s="32"/>
    </row>
    <row r="45" spans="1:22" ht="7.9" customHeight="1">
      <c r="A45" s="72"/>
      <c r="B45" s="73"/>
      <c r="C45" s="73"/>
      <c r="D45" s="73"/>
      <c r="E45" s="60" t="s">
        <v>0</v>
      </c>
      <c r="F45" s="73"/>
      <c r="G45" s="73"/>
      <c r="H45" s="73"/>
      <c r="I45" s="73"/>
      <c r="J45" s="73"/>
      <c r="K45" s="73"/>
      <c r="L45" s="73"/>
      <c r="M45" s="73"/>
      <c r="N45" s="73"/>
      <c r="O45" s="73"/>
      <c r="P45" s="73"/>
      <c r="Q45" s="73"/>
      <c r="R45" s="69"/>
      <c r="S45" s="69"/>
      <c r="T45" s="69"/>
      <c r="U45" s="69"/>
    </row>
    <row r="46" spans="1:22" ht="7.9" customHeight="1">
      <c r="A46" s="72"/>
      <c r="B46" s="73"/>
      <c r="C46" s="73"/>
      <c r="D46" s="73"/>
      <c r="E46" s="60"/>
      <c r="F46" s="73"/>
      <c r="G46" s="73"/>
      <c r="H46" s="73"/>
      <c r="I46" s="73"/>
      <c r="J46" s="73"/>
      <c r="K46" s="73"/>
      <c r="L46" s="73"/>
      <c r="M46" s="73"/>
      <c r="N46" s="73"/>
      <c r="O46" s="73"/>
      <c r="P46" s="73"/>
      <c r="Q46" s="73"/>
      <c r="R46" s="69"/>
      <c r="S46" s="69"/>
      <c r="T46" s="69"/>
      <c r="U46" s="69"/>
    </row>
    <row r="47" spans="1:22" ht="16.5" thickBot="1">
      <c r="A47" s="1"/>
      <c r="B47" s="327" t="s">
        <v>98</v>
      </c>
      <c r="C47" s="327" t="s">
        <v>99</v>
      </c>
      <c r="D47" s="327" t="s">
        <v>126</v>
      </c>
      <c r="E47" s="229" t="s">
        <v>100</v>
      </c>
      <c r="F47" s="229" t="s">
        <v>101</v>
      </c>
      <c r="G47" s="327" t="s">
        <v>102</v>
      </c>
      <c r="H47" s="229" t="s">
        <v>103</v>
      </c>
      <c r="I47" s="229" t="s">
        <v>104</v>
      </c>
      <c r="J47" s="327" t="s">
        <v>105</v>
      </c>
      <c r="K47" s="327" t="s">
        <v>361</v>
      </c>
      <c r="L47" s="350" t="s">
        <v>362</v>
      </c>
      <c r="M47" s="229" t="s">
        <v>107</v>
      </c>
      <c r="N47" s="327" t="s">
        <v>108</v>
      </c>
      <c r="O47" s="351" t="s">
        <v>362</v>
      </c>
      <c r="P47" s="327" t="s">
        <v>109</v>
      </c>
      <c r="Q47" s="229" t="s">
        <v>110</v>
      </c>
      <c r="R47" s="350" t="s">
        <v>362</v>
      </c>
      <c r="S47" s="350" t="s">
        <v>111</v>
      </c>
      <c r="U47"/>
    </row>
    <row r="48" spans="1:22">
      <c r="A48" s="183" t="s">
        <v>438</v>
      </c>
      <c r="B48" s="315"/>
      <c r="C48" s="315"/>
      <c r="D48" s="315"/>
      <c r="E48" s="316"/>
      <c r="F48" s="316"/>
      <c r="G48" s="315"/>
      <c r="H48" s="316"/>
      <c r="I48" s="316"/>
      <c r="J48" s="315"/>
      <c r="K48" s="315"/>
      <c r="L48" s="317"/>
      <c r="M48" s="316"/>
      <c r="N48" s="315"/>
      <c r="O48" s="318"/>
      <c r="P48" s="315"/>
      <c r="Q48" s="316"/>
      <c r="R48" s="317"/>
      <c r="S48" s="317"/>
      <c r="U48"/>
    </row>
    <row r="49" spans="1:21">
      <c r="A49" s="87"/>
      <c r="B49" s="315"/>
      <c r="C49" s="315"/>
      <c r="D49" s="315"/>
      <c r="E49" s="316"/>
      <c r="F49" s="316"/>
      <c r="G49" s="315"/>
      <c r="H49" s="316"/>
      <c r="I49" s="316"/>
      <c r="J49" s="315"/>
      <c r="K49" s="315"/>
      <c r="L49" s="317"/>
      <c r="M49" s="316"/>
      <c r="N49" s="315"/>
      <c r="O49" s="318"/>
      <c r="P49" s="315"/>
      <c r="Q49" s="316"/>
      <c r="R49" s="317"/>
      <c r="S49" s="317"/>
      <c r="U49"/>
    </row>
    <row r="50" spans="1:21">
      <c r="A50" s="102" t="s">
        <v>328</v>
      </c>
      <c r="B50" s="69"/>
      <c r="C50" s="69"/>
      <c r="D50" s="69"/>
      <c r="E50" s="69"/>
      <c r="F50" s="69"/>
      <c r="G50" s="69" t="s">
        <v>0</v>
      </c>
      <c r="H50" s="69"/>
      <c r="I50" s="69"/>
      <c r="J50" s="69"/>
      <c r="K50" s="69"/>
      <c r="L50" s="204"/>
      <c r="M50" s="69"/>
      <c r="N50" s="69"/>
      <c r="O50" s="204"/>
      <c r="P50" s="69"/>
      <c r="Q50" s="69"/>
      <c r="R50" s="204"/>
      <c r="S50" s="205"/>
      <c r="U50"/>
    </row>
    <row r="51" spans="1:21">
      <c r="A51" s="102" t="s">
        <v>329</v>
      </c>
      <c r="B51" s="60" t="str">
        <f>+'BICHRÉSULT     '!T49</f>
        <v xml:space="preserve"> </v>
      </c>
      <c r="C51" s="60" t="str">
        <f>+'BIDCRÉSULT '!T49</f>
        <v xml:space="preserve"> </v>
      </c>
      <c r="D51" s="60"/>
      <c r="E51" s="60" t="str">
        <f>+'bncrésult '!T49</f>
        <v xml:space="preserve"> </v>
      </c>
      <c r="F51" s="60" t="str">
        <f>+'BPHRÉSULT  '!T49</f>
        <v xml:space="preserve"> </v>
      </c>
      <c r="G51" s="60" t="str">
        <f>+buhrésult!T49</f>
        <v xml:space="preserve"> </v>
      </c>
      <c r="H51" s="60" t="s">
        <v>439</v>
      </c>
      <c r="I51" s="75" t="str">
        <f>+SOCABKRÉSULT!T49</f>
        <v xml:space="preserve"> </v>
      </c>
      <c r="J51" s="60" t="str">
        <f>+SOGEBKRÉSULT!T49</f>
        <v xml:space="preserve"> </v>
      </c>
      <c r="K51" s="60" t="str">
        <f>+'UNIBKRÉSULT   '!T49</f>
        <v xml:space="preserve"> </v>
      </c>
      <c r="L51" s="190" t="s">
        <v>0</v>
      </c>
      <c r="M51" s="60" t="str">
        <f>+'CAPITALBKRÉSULT      '!T49</f>
        <v xml:space="preserve"> </v>
      </c>
      <c r="N51" s="60" t="str">
        <f>+'SGBELRÉSULT       '!T49</f>
        <v xml:space="preserve"> </v>
      </c>
      <c r="O51" s="190" t="s">
        <v>0</v>
      </c>
      <c r="P51" s="60" t="str">
        <f>+'CBNARÉSULT         '!T49</f>
        <v xml:space="preserve"> </v>
      </c>
      <c r="Q51" s="60" t="str">
        <f>+'SCOTIARÉSULT         '!T49</f>
        <v xml:space="preserve"> </v>
      </c>
      <c r="R51" s="190" t="s">
        <v>0</v>
      </c>
      <c r="S51" s="207" t="s">
        <v>0</v>
      </c>
      <c r="U51"/>
    </row>
    <row r="52" spans="1:21" ht="18.75">
      <c r="A52" s="102" t="s">
        <v>330</v>
      </c>
      <c r="B52" s="338">
        <f>+'BICHRÉSULT     '!T50</f>
        <v>131.5</v>
      </c>
      <c r="C52" s="338">
        <f>+'BIDCRÉSULT '!T50</f>
        <v>33091.199999999997</v>
      </c>
      <c r="D52" s="338">
        <f>+BMHRÉSULT!T50</f>
        <v>517.79999999999995</v>
      </c>
      <c r="E52" s="338">
        <f>+'bncrésult '!T50</f>
        <v>20594</v>
      </c>
      <c r="F52" s="338">
        <f>+'BPHRÉSULT  '!T50</f>
        <v>11557.400000000001</v>
      </c>
      <c r="G52" s="338">
        <f>+buhrésult!T50</f>
        <v>35913</v>
      </c>
      <c r="H52" s="338">
        <f>+'PROMOBKRÉSULT    '!T50</f>
        <v>29025.600000000002</v>
      </c>
      <c r="I52" s="339">
        <f>+SOCABKRÉSULT!T50</f>
        <v>39785.800000000003</v>
      </c>
      <c r="J52" s="338">
        <f>+SOGEBKRÉSULT!T50</f>
        <v>57859.399999999994</v>
      </c>
      <c r="K52" s="338">
        <f>+'UNIBKRÉSULT   '!T50</f>
        <v>55663.8</v>
      </c>
      <c r="L52" s="340">
        <f>SUM(B52:K52)</f>
        <v>284139.5</v>
      </c>
      <c r="M52" s="338">
        <f>+'CAPITALBKRÉSULT      '!T50</f>
        <v>20768</v>
      </c>
      <c r="N52" s="338">
        <f>+'SGBELRÉSULT       '!T50</f>
        <v>13738.6</v>
      </c>
      <c r="O52" s="340">
        <f>SUM(M52:N52)</f>
        <v>34506.6</v>
      </c>
      <c r="P52" s="338">
        <f>+'CBNARÉSULT         '!T50</f>
        <v>30341</v>
      </c>
      <c r="Q52" s="338">
        <f>+'SCOTIARÉSULT         '!T50</f>
        <v>22917</v>
      </c>
      <c r="R52" s="340">
        <f>SUM(P52:Q52)</f>
        <v>53258</v>
      </c>
      <c r="S52" s="340">
        <f>+L52+O52+R52</f>
        <v>371904.1</v>
      </c>
      <c r="U52"/>
    </row>
    <row r="53" spans="1:21" ht="18.75">
      <c r="A53" s="102" t="s">
        <v>354</v>
      </c>
      <c r="B53" s="338">
        <f>+'BICHRÉSULT     '!T51</f>
        <v>0</v>
      </c>
      <c r="C53" s="338">
        <f>+'BIDCRÉSULT '!T51</f>
        <v>2223</v>
      </c>
      <c r="D53" s="338">
        <f>+BMHRÉSULT!T51</f>
        <v>499.4</v>
      </c>
      <c r="E53" s="338">
        <f>+'bncrésult '!T51</f>
        <v>10006</v>
      </c>
      <c r="F53" s="338">
        <f>+'BPHRÉSULT  '!T51</f>
        <v>8554.7000000000007</v>
      </c>
      <c r="G53" s="338">
        <f>+buhrésult!T51</f>
        <v>10763</v>
      </c>
      <c r="H53" s="338">
        <f>+'PROMOBKRÉSULT    '!T51</f>
        <v>2424.4</v>
      </c>
      <c r="I53" s="339">
        <f>+SOCABKRÉSULT!T51</f>
        <v>3293.1</v>
      </c>
      <c r="J53" s="338">
        <f>+SOGEBKRÉSULT!T51</f>
        <v>29181.599999999999</v>
      </c>
      <c r="K53" s="338">
        <f>+'UNIBKRÉSULT   '!T51</f>
        <v>8362.5</v>
      </c>
      <c r="L53" s="340">
        <f>SUM(B53:K53)</f>
        <v>75307.7</v>
      </c>
      <c r="M53" s="338">
        <f>+'CAPITALBKRÉSULT      '!T51</f>
        <v>906</v>
      </c>
      <c r="N53" s="338">
        <f>+'SGBELRÉSULT       '!T51</f>
        <v>1572</v>
      </c>
      <c r="O53" s="340">
        <f>SUM(M53:N53)</f>
        <v>2478</v>
      </c>
      <c r="P53" s="338">
        <f>+'CBNARÉSULT         '!T51</f>
        <v>359</v>
      </c>
      <c r="Q53" s="338">
        <f>+'SCOTIARÉSULT         '!T51</f>
        <v>228</v>
      </c>
      <c r="R53" s="340">
        <f>SUM(P53:Q53)</f>
        <v>587</v>
      </c>
      <c r="S53" s="340">
        <f>+L53+O53+R53</f>
        <v>78372.7</v>
      </c>
      <c r="U53"/>
    </row>
    <row r="54" spans="1:21" ht="18.75">
      <c r="A54" s="102" t="s">
        <v>332</v>
      </c>
      <c r="B54" s="341">
        <f>+'BICHRÉSULT     '!T52</f>
        <v>0</v>
      </c>
      <c r="C54" s="341">
        <f>+'BIDCRÉSULT '!T52</f>
        <v>802.4</v>
      </c>
      <c r="D54" s="341">
        <f>+BMHRÉSULT!T52</f>
        <v>97.1</v>
      </c>
      <c r="E54" s="341">
        <f>+'bncrésult '!T52</f>
        <v>0</v>
      </c>
      <c r="F54" s="341">
        <f>+'BPHRÉSULT  '!T52</f>
        <v>1230.3000000000002</v>
      </c>
      <c r="G54" s="341">
        <f>+buhrésult!T52</f>
        <v>2083</v>
      </c>
      <c r="H54" s="341">
        <f>+'PROMOBKRÉSULT    '!T52</f>
        <v>1333.7</v>
      </c>
      <c r="I54" s="342">
        <f>+SOCABKRÉSULT!T52</f>
        <v>2120.6000000000004</v>
      </c>
      <c r="J54" s="341">
        <f>+SOGEBKRÉSULT!T52</f>
        <v>7398.1</v>
      </c>
      <c r="K54" s="341">
        <f>+'UNIBKRÉSULT   '!T52</f>
        <v>7454.0999999999995</v>
      </c>
      <c r="L54" s="343">
        <f>SUM(B54:K54)</f>
        <v>22519.3</v>
      </c>
      <c r="M54" s="341">
        <f>+'CAPITALBKRÉSULT      '!T52</f>
        <v>1019</v>
      </c>
      <c r="N54" s="341">
        <f>+'SGBELRÉSULT       '!T52</f>
        <v>364.4</v>
      </c>
      <c r="O54" s="343">
        <f>SUM(M54:N54)</f>
        <v>1383.4</v>
      </c>
      <c r="P54" s="341">
        <f>+'CBNARÉSULT         '!T52</f>
        <v>0</v>
      </c>
      <c r="Q54" s="341">
        <f>+'SCOTIARÉSULT         '!T52</f>
        <v>1132</v>
      </c>
      <c r="R54" s="343">
        <f>SUM(P54:Q54)</f>
        <v>1132</v>
      </c>
      <c r="S54" s="343">
        <f>+L54+O54+R54</f>
        <v>25034.7</v>
      </c>
      <c r="U54"/>
    </row>
    <row r="55" spans="1:21" ht="18.75">
      <c r="A55" s="102"/>
      <c r="B55" s="338">
        <f t="shared" ref="B55:G55" si="8">SUM(B52:B54)</f>
        <v>131.5</v>
      </c>
      <c r="C55" s="338">
        <f t="shared" si="8"/>
        <v>36116.6</v>
      </c>
      <c r="D55" s="338">
        <f t="shared" si="8"/>
        <v>1114.3</v>
      </c>
      <c r="E55" s="338">
        <f t="shared" si="8"/>
        <v>30600</v>
      </c>
      <c r="F55" s="338">
        <f t="shared" si="8"/>
        <v>21342.400000000001</v>
      </c>
      <c r="G55" s="338">
        <f t="shared" si="8"/>
        <v>48759</v>
      </c>
      <c r="H55" s="338">
        <f t="shared" ref="H55:S55" si="9">SUM(H52:H54)</f>
        <v>32783.700000000004</v>
      </c>
      <c r="I55" s="338">
        <f t="shared" si="9"/>
        <v>45199.5</v>
      </c>
      <c r="J55" s="338">
        <f t="shared" si="9"/>
        <v>94439.1</v>
      </c>
      <c r="K55" s="338">
        <f t="shared" si="9"/>
        <v>71480.400000000009</v>
      </c>
      <c r="L55" s="340">
        <f t="shared" si="9"/>
        <v>381966.5</v>
      </c>
      <c r="M55" s="338">
        <f t="shared" si="9"/>
        <v>22693</v>
      </c>
      <c r="N55" s="338">
        <f t="shared" si="9"/>
        <v>15675</v>
      </c>
      <c r="O55" s="340">
        <f t="shared" si="9"/>
        <v>38368</v>
      </c>
      <c r="P55" s="338">
        <f t="shared" si="9"/>
        <v>30700</v>
      </c>
      <c r="Q55" s="338">
        <f t="shared" si="9"/>
        <v>24277</v>
      </c>
      <c r="R55" s="340">
        <f t="shared" si="9"/>
        <v>54977</v>
      </c>
      <c r="S55" s="340">
        <f t="shared" si="9"/>
        <v>475311.5</v>
      </c>
      <c r="U55"/>
    </row>
    <row r="56" spans="1:21" ht="18.75">
      <c r="A56" s="102" t="s">
        <v>333</v>
      </c>
      <c r="B56" s="341">
        <f>+'BICHRÉSULT     '!T54</f>
        <v>31.1</v>
      </c>
      <c r="C56" s="341">
        <f>+'BIDCRÉSULT '!T54</f>
        <v>15941</v>
      </c>
      <c r="D56" s="341">
        <f>+BMHRÉSULT!T54</f>
        <v>203.7</v>
      </c>
      <c r="E56" s="341">
        <f>+'bncrésult '!T54</f>
        <v>11605</v>
      </c>
      <c r="F56" s="341">
        <f>+'BPHRÉSULT  '!T54</f>
        <v>13262</v>
      </c>
      <c r="G56" s="341">
        <f>+buhrésult!T54</f>
        <v>22424</v>
      </c>
      <c r="H56" s="341">
        <f>+'PROMOBKRÉSULT    '!T54</f>
        <v>17984.3</v>
      </c>
      <c r="I56" s="341">
        <f>+SOCABKRÉSULT!T54</f>
        <v>32816.5</v>
      </c>
      <c r="J56" s="341">
        <f>+SOGEBKRÉSULT!T54</f>
        <v>41214.300000000003</v>
      </c>
      <c r="K56" s="341">
        <f>+'UNIBKRÉSULT   '!T54</f>
        <v>34211.5</v>
      </c>
      <c r="L56" s="343">
        <f>SUM(B56:K56)</f>
        <v>189693.40000000002</v>
      </c>
      <c r="M56" s="341">
        <f>+'CAPITALBKRÉSULT      '!T54</f>
        <v>7168</v>
      </c>
      <c r="N56" s="341">
        <f>+'SGBELRÉSULT       '!T54</f>
        <v>9289.7000000000007</v>
      </c>
      <c r="O56" s="343">
        <f>SUM(M56:N56)</f>
        <v>16457.7</v>
      </c>
      <c r="P56" s="341">
        <f>+'CBNARÉSULT         '!T54</f>
        <v>14798</v>
      </c>
      <c r="Q56" s="341">
        <f>+'SCOTIARÉSULT         '!T54</f>
        <v>8602</v>
      </c>
      <c r="R56" s="343">
        <f>SUM(P56:Q56)</f>
        <v>23400</v>
      </c>
      <c r="S56" s="343">
        <f>+L56+O56+R56</f>
        <v>229551.10000000003</v>
      </c>
      <c r="U56"/>
    </row>
    <row r="57" spans="1:21" ht="18.75">
      <c r="A57" s="102"/>
      <c r="B57" s="338">
        <f t="shared" ref="B57:G57" si="10">+B55-B56</f>
        <v>100.4</v>
      </c>
      <c r="C57" s="338">
        <f t="shared" si="10"/>
        <v>20175.599999999999</v>
      </c>
      <c r="D57" s="338">
        <f t="shared" si="10"/>
        <v>910.59999999999991</v>
      </c>
      <c r="E57" s="338">
        <f t="shared" si="10"/>
        <v>18995</v>
      </c>
      <c r="F57" s="338">
        <f t="shared" si="10"/>
        <v>8080.4000000000015</v>
      </c>
      <c r="G57" s="338">
        <f t="shared" si="10"/>
        <v>26335</v>
      </c>
      <c r="H57" s="338">
        <f t="shared" ref="H57:S57" si="11">+H55-H56</f>
        <v>14799.400000000005</v>
      </c>
      <c r="I57" s="338">
        <f t="shared" si="11"/>
        <v>12383</v>
      </c>
      <c r="J57" s="338">
        <f t="shared" si="11"/>
        <v>53224.800000000003</v>
      </c>
      <c r="K57" s="338">
        <f t="shared" si="11"/>
        <v>37268.900000000009</v>
      </c>
      <c r="L57" s="340">
        <f t="shared" si="11"/>
        <v>192273.09999999998</v>
      </c>
      <c r="M57" s="338">
        <f t="shared" si="11"/>
        <v>15525</v>
      </c>
      <c r="N57" s="338">
        <f t="shared" si="11"/>
        <v>6385.2999999999993</v>
      </c>
      <c r="O57" s="340">
        <f t="shared" si="11"/>
        <v>21910.3</v>
      </c>
      <c r="P57" s="338">
        <f t="shared" si="11"/>
        <v>15902</v>
      </c>
      <c r="Q57" s="338">
        <f t="shared" si="11"/>
        <v>15675</v>
      </c>
      <c r="R57" s="340">
        <f t="shared" si="11"/>
        <v>31577</v>
      </c>
      <c r="S57" s="340">
        <f t="shared" si="11"/>
        <v>245760.39999999997</v>
      </c>
      <c r="U57"/>
    </row>
    <row r="58" spans="1:21" ht="18.75">
      <c r="A58" s="102"/>
      <c r="B58" s="338"/>
      <c r="C58" s="338"/>
      <c r="D58" s="338"/>
      <c r="E58" s="338" t="s">
        <v>0</v>
      </c>
      <c r="F58" s="338"/>
      <c r="G58" s="338"/>
      <c r="H58" s="338"/>
      <c r="I58" s="339"/>
      <c r="J58" s="338"/>
      <c r="K58" s="338"/>
      <c r="L58" s="340"/>
      <c r="M58" s="338"/>
      <c r="N58" s="338"/>
      <c r="O58" s="340"/>
      <c r="P58" s="338"/>
      <c r="Q58" s="338"/>
      <c r="R58" s="340"/>
      <c r="S58" s="340"/>
      <c r="U58"/>
    </row>
    <row r="59" spans="1:21" ht="18.75">
      <c r="A59" s="102" t="s">
        <v>334</v>
      </c>
      <c r="B59" s="338"/>
      <c r="C59" s="338"/>
      <c r="D59" s="338"/>
      <c r="E59" s="338" t="s">
        <v>0</v>
      </c>
      <c r="F59" s="338"/>
      <c r="G59" s="338"/>
      <c r="H59" s="338"/>
      <c r="I59" s="339"/>
      <c r="J59" s="338"/>
      <c r="K59" s="338"/>
      <c r="L59" s="340"/>
      <c r="M59" s="338"/>
      <c r="N59" s="338"/>
      <c r="O59" s="340" t="s">
        <v>0</v>
      </c>
      <c r="P59" s="338"/>
      <c r="Q59" s="338"/>
      <c r="R59" s="340"/>
      <c r="S59" s="340"/>
      <c r="U59"/>
    </row>
    <row r="60" spans="1:21" ht="18.75">
      <c r="A60" s="102" t="s">
        <v>335</v>
      </c>
      <c r="B60" s="338">
        <f>+'BICHRÉSULT     '!T58</f>
        <v>19.8</v>
      </c>
      <c r="C60" s="338">
        <f>+'BIDCRÉSULT '!T58</f>
        <v>1655.8000000000002</v>
      </c>
      <c r="D60" s="338">
        <f>+BMHRÉSULT!T58</f>
        <v>27.1</v>
      </c>
      <c r="E60" s="338">
        <f>+'bncrésult '!T58</f>
        <v>4746</v>
      </c>
      <c r="F60" s="338">
        <f>+'BPHRÉSULT  '!T58</f>
        <v>1107.5999999999999</v>
      </c>
      <c r="G60" s="338">
        <f>+buhrésult!T58</f>
        <v>8206</v>
      </c>
      <c r="H60" s="338">
        <f>+'PROMOBKRÉSULT    '!T58</f>
        <v>5266.2000000000007</v>
      </c>
      <c r="I60" s="339">
        <f>+SOCABKRÉSULT!T58</f>
        <v>6496</v>
      </c>
      <c r="J60" s="338">
        <f>+SOGEBKRÉSULT!T58</f>
        <v>7284.7999999999993</v>
      </c>
      <c r="K60" s="338">
        <f>+'UNIBKRÉSULT   '!T58</f>
        <v>6906.0999999999995</v>
      </c>
      <c r="L60" s="340">
        <f>SUM(B60:K60)</f>
        <v>41715.4</v>
      </c>
      <c r="M60" s="338">
        <f>+'CAPITALBKRÉSULT      '!T58</f>
        <v>1026</v>
      </c>
      <c r="N60" s="338">
        <f>+'SGBELRÉSULT       '!T58</f>
        <v>1098.8</v>
      </c>
      <c r="O60" s="340">
        <f>SUM(M60:N60)</f>
        <v>2124.8000000000002</v>
      </c>
      <c r="P60" s="338">
        <f>+'CBNARÉSULT         '!T58</f>
        <v>4277</v>
      </c>
      <c r="Q60" s="338">
        <f>+'SCOTIARÉSULT         '!T58</f>
        <v>2160</v>
      </c>
      <c r="R60" s="340">
        <f>SUM(P60:Q60)</f>
        <v>6437</v>
      </c>
      <c r="S60" s="340">
        <f>+L60+O60+R60</f>
        <v>50277.200000000004</v>
      </c>
      <c r="U60"/>
    </row>
    <row r="61" spans="1:21" ht="18.75">
      <c r="A61" s="102" t="s">
        <v>336</v>
      </c>
      <c r="B61" s="338">
        <f>+'BICHRÉSULT     '!T59</f>
        <v>0</v>
      </c>
      <c r="C61" s="338">
        <f>+'BIDCRÉSULT '!T59</f>
        <v>1446.6999999999998</v>
      </c>
      <c r="D61" s="338">
        <f>+BMHRÉSULT!T59</f>
        <v>289.89999999999998</v>
      </c>
      <c r="E61" s="338">
        <f>+'bncrésult '!T59</f>
        <v>32</v>
      </c>
      <c r="F61" s="338">
        <f>+'BPHRÉSULT  '!T59</f>
        <v>4579.6000000000004</v>
      </c>
      <c r="G61" s="338">
        <f>+buhrésult!T59</f>
        <v>3234</v>
      </c>
      <c r="H61" s="338">
        <f>+'PROMOBKRÉSULT    '!T59</f>
        <v>4735.8999999999996</v>
      </c>
      <c r="I61" s="339">
        <f>+SOCABKRÉSULT!T59</f>
        <v>3959.3</v>
      </c>
      <c r="J61" s="338">
        <f>+SOGEBKRÉSULT!T59</f>
        <v>14561.7</v>
      </c>
      <c r="K61" s="338">
        <f>+'UNIBKRÉSULT   '!T59</f>
        <v>9870.2000000000007</v>
      </c>
      <c r="L61" s="340">
        <f>SUM(B61:K61)</f>
        <v>42709.3</v>
      </c>
      <c r="M61" s="338">
        <f>+'CAPITALBKRÉSULT      '!T59</f>
        <v>1861</v>
      </c>
      <c r="N61" s="338">
        <f>+'SGBELRÉSULT       '!T59</f>
        <v>657.3</v>
      </c>
      <c r="O61" s="340">
        <f>SUM(M61:N61)</f>
        <v>2518.3000000000002</v>
      </c>
      <c r="P61" s="338">
        <f>+'CBNARÉSULT         '!T59</f>
        <v>3127</v>
      </c>
      <c r="Q61" s="338">
        <f>+'SCOTIARÉSULT         '!T59</f>
        <v>1196</v>
      </c>
      <c r="R61" s="340">
        <f>SUM(P61:Q61)</f>
        <v>4323</v>
      </c>
      <c r="S61" s="340">
        <f>+L61+O61+R61</f>
        <v>49550.600000000006</v>
      </c>
      <c r="U61"/>
    </row>
    <row r="62" spans="1:21" ht="18.75">
      <c r="A62" s="102" t="s">
        <v>284</v>
      </c>
      <c r="B62" s="341">
        <f>+'BICHRÉSULT     '!T60</f>
        <v>133.69999999999999</v>
      </c>
      <c r="C62" s="341">
        <f>+'BIDCRÉSULT '!T60</f>
        <v>1050</v>
      </c>
      <c r="D62" s="341">
        <f>+BMHRÉSULT!T60</f>
        <v>17</v>
      </c>
      <c r="E62" s="341">
        <f>+'bncrésult '!T60</f>
        <v>3171</v>
      </c>
      <c r="F62" s="341">
        <f>+'BPHRÉSULT  '!T60</f>
        <v>37.200000000000003</v>
      </c>
      <c r="G62" s="341">
        <f>+buhrésult!T60</f>
        <v>987</v>
      </c>
      <c r="H62" s="341">
        <f>+'PROMOBKRÉSULT    '!T60</f>
        <v>1201.8</v>
      </c>
      <c r="I62" s="342">
        <f>+SOCABKRÉSULT!T60</f>
        <v>1046.5</v>
      </c>
      <c r="J62" s="341">
        <f>+SOGEBKRÉSULT!T60</f>
        <v>1289.0999999999999</v>
      </c>
      <c r="K62" s="341">
        <f>+'UNIBKRÉSULT   '!T60</f>
        <v>35.5</v>
      </c>
      <c r="L62" s="343">
        <f>SUM(B62:K62)</f>
        <v>8968.7999999999993</v>
      </c>
      <c r="M62" s="341">
        <f>+'CAPITALBKRÉSULT      '!T60</f>
        <v>-144</v>
      </c>
      <c r="N62" s="341">
        <f>+'SGBELRÉSULT       '!T60</f>
        <v>-145.6</v>
      </c>
      <c r="O62" s="343">
        <f>SUM(M62:N62)</f>
        <v>-289.60000000000002</v>
      </c>
      <c r="P62" s="341">
        <f>+'CBNARÉSULT         '!T60</f>
        <v>51</v>
      </c>
      <c r="Q62" s="341">
        <f>+'SCOTIARÉSULT         '!T60</f>
        <v>21</v>
      </c>
      <c r="R62" s="343">
        <f>SUM(P62:Q62)</f>
        <v>72</v>
      </c>
      <c r="S62" s="343">
        <f>+L62+O62+R62</f>
        <v>8751.1999999999989</v>
      </c>
      <c r="U62"/>
    </row>
    <row r="63" spans="1:21" ht="18.75">
      <c r="A63" s="102"/>
      <c r="B63" s="338">
        <f t="shared" ref="B63:G63" si="12">SUM(B60:B62)</f>
        <v>153.5</v>
      </c>
      <c r="C63" s="338">
        <f t="shared" si="12"/>
        <v>4152.5</v>
      </c>
      <c r="D63" s="338">
        <f t="shared" si="12"/>
        <v>334</v>
      </c>
      <c r="E63" s="338">
        <f t="shared" si="12"/>
        <v>7949</v>
      </c>
      <c r="F63" s="338">
        <f t="shared" si="12"/>
        <v>5724.4000000000005</v>
      </c>
      <c r="G63" s="338">
        <f t="shared" si="12"/>
        <v>12427</v>
      </c>
      <c r="H63" s="338">
        <f t="shared" ref="H63:S63" si="13">SUM(H60:H62)</f>
        <v>11203.9</v>
      </c>
      <c r="I63" s="339">
        <f t="shared" si="13"/>
        <v>11501.8</v>
      </c>
      <c r="J63" s="338">
        <f t="shared" si="13"/>
        <v>23135.599999999999</v>
      </c>
      <c r="K63" s="338">
        <f t="shared" si="13"/>
        <v>16811.8</v>
      </c>
      <c r="L63" s="340">
        <f t="shared" si="13"/>
        <v>93393.500000000015</v>
      </c>
      <c r="M63" s="338">
        <f t="shared" si="13"/>
        <v>2743</v>
      </c>
      <c r="N63" s="338">
        <f t="shared" si="13"/>
        <v>1610.5</v>
      </c>
      <c r="O63" s="340">
        <f t="shared" si="13"/>
        <v>4353.5</v>
      </c>
      <c r="P63" s="338">
        <f t="shared" si="13"/>
        <v>7455</v>
      </c>
      <c r="Q63" s="338">
        <f t="shared" si="13"/>
        <v>3377</v>
      </c>
      <c r="R63" s="340">
        <f t="shared" si="13"/>
        <v>10832</v>
      </c>
      <c r="S63" s="340">
        <f t="shared" si="13"/>
        <v>108579.00000000001</v>
      </c>
      <c r="U63"/>
    </row>
    <row r="64" spans="1:21" ht="18.75">
      <c r="A64" s="102"/>
      <c r="B64" s="341"/>
      <c r="C64" s="341"/>
      <c r="D64" s="341"/>
      <c r="E64" s="341" t="s">
        <v>0</v>
      </c>
      <c r="F64" s="341"/>
      <c r="G64" s="341"/>
      <c r="H64" s="341"/>
      <c r="I64" s="342"/>
      <c r="J64" s="341"/>
      <c r="K64" s="341"/>
      <c r="L64" s="343"/>
      <c r="M64" s="341"/>
      <c r="N64" s="341"/>
      <c r="O64" s="343"/>
      <c r="P64" s="341"/>
      <c r="Q64" s="341"/>
      <c r="R64" s="343"/>
      <c r="S64" s="343"/>
      <c r="U64"/>
    </row>
    <row r="65" spans="1:21" ht="18.75">
      <c r="A65" s="102" t="s">
        <v>337</v>
      </c>
      <c r="B65" s="338">
        <f t="shared" ref="B65:G65" si="14">+B57+B63</f>
        <v>253.9</v>
      </c>
      <c r="C65" s="338">
        <f t="shared" si="14"/>
        <v>24328.1</v>
      </c>
      <c r="D65" s="338">
        <f t="shared" si="14"/>
        <v>1244.5999999999999</v>
      </c>
      <c r="E65" s="338">
        <f t="shared" si="14"/>
        <v>26944</v>
      </c>
      <c r="F65" s="338">
        <f t="shared" si="14"/>
        <v>13804.800000000003</v>
      </c>
      <c r="G65" s="338">
        <f t="shared" si="14"/>
        <v>38762</v>
      </c>
      <c r="H65" s="338">
        <f t="shared" ref="H65:S65" si="15">+H57+H63</f>
        <v>26003.300000000003</v>
      </c>
      <c r="I65" s="339">
        <f t="shared" si="15"/>
        <v>23884.799999999999</v>
      </c>
      <c r="J65" s="338">
        <f t="shared" si="15"/>
        <v>76360.399999999994</v>
      </c>
      <c r="K65" s="338">
        <f t="shared" si="15"/>
        <v>54080.700000000012</v>
      </c>
      <c r="L65" s="340">
        <f t="shared" si="15"/>
        <v>285666.59999999998</v>
      </c>
      <c r="M65" s="338">
        <f t="shared" si="15"/>
        <v>18268</v>
      </c>
      <c r="N65" s="338">
        <f t="shared" si="15"/>
        <v>7995.7999999999993</v>
      </c>
      <c r="O65" s="340">
        <f t="shared" si="15"/>
        <v>26263.8</v>
      </c>
      <c r="P65" s="338">
        <f t="shared" si="15"/>
        <v>23357</v>
      </c>
      <c r="Q65" s="338">
        <f t="shared" si="15"/>
        <v>19052</v>
      </c>
      <c r="R65" s="340">
        <f t="shared" si="15"/>
        <v>42409</v>
      </c>
      <c r="S65" s="340">
        <f t="shared" si="15"/>
        <v>354339.39999999997</v>
      </c>
      <c r="U65"/>
    </row>
    <row r="66" spans="1:21" ht="18.75">
      <c r="A66" s="102"/>
      <c r="B66" s="338"/>
      <c r="C66" s="338"/>
      <c r="D66" s="338"/>
      <c r="E66" s="338" t="s">
        <v>0</v>
      </c>
      <c r="F66" s="338"/>
      <c r="G66" s="338"/>
      <c r="H66" s="338"/>
      <c r="I66" s="339"/>
      <c r="J66" s="338"/>
      <c r="K66" s="338"/>
      <c r="L66" s="340"/>
      <c r="M66" s="338"/>
      <c r="N66" s="338"/>
      <c r="O66" s="340"/>
      <c r="P66" s="338"/>
      <c r="Q66" s="338"/>
      <c r="R66" s="340"/>
      <c r="S66" s="340"/>
      <c r="U66"/>
    </row>
    <row r="67" spans="1:21" ht="18.75">
      <c r="A67" s="102" t="s">
        <v>338</v>
      </c>
      <c r="B67" s="338">
        <f>+'BICHRÉSULT     '!T65</f>
        <v>0</v>
      </c>
      <c r="C67" s="338">
        <f>+'BIDCRÉSULT '!T65</f>
        <v>2211.8000000000002</v>
      </c>
      <c r="D67" s="338">
        <f>+BMHRÉSULT!T65</f>
        <v>0</v>
      </c>
      <c r="E67" s="338">
        <f>+'bncrésult '!T65</f>
        <v>0</v>
      </c>
      <c r="F67" s="338">
        <f>+'BPHRÉSULT  '!T65</f>
        <v>1800</v>
      </c>
      <c r="G67" s="338">
        <f>+buhrésult!T65</f>
        <v>1998</v>
      </c>
      <c r="H67" s="338">
        <f>+'PROMOBKRÉSULT    '!T65</f>
        <v>3000</v>
      </c>
      <c r="I67" s="339">
        <f>+SOCABKRÉSULT!T65</f>
        <v>3200</v>
      </c>
      <c r="J67" s="338">
        <f>+SOGEBKRÉSULT!T65</f>
        <v>3000</v>
      </c>
      <c r="K67" s="338">
        <f>+'UNIBKRÉSULT   '!T65</f>
        <v>1150</v>
      </c>
      <c r="L67" s="340">
        <f>SUM(B67:K67)</f>
        <v>16359.8</v>
      </c>
      <c r="M67" s="338">
        <f>+'CAPITALBKRÉSULT      '!T65</f>
        <v>300</v>
      </c>
      <c r="N67" s="338">
        <f>+'SGBELRÉSULT       '!T65</f>
        <v>300</v>
      </c>
      <c r="O67" s="340">
        <f>SUM(M67:N67)</f>
        <v>600</v>
      </c>
      <c r="P67" s="338">
        <f>+'CBNARÉSULT         '!T65</f>
        <v>1743</v>
      </c>
      <c r="Q67" s="338">
        <f>+'SCOTIARÉSULT         '!T65</f>
        <v>500</v>
      </c>
      <c r="R67" s="340">
        <f>SUM(P67:Q67)</f>
        <v>2243</v>
      </c>
      <c r="S67" s="340">
        <f>+L67+O67+R67</f>
        <v>19202.8</v>
      </c>
      <c r="U67"/>
    </row>
    <row r="68" spans="1:21" ht="18.75">
      <c r="A68" s="102"/>
      <c r="B68" s="345"/>
      <c r="C68" s="345"/>
      <c r="D68" s="345"/>
      <c r="E68" s="345" t="s">
        <v>0</v>
      </c>
      <c r="F68" s="345"/>
      <c r="G68" s="345"/>
      <c r="H68" s="345"/>
      <c r="I68" s="346"/>
      <c r="J68" s="345"/>
      <c r="K68" s="345"/>
      <c r="L68" s="340"/>
      <c r="M68" s="345"/>
      <c r="N68" s="345"/>
      <c r="O68" s="340"/>
      <c r="P68" s="345"/>
      <c r="Q68" s="345"/>
      <c r="R68" s="340"/>
      <c r="S68" s="340"/>
      <c r="U68"/>
    </row>
    <row r="69" spans="1:21" ht="18.75">
      <c r="A69" s="102" t="s">
        <v>339</v>
      </c>
      <c r="B69" s="341"/>
      <c r="C69" s="341"/>
      <c r="D69" s="341"/>
      <c r="E69" s="341" t="s">
        <v>0</v>
      </c>
      <c r="F69" s="341"/>
      <c r="G69" s="341"/>
      <c r="H69" s="341"/>
      <c r="I69" s="342"/>
      <c r="J69" s="341"/>
      <c r="K69" s="341"/>
      <c r="L69" s="343"/>
      <c r="M69" s="341"/>
      <c r="N69" s="341"/>
      <c r="O69" s="343"/>
      <c r="P69" s="341"/>
      <c r="Q69" s="341"/>
      <c r="R69" s="343"/>
      <c r="S69" s="343"/>
      <c r="U69"/>
    </row>
    <row r="70" spans="1:21" ht="18.75">
      <c r="A70" s="102" t="s">
        <v>340</v>
      </c>
      <c r="B70" s="338">
        <f t="shared" ref="B70:G70" si="16">+B65-B67</f>
        <v>253.9</v>
      </c>
      <c r="C70" s="338">
        <f t="shared" si="16"/>
        <v>22116.3</v>
      </c>
      <c r="D70" s="338">
        <f t="shared" si="16"/>
        <v>1244.5999999999999</v>
      </c>
      <c r="E70" s="338">
        <f t="shared" si="16"/>
        <v>26944</v>
      </c>
      <c r="F70" s="338">
        <f t="shared" si="16"/>
        <v>12004.800000000003</v>
      </c>
      <c r="G70" s="338">
        <f t="shared" si="16"/>
        <v>36764</v>
      </c>
      <c r="H70" s="338">
        <f t="shared" ref="H70:S70" si="17">+H65-H67</f>
        <v>23003.300000000003</v>
      </c>
      <c r="I70" s="339">
        <f t="shared" si="17"/>
        <v>20684.8</v>
      </c>
      <c r="J70" s="338">
        <f t="shared" si="17"/>
        <v>73360.399999999994</v>
      </c>
      <c r="K70" s="338">
        <f t="shared" si="17"/>
        <v>52930.700000000012</v>
      </c>
      <c r="L70" s="340">
        <f t="shared" si="17"/>
        <v>269306.8</v>
      </c>
      <c r="M70" s="338">
        <f t="shared" si="17"/>
        <v>17968</v>
      </c>
      <c r="N70" s="338">
        <f t="shared" si="17"/>
        <v>7695.7999999999993</v>
      </c>
      <c r="O70" s="340">
        <f t="shared" si="17"/>
        <v>25663.8</v>
      </c>
      <c r="P70" s="338">
        <f t="shared" si="17"/>
        <v>21614</v>
      </c>
      <c r="Q70" s="338">
        <f t="shared" si="17"/>
        <v>18552</v>
      </c>
      <c r="R70" s="340">
        <f t="shared" si="17"/>
        <v>40166</v>
      </c>
      <c r="S70" s="340">
        <f t="shared" si="17"/>
        <v>335136.59999999998</v>
      </c>
      <c r="U70"/>
    </row>
    <row r="71" spans="1:21" ht="18.75">
      <c r="A71" s="102"/>
      <c r="B71" s="338"/>
      <c r="C71" s="338"/>
      <c r="D71" s="338"/>
      <c r="E71" s="338" t="s">
        <v>0</v>
      </c>
      <c r="F71" s="338"/>
      <c r="G71" s="338"/>
      <c r="H71" s="338"/>
      <c r="I71" s="339"/>
      <c r="J71" s="338"/>
      <c r="K71" s="338"/>
      <c r="L71" s="340"/>
      <c r="M71" s="338"/>
      <c r="N71" s="338"/>
      <c r="O71" s="340"/>
      <c r="P71" s="338"/>
      <c r="Q71" s="338"/>
      <c r="R71" s="340"/>
      <c r="S71" s="340"/>
      <c r="U71"/>
    </row>
    <row r="72" spans="1:21" ht="18.75">
      <c r="A72" s="102" t="s">
        <v>341</v>
      </c>
      <c r="B72" s="338"/>
      <c r="C72" s="338"/>
      <c r="D72" s="338"/>
      <c r="E72" s="338" t="s">
        <v>0</v>
      </c>
      <c r="F72" s="338"/>
      <c r="G72" s="338"/>
      <c r="H72" s="338"/>
      <c r="I72" s="339"/>
      <c r="J72" s="338"/>
      <c r="K72" s="338"/>
      <c r="L72" s="340"/>
      <c r="M72" s="338"/>
      <c r="N72" s="338"/>
      <c r="O72" s="340"/>
      <c r="P72" s="338"/>
      <c r="Q72" s="338"/>
      <c r="R72" s="340"/>
      <c r="S72" s="340"/>
      <c r="U72"/>
    </row>
    <row r="73" spans="1:21" ht="18.75">
      <c r="A73" s="102" t="s">
        <v>342</v>
      </c>
      <c r="B73" s="338">
        <f>+'BICHRÉSULT     '!T71</f>
        <v>97</v>
      </c>
      <c r="C73" s="338">
        <f>+'BIDCRÉSULT '!T71</f>
        <v>9384.9</v>
      </c>
      <c r="D73" s="338">
        <f>+BMHRÉSULT!T71</f>
        <v>454.70000000000005</v>
      </c>
      <c r="E73" s="338">
        <f>+'bncrésult '!T71</f>
        <v>30490</v>
      </c>
      <c r="F73" s="338">
        <f>+'BPHRÉSULT  '!T71</f>
        <v>5275.5</v>
      </c>
      <c r="G73" s="338">
        <f>+buhrésult!T71</f>
        <v>13497</v>
      </c>
      <c r="H73" s="338">
        <f>+'PROMOBKRÉSULT    '!T71</f>
        <v>9186</v>
      </c>
      <c r="I73" s="339">
        <f>+SOCABKRÉSULT!T71</f>
        <v>6985.6</v>
      </c>
      <c r="J73" s="338">
        <f>+SOGEBKRÉSULT!T71</f>
        <v>29671.4</v>
      </c>
      <c r="K73" s="338">
        <f>+'UNIBKRÉSULT   '!T71</f>
        <v>17914.599999999999</v>
      </c>
      <c r="L73" s="340">
        <f>SUM(B73:K73)</f>
        <v>122956.70000000001</v>
      </c>
      <c r="M73" s="338">
        <f>+'CAPITALBKRÉSULT      '!T71</f>
        <v>5497</v>
      </c>
      <c r="N73" s="338">
        <f>+'SGBELRÉSULT       '!T71</f>
        <v>2278.1</v>
      </c>
      <c r="O73" s="340">
        <f>SUM(M73:N73)</f>
        <v>7775.1</v>
      </c>
      <c r="P73" s="338">
        <f>+'CBNARÉSULT         '!T71</f>
        <v>7769</v>
      </c>
      <c r="Q73" s="338">
        <f>+'SCOTIARÉSULT         '!T71</f>
        <v>8481</v>
      </c>
      <c r="R73" s="340">
        <f>SUM(P73:Q73)</f>
        <v>16250</v>
      </c>
      <c r="S73" s="340">
        <f>+L73+O73+R73</f>
        <v>146981.80000000002</v>
      </c>
      <c r="U73"/>
    </row>
    <row r="74" spans="1:21" ht="18.75">
      <c r="A74" s="102" t="s">
        <v>343</v>
      </c>
      <c r="B74" s="338">
        <f>+'BICHRÉSULT     '!T72</f>
        <v>12</v>
      </c>
      <c r="C74" s="338">
        <f>+'BIDCRÉSULT '!T72</f>
        <v>510.20000000000005</v>
      </c>
      <c r="D74" s="338">
        <f>+BMHRÉSULT!T72</f>
        <v>23.4</v>
      </c>
      <c r="E74" s="338">
        <f>+'bncrésult '!T72</f>
        <v>542</v>
      </c>
      <c r="F74" s="338">
        <f>+'BPHRÉSULT  '!T72</f>
        <v>143.10000000000002</v>
      </c>
      <c r="G74" s="338">
        <f>+buhrésult!T72</f>
        <v>2121</v>
      </c>
      <c r="H74" s="338">
        <f>+'PROMOBKRÉSULT    '!T72</f>
        <v>1509.8999999999999</v>
      </c>
      <c r="I74" s="339">
        <f>+SOCABKRÉSULT!T72</f>
        <v>685.4</v>
      </c>
      <c r="J74" s="338">
        <f>+SOGEBKRÉSULT!T72</f>
        <v>1807.1</v>
      </c>
      <c r="K74" s="338">
        <f>+'UNIBKRÉSULT   '!T72</f>
        <v>2062.6</v>
      </c>
      <c r="L74" s="340">
        <f>SUM(B74:K74)</f>
        <v>9416.6999999999989</v>
      </c>
      <c r="M74" s="338">
        <f>+'CAPITALBKRÉSULT      '!T72</f>
        <v>607</v>
      </c>
      <c r="N74" s="338">
        <f>+'SGBELRÉSULT       '!T72</f>
        <v>774.5</v>
      </c>
      <c r="O74" s="340">
        <f>SUM(M74:N74)</f>
        <v>1381.5</v>
      </c>
      <c r="P74" s="338">
        <f>+'CBNARÉSULT         '!T72</f>
        <v>1512</v>
      </c>
      <c r="Q74" s="338">
        <f>+'SCOTIARÉSULT         '!T72</f>
        <v>1383</v>
      </c>
      <c r="R74" s="340">
        <f>SUM(P74:Q74)</f>
        <v>2895</v>
      </c>
      <c r="S74" s="340">
        <f>+L74+O74+R74</f>
        <v>13693.199999999999</v>
      </c>
      <c r="U74"/>
    </row>
    <row r="75" spans="1:21" ht="18.75">
      <c r="A75" s="102" t="s">
        <v>344</v>
      </c>
      <c r="B75" s="338">
        <f>+'BICHRÉSULT     '!T73</f>
        <v>3.3000000000000003</v>
      </c>
      <c r="C75" s="338">
        <f>+'BIDCRÉSULT '!T73</f>
        <v>4721.8</v>
      </c>
      <c r="D75" s="338">
        <f>+BMHRÉSULT!T73</f>
        <v>369.5</v>
      </c>
      <c r="E75" s="338">
        <f>+'bncrésult '!T73</f>
        <v>1953</v>
      </c>
      <c r="F75" s="338">
        <f>+'BPHRÉSULT  '!T73</f>
        <v>1148.0999999999999</v>
      </c>
      <c r="G75" s="338">
        <f>+buhrésult!T73</f>
        <v>4341</v>
      </c>
      <c r="H75" s="338">
        <f>+'PROMOBKRÉSULT    '!T73</f>
        <v>3971</v>
      </c>
      <c r="I75" s="339">
        <f>+SOCABKRÉSULT!T73</f>
        <v>1670.6</v>
      </c>
      <c r="J75" s="338">
        <f>+SOGEBKRÉSULT!T73</f>
        <v>11113.3</v>
      </c>
      <c r="K75" s="338">
        <f>+'UNIBKRÉSULT   '!T73</f>
        <v>5052.1000000000004</v>
      </c>
      <c r="L75" s="340">
        <f>SUM(B75:K75)</f>
        <v>34343.699999999997</v>
      </c>
      <c r="M75" s="338">
        <f>+'CAPITALBKRÉSULT      '!T73</f>
        <v>2454</v>
      </c>
      <c r="N75" s="338">
        <f>+'SGBELRÉSULT       '!T73</f>
        <v>533.5</v>
      </c>
      <c r="O75" s="340">
        <f>SUM(M75:N75)</f>
        <v>2987.5</v>
      </c>
      <c r="P75" s="338">
        <f>+'CBNARÉSULT         '!T73</f>
        <v>1091</v>
      </c>
      <c r="Q75" s="338">
        <f>+'SCOTIARÉSULT         '!T73</f>
        <v>1141</v>
      </c>
      <c r="R75" s="340">
        <f>SUM(P75:Q75)</f>
        <v>2232</v>
      </c>
      <c r="S75" s="340">
        <f>+L75+O75+R75</f>
        <v>39563.199999999997</v>
      </c>
      <c r="U75"/>
    </row>
    <row r="76" spans="1:21" ht="18.75">
      <c r="A76" s="102" t="s">
        <v>345</v>
      </c>
      <c r="B76" s="341">
        <f>+'BICHRÉSULT     '!T74</f>
        <v>51.6</v>
      </c>
      <c r="C76" s="341">
        <f>+'BIDCRÉSULT '!T74</f>
        <v>11930.8</v>
      </c>
      <c r="D76" s="341">
        <f>+BMHRÉSULT!T74</f>
        <v>266.89999999999998</v>
      </c>
      <c r="E76" s="341">
        <f>+'bncrésult '!T74</f>
        <v>5939</v>
      </c>
      <c r="F76" s="341">
        <f>+'BPHRÉSULT  '!T74</f>
        <v>2796.5</v>
      </c>
      <c r="G76" s="341">
        <f>+buhrésult!T74</f>
        <v>12507</v>
      </c>
      <c r="H76" s="341">
        <f>+'PROMOBKRÉSULT    '!T74</f>
        <v>8015.1000000000013</v>
      </c>
      <c r="I76" s="342">
        <f>+SOCABKRÉSULT!T74</f>
        <v>8713.9</v>
      </c>
      <c r="J76" s="341">
        <f>+SOGEBKRÉSULT!T74</f>
        <v>24238.1</v>
      </c>
      <c r="K76" s="341">
        <f>+'UNIBKRÉSULT   '!T74</f>
        <v>16833</v>
      </c>
      <c r="L76" s="343">
        <f>SUM(B76:K76)</f>
        <v>91291.9</v>
      </c>
      <c r="M76" s="341">
        <f>+'CAPITALBKRÉSULT      '!T74</f>
        <v>5338</v>
      </c>
      <c r="N76" s="341">
        <f>+'SGBELRÉSULT       '!T74</f>
        <v>2359.7999999999997</v>
      </c>
      <c r="O76" s="343">
        <f>SUM(M76:N76)</f>
        <v>7697.7999999999993</v>
      </c>
      <c r="P76" s="341">
        <f>+'CBNARÉSULT         '!T74</f>
        <v>3961</v>
      </c>
      <c r="Q76" s="341">
        <f>+'SCOTIARÉSULT         '!T74</f>
        <v>5597</v>
      </c>
      <c r="R76" s="343">
        <f>SUM(P76:Q76)</f>
        <v>9558</v>
      </c>
      <c r="S76" s="343">
        <f>+L76+O76+R76</f>
        <v>108547.7</v>
      </c>
      <c r="U76"/>
    </row>
    <row r="77" spans="1:21" ht="18.75">
      <c r="A77" s="102"/>
      <c r="B77" s="338">
        <f t="shared" ref="B77:G77" si="18">SUM(B73:B76)</f>
        <v>163.9</v>
      </c>
      <c r="C77" s="338">
        <f t="shared" si="18"/>
        <v>26547.7</v>
      </c>
      <c r="D77" s="338">
        <f t="shared" si="18"/>
        <v>1114.5</v>
      </c>
      <c r="E77" s="338">
        <f t="shared" si="18"/>
        <v>38924</v>
      </c>
      <c r="F77" s="338">
        <f t="shared" si="18"/>
        <v>9363.2000000000007</v>
      </c>
      <c r="G77" s="338">
        <f t="shared" si="18"/>
        <v>32466</v>
      </c>
      <c r="H77" s="338">
        <f t="shared" ref="H77:S77" si="19">SUM(H73:H76)</f>
        <v>22682</v>
      </c>
      <c r="I77" s="338">
        <f t="shared" si="19"/>
        <v>18055.5</v>
      </c>
      <c r="J77" s="338">
        <f t="shared" si="19"/>
        <v>66829.899999999994</v>
      </c>
      <c r="K77" s="338">
        <f t="shared" si="19"/>
        <v>41862.299999999996</v>
      </c>
      <c r="L77" s="340">
        <f t="shared" si="19"/>
        <v>258009.00000000003</v>
      </c>
      <c r="M77" s="338">
        <f t="shared" si="19"/>
        <v>13896</v>
      </c>
      <c r="N77" s="338">
        <f t="shared" si="19"/>
        <v>5945.9</v>
      </c>
      <c r="O77" s="340">
        <f t="shared" si="19"/>
        <v>19841.900000000001</v>
      </c>
      <c r="P77" s="338">
        <f t="shared" si="19"/>
        <v>14333</v>
      </c>
      <c r="Q77" s="338">
        <f t="shared" si="19"/>
        <v>16602</v>
      </c>
      <c r="R77" s="340">
        <f t="shared" si="19"/>
        <v>30935</v>
      </c>
      <c r="S77" s="340">
        <f t="shared" si="19"/>
        <v>308785.90000000002</v>
      </c>
      <c r="U77"/>
    </row>
    <row r="78" spans="1:21" ht="18.75">
      <c r="A78" s="102"/>
      <c r="B78" s="341"/>
      <c r="C78" s="341"/>
      <c r="D78" s="341"/>
      <c r="E78" s="341"/>
      <c r="F78" s="341"/>
      <c r="G78" s="341"/>
      <c r="H78" s="341"/>
      <c r="I78" s="342"/>
      <c r="J78" s="341"/>
      <c r="K78" s="341"/>
      <c r="L78" s="343"/>
      <c r="M78" s="341"/>
      <c r="N78" s="341"/>
      <c r="O78" s="343"/>
      <c r="P78" s="341"/>
      <c r="Q78" s="341"/>
      <c r="R78" s="343"/>
      <c r="S78" s="343"/>
      <c r="U78"/>
    </row>
    <row r="79" spans="1:21" ht="18.75">
      <c r="A79" s="102" t="s">
        <v>346</v>
      </c>
      <c r="B79" s="338">
        <f t="shared" ref="B79:G79" si="20">+B70-B77</f>
        <v>90</v>
      </c>
      <c r="C79" s="338">
        <f t="shared" si="20"/>
        <v>-4431.4000000000015</v>
      </c>
      <c r="D79" s="338">
        <f t="shared" si="20"/>
        <v>130.09999999999991</v>
      </c>
      <c r="E79" s="338">
        <f t="shared" si="20"/>
        <v>-11980</v>
      </c>
      <c r="F79" s="338">
        <f t="shared" si="20"/>
        <v>2641.6000000000022</v>
      </c>
      <c r="G79" s="338">
        <f t="shared" si="20"/>
        <v>4298</v>
      </c>
      <c r="H79" s="338">
        <f t="shared" ref="H79:S79" si="21">+H70-H77</f>
        <v>321.30000000000291</v>
      </c>
      <c r="I79" s="338">
        <f t="shared" si="21"/>
        <v>2629.2999999999993</v>
      </c>
      <c r="J79" s="338">
        <f t="shared" si="21"/>
        <v>6530.5</v>
      </c>
      <c r="K79" s="338">
        <f t="shared" si="21"/>
        <v>11068.400000000016</v>
      </c>
      <c r="L79" s="340">
        <f t="shared" si="21"/>
        <v>11297.799999999959</v>
      </c>
      <c r="M79" s="338">
        <f t="shared" si="21"/>
        <v>4072</v>
      </c>
      <c r="N79" s="338">
        <f t="shared" si="21"/>
        <v>1749.8999999999996</v>
      </c>
      <c r="O79" s="340">
        <f t="shared" si="21"/>
        <v>5821.8999999999978</v>
      </c>
      <c r="P79" s="338">
        <f t="shared" si="21"/>
        <v>7281</v>
      </c>
      <c r="Q79" s="338">
        <f t="shared" si="21"/>
        <v>1950</v>
      </c>
      <c r="R79" s="340">
        <f t="shared" si="21"/>
        <v>9231</v>
      </c>
      <c r="S79" s="340">
        <f t="shared" si="21"/>
        <v>26350.699999999953</v>
      </c>
      <c r="U79"/>
    </row>
    <row r="80" spans="1:21" ht="18.75">
      <c r="A80" s="102"/>
      <c r="B80" s="338"/>
      <c r="C80" s="338"/>
      <c r="D80" s="338"/>
      <c r="E80" s="338" t="s">
        <v>0</v>
      </c>
      <c r="F80" s="338"/>
      <c r="G80" s="338"/>
      <c r="H80" s="338"/>
      <c r="I80" s="339"/>
      <c r="J80" s="338"/>
      <c r="K80" s="338"/>
      <c r="L80" s="340"/>
      <c r="M80" s="338"/>
      <c r="N80" s="338"/>
      <c r="O80" s="340"/>
      <c r="P80" s="338"/>
      <c r="Q80" s="338"/>
      <c r="R80" s="340"/>
      <c r="S80" s="340"/>
      <c r="U80"/>
    </row>
    <row r="81" spans="1:21" ht="18.75">
      <c r="A81" s="102" t="s">
        <v>347</v>
      </c>
      <c r="B81" s="338">
        <f>+'BICHRÉSULT     '!T79</f>
        <v>13.3</v>
      </c>
      <c r="C81" s="338">
        <f>+'BIDCRÉSULT '!T79</f>
        <v>-1416.2</v>
      </c>
      <c r="D81" s="338">
        <f>+BMHRÉSULT!T79</f>
        <v>45.4</v>
      </c>
      <c r="E81" s="338">
        <f>+'bncrésult '!T79</f>
        <v>0</v>
      </c>
      <c r="F81" s="338">
        <f>+'BPHRÉSULT  '!T79</f>
        <v>0</v>
      </c>
      <c r="G81" s="338">
        <f>+buhrésult!T79</f>
        <v>1504</v>
      </c>
      <c r="H81" s="338">
        <f>+'PROMOBKRÉSULT    '!T79</f>
        <v>-229.70000000000005</v>
      </c>
      <c r="I81" s="339">
        <f>+SOCABKRÉSULT!T79</f>
        <v>750</v>
      </c>
      <c r="J81" s="338">
        <f>+SOGEBKRÉSULT!T79</f>
        <v>2285.6</v>
      </c>
      <c r="K81" s="338">
        <f>+'UNIBKRÉSULT   '!T79</f>
        <v>3418.0000000000005</v>
      </c>
      <c r="L81" s="340">
        <f>SUM(B81:K81)</f>
        <v>6370.4</v>
      </c>
      <c r="M81" s="338">
        <f>+'CAPITALBKRÉSULT      '!T79</f>
        <v>1011</v>
      </c>
      <c r="N81" s="338">
        <f>+'SGBELRÉSULT       '!T79</f>
        <v>482.8</v>
      </c>
      <c r="O81" s="340">
        <f>SUM(M81:N81)</f>
        <v>1493.8</v>
      </c>
      <c r="P81" s="338">
        <f>+'CBNARÉSULT         '!T79</f>
        <v>2554</v>
      </c>
      <c r="Q81" s="338">
        <f>+'SCOTIARÉSULT         '!T79</f>
        <v>703</v>
      </c>
      <c r="R81" s="340">
        <f>SUM(P81:Q81)</f>
        <v>3257</v>
      </c>
      <c r="S81" s="340">
        <f>+L81+O81+R81</f>
        <v>11121.2</v>
      </c>
      <c r="U81"/>
    </row>
    <row r="82" spans="1:21" ht="19.5" thickBot="1">
      <c r="A82" s="102"/>
      <c r="B82" s="347"/>
      <c r="C82" s="347"/>
      <c r="D82" s="347"/>
      <c r="E82" s="347" t="s">
        <v>0</v>
      </c>
      <c r="F82" s="347"/>
      <c r="G82" s="347"/>
      <c r="H82" s="347"/>
      <c r="I82" s="348"/>
      <c r="J82" s="347"/>
      <c r="K82" s="347"/>
      <c r="L82" s="349"/>
      <c r="M82" s="347"/>
      <c r="N82" s="347"/>
      <c r="O82" s="349"/>
      <c r="P82" s="347"/>
      <c r="Q82" s="347"/>
      <c r="R82" s="349"/>
      <c r="S82" s="349"/>
      <c r="U82"/>
    </row>
    <row r="83" spans="1:21" ht="18.75">
      <c r="A83" s="183" t="s">
        <v>427</v>
      </c>
      <c r="B83" s="344">
        <f t="shared" ref="B83:G83" si="22">+B79-B81</f>
        <v>76.7</v>
      </c>
      <c r="C83" s="344">
        <f t="shared" si="22"/>
        <v>-3015.2000000000016</v>
      </c>
      <c r="D83" s="344">
        <f t="shared" si="22"/>
        <v>84.699999999999903</v>
      </c>
      <c r="E83" s="344">
        <f t="shared" si="22"/>
        <v>-11980</v>
      </c>
      <c r="F83" s="344">
        <f t="shared" si="22"/>
        <v>2641.6000000000022</v>
      </c>
      <c r="G83" s="344">
        <f t="shared" si="22"/>
        <v>2794</v>
      </c>
      <c r="H83" s="344">
        <f t="shared" ref="H83:S83" si="23">+H79-H81</f>
        <v>551.00000000000296</v>
      </c>
      <c r="I83" s="344">
        <f t="shared" si="23"/>
        <v>1879.2999999999993</v>
      </c>
      <c r="J83" s="344">
        <f t="shared" si="23"/>
        <v>4244.8999999999996</v>
      </c>
      <c r="K83" s="344">
        <f t="shared" si="23"/>
        <v>7650.400000000016</v>
      </c>
      <c r="L83" s="340">
        <f t="shared" si="23"/>
        <v>4927.3999999999596</v>
      </c>
      <c r="M83" s="344">
        <f t="shared" si="23"/>
        <v>3061</v>
      </c>
      <c r="N83" s="344">
        <f t="shared" si="23"/>
        <v>1267.0999999999997</v>
      </c>
      <c r="O83" s="340">
        <f t="shared" si="23"/>
        <v>4328.0999999999976</v>
      </c>
      <c r="P83" s="344">
        <f t="shared" si="23"/>
        <v>4727</v>
      </c>
      <c r="Q83" s="344">
        <f t="shared" si="23"/>
        <v>1247</v>
      </c>
      <c r="R83" s="340">
        <f t="shared" si="23"/>
        <v>5974</v>
      </c>
      <c r="S83" s="340">
        <f t="shared" si="23"/>
        <v>15229.499999999953</v>
      </c>
      <c r="U83"/>
    </row>
    <row r="84" spans="1:21">
      <c r="A84" s="1"/>
      <c r="B84" s="60"/>
      <c r="C84" s="60"/>
      <c r="D84" s="60"/>
      <c r="E84" s="60"/>
      <c r="F84" s="60"/>
      <c r="G84" s="60"/>
      <c r="H84" s="60"/>
      <c r="I84" s="60"/>
      <c r="J84" s="60"/>
      <c r="K84" s="60"/>
      <c r="L84" s="60"/>
      <c r="M84" s="60"/>
      <c r="N84" s="86"/>
      <c r="O84" s="60"/>
      <c r="P84" s="60"/>
      <c r="Q84" s="86"/>
      <c r="R84" s="60"/>
      <c r="S84" s="60"/>
      <c r="T84" s="86"/>
      <c r="U84" s="65"/>
    </row>
    <row r="85" spans="1:21">
      <c r="B85" s="26"/>
      <c r="E85" s="26"/>
      <c r="G85" s="26"/>
      <c r="H85" s="26"/>
      <c r="I85" s="26"/>
      <c r="O85" s="29"/>
    </row>
    <row r="86" spans="1:21">
      <c r="B86" s="29"/>
      <c r="E86" s="29"/>
      <c r="G86" s="29"/>
      <c r="H86" s="29"/>
      <c r="I86" s="29"/>
      <c r="O86" s="29"/>
    </row>
    <row r="92" spans="1:21">
      <c r="B92" s="29"/>
    </row>
    <row r="108" spans="5:5">
      <c r="E108" s="29"/>
    </row>
  </sheetData>
  <pageMargins left="0.2" right="0.2" top="0.32" bottom="0.27" header="0.31" footer="0.17"/>
  <pageSetup scale="37" orientation="landscape" r:id="rId1"/>
  <headerFooter alignWithMargins="0">
    <oddFooter>&amp;R&amp;16&amp;P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4"/>
  <sheetViews>
    <sheetView workbookViewId="0">
      <selection activeCell="B12" sqref="B12"/>
    </sheetView>
  </sheetViews>
  <sheetFormatPr defaultRowHeight="15.75"/>
  <cols>
    <col min="1" max="4" width="11" customWidth="1"/>
    <col min="5" max="5" width="55.875" customWidth="1"/>
    <col min="6" max="6" width="13.125" customWidth="1"/>
    <col min="7" max="256" width="11" customWidth="1"/>
  </cols>
  <sheetData>
    <row r="1" spans="1:9">
      <c r="A1" s="843"/>
      <c r="B1" s="843"/>
      <c r="C1" s="843"/>
      <c r="D1" s="843"/>
      <c r="E1" s="843"/>
      <c r="F1" s="843"/>
      <c r="G1" s="843"/>
      <c r="H1" s="843"/>
      <c r="I1" s="843"/>
    </row>
    <row r="2" spans="1:9">
      <c r="A2" s="843"/>
      <c r="B2" s="843"/>
      <c r="C2" s="843"/>
      <c r="D2" s="843"/>
      <c r="E2" s="843"/>
      <c r="F2" s="843"/>
      <c r="G2" s="843"/>
      <c r="H2" s="843"/>
      <c r="I2" s="843"/>
    </row>
    <row r="3" spans="1:9">
      <c r="A3" s="843"/>
      <c r="B3" s="843"/>
      <c r="C3" s="843"/>
      <c r="D3" s="843"/>
      <c r="E3" s="843"/>
      <c r="F3" s="843"/>
      <c r="G3" s="843"/>
      <c r="H3" s="843"/>
      <c r="I3" s="843"/>
    </row>
    <row r="4" spans="1:9">
      <c r="A4" s="843"/>
      <c r="B4" s="843"/>
      <c r="C4" s="843"/>
      <c r="D4" s="843"/>
      <c r="E4" s="843"/>
      <c r="F4" s="843"/>
      <c r="G4" s="843"/>
      <c r="H4" s="843"/>
      <c r="I4" s="843"/>
    </row>
    <row r="5" spans="1:9">
      <c r="A5" s="843"/>
      <c r="B5" s="843"/>
      <c r="C5" s="843"/>
      <c r="D5" s="843"/>
      <c r="E5" s="843"/>
      <c r="F5" s="843"/>
      <c r="G5" s="843"/>
      <c r="H5" s="843"/>
      <c r="I5" s="843"/>
    </row>
    <row r="6" spans="1:9">
      <c r="A6" s="843"/>
      <c r="B6" s="843"/>
      <c r="C6" s="843"/>
      <c r="D6" s="843"/>
      <c r="E6" s="843"/>
      <c r="F6" s="843"/>
      <c r="G6" s="843"/>
      <c r="H6" s="843"/>
      <c r="I6" s="843"/>
    </row>
    <row r="7" spans="1:9">
      <c r="A7" s="843"/>
      <c r="B7" s="843"/>
      <c r="C7" s="843"/>
      <c r="D7" s="843"/>
      <c r="E7" s="843"/>
      <c r="F7" s="843"/>
      <c r="G7" s="843"/>
      <c r="H7" s="843"/>
      <c r="I7" s="843"/>
    </row>
    <row r="8" spans="1:9">
      <c r="A8" s="843"/>
      <c r="B8" s="843"/>
      <c r="C8" s="843"/>
      <c r="D8" s="843"/>
      <c r="E8" s="843"/>
      <c r="F8" s="843"/>
      <c r="G8" s="843"/>
      <c r="H8" s="843"/>
      <c r="I8" s="843"/>
    </row>
    <row r="9" spans="1:9">
      <c r="A9" s="843"/>
      <c r="B9" s="843"/>
      <c r="C9" s="843"/>
      <c r="D9" s="843"/>
      <c r="E9" s="843"/>
      <c r="F9" s="843"/>
      <c r="G9" s="843"/>
      <c r="H9" s="843"/>
      <c r="I9" s="843"/>
    </row>
    <row r="10" spans="1:9">
      <c r="A10" s="843"/>
      <c r="B10" s="843"/>
      <c r="C10" s="843"/>
      <c r="D10" s="843"/>
      <c r="E10" s="843"/>
      <c r="F10" s="843"/>
      <c r="G10" s="843"/>
      <c r="H10" s="843"/>
      <c r="I10" s="843"/>
    </row>
    <row r="11" spans="1:9">
      <c r="A11" s="843"/>
      <c r="B11" s="843"/>
      <c r="C11" s="843"/>
      <c r="D11" s="843"/>
      <c r="E11" s="843"/>
      <c r="F11" s="843"/>
      <c r="G11" s="843"/>
      <c r="H11" s="843"/>
      <c r="I11" s="843"/>
    </row>
    <row r="12" spans="1:9">
      <c r="A12" s="843"/>
      <c r="B12" s="843"/>
      <c r="C12" s="843"/>
      <c r="D12" s="843"/>
      <c r="E12" s="843"/>
      <c r="F12" s="843"/>
      <c r="G12" s="843"/>
      <c r="H12" s="843"/>
      <c r="I12" s="843"/>
    </row>
    <row r="13" spans="1:9">
      <c r="A13" s="843"/>
      <c r="B13" s="843"/>
      <c r="C13" s="843"/>
      <c r="D13" s="843"/>
      <c r="E13" s="843"/>
      <c r="F13" s="843"/>
      <c r="G13" s="843"/>
      <c r="H13" s="843"/>
      <c r="I13" s="843"/>
    </row>
    <row r="14" spans="1:9">
      <c r="A14" s="843"/>
      <c r="B14" s="843"/>
      <c r="C14" s="843"/>
      <c r="D14" s="843"/>
      <c r="E14" s="843"/>
      <c r="F14" s="843"/>
      <c r="G14" s="843"/>
      <c r="H14" s="843"/>
      <c r="I14" s="843"/>
    </row>
    <row r="15" spans="1:9">
      <c r="A15" s="843"/>
      <c r="B15" s="843"/>
      <c r="C15" s="843"/>
      <c r="D15" s="843"/>
      <c r="E15" s="843"/>
      <c r="F15" s="843"/>
      <c r="G15" s="843"/>
      <c r="H15" s="843"/>
      <c r="I15" s="843"/>
    </row>
    <row r="16" spans="1:9" ht="25.5">
      <c r="A16" s="818" t="s">
        <v>440</v>
      </c>
      <c r="B16" s="812"/>
      <c r="C16" s="812"/>
      <c r="D16" s="812"/>
      <c r="E16" s="812"/>
      <c r="F16" s="812"/>
      <c r="G16" s="812"/>
      <c r="H16" s="812"/>
      <c r="I16" s="812"/>
    </row>
    <row r="17" spans="1:9">
      <c r="A17" s="843"/>
      <c r="B17" s="843"/>
      <c r="C17" s="843"/>
      <c r="D17" s="843"/>
      <c r="E17" s="843"/>
      <c r="F17" s="843"/>
      <c r="G17" s="843"/>
      <c r="H17" s="843"/>
      <c r="I17" s="843"/>
    </row>
    <row r="18" spans="1:9">
      <c r="A18" s="843"/>
      <c r="B18" s="843"/>
      <c r="C18" s="843"/>
      <c r="D18" s="843"/>
      <c r="E18" s="843"/>
      <c r="F18" s="843"/>
      <c r="G18" s="843"/>
      <c r="H18" s="843"/>
      <c r="I18" s="843"/>
    </row>
    <row r="19" spans="1:9" ht="20.25">
      <c r="A19" s="845" t="s">
        <v>71</v>
      </c>
      <c r="B19" s="844"/>
      <c r="C19" s="844"/>
      <c r="D19" s="844"/>
      <c r="E19" s="844"/>
      <c r="F19" s="844"/>
      <c r="G19" s="844"/>
      <c r="H19" s="844"/>
      <c r="I19" s="844"/>
    </row>
    <row r="20" spans="1:9">
      <c r="A20" s="843"/>
      <c r="B20" s="843"/>
      <c r="C20" s="843"/>
      <c r="D20" s="843"/>
      <c r="E20" s="843"/>
      <c r="F20" s="843"/>
      <c r="G20" s="843"/>
      <c r="H20" s="843"/>
      <c r="I20" s="843"/>
    </row>
    <row r="21" spans="1:9">
      <c r="A21" s="843"/>
      <c r="B21" s="843"/>
      <c r="C21" s="843"/>
      <c r="D21" s="843"/>
      <c r="E21" s="843"/>
      <c r="F21" s="843"/>
      <c r="G21" s="843"/>
      <c r="H21" s="843"/>
      <c r="I21" s="843"/>
    </row>
    <row r="22" spans="1:9">
      <c r="A22" s="843"/>
      <c r="B22" s="843"/>
      <c r="C22" s="843"/>
      <c r="D22" s="843"/>
      <c r="E22" s="843"/>
      <c r="F22" s="843"/>
      <c r="G22" s="843"/>
      <c r="H22" s="843"/>
      <c r="I22" s="843"/>
    </row>
    <row r="23" spans="1:9">
      <c r="A23" s="843"/>
      <c r="B23" s="844"/>
      <c r="C23" s="844"/>
      <c r="D23" s="844"/>
      <c r="E23" s="844"/>
      <c r="F23" s="844"/>
      <c r="G23" s="844"/>
      <c r="H23" s="844"/>
      <c r="I23" s="844"/>
    </row>
    <row r="24" spans="1:9">
      <c r="A24" s="843"/>
      <c r="B24" s="843"/>
      <c r="C24" s="843"/>
      <c r="D24" s="843"/>
      <c r="E24" s="843"/>
      <c r="F24" s="843"/>
      <c r="G24" s="843"/>
      <c r="H24" s="843"/>
      <c r="I24" s="843"/>
    </row>
    <row r="25" spans="1:9">
      <c r="A25" s="843"/>
      <c r="B25" s="843"/>
      <c r="C25" s="843"/>
      <c r="D25" s="843"/>
      <c r="E25" s="843"/>
      <c r="F25" s="843"/>
      <c r="G25" s="843"/>
      <c r="H25" s="843"/>
      <c r="I25" s="843"/>
    </row>
    <row r="26" spans="1:9">
      <c r="A26" s="843"/>
      <c r="B26" s="843"/>
      <c r="C26" s="843"/>
      <c r="D26" s="843"/>
      <c r="E26" s="843"/>
      <c r="F26" s="843"/>
      <c r="G26" s="843"/>
      <c r="H26" s="843"/>
      <c r="I26" s="843"/>
    </row>
    <row r="27" spans="1:9">
      <c r="A27" s="843"/>
      <c r="B27" s="843"/>
      <c r="C27" s="843"/>
      <c r="D27" s="843"/>
      <c r="E27" s="843"/>
      <c r="F27" s="843"/>
      <c r="G27" s="843"/>
      <c r="H27" s="843"/>
      <c r="I27" s="843"/>
    </row>
    <row r="28" spans="1:9">
      <c r="A28" s="843"/>
      <c r="B28" s="843"/>
      <c r="C28" s="843"/>
      <c r="D28" s="843"/>
      <c r="E28" s="843"/>
      <c r="F28" s="843"/>
      <c r="G28" s="843"/>
      <c r="H28" s="843"/>
      <c r="I28" s="843"/>
    </row>
    <row r="29" spans="1:9">
      <c r="A29" s="843"/>
      <c r="B29" s="843"/>
      <c r="C29" s="843"/>
      <c r="D29" s="843"/>
      <c r="E29" s="843"/>
      <c r="F29" s="843"/>
      <c r="G29" s="843"/>
      <c r="H29" s="843"/>
      <c r="I29" s="843"/>
    </row>
    <row r="30" spans="1:9">
      <c r="A30" s="843"/>
      <c r="B30" s="843"/>
      <c r="C30" s="843"/>
      <c r="D30" s="843"/>
      <c r="E30" s="843"/>
      <c r="F30" s="843"/>
      <c r="G30" s="843"/>
      <c r="H30" s="843"/>
      <c r="I30" s="843"/>
    </row>
    <row r="31" spans="1:9">
      <c r="A31" s="843"/>
      <c r="B31" s="843"/>
      <c r="C31" s="843"/>
      <c r="D31" s="843"/>
      <c r="E31" s="843"/>
      <c r="F31" s="843"/>
      <c r="G31" s="843"/>
      <c r="H31" s="843"/>
      <c r="I31" s="843"/>
    </row>
    <row r="32" spans="1:9">
      <c r="A32" s="843"/>
      <c r="B32" s="843"/>
      <c r="C32" s="843"/>
      <c r="D32" s="843"/>
      <c r="E32" s="843"/>
      <c r="F32" s="843"/>
      <c r="G32" s="843"/>
      <c r="H32" s="843"/>
      <c r="I32" s="843"/>
    </row>
    <row r="33" spans="1:9">
      <c r="A33" s="843"/>
      <c r="B33" s="843"/>
      <c r="C33" s="843"/>
      <c r="D33" s="843"/>
      <c r="E33" s="843"/>
      <c r="F33" s="843"/>
      <c r="G33" s="843"/>
      <c r="H33" s="843"/>
      <c r="I33" s="843"/>
    </row>
    <row r="34" spans="1:9">
      <c r="A34" s="843"/>
      <c r="B34" s="843"/>
      <c r="C34" s="843"/>
      <c r="D34" s="843"/>
      <c r="E34" s="843"/>
      <c r="F34" s="843"/>
      <c r="G34" s="843"/>
      <c r="H34" s="843"/>
      <c r="I34" s="843"/>
    </row>
  </sheetData>
  <sheetProtection password="C7D6" sheet="1" objects="1" scenarios="1"/>
  <pageMargins left="0.75" right="0.38" top="0.86" bottom="0.85" header="0.5" footer="0.44"/>
  <pageSetup scale="89"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5"/>
  <sheetViews>
    <sheetView workbookViewId="0"/>
  </sheetViews>
  <sheetFormatPr defaultRowHeight="15.75"/>
  <cols>
    <col min="1" max="1" width="33.5" customWidth="1"/>
    <col min="2" max="2" width="14.875" customWidth="1"/>
    <col min="3" max="3" width="12.75" customWidth="1"/>
    <col min="4" max="4" width="13.875" customWidth="1"/>
    <col min="5" max="5" width="14.625" customWidth="1"/>
    <col min="6" max="6" width="14.75" customWidth="1"/>
    <col min="7" max="7" width="11" customWidth="1"/>
    <col min="8" max="8" width="14.75" customWidth="1"/>
    <col min="9" max="9" width="13" customWidth="1"/>
    <col min="10" max="10" width="13.75" customWidth="1"/>
    <col min="11" max="11" width="13.25" customWidth="1"/>
    <col min="12" max="12" width="14.5" customWidth="1"/>
    <col min="13" max="13" width="11" customWidth="1"/>
    <col min="14" max="14" width="14.25" customWidth="1"/>
    <col min="15" max="15" width="13.25" customWidth="1"/>
    <col min="16" max="16" width="15.125" customWidth="1"/>
    <col min="17" max="17" width="11" customWidth="1"/>
    <col min="18" max="18" width="15.875" customWidth="1"/>
    <col min="19" max="19" width="11" customWidth="1"/>
    <col min="20" max="20" width="15.875" customWidth="1"/>
    <col min="21" max="256" width="11" customWidth="1"/>
  </cols>
  <sheetData>
    <row r="1" spans="1:27">
      <c r="A1" s="114" t="s">
        <v>441</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442</v>
      </c>
      <c r="J4" s="175" t="s">
        <v>167</v>
      </c>
      <c r="K4" s="176"/>
      <c r="L4" s="176"/>
      <c r="M4" s="176"/>
      <c r="N4" s="176"/>
      <c r="O4" s="176"/>
      <c r="P4" s="176"/>
    </row>
    <row r="5" spans="1:27" ht="16.5" thickBot="1">
      <c r="B5" s="174" t="s">
        <v>168</v>
      </c>
      <c r="C5" s="174" t="s">
        <v>169</v>
      </c>
      <c r="D5" s="173" t="s">
        <v>170</v>
      </c>
      <c r="E5" s="174" t="s">
        <v>169</v>
      </c>
      <c r="F5" s="173" t="s">
        <v>171</v>
      </c>
      <c r="G5" s="174" t="s">
        <v>169</v>
      </c>
      <c r="H5" s="174" t="s">
        <v>172</v>
      </c>
      <c r="I5" s="173" t="s">
        <v>173</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+bichvar!B22</f>
        <v>11316.400000000001</v>
      </c>
      <c r="C11" s="43">
        <v>0</v>
      </c>
      <c r="D11" s="12">
        <f>+bichvar!D22</f>
        <v>0</v>
      </c>
      <c r="E11" s="43">
        <v>0</v>
      </c>
      <c r="F11" s="43">
        <f>+bichvar!F22</f>
        <v>0</v>
      </c>
      <c r="G11" s="43">
        <v>0</v>
      </c>
      <c r="H11" s="43">
        <f>+bichvar!H22</f>
        <v>0</v>
      </c>
      <c r="I11" s="46">
        <f>+(-J11+B11)/ABS(J11)</f>
        <v>0.12281467664159736</v>
      </c>
      <c r="J11" s="12">
        <f>+bichvar!J22</f>
        <v>10078.599999999999</v>
      </c>
      <c r="K11" s="46">
        <f>+(-L11+J11)/ABS(L11)</f>
        <v>-1.3989981998904282E-2</v>
      </c>
      <c r="L11" s="12">
        <f>+bichvar!L22</f>
        <v>10221.599999999999</v>
      </c>
      <c r="M11" s="46">
        <f>+(-N11+L11)/ABS(N11)</f>
        <v>8.7381119550647826E-2</v>
      </c>
      <c r="N11" s="12">
        <f>+bichvar!N22</f>
        <v>9400.1999999999989</v>
      </c>
      <c r="O11" s="46">
        <f>+(-P11+N11)/ABS(P11)</f>
        <v>5.9237008510169137E-3</v>
      </c>
      <c r="P11" s="12">
        <f>+bichvar!P22</f>
        <v>9344.8439400000007</v>
      </c>
      <c r="Q11" s="43"/>
      <c r="R11" s="43"/>
      <c r="S11" s="43"/>
      <c r="T11" s="43"/>
      <c r="U11" s="43"/>
      <c r="V11" s="43"/>
      <c r="W11" s="43"/>
      <c r="X11" s="43"/>
      <c r="Y11" s="43"/>
      <c r="Z11" s="43"/>
      <c r="AA11" s="43"/>
    </row>
    <row r="12" spans="1:27">
      <c r="A12" t="s">
        <v>181</v>
      </c>
      <c r="B12" s="12">
        <f>+bichvar!B17</f>
        <v>0</v>
      </c>
      <c r="C12" s="43">
        <v>0</v>
      </c>
      <c r="D12" s="12">
        <f>+bichvar!D17</f>
        <v>0</v>
      </c>
      <c r="E12" s="43">
        <v>0</v>
      </c>
      <c r="F12" s="12">
        <f>+bichvar!F17</f>
        <v>0</v>
      </c>
      <c r="G12" s="43">
        <v>0</v>
      </c>
      <c r="H12" s="12">
        <f>+bichvar!H17</f>
        <v>0</v>
      </c>
      <c r="I12" s="43">
        <v>0</v>
      </c>
      <c r="J12" s="12">
        <v>0</v>
      </c>
      <c r="K12" s="43">
        <v>0</v>
      </c>
      <c r="L12" s="12">
        <v>0</v>
      </c>
      <c r="M12" s="43">
        <v>0</v>
      </c>
      <c r="N12" s="12">
        <v>0</v>
      </c>
      <c r="O12" s="43">
        <v>0</v>
      </c>
      <c r="P12" s="12">
        <v>0</v>
      </c>
      <c r="Q12" s="43"/>
      <c r="R12" s="43"/>
      <c r="S12" s="43"/>
      <c r="T12" s="43"/>
      <c r="U12" s="43"/>
      <c r="V12" s="43"/>
      <c r="W12" s="43"/>
      <c r="X12" s="43"/>
      <c r="Y12" s="43"/>
      <c r="Z12" s="43"/>
      <c r="AA12" s="43"/>
    </row>
    <row r="13" spans="1:27">
      <c r="A13" t="s">
        <v>182</v>
      </c>
      <c r="B13" s="12">
        <f>+bichvar!B19</f>
        <v>3752.9</v>
      </c>
      <c r="C13" s="43">
        <v>0</v>
      </c>
      <c r="D13" s="12">
        <f>+bichvar!D19</f>
        <v>0</v>
      </c>
      <c r="E13" s="43">
        <v>0</v>
      </c>
      <c r="F13" s="43">
        <f>+bichvar!F19</f>
        <v>0</v>
      </c>
      <c r="G13" s="43">
        <v>0</v>
      </c>
      <c r="H13" s="43">
        <f>+bichvar!H19</f>
        <v>0</v>
      </c>
      <c r="I13" s="46">
        <f>+(-J13+B13)/ABS(J13)</f>
        <v>-2.3393678390088864E-3</v>
      </c>
      <c r="J13" s="12">
        <f>+bichvar!J19</f>
        <v>3761.7</v>
      </c>
      <c r="K13" s="46">
        <f>+(-L13+J13)/ABS(L13)</f>
        <v>0.19407675459480053</v>
      </c>
      <c r="L13" s="12">
        <f>+bichvar!L19</f>
        <v>3150.2999999999997</v>
      </c>
      <c r="M13" s="46">
        <f>+(-N13+L13)/ABS(N13)</f>
        <v>0.21422239352476383</v>
      </c>
      <c r="N13" s="12">
        <f>+bichvar!N19</f>
        <v>2594.5</v>
      </c>
      <c r="O13" s="46">
        <f>+(-P13+N13)/ABS(P13)</f>
        <v>1.4873861447065647E-2</v>
      </c>
      <c r="P13" s="12">
        <f>+bichvar!P19</f>
        <v>2556.47534</v>
      </c>
      <c r="Q13" s="43"/>
      <c r="R13" s="43"/>
      <c r="S13" s="43"/>
      <c r="T13" s="43"/>
      <c r="U13" s="43"/>
      <c r="V13" s="43"/>
      <c r="W13" s="43"/>
      <c r="X13" s="43"/>
      <c r="Y13" s="43"/>
      <c r="Z13" s="43"/>
      <c r="AA13" s="43"/>
    </row>
    <row r="14" spans="1:27">
      <c r="A14" t="s">
        <v>183</v>
      </c>
      <c r="B14" s="12">
        <f>+bichvar!B29</f>
        <v>5346.3</v>
      </c>
      <c r="C14" s="43">
        <v>0</v>
      </c>
      <c r="D14" s="12">
        <f>+bichvar!D29</f>
        <v>0</v>
      </c>
      <c r="E14" s="43">
        <v>0</v>
      </c>
      <c r="F14" s="43">
        <f>+bichvar!F29</f>
        <v>0</v>
      </c>
      <c r="G14" s="43">
        <v>0</v>
      </c>
      <c r="H14" s="43">
        <f>+bichvar!H29</f>
        <v>0</v>
      </c>
      <c r="I14" s="46">
        <f>+(-J14+B14)/ABS(J14)</f>
        <v>0.28563183840327044</v>
      </c>
      <c r="J14" s="12">
        <f>+bichvar!J29</f>
        <v>4158.5</v>
      </c>
      <c r="K14" s="46">
        <f>+(-L14+J14)/ABS(L14)</f>
        <v>-6.4538624195797825E-2</v>
      </c>
      <c r="L14" s="12">
        <f>+bichvar!L29</f>
        <v>4445.3999999999996</v>
      </c>
      <c r="M14" s="46">
        <f>+(-N14+L14)/ABS(N14)</f>
        <v>0.13934951431427323</v>
      </c>
      <c r="N14" s="12">
        <f>+bichvar!N29</f>
        <v>3901.7</v>
      </c>
      <c r="O14" s="46">
        <f>+(-P14+N14)/ABS(P14)</f>
        <v>-1.9104597839157682E-2</v>
      </c>
      <c r="P14" s="12">
        <f>+bichvar!P29</f>
        <v>3977.6922100000002</v>
      </c>
      <c r="Q14" s="43"/>
      <c r="R14" s="43"/>
      <c r="S14" s="43"/>
      <c r="T14" s="43"/>
      <c r="U14" s="43"/>
      <c r="V14" s="43"/>
      <c r="W14" s="43"/>
      <c r="X14" s="43"/>
      <c r="Y14" s="43"/>
      <c r="Z14" s="43"/>
      <c r="AA14" s="43"/>
    </row>
    <row r="15" spans="1:27">
      <c r="A15" t="s">
        <v>184</v>
      </c>
      <c r="B15" s="12">
        <f>+bichvar!B51</f>
        <v>5789.6</v>
      </c>
      <c r="C15" s="43">
        <v>0</v>
      </c>
      <c r="D15" s="12">
        <f>+bichvar!D51</f>
        <v>0</v>
      </c>
      <c r="E15" s="43">
        <v>0</v>
      </c>
      <c r="F15" s="43">
        <f>+bichvar!F51</f>
        <v>0</v>
      </c>
      <c r="G15" s="43">
        <v>0</v>
      </c>
      <c r="H15" s="43">
        <f>+bichvar!H51</f>
        <v>0</v>
      </c>
      <c r="I15" s="46">
        <f>+(-J15+B15)/ABS(J15)</f>
        <v>5.5753365175858207E-3</v>
      </c>
      <c r="J15" s="12">
        <f>+bichvar!J51</f>
        <v>5757.5</v>
      </c>
      <c r="K15" s="46">
        <f>+(-L15+J15)/ABS(L15)</f>
        <v>1.6902751775053838E-2</v>
      </c>
      <c r="L15" s="12">
        <f>+bichvar!L51</f>
        <v>5661.8</v>
      </c>
      <c r="M15" s="46">
        <f>+(-N15+L15)/ABS(N15)</f>
        <v>5.0582646775031617E-2</v>
      </c>
      <c r="N15" s="12">
        <f>+bichvar!N51</f>
        <v>5389.2</v>
      </c>
      <c r="O15" s="46">
        <f>+(-P15+N15)/ABS(P15)</f>
        <v>1.7066372599887504E-2</v>
      </c>
      <c r="P15" s="12">
        <f>+bichvar!P51</f>
        <v>5298.7692300000008</v>
      </c>
      <c r="Q15" s="43"/>
      <c r="R15" s="43"/>
      <c r="S15" s="43"/>
      <c r="T15" s="43"/>
      <c r="U15" s="43"/>
      <c r="V15" s="43"/>
      <c r="W15" s="43"/>
      <c r="X15" s="43"/>
      <c r="Y15" s="43"/>
      <c r="Z15" s="43"/>
      <c r="AA15" s="43"/>
    </row>
    <row r="16" spans="1:27">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row>
    <row r="17" spans="1:27" ht="16.5" thickBot="1">
      <c r="B17" s="187"/>
      <c r="C17" s="187"/>
      <c r="D17" s="187"/>
      <c r="E17" s="187"/>
      <c r="F17" s="187"/>
      <c r="G17" s="187"/>
      <c r="H17" s="187"/>
      <c r="I17" s="187"/>
      <c r="J17" s="187"/>
      <c r="K17" s="187"/>
      <c r="L17" s="187"/>
      <c r="M17" s="187"/>
      <c r="N17" s="187"/>
      <c r="O17" s="187"/>
      <c r="P17" s="187"/>
      <c r="Q17" s="43"/>
      <c r="R17" s="43"/>
      <c r="S17" s="43"/>
      <c r="T17" s="43"/>
      <c r="U17" s="43"/>
      <c r="V17" s="43"/>
      <c r="W17" s="43"/>
      <c r="X17" s="43"/>
      <c r="Y17" s="43"/>
      <c r="Z17" s="43"/>
      <c r="AA17" s="43"/>
    </row>
    <row r="18" spans="1:27">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row>
    <row r="19" spans="1:27">
      <c r="B19" s="51" t="s">
        <v>185</v>
      </c>
      <c r="C19" s="43"/>
      <c r="D19" s="51" t="s">
        <v>174</v>
      </c>
      <c r="E19" s="43"/>
      <c r="F19" s="51" t="s">
        <v>185</v>
      </c>
      <c r="G19" s="43"/>
      <c r="H19" s="51" t="s">
        <v>174</v>
      </c>
      <c r="I19" s="43"/>
      <c r="J19" s="51" t="s">
        <v>185</v>
      </c>
      <c r="K19" s="43"/>
      <c r="L19" s="51" t="s">
        <v>174</v>
      </c>
      <c r="M19" s="43"/>
      <c r="N19" s="51" t="s">
        <v>185</v>
      </c>
      <c r="O19" s="43"/>
      <c r="P19" s="51" t="s">
        <v>174</v>
      </c>
      <c r="Q19" s="43"/>
      <c r="R19" s="51" t="s">
        <v>185</v>
      </c>
      <c r="S19" s="43"/>
      <c r="T19" s="51" t="s">
        <v>174</v>
      </c>
      <c r="U19" s="43"/>
      <c r="V19" s="43"/>
      <c r="W19" s="43"/>
      <c r="X19" s="43"/>
      <c r="Y19" s="43"/>
      <c r="Z19" s="43"/>
      <c r="AA19" s="43"/>
    </row>
    <row r="20" spans="1:27">
      <c r="B20" s="50" t="s">
        <v>186</v>
      </c>
      <c r="C20" s="50" t="s">
        <v>169</v>
      </c>
      <c r="D20" s="50" t="s">
        <v>186</v>
      </c>
      <c r="E20" s="43"/>
      <c r="F20" s="50" t="s">
        <v>187</v>
      </c>
      <c r="G20" s="50" t="s">
        <v>169</v>
      </c>
      <c r="H20" s="50" t="s">
        <v>187</v>
      </c>
      <c r="I20" s="43"/>
      <c r="J20" s="50" t="s">
        <v>188</v>
      </c>
      <c r="K20" s="50" t="s">
        <v>169</v>
      </c>
      <c r="L20" s="50" t="s">
        <v>188</v>
      </c>
      <c r="M20" s="43"/>
      <c r="N20" s="50" t="s">
        <v>189</v>
      </c>
      <c r="O20" s="50" t="s">
        <v>169</v>
      </c>
      <c r="P20" s="50" t="s">
        <v>189</v>
      </c>
      <c r="Q20" s="43"/>
      <c r="R20" s="50" t="s">
        <v>190</v>
      </c>
      <c r="S20" s="50" t="s">
        <v>169</v>
      </c>
      <c r="T20" s="50" t="s">
        <v>190</v>
      </c>
      <c r="U20" s="43"/>
      <c r="V20" s="43"/>
      <c r="W20" s="43"/>
      <c r="X20" s="43"/>
      <c r="Y20" s="43"/>
      <c r="Z20" s="43"/>
      <c r="AA20" s="43"/>
    </row>
    <row r="21" spans="1:27" ht="16.5" thickBot="1">
      <c r="B21" s="326" t="s">
        <v>199</v>
      </c>
      <c r="C21" s="326"/>
      <c r="D21" s="326" t="s">
        <v>443</v>
      </c>
      <c r="E21" s="208"/>
      <c r="F21" s="326" t="s">
        <v>193</v>
      </c>
      <c r="G21" s="326"/>
      <c r="H21" s="326" t="s">
        <v>194</v>
      </c>
      <c r="I21" s="208"/>
      <c r="J21" s="326" t="s">
        <v>195</v>
      </c>
      <c r="K21" s="326"/>
      <c r="L21" s="326" t="s">
        <v>196</v>
      </c>
      <c r="M21" s="208"/>
      <c r="N21" s="326" t="s">
        <v>444</v>
      </c>
      <c r="O21" s="326"/>
      <c r="P21" s="326" t="s">
        <v>198</v>
      </c>
      <c r="Q21" s="208"/>
      <c r="R21" s="326" t="s">
        <v>445</v>
      </c>
      <c r="S21" s="326"/>
      <c r="T21" s="326" t="s">
        <v>446</v>
      </c>
      <c r="U21" s="43"/>
      <c r="V21" s="43"/>
      <c r="W21" s="43"/>
      <c r="X21" s="43"/>
      <c r="Y21" s="43"/>
      <c r="Z21" s="43"/>
      <c r="AA21" s="43"/>
    </row>
    <row r="22" spans="1:27">
      <c r="A22" s="2" t="s">
        <v>52</v>
      </c>
      <c r="B22" s="43"/>
      <c r="C22" s="43"/>
      <c r="D22" s="43"/>
      <c r="E22" s="43"/>
      <c r="F22" s="43"/>
      <c r="G22" s="43"/>
      <c r="H22" s="43"/>
      <c r="I22" s="43"/>
      <c r="J22" s="43"/>
      <c r="K22" s="43"/>
      <c r="L22" s="43"/>
      <c r="M22" s="43"/>
      <c r="N22" s="43"/>
      <c r="O22" s="43"/>
      <c r="P22" s="43"/>
      <c r="Q22" s="43"/>
      <c r="R22" s="43"/>
      <c r="S22" s="47" t="s">
        <v>0</v>
      </c>
      <c r="T22" s="43"/>
      <c r="U22" s="43"/>
      <c r="V22" s="43"/>
      <c r="W22" s="43"/>
      <c r="X22" s="43"/>
      <c r="Y22" s="43"/>
      <c r="Z22" s="43"/>
      <c r="AA22" s="43"/>
    </row>
    <row r="23" spans="1:27">
      <c r="A23" t="s">
        <v>201</v>
      </c>
      <c r="B23" s="12">
        <f>+'BICHRÉSULT     '!B15</f>
        <v>96.699999999999989</v>
      </c>
      <c r="C23" s="46">
        <f>+(-D23+B23)/D23</f>
        <v>-3.6852589641434431E-2</v>
      </c>
      <c r="D23" s="12">
        <f>+'BICHRÉSULT     '!D55</f>
        <v>100.4</v>
      </c>
      <c r="E23" s="43"/>
      <c r="F23" s="12">
        <f>+'BICHRÉSULT     '!D15</f>
        <v>0</v>
      </c>
      <c r="G23" s="43">
        <v>0</v>
      </c>
      <c r="H23" s="12">
        <f>+'BICHRÉSULT     '!H55</f>
        <v>116.99999999999997</v>
      </c>
      <c r="I23" s="43"/>
      <c r="J23" s="12">
        <f>+'BICHRÉSULT     '!F15</f>
        <v>0</v>
      </c>
      <c r="K23" s="43">
        <v>0</v>
      </c>
      <c r="L23" s="12">
        <f>+'BICHRÉSULT     '!L55</f>
        <v>92</v>
      </c>
      <c r="M23" s="43"/>
      <c r="N23" s="12">
        <f>+'BICHRÉSULT     '!H15</f>
        <v>0</v>
      </c>
      <c r="O23" s="43">
        <v>0</v>
      </c>
      <c r="P23" s="12">
        <f>+'BICHRÉSULT     '!P55</f>
        <v>148.29999999999998</v>
      </c>
      <c r="Q23" s="43"/>
      <c r="R23" s="12">
        <f>+'BICHRÉSULT     '!R55</f>
        <v>96.699999999999989</v>
      </c>
      <c r="S23" s="46">
        <f>+(-T23+R23)/ABS(T23)</f>
        <v>-3.6852589641434431E-2</v>
      </c>
      <c r="T23" s="12">
        <f>+'BICHRÉSULT     '!T55</f>
        <v>100.4</v>
      </c>
      <c r="U23" s="43"/>
      <c r="V23" s="43"/>
      <c r="W23" s="43"/>
      <c r="X23" s="43"/>
      <c r="Y23" s="43"/>
      <c r="Z23" s="43"/>
      <c r="AA23" s="43"/>
    </row>
    <row r="24" spans="1:27">
      <c r="A24" t="s">
        <v>202</v>
      </c>
      <c r="B24" s="12">
        <f>+'BICHRÉSULT     '!B21</f>
        <v>199.1</v>
      </c>
      <c r="C24" s="46">
        <f>+(-D24+B24)/D24</f>
        <v>0.29706840390879474</v>
      </c>
      <c r="D24" s="12">
        <f>+'BICHRÉSULT     '!D61</f>
        <v>153.5</v>
      </c>
      <c r="E24" s="43"/>
      <c r="F24" s="12">
        <f>+'BICHRÉSULT     '!D21</f>
        <v>0</v>
      </c>
      <c r="G24" s="43">
        <v>0</v>
      </c>
      <c r="H24" s="12">
        <f>+'BICHRÉSULT     '!H61</f>
        <v>172.5</v>
      </c>
      <c r="I24" s="43"/>
      <c r="J24" s="12">
        <f>+'BICHRÉSULT     '!F21</f>
        <v>0</v>
      </c>
      <c r="K24" s="43">
        <v>0</v>
      </c>
      <c r="L24" s="12">
        <f>+'BICHRÉSULT     '!L61</f>
        <v>156.1</v>
      </c>
      <c r="M24" s="43"/>
      <c r="N24" s="12">
        <f>+'BICHRÉSULT     '!H21</f>
        <v>0</v>
      </c>
      <c r="O24" s="43">
        <v>0</v>
      </c>
      <c r="P24" s="12">
        <f>+'BICHRÉSULT     '!P61</f>
        <v>187.9</v>
      </c>
      <c r="Q24" s="43"/>
      <c r="R24" s="12">
        <f>+'BICHRÉSULT     '!R61</f>
        <v>199.1</v>
      </c>
      <c r="S24" s="46">
        <f>+(-T24+R24)/ABS(T24)</f>
        <v>0.29706840390879474</v>
      </c>
      <c r="T24" s="12">
        <f>+'BICHRÉSULT     '!T61</f>
        <v>153.5</v>
      </c>
      <c r="U24" s="43"/>
      <c r="V24" s="43"/>
      <c r="W24" s="43"/>
      <c r="X24" s="43"/>
      <c r="Y24" s="43"/>
      <c r="Z24" s="43"/>
      <c r="AA24" s="43"/>
    </row>
    <row r="25" spans="1:27">
      <c r="A25" t="s">
        <v>447</v>
      </c>
      <c r="B25" s="12">
        <f>+'BICHRÉSULT     '!B25</f>
        <v>0</v>
      </c>
      <c r="C25" s="43">
        <v>0</v>
      </c>
      <c r="D25" s="12">
        <f>+'BICHRÉSULT     '!D65</f>
        <v>0</v>
      </c>
      <c r="E25" s="43"/>
      <c r="F25" s="12">
        <f>+'BICHRÉSULT     '!D25</f>
        <v>0</v>
      </c>
      <c r="G25" s="43">
        <v>0</v>
      </c>
      <c r="H25" s="12">
        <f>+'BICHRÉSULT     '!H65</f>
        <v>0</v>
      </c>
      <c r="I25" s="43"/>
      <c r="J25" s="12">
        <f>+'BICHRÉSULT     '!F25</f>
        <v>0</v>
      </c>
      <c r="K25" s="43">
        <v>0</v>
      </c>
      <c r="L25" s="12">
        <f>+'BICHRÉSULT     '!L65</f>
        <v>0</v>
      </c>
      <c r="M25" s="43"/>
      <c r="N25" s="12">
        <f>+'BICHRÉSULT     '!H25</f>
        <v>0</v>
      </c>
      <c r="O25" s="43">
        <v>0</v>
      </c>
      <c r="P25" s="12">
        <f>+'BICHRÉSULT     '!P65</f>
        <v>40</v>
      </c>
      <c r="Q25" s="43"/>
      <c r="R25" s="12">
        <f>+'BICHRÉSULT     '!R65</f>
        <v>0</v>
      </c>
      <c r="S25" s="43">
        <v>0</v>
      </c>
      <c r="T25" s="12">
        <f>+'BICHRÉSULT     '!T65</f>
        <v>0</v>
      </c>
      <c r="U25" s="43"/>
      <c r="V25" s="43"/>
      <c r="W25" s="43"/>
      <c r="X25" s="43"/>
      <c r="Y25" s="43"/>
      <c r="Z25" s="43"/>
      <c r="AA25" s="43"/>
    </row>
    <row r="26" spans="1:27">
      <c r="A26" t="s">
        <v>204</v>
      </c>
      <c r="B26" s="12">
        <f>+'BICHRÉSULT     '!B35</f>
        <v>240.10000000000002</v>
      </c>
      <c r="C26" s="46">
        <f>+(-D26+B26)/D26</f>
        <v>0.46491763270286768</v>
      </c>
      <c r="D26" s="12">
        <f>+'BICHRÉSULT     '!D75</f>
        <v>163.9</v>
      </c>
      <c r="E26" s="43"/>
      <c r="F26" s="12">
        <f>+'BICHRÉSULT     '!D35</f>
        <v>0</v>
      </c>
      <c r="G26" s="43">
        <v>0</v>
      </c>
      <c r="H26" s="12">
        <f>+'BICHRÉSULT     '!H75</f>
        <v>240.00000000000003</v>
      </c>
      <c r="I26" s="43"/>
      <c r="J26" s="12">
        <f>+'BICHRÉSULT     '!F35</f>
        <v>0</v>
      </c>
      <c r="K26" s="43">
        <v>0</v>
      </c>
      <c r="L26" s="12">
        <f>+'BICHRÉSULT     '!L75</f>
        <v>213.4</v>
      </c>
      <c r="M26" s="43"/>
      <c r="N26" s="12">
        <f>+'BICHRÉSULT     '!H35</f>
        <v>0</v>
      </c>
      <c r="O26" s="43">
        <v>0</v>
      </c>
      <c r="P26" s="12">
        <f>+'BICHRÉSULT     '!P75</f>
        <v>278.70000000000005</v>
      </c>
      <c r="Q26" s="43"/>
      <c r="R26" s="12">
        <f>+'BICHRÉSULT     '!R75</f>
        <v>240.10000000000002</v>
      </c>
      <c r="S26" s="46">
        <f>+(-T26+R26)/ABS(T26)</f>
        <v>0.46491763270286768</v>
      </c>
      <c r="T26" s="12">
        <f>+'BICHRÉSULT     '!T75</f>
        <v>163.9</v>
      </c>
      <c r="U26" s="43"/>
      <c r="V26" s="43"/>
      <c r="W26" s="43"/>
      <c r="X26" s="43"/>
      <c r="Y26" s="43"/>
      <c r="Z26" s="43"/>
      <c r="AA26" s="43"/>
    </row>
    <row r="27" spans="1:27">
      <c r="A27" t="s">
        <v>448</v>
      </c>
      <c r="B27" s="12">
        <f>+'BICHRÉSULT     '!B41</f>
        <v>37.09999999999993</v>
      </c>
      <c r="C27" s="46">
        <f>+(-D27+B27)/D27</f>
        <v>-0.51629726205997484</v>
      </c>
      <c r="D27" s="12">
        <f>+'BICHRÉSULT     '!D81</f>
        <v>76.7</v>
      </c>
      <c r="E27" s="43"/>
      <c r="F27" s="12">
        <f>+'BICHRÉSULT     '!D41</f>
        <v>0</v>
      </c>
      <c r="G27" s="43">
        <v>0</v>
      </c>
      <c r="H27" s="12">
        <f>+'BICHRÉSULT     '!H81</f>
        <v>30.499999999999972</v>
      </c>
      <c r="I27" s="43"/>
      <c r="J27" s="12">
        <f>+'BICHRÉSULT     '!F41</f>
        <v>0</v>
      </c>
      <c r="K27" s="43">
        <v>0</v>
      </c>
      <c r="L27" s="12">
        <f>+'BICHRÉSULT     '!L81</f>
        <v>32.899999999999991</v>
      </c>
      <c r="M27" s="43"/>
      <c r="N27" s="12">
        <f>+'BICHRÉSULT     '!H41</f>
        <v>0</v>
      </c>
      <c r="O27" s="43">
        <v>0</v>
      </c>
      <c r="P27" s="12">
        <f>+'BICHRÉSULT     '!P81</f>
        <v>17.499999999999943</v>
      </c>
      <c r="Q27" s="43"/>
      <c r="R27" s="12">
        <f>+'BICHRÉSULT     '!R81</f>
        <v>37.09999999999993</v>
      </c>
      <c r="S27" s="46">
        <f>+(-T27+R27)/ABS(T27)</f>
        <v>-0.51629726205997484</v>
      </c>
      <c r="T27" s="12">
        <f>+'BICHRÉSULT     '!T81</f>
        <v>76.7</v>
      </c>
      <c r="U27" s="43"/>
      <c r="V27" s="43"/>
      <c r="W27" s="43"/>
      <c r="X27" s="43"/>
      <c r="Y27" s="43"/>
      <c r="Z27" s="43"/>
      <c r="AA27" s="43"/>
    </row>
    <row r="28" spans="1:27">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ht="16.5" thickBot="1">
      <c r="B29" s="187"/>
      <c r="C29" s="187"/>
      <c r="D29" s="187"/>
      <c r="E29" s="187"/>
      <c r="F29" s="187"/>
      <c r="G29" s="187"/>
      <c r="H29" s="187"/>
      <c r="I29" s="187"/>
      <c r="J29" s="187"/>
      <c r="K29" s="187"/>
      <c r="L29" s="187"/>
      <c r="M29" s="187"/>
      <c r="N29" s="187"/>
      <c r="O29" s="187"/>
      <c r="P29" s="187"/>
      <c r="Q29" s="187"/>
      <c r="R29" s="187"/>
      <c r="S29" s="187"/>
      <c r="T29" s="187"/>
      <c r="U29" s="43"/>
      <c r="V29" s="43"/>
      <c r="W29" s="43"/>
      <c r="X29" s="43"/>
      <c r="Y29" s="43"/>
      <c r="Z29" s="43"/>
      <c r="AA29" s="43"/>
    </row>
    <row r="30" spans="1:27">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c r="B31" s="51" t="s">
        <v>185</v>
      </c>
      <c r="C31" s="51" t="s">
        <v>174</v>
      </c>
      <c r="D31" s="43"/>
      <c r="E31" s="51" t="s">
        <v>185</v>
      </c>
      <c r="F31" s="51" t="s">
        <v>174</v>
      </c>
      <c r="G31" s="43"/>
      <c r="H31" s="51" t="s">
        <v>185</v>
      </c>
      <c r="I31" s="51" t="s">
        <v>174</v>
      </c>
      <c r="J31" s="43"/>
      <c r="K31" s="51" t="s">
        <v>185</v>
      </c>
      <c r="L31" s="51" t="s">
        <v>174</v>
      </c>
      <c r="M31" s="43"/>
      <c r="N31" s="51" t="s">
        <v>185</v>
      </c>
      <c r="O31" s="51" t="s">
        <v>174</v>
      </c>
      <c r="P31" s="43"/>
      <c r="U31" s="43"/>
      <c r="V31" s="43"/>
      <c r="W31" s="43"/>
      <c r="X31" s="43"/>
      <c r="Y31" s="43"/>
      <c r="Z31" s="43"/>
      <c r="AA31" s="43"/>
    </row>
    <row r="32" spans="1:27" ht="16.5" thickBot="1">
      <c r="B32" s="50" t="s">
        <v>186</v>
      </c>
      <c r="C32" s="50" t="s">
        <v>186</v>
      </c>
      <c r="D32" s="43"/>
      <c r="E32" s="50" t="s">
        <v>187</v>
      </c>
      <c r="F32" s="50" t="s">
        <v>187</v>
      </c>
      <c r="G32" s="43"/>
      <c r="H32" s="50" t="s">
        <v>188</v>
      </c>
      <c r="I32" s="50" t="s">
        <v>188</v>
      </c>
      <c r="J32" s="43"/>
      <c r="K32" s="50" t="s">
        <v>189</v>
      </c>
      <c r="L32" s="50" t="s">
        <v>189</v>
      </c>
      <c r="M32" s="43"/>
      <c r="N32" s="50" t="s">
        <v>190</v>
      </c>
      <c r="O32" s="50" t="s">
        <v>190</v>
      </c>
      <c r="P32" s="43"/>
      <c r="Q32" s="114" t="s">
        <v>206</v>
      </c>
      <c r="R32" s="114"/>
      <c r="S32" s="114"/>
      <c r="T32" s="114"/>
      <c r="U32" s="43"/>
      <c r="V32" s="43"/>
      <c r="W32" s="43"/>
      <c r="X32" s="43"/>
      <c r="Y32" s="43"/>
      <c r="Z32" s="43"/>
      <c r="AA32" s="43"/>
    </row>
    <row r="33" spans="1:27" ht="16.5" thickBot="1">
      <c r="B33" s="326" t="s">
        <v>191</v>
      </c>
      <c r="C33" s="326" t="s">
        <v>192</v>
      </c>
      <c r="D33" s="208"/>
      <c r="E33" s="326" t="s">
        <v>193</v>
      </c>
      <c r="F33" s="326" t="s">
        <v>194</v>
      </c>
      <c r="G33" s="208"/>
      <c r="H33" s="326" t="s">
        <v>195</v>
      </c>
      <c r="I33" s="326" t="s">
        <v>196</v>
      </c>
      <c r="J33" s="208"/>
      <c r="K33" s="326" t="s">
        <v>444</v>
      </c>
      <c r="L33" s="326" t="s">
        <v>198</v>
      </c>
      <c r="M33" s="208"/>
      <c r="N33" s="326" t="s">
        <v>449</v>
      </c>
      <c r="O33" s="326" t="s">
        <v>450</v>
      </c>
      <c r="P33" s="43"/>
      <c r="Q33" s="182" t="s">
        <v>174</v>
      </c>
      <c r="R33" s="182" t="s">
        <v>175</v>
      </c>
      <c r="S33" s="182" t="s">
        <v>176</v>
      </c>
      <c r="T33" s="182" t="s">
        <v>177</v>
      </c>
      <c r="U33" s="43"/>
      <c r="V33" s="43"/>
      <c r="W33" s="43"/>
      <c r="X33" s="43"/>
      <c r="Y33" s="43"/>
      <c r="Z33" s="43"/>
      <c r="AA33" s="43"/>
    </row>
    <row r="34" spans="1:27">
      <c r="B34" s="355"/>
      <c r="C34" s="355"/>
      <c r="D34" s="208"/>
      <c r="E34" s="355"/>
      <c r="F34" s="355"/>
      <c r="G34" s="208"/>
      <c r="H34" s="355"/>
      <c r="I34" s="355"/>
      <c r="J34" s="208"/>
      <c r="K34" s="355"/>
      <c r="L34" s="355"/>
      <c r="M34" s="208"/>
      <c r="N34" s="355"/>
      <c r="O34" s="355"/>
      <c r="P34" s="43"/>
      <c r="Q34" s="356"/>
      <c r="R34" s="356"/>
      <c r="S34" s="356"/>
      <c r="T34" s="356"/>
      <c r="U34" s="43"/>
      <c r="V34" s="43"/>
      <c r="W34" s="43"/>
      <c r="X34" s="43"/>
      <c r="Y34" s="43"/>
      <c r="Z34" s="43"/>
      <c r="AA34" s="43"/>
    </row>
    <row r="35" spans="1:27">
      <c r="A35" s="2" t="s">
        <v>207</v>
      </c>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row>
    <row r="36" spans="1:27">
      <c r="A36" s="183" t="s">
        <v>208</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2" t="s">
        <v>209</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t="s">
        <v>210</v>
      </c>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s="2"/>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row>
    <row r="41" spans="1:27">
      <c r="A41" t="s">
        <v>211</v>
      </c>
      <c r="B41" s="57"/>
      <c r="C41" s="57"/>
      <c r="D41" s="57"/>
      <c r="E41" s="57"/>
      <c r="F41" s="57"/>
      <c r="G41" s="57"/>
      <c r="H41" s="57"/>
      <c r="I41" s="57"/>
      <c r="J41" s="57"/>
      <c r="K41" s="57"/>
      <c r="L41" s="57"/>
      <c r="M41" s="57"/>
      <c r="N41" s="57"/>
      <c r="O41" s="57"/>
      <c r="P41" s="57"/>
      <c r="Q41" s="57"/>
      <c r="R41" s="57"/>
      <c r="S41" s="57"/>
      <c r="T41" s="57"/>
      <c r="U41" s="43"/>
      <c r="V41" s="43"/>
      <c r="W41" s="43"/>
      <c r="X41" s="43"/>
      <c r="Y41" s="43"/>
      <c r="Z41" s="43"/>
      <c r="AA41" s="43"/>
    </row>
    <row r="42" spans="1:27">
      <c r="A42" t="s">
        <v>212</v>
      </c>
      <c r="B42" s="58">
        <f>+B15/B11</f>
        <v>0.51161146654413059</v>
      </c>
      <c r="C42" s="59">
        <v>0.50929999999999997</v>
      </c>
      <c r="D42" s="59"/>
      <c r="E42" s="364">
        <v>0</v>
      </c>
      <c r="F42" s="59">
        <v>0.55810000000000004</v>
      </c>
      <c r="G42" s="59"/>
      <c r="H42" s="57">
        <v>0</v>
      </c>
      <c r="I42" s="59">
        <v>0.54959999999999998</v>
      </c>
      <c r="J42" s="59"/>
      <c r="K42" s="57">
        <v>0</v>
      </c>
      <c r="L42" s="59">
        <f>+bichvar!J51/bichvar!J22</f>
        <v>0.57125989720794568</v>
      </c>
      <c r="M42" s="57"/>
      <c r="N42" s="59">
        <f>+B42</f>
        <v>0.51161146654413059</v>
      </c>
      <c r="O42" s="59">
        <f>+bichvar!J51/bichvar!J22</f>
        <v>0.57125989720794568</v>
      </c>
      <c r="P42" s="57"/>
      <c r="Q42" s="59">
        <f>+O42</f>
        <v>0.57125989720794568</v>
      </c>
      <c r="R42" s="59">
        <f>+bichvar!L51/bichvar!L22</f>
        <v>0.55390545511465927</v>
      </c>
      <c r="S42" s="59">
        <f>+bichvar!N51/bichvar!N22</f>
        <v>0.57330695091593797</v>
      </c>
      <c r="T42" s="59">
        <f>+bichvar!P51/bichvar!P22</f>
        <v>0.56702597325557913</v>
      </c>
      <c r="U42" s="43"/>
      <c r="V42" s="43"/>
      <c r="W42" s="43"/>
      <c r="X42" s="43"/>
      <c r="Y42" s="43"/>
      <c r="Z42" s="43"/>
      <c r="AA42" s="43"/>
    </row>
    <row r="43" spans="1:27">
      <c r="B43" s="58"/>
      <c r="C43" s="59"/>
      <c r="D43" s="59"/>
      <c r="E43" s="57"/>
      <c r="F43" s="59"/>
      <c r="G43" s="59"/>
      <c r="H43" s="57"/>
      <c r="I43" s="59"/>
      <c r="J43" s="59"/>
      <c r="K43" s="57"/>
      <c r="L43" s="59"/>
      <c r="M43" s="57"/>
      <c r="N43" s="59"/>
      <c r="O43" s="59"/>
      <c r="P43" s="57"/>
      <c r="Q43" s="59"/>
      <c r="R43" s="59"/>
      <c r="S43" s="59"/>
      <c r="T43" s="59"/>
      <c r="U43" s="43"/>
      <c r="V43" s="43"/>
      <c r="W43" s="43"/>
      <c r="X43" s="43"/>
      <c r="Y43" s="43"/>
      <c r="Z43" s="43"/>
      <c r="AA43" s="43"/>
    </row>
    <row r="44" spans="1:27">
      <c r="A44" t="s">
        <v>213</v>
      </c>
      <c r="B44" s="58">
        <f>+B14/B11</f>
        <v>0.47243823123961681</v>
      </c>
      <c r="C44" s="59">
        <v>0.4793</v>
      </c>
      <c r="D44" s="59"/>
      <c r="E44" s="364">
        <v>0</v>
      </c>
      <c r="F44" s="59">
        <v>0.43209999999999998</v>
      </c>
      <c r="G44" s="59"/>
      <c r="H44" s="57">
        <v>0</v>
      </c>
      <c r="I44" s="59">
        <v>0.43240000000000001</v>
      </c>
      <c r="J44" s="59"/>
      <c r="K44" s="57">
        <v>0</v>
      </c>
      <c r="L44" s="59">
        <f>+bichvar!J29/bichvar!J22</f>
        <v>0.41260690968983793</v>
      </c>
      <c r="M44" s="57"/>
      <c r="N44" s="59">
        <f>+B44</f>
        <v>0.47243823123961681</v>
      </c>
      <c r="O44" s="59">
        <f>+bichvar!J29/bichvar!J22</f>
        <v>0.41260690968983793</v>
      </c>
      <c r="P44" s="57"/>
      <c r="Q44" s="59">
        <f>+O44</f>
        <v>0.41260690968983793</v>
      </c>
      <c r="R44" s="59">
        <f>+bichvar!L29/bichvar!L22</f>
        <v>0.43490255928621746</v>
      </c>
      <c r="S44" s="59">
        <f>+bichvar!N29/bichvar!N22</f>
        <v>0.41506563690134257</v>
      </c>
      <c r="T44" s="59">
        <f>+bichvar!P29/bichvar!P22</f>
        <v>0.42565635504877142</v>
      </c>
      <c r="U44" s="43"/>
      <c r="V44" s="43"/>
      <c r="W44" s="43"/>
      <c r="X44" s="43"/>
      <c r="Y44" s="43"/>
      <c r="Z44" s="43"/>
      <c r="AA44" s="43"/>
    </row>
    <row r="45" spans="1:27">
      <c r="A45" t="s">
        <v>0</v>
      </c>
      <c r="B45" s="57"/>
      <c r="C45" s="59"/>
      <c r="D45" s="59"/>
      <c r="E45" s="57"/>
      <c r="F45" s="59"/>
      <c r="G45" s="59"/>
      <c r="H45" s="57"/>
      <c r="I45" s="59"/>
      <c r="J45" s="59"/>
      <c r="K45" s="57"/>
      <c r="L45" s="59"/>
      <c r="M45" s="57"/>
      <c r="N45" s="59"/>
      <c r="O45" s="59"/>
      <c r="P45" s="57"/>
      <c r="Q45" s="59"/>
      <c r="R45" s="59"/>
      <c r="S45" s="59"/>
      <c r="T45" s="59"/>
      <c r="U45" s="43"/>
      <c r="V45" s="43"/>
      <c r="W45" s="43"/>
      <c r="X45" s="43"/>
      <c r="Y45" s="43"/>
      <c r="Z45" s="43"/>
      <c r="AA45" s="43"/>
    </row>
    <row r="46" spans="1:27">
      <c r="A46" s="2" t="s">
        <v>214</v>
      </c>
      <c r="B46" s="57"/>
      <c r="C46" s="59"/>
      <c r="D46" s="59"/>
      <c r="E46" s="57"/>
      <c r="F46" s="59"/>
      <c r="G46" s="59"/>
      <c r="H46" s="57"/>
      <c r="I46" s="59"/>
      <c r="J46" s="59"/>
      <c r="K46" s="57"/>
      <c r="L46" s="59"/>
      <c r="M46" s="57"/>
      <c r="N46" s="59"/>
      <c r="O46" s="59"/>
      <c r="P46" s="57"/>
      <c r="Q46" s="59"/>
      <c r="R46" s="59"/>
      <c r="S46" s="59"/>
      <c r="T46" s="59"/>
      <c r="U46" s="43"/>
      <c r="V46" s="43"/>
      <c r="W46" s="43"/>
      <c r="X46" s="43"/>
      <c r="Y46" s="43"/>
      <c r="Z46" s="43"/>
      <c r="AA46" s="43"/>
    </row>
    <row r="47" spans="1:27">
      <c r="A47" s="2"/>
      <c r="B47" s="57"/>
      <c r="C47" s="59"/>
      <c r="D47" s="59"/>
      <c r="E47" s="57"/>
      <c r="F47" s="59"/>
      <c r="G47" s="59"/>
      <c r="H47" s="57"/>
      <c r="I47" s="59"/>
      <c r="J47" s="59"/>
      <c r="K47" s="57"/>
      <c r="L47" s="59"/>
      <c r="M47" s="57"/>
      <c r="N47" s="59"/>
      <c r="O47" s="59"/>
      <c r="P47" s="57"/>
      <c r="Q47" s="59"/>
      <c r="R47" s="59"/>
      <c r="S47" s="59"/>
      <c r="T47" s="59"/>
      <c r="U47" s="43"/>
      <c r="V47" s="43"/>
      <c r="W47" s="43"/>
      <c r="X47" s="43"/>
      <c r="Y47" s="43"/>
      <c r="Z47" s="43"/>
      <c r="AA47" s="43"/>
    </row>
    <row r="48" spans="1:27">
      <c r="A48" t="s">
        <v>215</v>
      </c>
      <c r="B48" s="57"/>
      <c r="C48" s="59"/>
      <c r="D48" s="59"/>
      <c r="E48" s="57"/>
      <c r="F48" s="59"/>
      <c r="G48" s="59"/>
      <c r="H48" s="57"/>
      <c r="I48" s="59"/>
      <c r="J48" s="59"/>
      <c r="K48" s="57"/>
      <c r="L48" s="59"/>
      <c r="M48" s="57"/>
      <c r="N48" s="59"/>
      <c r="O48" s="59"/>
      <c r="P48" s="57"/>
      <c r="Q48" s="59"/>
      <c r="R48" s="59"/>
      <c r="S48" s="59"/>
      <c r="T48" s="59"/>
      <c r="U48" s="43"/>
      <c r="V48" s="43"/>
      <c r="W48" s="43"/>
      <c r="X48" s="43"/>
      <c r="Y48" s="43"/>
      <c r="Z48" s="43"/>
      <c r="AA48" s="43"/>
    </row>
    <row r="49" spans="1:27">
      <c r="A49" t="s">
        <v>216</v>
      </c>
      <c r="B49" s="57">
        <v>0</v>
      </c>
      <c r="C49" s="57">
        <v>0</v>
      </c>
      <c r="D49" s="59"/>
      <c r="E49" s="57">
        <v>0</v>
      </c>
      <c r="F49" s="57">
        <v>0</v>
      </c>
      <c r="G49" s="59"/>
      <c r="H49" s="57">
        <v>0</v>
      </c>
      <c r="I49" s="57">
        <v>0</v>
      </c>
      <c r="J49" s="59"/>
      <c r="K49" s="57">
        <v>0</v>
      </c>
      <c r="L49" s="57">
        <v>0</v>
      </c>
      <c r="M49" s="57"/>
      <c r="N49" s="994">
        <f>+B49</f>
        <v>0</v>
      </c>
      <c r="O49" s="57">
        <v>0</v>
      </c>
      <c r="P49" s="57"/>
      <c r="Q49" s="994">
        <f>+O49</f>
        <v>0</v>
      </c>
      <c r="R49" s="59">
        <f>+bichvar!L62/bichvar!L60</f>
        <v>1.9045805161413197E-3</v>
      </c>
      <c r="S49" s="59">
        <f>+bichvar!N62/bichvar!N60</f>
        <v>2.428213528618231E-2</v>
      </c>
      <c r="T49" s="59">
        <f>+bichvar!P62/bichvar!P60</f>
        <v>3.9472217244231271E-2</v>
      </c>
      <c r="U49" s="43"/>
      <c r="V49" s="43"/>
      <c r="W49" s="43"/>
      <c r="X49" s="43"/>
      <c r="Y49" s="43"/>
      <c r="Z49" s="43"/>
      <c r="AA49" s="43"/>
    </row>
    <row r="50" spans="1:27">
      <c r="B50" s="57"/>
      <c r="C50" s="59"/>
      <c r="D50" s="59"/>
      <c r="E50" s="57"/>
      <c r="F50" s="59"/>
      <c r="G50" s="59"/>
      <c r="H50" s="364" t="s">
        <v>0</v>
      </c>
      <c r="I50" s="59"/>
      <c r="J50" s="59"/>
      <c r="K50" s="57"/>
      <c r="L50" s="59"/>
      <c r="M50" s="57"/>
      <c r="N50" s="59"/>
      <c r="O50" s="59"/>
      <c r="P50" s="57"/>
      <c r="Q50" s="59"/>
      <c r="R50" s="59"/>
      <c r="S50" s="59"/>
      <c r="T50" s="59"/>
      <c r="U50" s="43"/>
      <c r="V50" s="43"/>
      <c r="W50" s="43"/>
      <c r="X50" s="43"/>
      <c r="Y50" s="43"/>
      <c r="Z50" s="43"/>
      <c r="AA50" s="43"/>
    </row>
    <row r="51" spans="1:27">
      <c r="A51" t="s">
        <v>217</v>
      </c>
      <c r="B51" s="57"/>
      <c r="C51" s="59"/>
      <c r="D51" s="59"/>
      <c r="E51" s="57"/>
      <c r="F51" s="59"/>
      <c r="G51" s="59"/>
      <c r="H51" s="57"/>
      <c r="I51" s="59"/>
      <c r="J51" s="59"/>
      <c r="K51" s="57"/>
      <c r="L51" s="59"/>
      <c r="M51" s="57"/>
      <c r="N51" s="59"/>
      <c r="O51" s="59"/>
      <c r="P51" s="57"/>
      <c r="Q51" s="59"/>
      <c r="R51" s="59"/>
      <c r="S51" s="59"/>
      <c r="T51" s="59"/>
      <c r="U51" s="43"/>
      <c r="V51" s="43"/>
      <c r="W51" s="43"/>
      <c r="X51" s="43"/>
      <c r="Y51" s="43"/>
      <c r="Z51" s="43"/>
      <c r="AA51" s="43"/>
    </row>
    <row r="52" spans="1:27">
      <c r="A52" t="s">
        <v>218</v>
      </c>
      <c r="B52" s="57">
        <f>+B25/B13</f>
        <v>0</v>
      </c>
      <c r="C52" s="57">
        <v>0</v>
      </c>
      <c r="D52" s="59"/>
      <c r="E52" s="57">
        <f>+'sysratfinclé '!B25</f>
        <v>0</v>
      </c>
      <c r="F52" s="57">
        <v>0</v>
      </c>
      <c r="G52" s="59"/>
      <c r="H52" s="57">
        <f>+'sysratfinclé '!B25</f>
        <v>0</v>
      </c>
      <c r="I52" s="57">
        <v>0</v>
      </c>
      <c r="J52" s="59"/>
      <c r="K52" s="57">
        <v>0</v>
      </c>
      <c r="L52" s="57">
        <v>0</v>
      </c>
      <c r="M52" s="57"/>
      <c r="N52" s="994">
        <f>+B52</f>
        <v>0</v>
      </c>
      <c r="O52" s="57">
        <f>+L52</f>
        <v>0</v>
      </c>
      <c r="P52" s="57"/>
      <c r="Q52" s="57">
        <f>+O52</f>
        <v>0</v>
      </c>
      <c r="R52" s="57">
        <v>0</v>
      </c>
      <c r="S52" s="57">
        <v>0</v>
      </c>
      <c r="T52" s="57">
        <v>0</v>
      </c>
      <c r="U52" s="43"/>
      <c r="V52" s="43"/>
      <c r="W52" s="43"/>
      <c r="X52" s="43"/>
      <c r="Y52" s="43"/>
      <c r="Z52" s="43"/>
      <c r="AA52" s="43"/>
    </row>
    <row r="53" spans="1:27">
      <c r="B53" s="57"/>
      <c r="C53" s="59"/>
      <c r="D53" s="59"/>
      <c r="E53" s="57"/>
      <c r="F53" s="59"/>
      <c r="G53" s="59"/>
      <c r="H53" s="57"/>
      <c r="I53" s="59"/>
      <c r="J53" s="59"/>
      <c r="K53" s="57"/>
      <c r="L53" s="59"/>
      <c r="M53" s="57"/>
      <c r="N53" s="59"/>
      <c r="O53" s="59"/>
      <c r="P53" s="57"/>
      <c r="Q53" s="59"/>
      <c r="R53" s="59"/>
      <c r="S53" s="59"/>
      <c r="T53" s="59"/>
      <c r="U53" s="43"/>
      <c r="V53" s="43"/>
      <c r="W53" s="43"/>
      <c r="X53" s="43"/>
      <c r="Y53" s="43"/>
      <c r="Z53" s="43"/>
      <c r="AA53" s="43"/>
    </row>
    <row r="54" spans="1:27">
      <c r="A54" t="s">
        <v>219</v>
      </c>
      <c r="B54" s="57"/>
      <c r="C54" s="59"/>
      <c r="D54" s="59"/>
      <c r="E54" s="57"/>
      <c r="F54" s="59"/>
      <c r="G54" s="59"/>
      <c r="H54" s="57"/>
      <c r="I54" s="59"/>
      <c r="J54" s="59"/>
      <c r="K54" s="57"/>
      <c r="L54" s="59"/>
      <c r="M54" s="57"/>
      <c r="N54" s="59"/>
      <c r="O54" s="59"/>
      <c r="P54" s="57"/>
      <c r="Q54" s="59"/>
      <c r="R54" s="59"/>
      <c r="S54" s="59"/>
      <c r="T54" s="59"/>
      <c r="U54" s="43"/>
      <c r="V54" s="43"/>
      <c r="W54" s="43"/>
      <c r="X54" s="43"/>
      <c r="Y54" s="43"/>
      <c r="Z54" s="43"/>
      <c r="AA54" s="43"/>
    </row>
    <row r="55" spans="1:27">
      <c r="A55" t="s">
        <v>220</v>
      </c>
      <c r="B55" s="57">
        <f>+bichvar!B62/bichvar!B51</f>
        <v>0</v>
      </c>
      <c r="C55" s="57">
        <v>0</v>
      </c>
      <c r="D55" s="59"/>
      <c r="E55" s="57">
        <v>0</v>
      </c>
      <c r="F55" s="57">
        <v>0</v>
      </c>
      <c r="G55" s="59"/>
      <c r="H55" s="57" t="e">
        <f>+'sysratfinclé '!#REF!</f>
        <v>#REF!</v>
      </c>
      <c r="I55" s="57">
        <v>0</v>
      </c>
      <c r="J55" s="59"/>
      <c r="K55" s="57">
        <v>0</v>
      </c>
      <c r="L55" s="57">
        <v>0</v>
      </c>
      <c r="M55" s="57"/>
      <c r="N55" s="994">
        <f>+B55</f>
        <v>0</v>
      </c>
      <c r="O55" s="57">
        <f>+L55</f>
        <v>0</v>
      </c>
      <c r="P55" s="57"/>
      <c r="Q55" s="994">
        <f>+O55</f>
        <v>0</v>
      </c>
      <c r="R55" s="59">
        <f>+bichvar!L62/bichvar!L51</f>
        <v>1.0597336536083931E-3</v>
      </c>
      <c r="S55" s="59">
        <f>+bichvar!N62/bichvar!N51</f>
        <v>1.1690046760187041E-2</v>
      </c>
      <c r="T55" s="59">
        <f>+bichvar!P62/bichvar!P51</f>
        <v>1.9043997883259389E-2</v>
      </c>
      <c r="U55" s="43"/>
      <c r="V55" s="43"/>
      <c r="W55" s="43"/>
      <c r="X55" s="43"/>
      <c r="Y55" s="43"/>
      <c r="Z55" s="43"/>
      <c r="AA55" s="43"/>
    </row>
    <row r="56" spans="1:27">
      <c r="A56" t="s">
        <v>0</v>
      </c>
      <c r="B56" s="57"/>
      <c r="C56" s="59"/>
      <c r="D56" s="59"/>
      <c r="E56" s="57"/>
      <c r="F56" s="59"/>
      <c r="G56" s="59"/>
      <c r="H56" s="57"/>
      <c r="I56" s="59"/>
      <c r="J56" s="59"/>
      <c r="K56" s="57"/>
      <c r="L56" s="59"/>
      <c r="M56" s="57"/>
      <c r="N56" s="57"/>
      <c r="O56" s="59"/>
      <c r="P56" s="57"/>
      <c r="Q56" s="59"/>
      <c r="R56" s="59"/>
      <c r="S56" s="59"/>
      <c r="T56" s="59"/>
      <c r="U56" s="43"/>
      <c r="V56" s="43"/>
      <c r="W56" s="43"/>
      <c r="X56" s="43"/>
      <c r="Y56" s="43"/>
      <c r="Z56" s="43"/>
      <c r="AA56" s="43"/>
    </row>
    <row r="57" spans="1:27">
      <c r="A57" s="2" t="s">
        <v>221</v>
      </c>
      <c r="B57" s="57"/>
      <c r="C57" s="59"/>
      <c r="D57" s="59"/>
      <c r="E57" s="57"/>
      <c r="F57" s="59"/>
      <c r="G57" s="59"/>
      <c r="H57" s="57"/>
      <c r="I57" s="59"/>
      <c r="J57" s="59"/>
      <c r="K57" s="57"/>
      <c r="L57" s="59"/>
      <c r="M57" s="57"/>
      <c r="N57" s="57"/>
      <c r="O57" s="59"/>
      <c r="P57" s="57"/>
      <c r="Q57" s="59"/>
      <c r="R57" s="59"/>
      <c r="S57" s="59"/>
      <c r="T57" s="59"/>
      <c r="U57" s="43"/>
      <c r="V57" s="43"/>
      <c r="W57" s="43"/>
      <c r="X57" s="43"/>
      <c r="Y57" s="43"/>
      <c r="Z57" s="43"/>
      <c r="AA57" s="43"/>
    </row>
    <row r="58" spans="1:27">
      <c r="A58" s="2"/>
      <c r="B58" s="57"/>
      <c r="C58" s="59"/>
      <c r="D58" s="59"/>
      <c r="E58" s="57"/>
      <c r="F58" s="59"/>
      <c r="G58" s="59"/>
      <c r="H58" s="57"/>
      <c r="I58" s="59"/>
      <c r="J58" s="59"/>
      <c r="K58" s="57"/>
      <c r="L58" s="59"/>
      <c r="M58" s="57"/>
      <c r="N58" s="57"/>
      <c r="O58" s="59"/>
      <c r="P58" s="57"/>
      <c r="Q58" s="59"/>
      <c r="R58" s="59"/>
      <c r="S58" s="59"/>
      <c r="T58" s="59"/>
      <c r="U58" s="43"/>
      <c r="V58" s="43"/>
      <c r="W58" s="43"/>
      <c r="X58" s="43"/>
      <c r="Y58" s="43"/>
      <c r="Z58" s="43"/>
      <c r="AA58" s="43"/>
    </row>
    <row r="59" spans="1:27">
      <c r="A59" t="s">
        <v>222</v>
      </c>
      <c r="B59" s="59">
        <f>+('BICHRÉSULT     '!B81/((bichvar!B22+bichvar!J22)/2)*4)</f>
        <v>1.3872400093479759E-2</v>
      </c>
      <c r="C59" s="59">
        <v>2.86E-2</v>
      </c>
      <c r="D59" s="59"/>
      <c r="E59" s="57">
        <v>0</v>
      </c>
      <c r="F59" s="59">
        <v>1.1299999999999999E-2</v>
      </c>
      <c r="G59" s="59"/>
      <c r="H59" s="57">
        <v>0</v>
      </c>
      <c r="I59" s="59">
        <v>1.29E-2</v>
      </c>
      <c r="J59" s="59"/>
      <c r="K59" s="57">
        <v>0</v>
      </c>
      <c r="L59" s="59">
        <f>+('BICHRÉSULT     '!P41/((bichvar!J22+10107.6)/2)*4)</f>
        <v>6.9354311361226762E-3</v>
      </c>
      <c r="M59" s="57"/>
      <c r="N59" s="59">
        <f>+'sysratfinclé '!B37</f>
        <v>1.3872400093479759E-2</v>
      </c>
      <c r="O59" s="59">
        <f>+'sysratfinclé '!B38</f>
        <v>2.86E-2</v>
      </c>
      <c r="P59" s="57"/>
      <c r="Q59" s="59">
        <f>+'BICHVARAN       '!F43/((bichvar!J22+bichvar!L22)/2)</f>
        <v>1.5526940621274641E-2</v>
      </c>
      <c r="R59" s="59">
        <f>+'BICHVARAN       '!H43/((bichvar!L22+bichvar!N22)/2)</f>
        <v>1.8775035929425428E-2</v>
      </c>
      <c r="S59" s="59">
        <f>+'BICHVARAN       '!J43/((bichvar!N52+bichvar!P52)/2)</f>
        <v>1.1224300176273679E-2</v>
      </c>
      <c r="T59" s="59">
        <v>1.32E-2</v>
      </c>
      <c r="U59" s="43"/>
      <c r="V59" s="43"/>
      <c r="W59" s="43"/>
      <c r="X59" s="43"/>
      <c r="Y59" s="43"/>
      <c r="Z59" s="43"/>
      <c r="AA59" s="43"/>
    </row>
    <row r="60" spans="1:27" ht="7.15" customHeight="1">
      <c r="B60" s="57"/>
      <c r="C60" s="59"/>
      <c r="D60" s="59"/>
      <c r="E60" s="57"/>
      <c r="F60" s="59"/>
      <c r="G60" s="59"/>
      <c r="H60" s="57"/>
      <c r="I60" s="59"/>
      <c r="J60" s="59"/>
      <c r="K60" s="57"/>
      <c r="L60" s="59"/>
      <c r="M60" s="57"/>
      <c r="N60" s="59"/>
      <c r="O60" s="57"/>
      <c r="P60" s="57"/>
      <c r="Q60" s="59"/>
      <c r="R60" s="59"/>
      <c r="S60" s="59"/>
      <c r="T60" s="59"/>
      <c r="U60" s="43"/>
      <c r="V60" s="43"/>
      <c r="W60" s="43"/>
      <c r="X60" s="43"/>
      <c r="Y60" s="43"/>
      <c r="Z60" s="43"/>
      <c r="AA60" s="43"/>
    </row>
    <row r="61" spans="1:27">
      <c r="A61" t="s">
        <v>451</v>
      </c>
      <c r="B61" s="59">
        <f>+('BICHRÉSULT     '!B81/((bichvar!J51+bichvar!B51)/2)*4)</f>
        <v>2.5703423370370002E-2</v>
      </c>
      <c r="C61" s="59">
        <v>5.3800000000000001E-2</v>
      </c>
      <c r="D61" s="59"/>
      <c r="E61" s="57">
        <v>0</v>
      </c>
      <c r="F61" s="59">
        <v>2.12E-2</v>
      </c>
      <c r="G61" s="59"/>
      <c r="H61" s="57">
        <v>0</v>
      </c>
      <c r="I61" s="59">
        <v>2.3300000000000001E-2</v>
      </c>
      <c r="J61" s="59"/>
      <c r="K61" s="57">
        <v>0</v>
      </c>
      <c r="L61" s="59">
        <f>+('BICHRÉSULT     '!P41/((bichvar!J51+5741.1)/2)*4)</f>
        <v>1.2175395265510544E-2</v>
      </c>
      <c r="M61" s="57"/>
      <c r="N61" s="59">
        <f>+'sysratfinclé '!B43</f>
        <v>2.5703423370370002E-2</v>
      </c>
      <c r="O61" s="59">
        <f>+'sysratfinclé '!B44</f>
        <v>5.3800000000000001E-2</v>
      </c>
      <c r="P61" s="57"/>
      <c r="Q61" s="59">
        <f>+'BICHVARAN       '!F43/((bichvar!J51+bichvar!L51)/2)</f>
        <v>2.7602392440867606E-2</v>
      </c>
      <c r="R61" s="59">
        <f>+'BICHVARAN       '!H43/((bichvar!L51+bichvar!N51)/2)</f>
        <v>3.3336349651615221E-2</v>
      </c>
      <c r="S61" s="59">
        <f>+'BICHVARAN       '!J43/((bichvar!N51+bichvar!P51)/2)</f>
        <v>1.96856854162182E-2</v>
      </c>
      <c r="T61" s="59">
        <v>2.41E-2</v>
      </c>
      <c r="U61" s="43"/>
      <c r="V61" s="43"/>
      <c r="W61" s="43"/>
      <c r="X61" s="43"/>
      <c r="Y61" s="43"/>
      <c r="Z61" s="43"/>
      <c r="AA61" s="43"/>
    </row>
    <row r="62" spans="1:27" ht="7.15" customHeight="1">
      <c r="B62" s="57"/>
      <c r="C62" s="59"/>
      <c r="D62" s="59"/>
      <c r="E62" s="57"/>
      <c r="F62" s="59"/>
      <c r="G62" s="59"/>
      <c r="H62" s="57"/>
      <c r="I62" s="59"/>
      <c r="J62" s="59"/>
      <c r="K62" s="57"/>
      <c r="L62" s="59"/>
      <c r="M62" s="57"/>
      <c r="N62" s="59"/>
      <c r="O62" s="57"/>
      <c r="P62" s="57"/>
      <c r="Q62" s="59"/>
      <c r="R62" s="59"/>
      <c r="S62" s="59"/>
      <c r="T62" s="59"/>
      <c r="U62" s="43"/>
      <c r="V62" s="43"/>
      <c r="W62" s="43"/>
      <c r="X62" s="43"/>
      <c r="Y62" s="43"/>
      <c r="Z62" s="43"/>
      <c r="AA62" s="43"/>
    </row>
    <row r="63" spans="1:27">
      <c r="A63" t="s">
        <v>201</v>
      </c>
      <c r="B63" s="57"/>
      <c r="C63" s="59"/>
      <c r="D63" s="59"/>
      <c r="E63" s="57"/>
      <c r="F63" s="59"/>
      <c r="G63" s="59"/>
      <c r="H63" s="57"/>
      <c r="I63" s="59"/>
      <c r="J63" s="59"/>
      <c r="K63" s="57"/>
      <c r="L63" s="59"/>
      <c r="M63" s="57"/>
      <c r="N63" s="59"/>
      <c r="O63" s="57"/>
      <c r="P63" s="57"/>
      <c r="Q63" s="59"/>
      <c r="R63" s="59"/>
      <c r="S63" s="59"/>
      <c r="T63" s="59"/>
      <c r="U63" s="43"/>
      <c r="V63" s="43"/>
      <c r="W63" s="43"/>
      <c r="X63" s="43"/>
      <c r="Y63" s="43"/>
      <c r="Z63" s="43"/>
      <c r="AA63" s="43"/>
    </row>
    <row r="64" spans="1:27">
      <c r="A64" t="s">
        <v>225</v>
      </c>
      <c r="B64" s="59">
        <f>+'BICHRÉSULT     '!B55/'BICHRÉSULT     '!B53</f>
        <v>0.76382306477093198</v>
      </c>
      <c r="C64" s="59">
        <v>0.76349999999999996</v>
      </c>
      <c r="D64" s="59"/>
      <c r="E64" s="57">
        <v>0</v>
      </c>
      <c r="F64" s="59">
        <v>0.84540000000000004</v>
      </c>
      <c r="G64" s="59"/>
      <c r="H64" s="57">
        <v>0</v>
      </c>
      <c r="I64" s="59">
        <v>0.7429</v>
      </c>
      <c r="J64" s="59"/>
      <c r="K64" s="57">
        <v>0</v>
      </c>
      <c r="L64" s="59">
        <f>+'BICHRÉSULT     '!P15/'BICHRÉSULT     '!P13</f>
        <v>0.8769958604376108</v>
      </c>
      <c r="M64" s="57"/>
      <c r="N64" s="59">
        <f>+'sysratfinclé '!B50</f>
        <v>0.76382306477093198</v>
      </c>
      <c r="O64" s="59">
        <f>+'sysratfinclé '!B51</f>
        <v>0.76349809885931563</v>
      </c>
      <c r="P64" s="57"/>
      <c r="Q64" s="59">
        <f>+'BICHVARAN       '!F17/'BICHVARAN       '!F15</f>
        <v>0.81470274118903518</v>
      </c>
      <c r="R64" s="59">
        <f>+'BICHVARAN       '!H17/'BICHVARAN       '!H15</f>
        <v>0.79566143714894444</v>
      </c>
      <c r="S64" s="59">
        <f>+'BICHVARAN       '!J17/'BICHVARAN       '!J15</f>
        <v>0.83022836538461542</v>
      </c>
      <c r="T64" s="59">
        <v>0.84309999999999996</v>
      </c>
      <c r="U64" s="43"/>
      <c r="V64" s="43"/>
      <c r="W64" s="43"/>
      <c r="X64" s="43"/>
      <c r="Y64" s="43"/>
      <c r="Z64" s="43"/>
      <c r="AA64" s="43"/>
    </row>
    <row r="65" spans="1:27" ht="7.15" customHeight="1">
      <c r="B65" s="57"/>
      <c r="C65" s="59"/>
      <c r="D65" s="59"/>
      <c r="E65" s="57"/>
      <c r="F65" s="59"/>
      <c r="G65" s="59"/>
      <c r="H65" s="57"/>
      <c r="I65" s="59"/>
      <c r="J65" s="59"/>
      <c r="K65" s="57"/>
      <c r="L65" s="59"/>
      <c r="M65" s="57"/>
      <c r="N65" s="59"/>
      <c r="O65" s="57"/>
      <c r="P65" s="57"/>
      <c r="Q65" s="59"/>
      <c r="R65" s="59"/>
      <c r="S65" s="59"/>
      <c r="T65" s="59"/>
      <c r="U65" s="43"/>
      <c r="V65" s="43"/>
      <c r="W65" s="43"/>
      <c r="X65" s="43"/>
      <c r="Y65" s="43"/>
      <c r="Z65" s="43"/>
      <c r="AA65" s="43"/>
    </row>
    <row r="66" spans="1:27">
      <c r="A66" t="s">
        <v>226</v>
      </c>
      <c r="B66" s="59">
        <f>+('BICHRÉSULT     '!B50/((bichvar!B60+bichvar!J60)/2)*4)</f>
        <v>0.13477763287467062</v>
      </c>
      <c r="C66" s="56">
        <v>0.1623</v>
      </c>
      <c r="D66" s="56"/>
      <c r="E66" s="49">
        <v>0</v>
      </c>
      <c r="F66" s="56">
        <v>0.16969999999999999</v>
      </c>
      <c r="G66" s="56"/>
      <c r="H66" s="49">
        <v>0</v>
      </c>
      <c r="I66" s="56">
        <v>0.14940000000000001</v>
      </c>
      <c r="J66" s="56"/>
      <c r="K66" s="49">
        <v>0</v>
      </c>
      <c r="L66" s="56">
        <f>+('BICHRÉSULT     '!P10/((bichvar!J60+3381)/2)*4)</f>
        <v>0.18939616671566775</v>
      </c>
      <c r="M66" s="9"/>
      <c r="N66" s="59">
        <f>+'sysratfinclé '!B56</f>
        <v>0.13477763287467062</v>
      </c>
      <c r="O66" s="59">
        <f>+'sysratfinclé '!B57</f>
        <v>0.15260000000000001</v>
      </c>
      <c r="P66" s="9"/>
      <c r="Q66" s="56">
        <f>+'BICHVARAN       '!F12/((bichvar!J19+bichvar!L19)/2)</f>
        <v>0.16255787037037037</v>
      </c>
      <c r="R66" s="56">
        <f>+'BICHVARAN       '!H12/((bichvar!L19+bichvar!N19)/2)</f>
        <v>0.17974516084110848</v>
      </c>
      <c r="S66" s="56">
        <f>+'BICHVARAN       '!J12/((bichvar!N19+bichvar!P19)/2)</f>
        <v>0.25843649253424694</v>
      </c>
      <c r="T66" s="56">
        <v>0.26779999999999998</v>
      </c>
    </row>
    <row r="67" spans="1:27" ht="7.15" customHeight="1">
      <c r="B67" s="9"/>
      <c r="C67" s="56"/>
      <c r="D67" s="56"/>
      <c r="E67" s="49"/>
      <c r="F67" s="56"/>
      <c r="G67" s="56"/>
      <c r="H67" s="49"/>
      <c r="I67" s="56"/>
      <c r="J67" s="56"/>
      <c r="K67" s="49"/>
      <c r="L67" s="56"/>
      <c r="M67" s="9"/>
      <c r="N67" s="56"/>
      <c r="O67" s="9"/>
      <c r="P67" s="9"/>
      <c r="Q67" s="56"/>
      <c r="R67" s="56"/>
      <c r="S67" s="56"/>
      <c r="T67" s="56"/>
    </row>
    <row r="68" spans="1:27">
      <c r="A68" t="s">
        <v>227</v>
      </c>
      <c r="B68" s="59">
        <f>+('BICHRÉSULT     '!B54/((bichvar!J29+bichvar!B29)/2)*4)</f>
        <v>2.5166231798670145E-2</v>
      </c>
      <c r="C68" s="56">
        <v>2.53E-2</v>
      </c>
      <c r="D68" s="56"/>
      <c r="E68" s="49">
        <v>0</v>
      </c>
      <c r="F68" s="56">
        <v>1.7399999999999999E-2</v>
      </c>
      <c r="G68" s="56"/>
      <c r="H68" s="49">
        <v>0</v>
      </c>
      <c r="I68" s="56">
        <v>2.7900000000000001E-2</v>
      </c>
      <c r="J68" s="56"/>
      <c r="K68" s="49">
        <v>0</v>
      </c>
      <c r="L68" s="56">
        <f>+('BICHRÉSULT     '!P14/((bichvar!J29+4172)/2)*4)</f>
        <v>1.9974791429085891E-2</v>
      </c>
      <c r="M68" s="9"/>
      <c r="N68" s="59">
        <f>+'sysratfinclé '!B62</f>
        <v>2.5166231798670145E-2</v>
      </c>
      <c r="O68" s="59">
        <f>+'sysratfinclé '!B63</f>
        <v>2.53E-2</v>
      </c>
      <c r="P68" s="9"/>
      <c r="Q68" s="56">
        <f>+'BICHVARAN       '!F16/((bichvar!J29+bichvar!L29)/2)</f>
        <v>2.4198328664907773E-2</v>
      </c>
      <c r="R68" s="56">
        <f>+'BICHVARAN       '!H16/((bichvar!L29+bichvar!N29)/2)</f>
        <v>2.5278240346946847E-2</v>
      </c>
      <c r="S68" s="56">
        <f>+'BICHVARAN       '!J16/((bichvar!N29+bichvar!P29)/2)</f>
        <v>2.8682415340763955E-2</v>
      </c>
      <c r="T68" s="56">
        <v>2.4899999999999999E-2</v>
      </c>
    </row>
    <row r="69" spans="1:27" ht="6" customHeight="1">
      <c r="B69" s="9"/>
      <c r="C69" s="56"/>
      <c r="D69" s="56"/>
      <c r="E69" s="49"/>
      <c r="F69" s="56"/>
      <c r="G69" s="56"/>
      <c r="H69" s="49"/>
      <c r="I69" s="56"/>
      <c r="J69" s="56"/>
      <c r="K69" s="49"/>
      <c r="L69" s="56"/>
      <c r="M69" s="9"/>
      <c r="N69" s="56"/>
      <c r="O69" s="9"/>
      <c r="P69" s="9"/>
      <c r="Q69" s="56"/>
      <c r="R69" s="56"/>
      <c r="S69" s="56"/>
      <c r="T69" s="56"/>
    </row>
    <row r="70" spans="1:27">
      <c r="A70" t="s">
        <v>204</v>
      </c>
      <c r="B70" s="9"/>
      <c r="C70" s="56"/>
      <c r="D70" s="56"/>
      <c r="E70" s="49"/>
      <c r="F70" s="56"/>
      <c r="G70" s="56"/>
      <c r="H70" s="49"/>
      <c r="I70" s="56"/>
      <c r="J70" s="56"/>
      <c r="K70" s="49"/>
      <c r="L70" s="56"/>
      <c r="M70" s="9"/>
      <c r="N70" s="56"/>
      <c r="O70" s="9"/>
      <c r="P70" s="9"/>
      <c r="Q70" s="56"/>
      <c r="R70" s="56"/>
      <c r="S70" s="56"/>
      <c r="T70" s="56"/>
    </row>
    <row r="71" spans="1:27">
      <c r="A71" t="s">
        <v>228</v>
      </c>
      <c r="B71" s="59">
        <f>+'BICHRÉSULT     '!B75/'BICHRÉSULT     '!B63</f>
        <v>0.81169709263015566</v>
      </c>
      <c r="C71" s="56">
        <v>0.64549999999999996</v>
      </c>
      <c r="D71" s="56"/>
      <c r="E71" s="57">
        <v>0</v>
      </c>
      <c r="F71" s="56">
        <v>0.82899999999999996</v>
      </c>
      <c r="G71" s="56"/>
      <c r="H71" s="57">
        <v>0</v>
      </c>
      <c r="I71" s="56">
        <v>0.86009999999999998</v>
      </c>
      <c r="J71" s="56"/>
      <c r="K71" s="49">
        <v>0</v>
      </c>
      <c r="L71" s="56">
        <f>+'BICHRÉSULT     '!P35/'BICHRÉSULT     '!P23</f>
        <v>0.8289708506841168</v>
      </c>
      <c r="M71" s="9"/>
      <c r="N71" s="59">
        <f>+'sysratfinclé '!B70</f>
        <v>0.81169709263015566</v>
      </c>
      <c r="O71" s="59">
        <f>+'sysratfinclé '!B71</f>
        <v>0.64552973611658138</v>
      </c>
      <c r="P71" s="9"/>
      <c r="Q71" s="56">
        <f>+'BICHVARAN       '!F37/'BICHVARAN       '!F25</f>
        <v>0.7945375543140909</v>
      </c>
      <c r="R71" s="56">
        <f>+'BICHVARAN       '!H37/'BICHVARAN       '!H25</f>
        <v>0.71230178272431799</v>
      </c>
      <c r="S71" s="56">
        <f>+'BICHVARAN       '!J37/'BICHVARAN       '!J25</f>
        <v>0.79944452565414426</v>
      </c>
      <c r="T71" s="56">
        <v>0.78390000000000004</v>
      </c>
    </row>
    <row r="72" spans="1:27">
      <c r="A72" t="s">
        <v>452</v>
      </c>
      <c r="B72" s="9"/>
      <c r="C72" s="56"/>
      <c r="D72" s="56"/>
      <c r="E72" s="49"/>
      <c r="F72" s="56"/>
      <c r="G72" s="56"/>
      <c r="H72" s="49"/>
      <c r="I72" s="56"/>
      <c r="J72" s="56"/>
      <c r="K72" s="49"/>
      <c r="L72" s="56"/>
      <c r="M72" s="9"/>
      <c r="N72" s="9"/>
      <c r="O72" s="9"/>
      <c r="P72" s="9"/>
      <c r="Q72" s="56"/>
      <c r="R72" s="56"/>
      <c r="S72" s="56"/>
      <c r="T72" s="56"/>
    </row>
    <row r="73" spans="1:27">
      <c r="B73" s="9"/>
      <c r="C73" s="56"/>
      <c r="D73" s="56"/>
      <c r="E73" s="49"/>
      <c r="F73" s="56"/>
      <c r="G73" s="56"/>
      <c r="H73" s="49"/>
      <c r="I73" s="56"/>
      <c r="J73" s="56"/>
      <c r="K73" s="49"/>
      <c r="L73" s="56"/>
      <c r="M73" s="9"/>
      <c r="N73" s="9"/>
      <c r="O73" s="9"/>
      <c r="P73" s="9"/>
      <c r="Q73" s="56"/>
      <c r="R73" s="56"/>
      <c r="S73" s="56"/>
      <c r="T73" s="56"/>
    </row>
    <row r="74" spans="1:27">
      <c r="A74" t="s">
        <v>453</v>
      </c>
      <c r="B74" s="49">
        <f>+('BICHRÉSULT     '!B23/((10+9)/2)*4)</f>
        <v>124.54736842105261</v>
      </c>
      <c r="C74" s="49">
        <v>101.56</v>
      </c>
      <c r="D74" s="56"/>
      <c r="E74" s="49">
        <v>0</v>
      </c>
      <c r="F74" s="49">
        <v>115.8</v>
      </c>
      <c r="G74" s="56"/>
      <c r="H74" s="49">
        <v>0</v>
      </c>
      <c r="I74" s="49">
        <v>99.24</v>
      </c>
      <c r="J74" s="56"/>
      <c r="K74" s="49">
        <v>0</v>
      </c>
      <c r="L74" s="49">
        <v>134.47999999999999</v>
      </c>
      <c r="M74" s="9"/>
      <c r="N74" s="57">
        <f>+'sysratfinclé '!B76</f>
        <v>124.54736842105261</v>
      </c>
      <c r="O74" s="57">
        <f>+'sysratfinclé '!B77</f>
        <v>101.56</v>
      </c>
      <c r="P74" s="9"/>
      <c r="Q74" s="49">
        <v>112.77</v>
      </c>
      <c r="R74" s="49">
        <v>106.87</v>
      </c>
      <c r="S74" s="49">
        <v>76.010000000000005</v>
      </c>
      <c r="T74" s="49">
        <v>68.28</v>
      </c>
    </row>
    <row r="75" spans="1:27" ht="16.5" thickBot="1">
      <c r="B75" s="19"/>
      <c r="C75" s="19"/>
      <c r="D75" s="19"/>
      <c r="E75" s="19"/>
      <c r="F75" s="19"/>
      <c r="G75" s="19"/>
      <c r="H75" s="19"/>
      <c r="I75" s="19"/>
      <c r="J75" s="19"/>
      <c r="K75" s="19"/>
      <c r="L75" s="19"/>
      <c r="M75" s="19"/>
      <c r="N75" s="19"/>
      <c r="O75" s="19"/>
      <c r="P75" s="19"/>
      <c r="Q75" s="19"/>
      <c r="R75" s="19"/>
      <c r="S75" s="19"/>
      <c r="T75" s="19"/>
    </row>
  </sheetData>
  <pageMargins left="0.2" right="0.2" top="0.39" bottom="0.39" header="0.31" footer="0.2"/>
  <pageSetup scale="44"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0"/>
  <sheetViews>
    <sheetView topLeftCell="A4" workbookViewId="0">
      <pane xSplit="1" ySplit="4" topLeftCell="B8" activePane="bottomRight" state="frozen"/>
      <selection activeCell="A4" sqref="A4"/>
      <selection pane="topRight" activeCell="B4" sqref="B4"/>
      <selection pane="bottomLeft" activeCell="A8" sqref="A8"/>
      <selection pane="bottomRight" activeCell="B8" sqref="B8"/>
    </sheetView>
  </sheetViews>
  <sheetFormatPr defaultRowHeight="15.75"/>
  <cols>
    <col min="1" max="1" width="33.25" customWidth="1"/>
    <col min="2" max="2" width="17.62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11.3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8" width="15.75" style="12" customWidth="1"/>
    <col min="19" max="21" width="15.75" customWidth="1"/>
    <col min="22" max="256" width="11" customWidth="1"/>
  </cols>
  <sheetData>
    <row r="1" spans="1:21">
      <c r="A1" s="114" t="s">
        <v>441</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6" spans="1:21" s="2" customFormat="1" ht="16.5" thickBot="1">
      <c r="B6" s="400" t="s">
        <v>0</v>
      </c>
      <c r="C6" s="399"/>
      <c r="D6" s="400"/>
      <c r="E6" s="399"/>
      <c r="F6" s="400"/>
      <c r="G6" s="399"/>
      <c r="H6" s="400"/>
      <c r="I6" s="506" t="s">
        <v>455</v>
      </c>
      <c r="J6" s="123" t="s">
        <v>167</v>
      </c>
      <c r="K6" s="230"/>
      <c r="L6" s="123"/>
      <c r="M6" s="230"/>
      <c r="N6" s="123"/>
      <c r="O6" s="230"/>
      <c r="P6" s="123"/>
      <c r="Q6" s="4"/>
      <c r="R6" s="4"/>
    </row>
    <row r="7" spans="1:21" s="2" customFormat="1" ht="16.5" thickBot="1">
      <c r="B7" s="223" t="s">
        <v>168</v>
      </c>
      <c r="C7" s="224" t="s">
        <v>169</v>
      </c>
      <c r="D7" s="225" t="s">
        <v>170</v>
      </c>
      <c r="E7" s="224" t="s">
        <v>169</v>
      </c>
      <c r="F7" s="225" t="s">
        <v>171</v>
      </c>
      <c r="G7" s="224" t="s">
        <v>169</v>
      </c>
      <c r="H7" s="225" t="s">
        <v>172</v>
      </c>
      <c r="I7" s="445" t="s">
        <v>173</v>
      </c>
      <c r="J7" s="228" t="s">
        <v>174</v>
      </c>
      <c r="K7" s="227" t="s">
        <v>169</v>
      </c>
      <c r="L7" s="228" t="s">
        <v>175</v>
      </c>
      <c r="M7" s="227" t="s">
        <v>169</v>
      </c>
      <c r="N7" s="228" t="s">
        <v>176</v>
      </c>
      <c r="O7" s="227" t="s">
        <v>169</v>
      </c>
      <c r="P7" s="228" t="s">
        <v>177</v>
      </c>
      <c r="Q7" s="80"/>
      <c r="R7" s="80"/>
      <c r="S7" s="18"/>
      <c r="T7" s="18"/>
      <c r="U7" s="18"/>
    </row>
    <row r="8" spans="1:21">
      <c r="A8" s="87" t="s">
        <v>243</v>
      </c>
      <c r="B8" s="125"/>
      <c r="C8" s="124"/>
      <c r="D8" s="125"/>
      <c r="E8" s="124"/>
      <c r="F8" s="125"/>
      <c r="G8" s="124"/>
      <c r="H8" s="125"/>
      <c r="I8" s="386"/>
      <c r="J8" s="219"/>
      <c r="K8" s="124"/>
      <c r="L8" s="219"/>
      <c r="M8" s="124"/>
      <c r="N8" s="219"/>
      <c r="O8" s="124"/>
      <c r="P8" s="219"/>
      <c r="Q8" s="14"/>
      <c r="R8" s="14"/>
      <c r="S8" s="9"/>
      <c r="T8" s="9"/>
      <c r="U8" s="9"/>
    </row>
    <row r="9" spans="1:21">
      <c r="A9" s="1" t="s">
        <v>264</v>
      </c>
      <c r="B9"/>
    </row>
    <row r="10" spans="1:21">
      <c r="A10" s="1" t="s">
        <v>265</v>
      </c>
      <c r="B10" s="12">
        <v>384.1</v>
      </c>
      <c r="C10" s="44">
        <v>0</v>
      </c>
      <c r="D10" s="12">
        <v>0</v>
      </c>
      <c r="E10" s="44">
        <v>0</v>
      </c>
      <c r="F10" s="12">
        <v>0</v>
      </c>
      <c r="G10" s="44">
        <v>0</v>
      </c>
      <c r="H10" s="12">
        <v>0</v>
      </c>
      <c r="I10" s="47">
        <f t="shared" ref="I10:I15" si="0">+(B10-J10)/ABS(J10)</f>
        <v>8.7793826111583109E-2</v>
      </c>
      <c r="J10" s="12">
        <v>353.1</v>
      </c>
      <c r="K10" s="47">
        <f t="shared" ref="K10:K15" si="1">+(J10-L10)/L10</f>
        <v>2.5239520958083834</v>
      </c>
      <c r="L10" s="12">
        <v>100.2</v>
      </c>
      <c r="M10" s="47">
        <f t="shared" ref="M10:M15" si="2">+(L10-N10)/N10</f>
        <v>-0.90924735078344343</v>
      </c>
      <c r="N10" s="12">
        <v>1104.0999999999999</v>
      </c>
      <c r="O10" s="47">
        <f>+(N10-P10)/P10</f>
        <v>0.85912572091426331</v>
      </c>
      <c r="P10" s="12">
        <f>593881.3/1000</f>
        <v>593.88130000000001</v>
      </c>
    </row>
    <row r="11" spans="1:21">
      <c r="A11" s="1" t="s">
        <v>266</v>
      </c>
      <c r="B11" s="12">
        <v>4060.5</v>
      </c>
      <c r="C11" s="44">
        <v>0</v>
      </c>
      <c r="D11" s="12">
        <v>0</v>
      </c>
      <c r="E11" s="44">
        <v>0</v>
      </c>
      <c r="F11" s="12">
        <v>0</v>
      </c>
      <c r="G11" s="44">
        <v>0</v>
      </c>
      <c r="H11" s="12">
        <v>0</v>
      </c>
      <c r="I11" s="47">
        <f t="shared" si="0"/>
        <v>0.29525662700564609</v>
      </c>
      <c r="J11" s="12">
        <v>3134.9</v>
      </c>
      <c r="K11" s="47">
        <f t="shared" si="1"/>
        <v>-0.28929947857628652</v>
      </c>
      <c r="L11" s="12">
        <v>4411</v>
      </c>
      <c r="M11" s="47">
        <f t="shared" si="2"/>
        <v>0.27151134299962532</v>
      </c>
      <c r="N11" s="12">
        <v>3469.1</v>
      </c>
      <c r="O11" s="47">
        <f>+(N11-P11)/P11</f>
        <v>-6.37525263480688E-2</v>
      </c>
      <c r="P11" s="12">
        <f>3705323.75/1000</f>
        <v>3705.32375</v>
      </c>
    </row>
    <row r="12" spans="1:21">
      <c r="A12" s="1" t="s">
        <v>267</v>
      </c>
      <c r="B12" s="12">
        <v>448.4</v>
      </c>
      <c r="C12" s="44">
        <v>0</v>
      </c>
      <c r="D12" s="12">
        <v>0</v>
      </c>
      <c r="E12" s="44">
        <v>0</v>
      </c>
      <c r="F12" s="12">
        <v>0</v>
      </c>
      <c r="G12" s="44">
        <v>0</v>
      </c>
      <c r="H12" s="12">
        <v>0</v>
      </c>
      <c r="I12" s="47">
        <f t="shared" si="0"/>
        <v>6.0548722800378346E-2</v>
      </c>
      <c r="J12" s="12">
        <v>422.8</v>
      </c>
      <c r="K12" s="44">
        <v>0</v>
      </c>
      <c r="L12" s="12">
        <v>420.5</v>
      </c>
      <c r="M12" s="44">
        <v>0</v>
      </c>
      <c r="N12" s="12">
        <v>0</v>
      </c>
      <c r="O12" s="44">
        <v>0</v>
      </c>
      <c r="P12" s="12">
        <f>367500/1000</f>
        <v>367.5</v>
      </c>
    </row>
    <row r="13" spans="1:21">
      <c r="A13" s="1" t="s">
        <v>268</v>
      </c>
      <c r="B13" s="12">
        <v>1500</v>
      </c>
      <c r="C13" s="44">
        <v>0</v>
      </c>
      <c r="D13" s="12">
        <v>0</v>
      </c>
      <c r="E13" s="44">
        <v>0</v>
      </c>
      <c r="F13" s="12">
        <v>0</v>
      </c>
      <c r="G13" s="44">
        <v>0</v>
      </c>
      <c r="H13" s="12">
        <v>0</v>
      </c>
      <c r="I13" s="47">
        <f t="shared" si="0"/>
        <v>0</v>
      </c>
      <c r="J13" s="12">
        <v>1500</v>
      </c>
      <c r="K13" s="47">
        <f t="shared" si="1"/>
        <v>0</v>
      </c>
      <c r="L13" s="12">
        <v>1500</v>
      </c>
      <c r="M13" s="44">
        <v>0</v>
      </c>
      <c r="N13" s="12">
        <f>1500000/1000</f>
        <v>1500</v>
      </c>
      <c r="O13" s="44">
        <v>0</v>
      </c>
      <c r="P13" s="12">
        <f>1500000/1000</f>
        <v>1500</v>
      </c>
    </row>
    <row r="14" spans="1:21">
      <c r="A14" s="1" t="s">
        <v>269</v>
      </c>
      <c r="B14" s="221">
        <v>313.7</v>
      </c>
      <c r="C14" s="44">
        <v>0</v>
      </c>
      <c r="D14" s="221">
        <v>0</v>
      </c>
      <c r="E14" s="44">
        <v>0</v>
      </c>
      <c r="F14" s="221">
        <v>0</v>
      </c>
      <c r="G14" s="44">
        <v>0</v>
      </c>
      <c r="H14" s="221">
        <v>0</v>
      </c>
      <c r="I14" s="47">
        <f t="shared" si="0"/>
        <v>7.6896670099553643E-2</v>
      </c>
      <c r="J14" s="221">
        <v>291.3</v>
      </c>
      <c r="K14" s="47">
        <f t="shared" si="1"/>
        <v>2.276715410573678</v>
      </c>
      <c r="L14" s="221">
        <v>88.9</v>
      </c>
      <c r="M14" s="47">
        <f t="shared" si="2"/>
        <v>2.5138339920948618</v>
      </c>
      <c r="N14" s="221">
        <v>25.3</v>
      </c>
      <c r="O14" s="47">
        <f>+(N14-P14)/P14</f>
        <v>-0.36646099603349497</v>
      </c>
      <c r="P14" s="221">
        <f>39934.4/1000</f>
        <v>39.934400000000004</v>
      </c>
    </row>
    <row r="15" spans="1:21" ht="15.6" customHeight="1">
      <c r="A15" s="1"/>
      <c r="B15" s="12">
        <f>SUM(B10:B14)</f>
        <v>6706.7</v>
      </c>
      <c r="C15" s="44">
        <v>0</v>
      </c>
      <c r="D15" s="12">
        <f>SUM(D10:D14)</f>
        <v>0</v>
      </c>
      <c r="E15" s="44">
        <v>0</v>
      </c>
      <c r="F15" s="12">
        <f>SUM(F10:F14)</f>
        <v>0</v>
      </c>
      <c r="G15" s="44">
        <v>0</v>
      </c>
      <c r="H15" s="12">
        <f>SUM(H10:H14)</f>
        <v>0</v>
      </c>
      <c r="I15" s="47">
        <f t="shared" si="0"/>
        <v>0.17618070535416766</v>
      </c>
      <c r="J15" s="12">
        <f>SUM(J10:J14)</f>
        <v>5702.1</v>
      </c>
      <c r="K15" s="47">
        <f t="shared" si="1"/>
        <v>-0.12552525841180245</v>
      </c>
      <c r="L15" s="12">
        <f>SUM(L10:L14)</f>
        <v>6520.5999999999995</v>
      </c>
      <c r="M15" s="47">
        <f t="shared" si="2"/>
        <v>6.9213741083872987E-2</v>
      </c>
      <c r="N15" s="12">
        <f>SUM(N10:N14)</f>
        <v>6098.5</v>
      </c>
      <c r="O15" s="47">
        <f>+(N15-P15)/P15</f>
        <v>-1.7423188646796709E-2</v>
      </c>
      <c r="P15" s="12">
        <f>SUM(P10:P14)</f>
        <v>6206.6394500000006</v>
      </c>
    </row>
    <row r="16" spans="1:21" ht="7.9" customHeight="1">
      <c r="A16" s="1"/>
      <c r="C16" s="44" t="s">
        <v>0</v>
      </c>
      <c r="E16" s="44" t="s">
        <v>0</v>
      </c>
      <c r="G16" s="44" t="s">
        <v>0</v>
      </c>
      <c r="I16" s="47" t="s">
        <v>0</v>
      </c>
      <c r="K16" s="47" t="s">
        <v>0</v>
      </c>
      <c r="M16" s="47" t="s">
        <v>0</v>
      </c>
      <c r="O16" s="47" t="s">
        <v>0</v>
      </c>
    </row>
    <row r="17" spans="1:16" ht="15.6" customHeight="1">
      <c r="A17" s="1" t="s">
        <v>270</v>
      </c>
      <c r="B17" s="12">
        <f>+B74</f>
        <v>0</v>
      </c>
      <c r="C17" s="44">
        <v>0</v>
      </c>
      <c r="D17" s="12">
        <f>+D74</f>
        <v>0</v>
      </c>
      <c r="E17" s="44">
        <v>0</v>
      </c>
      <c r="F17" s="12">
        <f>+F74</f>
        <v>0</v>
      </c>
      <c r="G17" s="44">
        <v>0</v>
      </c>
      <c r="H17" s="12">
        <v>0</v>
      </c>
      <c r="I17" s="44">
        <v>0</v>
      </c>
      <c r="J17" s="12">
        <v>0</v>
      </c>
      <c r="K17" s="44">
        <v>0</v>
      </c>
      <c r="L17" s="12">
        <v>0</v>
      </c>
      <c r="M17" s="44">
        <v>0</v>
      </c>
      <c r="N17" s="12">
        <v>0</v>
      </c>
      <c r="O17" s="44">
        <v>0</v>
      </c>
      <c r="P17" s="12">
        <v>0</v>
      </c>
    </row>
    <row r="18" spans="1:16">
      <c r="A18" s="1" t="s">
        <v>271</v>
      </c>
      <c r="B18" s="12">
        <f>+B80</f>
        <v>0</v>
      </c>
      <c r="C18" s="44">
        <v>0</v>
      </c>
      <c r="D18" s="12">
        <v>0</v>
      </c>
      <c r="E18" s="44">
        <v>0</v>
      </c>
      <c r="F18" s="12">
        <f>+F80</f>
        <v>0</v>
      </c>
      <c r="G18" s="44">
        <v>0</v>
      </c>
      <c r="H18" s="12">
        <f>+H80</f>
        <v>0</v>
      </c>
      <c r="I18" s="44">
        <v>0</v>
      </c>
      <c r="J18" s="12">
        <f>+J80</f>
        <v>0</v>
      </c>
      <c r="K18" s="44">
        <v>0</v>
      </c>
      <c r="L18" s="12">
        <f>+L80</f>
        <v>0</v>
      </c>
      <c r="M18" s="44">
        <v>0</v>
      </c>
      <c r="N18" s="12">
        <v>0</v>
      </c>
      <c r="O18" s="44">
        <v>0</v>
      </c>
      <c r="P18" s="12">
        <v>0</v>
      </c>
    </row>
    <row r="19" spans="1:16">
      <c r="A19" s="1" t="s">
        <v>272</v>
      </c>
      <c r="B19" s="12">
        <v>3752.9</v>
      </c>
      <c r="C19" s="44">
        <v>0</v>
      </c>
      <c r="D19" s="12">
        <v>0</v>
      </c>
      <c r="E19" s="44">
        <v>0</v>
      </c>
      <c r="F19" s="12">
        <v>0</v>
      </c>
      <c r="G19" s="44">
        <v>0</v>
      </c>
      <c r="H19" s="12">
        <v>0</v>
      </c>
      <c r="I19" s="47">
        <f>+(B19-J19)/ABS(J19)</f>
        <v>-2.3393678390088864E-3</v>
      </c>
      <c r="J19" s="12">
        <v>3761.7</v>
      </c>
      <c r="K19" s="47">
        <f>+(J19-L19)/L19</f>
        <v>0.19407675459480053</v>
      </c>
      <c r="L19" s="12">
        <f>979.1+1229.6+935.6+6</f>
        <v>3150.2999999999997</v>
      </c>
      <c r="M19" s="47">
        <f>+(L19-N19)/N19</f>
        <v>0.21422239352476383</v>
      </c>
      <c r="N19" s="12">
        <v>2594.5</v>
      </c>
      <c r="O19" s="47">
        <f>+(N19-P19)/P19</f>
        <v>1.4873861447065647E-2</v>
      </c>
      <c r="P19" s="12">
        <f>2556475.34/1000</f>
        <v>2556.47534</v>
      </c>
    </row>
    <row r="20" spans="1:16">
      <c r="A20" s="1" t="s">
        <v>273</v>
      </c>
      <c r="B20" s="12">
        <v>176.7</v>
      </c>
      <c r="C20" s="44">
        <v>0</v>
      </c>
      <c r="D20" s="12">
        <v>0</v>
      </c>
      <c r="E20" s="44">
        <v>0</v>
      </c>
      <c r="F20" s="12">
        <v>0</v>
      </c>
      <c r="G20" s="44">
        <v>0</v>
      </c>
      <c r="H20" s="12">
        <v>0</v>
      </c>
      <c r="I20" s="47">
        <f>+(B20-J20)/ABS(J20)</f>
        <v>-1.7241379310344952E-2</v>
      </c>
      <c r="J20" s="12">
        <v>179.8</v>
      </c>
      <c r="K20" s="47">
        <f>+(J20-L20)/L20</f>
        <v>-5.2687038988408846E-2</v>
      </c>
      <c r="L20" s="12">
        <f>181+165.1-156.3</f>
        <v>189.8</v>
      </c>
      <c r="M20" s="47">
        <f>+(L20-N20)/N20</f>
        <v>-5.5251368840218987E-2</v>
      </c>
      <c r="N20" s="12">
        <v>200.9</v>
      </c>
      <c r="O20" s="47">
        <f>+(N20-P20)/P20</f>
        <v>-6.2950465341410924E-2</v>
      </c>
      <c r="P20" s="12">
        <f>214396.35/1000</f>
        <v>214.39635000000001</v>
      </c>
    </row>
    <row r="21" spans="1:16" ht="16.5" thickBot="1">
      <c r="A21" s="1" t="s">
        <v>274</v>
      </c>
      <c r="B21" s="99">
        <v>680.1</v>
      </c>
      <c r="C21" s="44">
        <v>0</v>
      </c>
      <c r="D21" s="99">
        <v>0</v>
      </c>
      <c r="E21" s="44">
        <v>0</v>
      </c>
      <c r="F21" s="99">
        <v>0</v>
      </c>
      <c r="G21" s="44">
        <v>0</v>
      </c>
      <c r="H21" s="99">
        <v>0</v>
      </c>
      <c r="I21" s="47">
        <f>+(B21-J21)/ABS(J21)</f>
        <v>0.56344827586206903</v>
      </c>
      <c r="J21" s="99">
        <v>435</v>
      </c>
      <c r="K21" s="47">
        <f>+(J21-L21)/L21</f>
        <v>0.2053200332502079</v>
      </c>
      <c r="L21" s="99">
        <f>77.6+0.1+264.4+18.8</f>
        <v>360.9</v>
      </c>
      <c r="M21" s="47">
        <f>+(L21-N21)/N21</f>
        <v>-0.28718151293699395</v>
      </c>
      <c r="N21" s="99">
        <v>506.3</v>
      </c>
      <c r="O21" s="47">
        <f>+(N21-P21)/P21</f>
        <v>0.37831416089170383</v>
      </c>
      <c r="P21" s="99">
        <f>367332.8/1000</f>
        <v>367.33279999999996</v>
      </c>
    </row>
    <row r="22" spans="1:16">
      <c r="A22" s="1" t="s">
        <v>275</v>
      </c>
      <c r="B22" s="4">
        <f>SUM(B15:B21)</f>
        <v>11316.400000000001</v>
      </c>
      <c r="C22" s="44">
        <v>0</v>
      </c>
      <c r="D22" s="4">
        <f>SUM(D15:D21)</f>
        <v>0</v>
      </c>
      <c r="E22" s="44">
        <v>0</v>
      </c>
      <c r="F22" s="4">
        <f>SUM(F15:F21)</f>
        <v>0</v>
      </c>
      <c r="G22" s="44">
        <v>0</v>
      </c>
      <c r="H22" s="4">
        <f>SUM(H15:H21)</f>
        <v>0</v>
      </c>
      <c r="I22" s="47">
        <f>+(B22-J22)/ABS(J22)</f>
        <v>0.12281467664159736</v>
      </c>
      <c r="J22" s="4">
        <f>SUM(J15:J21)</f>
        <v>10078.599999999999</v>
      </c>
      <c r="K22" s="47">
        <f>+(J22-L22)/L22</f>
        <v>-1.3989981998904282E-2</v>
      </c>
      <c r="L22" s="4">
        <f>SUM(L15:L21)</f>
        <v>10221.599999999999</v>
      </c>
      <c r="M22" s="47">
        <f>+(L22-N22)/N22</f>
        <v>8.7381119550647826E-2</v>
      </c>
      <c r="N22" s="4">
        <f>SUM(N15:N21)</f>
        <v>9400.1999999999989</v>
      </c>
      <c r="O22" s="47">
        <f>+(N22-P22)/P22</f>
        <v>5.9237008510169137E-3</v>
      </c>
      <c r="P22" s="4">
        <f>SUM(P15:P21)</f>
        <v>9344.8439400000007</v>
      </c>
    </row>
    <row r="23" spans="1:16" ht="7.9" customHeight="1">
      <c r="A23" s="1"/>
      <c r="C23" s="44" t="s">
        <v>0</v>
      </c>
      <c r="E23" s="44" t="s">
        <v>0</v>
      </c>
      <c r="G23" s="44" t="s">
        <v>0</v>
      </c>
      <c r="I23" s="47" t="s">
        <v>0</v>
      </c>
      <c r="K23" s="47" t="s">
        <v>0</v>
      </c>
      <c r="M23" s="47" t="s">
        <v>0</v>
      </c>
      <c r="O23" s="47" t="s">
        <v>0</v>
      </c>
    </row>
    <row r="24" spans="1:16">
      <c r="A24" s="87" t="s">
        <v>276</v>
      </c>
      <c r="C24" s="44" t="s">
        <v>0</v>
      </c>
      <c r="E24" s="44" t="s">
        <v>0</v>
      </c>
      <c r="G24" s="44" t="s">
        <v>0</v>
      </c>
      <c r="I24" s="47" t="s">
        <v>0</v>
      </c>
      <c r="K24" s="47" t="s">
        <v>0</v>
      </c>
      <c r="M24" s="47" t="s">
        <v>0</v>
      </c>
      <c r="O24" s="47" t="s">
        <v>0</v>
      </c>
    </row>
    <row r="25" spans="1:16">
      <c r="A25" s="1" t="s">
        <v>277</v>
      </c>
      <c r="B25" s="16" t="s">
        <v>0</v>
      </c>
      <c r="C25" s="44" t="s">
        <v>0</v>
      </c>
      <c r="D25" s="16" t="s">
        <v>0</v>
      </c>
      <c r="E25" s="44" t="s">
        <v>0</v>
      </c>
      <c r="G25" s="44" t="s">
        <v>0</v>
      </c>
      <c r="I25" s="47" t="s">
        <v>0</v>
      </c>
      <c r="K25" s="47" t="s">
        <v>0</v>
      </c>
      <c r="M25" s="47" t="s">
        <v>0</v>
      </c>
      <c r="O25" s="47" t="s">
        <v>0</v>
      </c>
    </row>
    <row r="26" spans="1:16">
      <c r="A26" s="1" t="s">
        <v>456</v>
      </c>
      <c r="B26" s="12">
        <v>2186.9</v>
      </c>
      <c r="C26" s="44">
        <v>0</v>
      </c>
      <c r="D26" s="12">
        <v>0</v>
      </c>
      <c r="E26" s="44">
        <v>0</v>
      </c>
      <c r="F26" s="12">
        <v>0</v>
      </c>
      <c r="G26" s="44">
        <v>0</v>
      </c>
      <c r="H26" s="12">
        <v>0</v>
      </c>
      <c r="I26" s="47">
        <f>+(B26-J26)/ABS(J26)</f>
        <v>0.99534671532846719</v>
      </c>
      <c r="J26" s="12">
        <v>1096</v>
      </c>
      <c r="K26" s="47">
        <f>+(J26-L26)/L26</f>
        <v>-0.13015873015873017</v>
      </c>
      <c r="L26" s="12">
        <f>558.3+701.7</f>
        <v>1260</v>
      </c>
      <c r="M26" s="47">
        <f>+(L26-N26)/N26</f>
        <v>0.40546569994422754</v>
      </c>
      <c r="N26" s="12">
        <v>896.5</v>
      </c>
      <c r="O26" s="47">
        <f>+(N26-P26)/P26</f>
        <v>-0.27662685510818152</v>
      </c>
      <c r="P26" s="12">
        <f>1239332.71/1000</f>
        <v>1239.3327099999999</v>
      </c>
    </row>
    <row r="27" spans="1:16">
      <c r="A27" s="1" t="s">
        <v>279</v>
      </c>
      <c r="B27" s="12">
        <v>3159.4</v>
      </c>
      <c r="C27" s="44">
        <v>0</v>
      </c>
      <c r="D27" s="12">
        <v>0</v>
      </c>
      <c r="E27" s="44">
        <v>0</v>
      </c>
      <c r="F27" s="12">
        <v>0</v>
      </c>
      <c r="G27" s="44">
        <v>0</v>
      </c>
      <c r="H27" s="12">
        <v>0</v>
      </c>
      <c r="I27" s="47">
        <f>+(B27-J27)/ABS(J27)</f>
        <v>3.1640816326530645E-2</v>
      </c>
      <c r="J27" s="12">
        <v>3062.5</v>
      </c>
      <c r="K27" s="47">
        <f>+(J27-L27)/L27</f>
        <v>-3.8582281660074116E-2</v>
      </c>
      <c r="L27" s="12">
        <v>3185.4</v>
      </c>
      <c r="M27" s="47">
        <f>+(L27-N27)/N27</f>
        <v>5.9962731265806028E-2</v>
      </c>
      <c r="N27" s="12">
        <v>3005.2</v>
      </c>
      <c r="O27" s="47">
        <f>+(N27-P27)/P27</f>
        <v>9.7445386553518559E-2</v>
      </c>
      <c r="P27" s="12">
        <f>2738359.5/1000</f>
        <v>2738.3595</v>
      </c>
    </row>
    <row r="28" spans="1:16">
      <c r="A28" s="1" t="s">
        <v>280</v>
      </c>
      <c r="B28" s="221">
        <f>+B126</f>
        <v>0</v>
      </c>
      <c r="C28" s="44">
        <v>0</v>
      </c>
      <c r="D28" s="221">
        <f>+D126</f>
        <v>0</v>
      </c>
      <c r="E28" s="44">
        <v>0</v>
      </c>
      <c r="F28" s="221">
        <f>+F126</f>
        <v>0</v>
      </c>
      <c r="G28" s="44">
        <v>0</v>
      </c>
      <c r="H28" s="221">
        <v>0</v>
      </c>
      <c r="I28" s="44">
        <v>0</v>
      </c>
      <c r="J28" s="221">
        <v>0</v>
      </c>
      <c r="K28" s="44">
        <v>0</v>
      </c>
      <c r="L28" s="221">
        <f>+L126</f>
        <v>0</v>
      </c>
      <c r="M28" s="44">
        <v>0</v>
      </c>
      <c r="N28" s="221">
        <v>0</v>
      </c>
      <c r="O28" s="44">
        <v>0</v>
      </c>
      <c r="P28" s="221">
        <v>0</v>
      </c>
    </row>
    <row r="29" spans="1:16">
      <c r="A29" s="1"/>
      <c r="B29" s="12">
        <f>SUM(B26:B28)</f>
        <v>5346.3</v>
      </c>
      <c r="C29" s="44">
        <v>0</v>
      </c>
      <c r="D29" s="12">
        <f>SUM(D26:D28)</f>
        <v>0</v>
      </c>
      <c r="E29" s="44">
        <v>0</v>
      </c>
      <c r="F29" s="12">
        <f>SUM(F26:F28)</f>
        <v>0</v>
      </c>
      <c r="G29" s="44">
        <v>0</v>
      </c>
      <c r="H29" s="12">
        <f>SUM(H26:H28)</f>
        <v>0</v>
      </c>
      <c r="I29" s="47">
        <f>+(B29-J29)/ABS(J29)</f>
        <v>0.28563183840327044</v>
      </c>
      <c r="J29" s="12">
        <f>SUM(J26:J28)</f>
        <v>4158.5</v>
      </c>
      <c r="K29" s="47">
        <f>+(J29-L29)/L29</f>
        <v>-6.4538624195797825E-2</v>
      </c>
      <c r="L29" s="12">
        <f>SUM(L26:L28)</f>
        <v>4445.3999999999996</v>
      </c>
      <c r="M29" s="47">
        <f>+(L29-N29)/N29</f>
        <v>0.13934951431427323</v>
      </c>
      <c r="N29" s="12">
        <f>SUM(N26:N28)</f>
        <v>3901.7</v>
      </c>
      <c r="O29" s="47">
        <f>+(N29-P29)/P29</f>
        <v>-1.9104597839157682E-2</v>
      </c>
      <c r="P29" s="12">
        <f>SUM(P26:P28)</f>
        <v>3977.6922100000002</v>
      </c>
    </row>
    <row r="30" spans="1:16" ht="7.9" customHeight="1">
      <c r="A30" s="1"/>
      <c r="C30" s="44" t="s">
        <v>0</v>
      </c>
      <c r="E30" s="44" t="s">
        <v>0</v>
      </c>
      <c r="G30" s="44" t="s">
        <v>0</v>
      </c>
      <c r="I30" s="47" t="s">
        <v>0</v>
      </c>
      <c r="K30" s="47" t="s">
        <v>0</v>
      </c>
      <c r="M30" s="47" t="s">
        <v>0</v>
      </c>
      <c r="O30" s="47" t="s">
        <v>0</v>
      </c>
    </row>
    <row r="31" spans="1:16">
      <c r="A31" s="1" t="s">
        <v>281</v>
      </c>
      <c r="C31" s="44" t="s">
        <v>0</v>
      </c>
      <c r="E31" s="44" t="s">
        <v>0</v>
      </c>
      <c r="G31" s="44" t="s">
        <v>0</v>
      </c>
      <c r="I31" s="47" t="s">
        <v>0</v>
      </c>
      <c r="K31" s="47" t="s">
        <v>0</v>
      </c>
      <c r="M31" s="47" t="s">
        <v>0</v>
      </c>
      <c r="O31" s="47" t="s">
        <v>0</v>
      </c>
    </row>
    <row r="32" spans="1:16">
      <c r="A32" s="1" t="s">
        <v>282</v>
      </c>
      <c r="B32" s="12">
        <f>+B139</f>
        <v>0</v>
      </c>
      <c r="C32" s="44">
        <v>0</v>
      </c>
      <c r="D32" s="12">
        <f>+D139</f>
        <v>0</v>
      </c>
      <c r="E32" s="44">
        <v>0</v>
      </c>
      <c r="F32" s="12">
        <f>+F139</f>
        <v>0</v>
      </c>
      <c r="G32" s="44">
        <v>0</v>
      </c>
      <c r="H32" s="12">
        <f>+H139</f>
        <v>0</v>
      </c>
      <c r="I32" s="44">
        <v>0</v>
      </c>
      <c r="J32" s="12">
        <f>+J139</f>
        <v>0</v>
      </c>
      <c r="K32" s="44">
        <v>0</v>
      </c>
      <c r="L32" s="12">
        <f>+L139</f>
        <v>0</v>
      </c>
      <c r="M32" s="44">
        <v>0</v>
      </c>
      <c r="N32" s="12">
        <v>0</v>
      </c>
      <c r="O32" s="44">
        <v>0</v>
      </c>
      <c r="P32" s="12">
        <v>0</v>
      </c>
    </row>
    <row r="33" spans="1:21">
      <c r="A33" s="1" t="s">
        <v>283</v>
      </c>
      <c r="B33" s="12">
        <f>+B140</f>
        <v>0</v>
      </c>
      <c r="C33" s="44">
        <v>0</v>
      </c>
      <c r="D33" s="12">
        <f>+D140</f>
        <v>0</v>
      </c>
      <c r="E33" s="44">
        <v>0</v>
      </c>
      <c r="F33" s="12">
        <f>+F140</f>
        <v>0</v>
      </c>
      <c r="G33" s="44">
        <v>0</v>
      </c>
      <c r="H33" s="12">
        <f>+H140</f>
        <v>0</v>
      </c>
      <c r="I33" s="44">
        <v>0</v>
      </c>
      <c r="J33" s="12">
        <f>+J140</f>
        <v>0</v>
      </c>
      <c r="K33" s="44">
        <v>0</v>
      </c>
      <c r="L33" s="12">
        <f>+L140</f>
        <v>0</v>
      </c>
      <c r="M33" s="44">
        <v>0</v>
      </c>
      <c r="N33" s="12">
        <v>0</v>
      </c>
      <c r="O33" s="44">
        <v>0</v>
      </c>
      <c r="P33" s="12">
        <v>0</v>
      </c>
    </row>
    <row r="34" spans="1:21" ht="18">
      <c r="A34" s="1" t="s">
        <v>284</v>
      </c>
      <c r="B34" s="221">
        <v>180.5</v>
      </c>
      <c r="C34" s="44">
        <v>0</v>
      </c>
      <c r="D34" s="221">
        <v>0</v>
      </c>
      <c r="E34" s="44">
        <v>0</v>
      </c>
      <c r="F34" s="221">
        <v>0</v>
      </c>
      <c r="G34" s="44">
        <v>0</v>
      </c>
      <c r="H34" s="221">
        <v>0</v>
      </c>
      <c r="I34" s="47">
        <f>+(B34-J34)/ABS(J34)</f>
        <v>0.11008610086100865</v>
      </c>
      <c r="J34" s="221">
        <v>162.6</v>
      </c>
      <c r="K34" s="47">
        <f>+(J34-L34)/L34</f>
        <v>0.42132867132867141</v>
      </c>
      <c r="L34" s="221">
        <f>6.6+107.8</f>
        <v>114.39999999999999</v>
      </c>
      <c r="M34" s="47">
        <f>+(L34-N34)/N34</f>
        <v>4.5703839122486156E-2</v>
      </c>
      <c r="N34" s="221">
        <v>109.4</v>
      </c>
      <c r="O34" s="47">
        <f>+(N34-P34)/P34</f>
        <v>0.59982451650641633</v>
      </c>
      <c r="P34" s="221">
        <f>68382.5/1000</f>
        <v>68.382499999999993</v>
      </c>
      <c r="Q34" s="6"/>
      <c r="R34" s="6"/>
      <c r="S34" s="7"/>
      <c r="T34" s="7"/>
      <c r="U34" s="7"/>
    </row>
    <row r="35" spans="1:21">
      <c r="A35" s="1"/>
      <c r="B35" s="12">
        <f>SUM(B32:B34)</f>
        <v>180.5</v>
      </c>
      <c r="C35" s="44">
        <v>0</v>
      </c>
      <c r="D35" s="12">
        <f>SUM(D32:D34)</f>
        <v>0</v>
      </c>
      <c r="E35" s="44">
        <v>0</v>
      </c>
      <c r="F35" s="12">
        <f>SUM(F32:F34)</f>
        <v>0</v>
      </c>
      <c r="G35" s="44">
        <v>0</v>
      </c>
      <c r="H35" s="12">
        <f>SUM(H32:H34)</f>
        <v>0</v>
      </c>
      <c r="I35" s="47">
        <f>+(B35-J35)/ABS(J35)</f>
        <v>0.11008610086100865</v>
      </c>
      <c r="J35" s="12">
        <f>SUM(J32:J34)</f>
        <v>162.6</v>
      </c>
      <c r="K35" s="47">
        <f>+(J35-L35)/L35</f>
        <v>0.42132867132867141</v>
      </c>
      <c r="L35" s="12">
        <f>SUM(L32:L34)</f>
        <v>114.39999999999999</v>
      </c>
      <c r="M35" s="47">
        <f>+(L35-N35)/N35</f>
        <v>4.5703839122486156E-2</v>
      </c>
      <c r="N35" s="12">
        <f>SUM(N32:N34)</f>
        <v>109.4</v>
      </c>
      <c r="O35" s="47">
        <f>+(N35-P35)/P35</f>
        <v>0.59982451650641633</v>
      </c>
      <c r="P35" s="12">
        <f>SUM(P32:P34)</f>
        <v>68.382499999999993</v>
      </c>
    </row>
    <row r="36" spans="1:21" ht="7.15" customHeight="1">
      <c r="A36" s="1"/>
      <c r="C36" s="44" t="s">
        <v>0</v>
      </c>
      <c r="E36" s="44" t="s">
        <v>0</v>
      </c>
      <c r="G36" s="44" t="s">
        <v>0</v>
      </c>
      <c r="I36" s="47" t="s">
        <v>0</v>
      </c>
      <c r="K36" s="47" t="s">
        <v>0</v>
      </c>
      <c r="M36" s="47" t="s">
        <v>0</v>
      </c>
      <c r="O36" s="47" t="s">
        <v>0</v>
      </c>
    </row>
    <row r="37" spans="1:21">
      <c r="A37" s="1" t="s">
        <v>285</v>
      </c>
      <c r="C37" s="44" t="s">
        <v>0</v>
      </c>
      <c r="E37" s="44" t="s">
        <v>0</v>
      </c>
      <c r="G37" s="44" t="s">
        <v>0</v>
      </c>
      <c r="I37" s="47" t="s">
        <v>0</v>
      </c>
      <c r="K37" s="47" t="s">
        <v>0</v>
      </c>
      <c r="M37" s="47" t="s">
        <v>0</v>
      </c>
      <c r="O37" s="47" t="s">
        <v>0</v>
      </c>
    </row>
    <row r="38" spans="1:21">
      <c r="A38" s="1" t="s">
        <v>282</v>
      </c>
      <c r="B38" s="12">
        <f>+B146</f>
        <v>0</v>
      </c>
      <c r="C38" s="44">
        <v>0</v>
      </c>
      <c r="D38" s="12">
        <f>+D146</f>
        <v>0</v>
      </c>
      <c r="E38" s="44">
        <v>0</v>
      </c>
      <c r="F38" s="12">
        <f>+F146</f>
        <v>0</v>
      </c>
      <c r="G38" s="44">
        <v>0</v>
      </c>
      <c r="H38" s="12">
        <f>+H146</f>
        <v>0</v>
      </c>
      <c r="I38" s="44">
        <v>0</v>
      </c>
      <c r="J38" s="12">
        <f>+J146</f>
        <v>0</v>
      </c>
      <c r="K38" s="44">
        <v>0</v>
      </c>
      <c r="L38" s="12">
        <f>+L146</f>
        <v>0</v>
      </c>
      <c r="M38" s="44">
        <v>0</v>
      </c>
      <c r="N38" s="12">
        <v>0</v>
      </c>
      <c r="O38" s="44">
        <v>0</v>
      </c>
      <c r="P38" s="12">
        <v>0</v>
      </c>
    </row>
    <row r="39" spans="1:21">
      <c r="A39" s="1" t="s">
        <v>286</v>
      </c>
      <c r="B39" s="12">
        <f>+B147</f>
        <v>0</v>
      </c>
      <c r="C39" s="44">
        <v>0</v>
      </c>
      <c r="D39" s="12">
        <f>+D147</f>
        <v>0</v>
      </c>
      <c r="E39" s="44">
        <v>0</v>
      </c>
      <c r="F39" s="12">
        <f>+F147</f>
        <v>0</v>
      </c>
      <c r="G39" s="44">
        <v>0</v>
      </c>
      <c r="H39" s="12">
        <f>+H147</f>
        <v>0</v>
      </c>
      <c r="I39" s="44">
        <v>0</v>
      </c>
      <c r="J39" s="12">
        <f>+J147</f>
        <v>0</v>
      </c>
      <c r="K39" s="44">
        <v>0</v>
      </c>
      <c r="L39" s="12">
        <f>+L147</f>
        <v>0</v>
      </c>
      <c r="M39" s="44">
        <v>0</v>
      </c>
      <c r="N39" s="12">
        <v>0</v>
      </c>
      <c r="O39" s="44">
        <v>0</v>
      </c>
      <c r="P39" s="12">
        <v>0</v>
      </c>
    </row>
    <row r="40" spans="1:21">
      <c r="A40" s="1" t="s">
        <v>284</v>
      </c>
      <c r="B40" s="221">
        <f>+B144+B145+B148+B149+B150</f>
        <v>0</v>
      </c>
      <c r="C40" s="44">
        <v>0</v>
      </c>
      <c r="D40" s="221">
        <f>+D144+D145+D148+D149+D150</f>
        <v>0</v>
      </c>
      <c r="E40" s="44">
        <v>0</v>
      </c>
      <c r="F40" s="221">
        <f>+F144+F145+F148+F149+F150</f>
        <v>0</v>
      </c>
      <c r="G40" s="44">
        <v>0</v>
      </c>
      <c r="H40" s="221">
        <f>+H144+H145+H148+H149+H150</f>
        <v>0</v>
      </c>
      <c r="I40" s="44">
        <v>0</v>
      </c>
      <c r="J40" s="221">
        <f>+J144+J145+J148+J149+J150</f>
        <v>0</v>
      </c>
      <c r="K40" s="44">
        <v>0</v>
      </c>
      <c r="L40" s="221">
        <f>+L144+L145+L148+L149+L150</f>
        <v>0</v>
      </c>
      <c r="M40" s="44">
        <v>0</v>
      </c>
      <c r="N40" s="221">
        <v>0</v>
      </c>
      <c r="O40" s="44">
        <v>0</v>
      </c>
      <c r="P40" s="221">
        <v>0</v>
      </c>
    </row>
    <row r="41" spans="1:21">
      <c r="A41" s="1"/>
      <c r="B41" s="12">
        <f>SUM(B38:B40)</f>
        <v>0</v>
      </c>
      <c r="C41" s="44">
        <v>0</v>
      </c>
      <c r="D41" s="12">
        <f>SUM(D38:D40)</f>
        <v>0</v>
      </c>
      <c r="E41" s="44">
        <v>0</v>
      </c>
      <c r="F41" s="12">
        <f>SUM(F38:F40)</f>
        <v>0</v>
      </c>
      <c r="G41" s="44">
        <v>0</v>
      </c>
      <c r="H41" s="12">
        <f>SUM(H38:H40)</f>
        <v>0</v>
      </c>
      <c r="I41" s="44">
        <v>0</v>
      </c>
      <c r="J41" s="12">
        <f>SUM(J38:J40)</f>
        <v>0</v>
      </c>
      <c r="K41" s="44">
        <v>0</v>
      </c>
      <c r="L41" s="12">
        <f>SUM(L38:L40)</f>
        <v>0</v>
      </c>
      <c r="M41" s="44">
        <v>0</v>
      </c>
      <c r="N41" s="12">
        <f>SUM(N38:N40)</f>
        <v>0</v>
      </c>
      <c r="O41" s="44">
        <v>0</v>
      </c>
      <c r="P41" s="12">
        <f>SUM(P38:P40)</f>
        <v>0</v>
      </c>
    </row>
    <row r="42" spans="1:21" ht="8.4499999999999993" customHeight="1">
      <c r="A42" s="1"/>
      <c r="C42" s="44" t="s">
        <v>0</v>
      </c>
      <c r="E42" s="44" t="s">
        <v>0</v>
      </c>
      <c r="G42" s="44" t="s">
        <v>0</v>
      </c>
      <c r="I42" s="44" t="s">
        <v>0</v>
      </c>
      <c r="K42" s="44" t="s">
        <v>0</v>
      </c>
      <c r="M42" s="44" t="s">
        <v>0</v>
      </c>
      <c r="O42" s="44" t="s">
        <v>0</v>
      </c>
    </row>
    <row r="43" spans="1:21" ht="18">
      <c r="A43" s="1" t="s">
        <v>287</v>
      </c>
      <c r="B43" s="221">
        <f>+B152+B154+B156</f>
        <v>0</v>
      </c>
      <c r="C43" s="44">
        <v>0</v>
      </c>
      <c r="D43" s="221">
        <f>+D152+D154+D156</f>
        <v>0</v>
      </c>
      <c r="E43" s="44">
        <v>0</v>
      </c>
      <c r="F43" s="221">
        <f>+F152+F154+F156</f>
        <v>0</v>
      </c>
      <c r="G43" s="44">
        <v>0</v>
      </c>
      <c r="H43" s="221">
        <f>+H152+H154+H156</f>
        <v>0</v>
      </c>
      <c r="I43" s="44">
        <v>0</v>
      </c>
      <c r="J43" s="221">
        <f>+J152+J154+J156</f>
        <v>0</v>
      </c>
      <c r="K43" s="44">
        <v>0</v>
      </c>
      <c r="L43" s="221">
        <f>+L152+L154+L156</f>
        <v>0</v>
      </c>
      <c r="M43" s="44">
        <v>0</v>
      </c>
      <c r="N43" s="221">
        <v>0</v>
      </c>
      <c r="O43" s="44">
        <v>0</v>
      </c>
      <c r="P43" s="221">
        <v>0</v>
      </c>
      <c r="Q43" s="6"/>
      <c r="R43" s="6"/>
    </row>
    <row r="44" spans="1:21">
      <c r="A44" s="1"/>
      <c r="B44" s="12">
        <f>+B29+B35+B41+B43</f>
        <v>5526.8</v>
      </c>
      <c r="C44" s="44">
        <v>0</v>
      </c>
      <c r="D44" s="12">
        <f>+D29+D35+D41+D43</f>
        <v>0</v>
      </c>
      <c r="E44" s="44">
        <v>0</v>
      </c>
      <c r="F44" s="12">
        <f>+F29+F35+F41+F43</f>
        <v>0</v>
      </c>
      <c r="G44" s="44">
        <v>0</v>
      </c>
      <c r="H44" s="12">
        <f>+H29+H35+H41+H43</f>
        <v>0</v>
      </c>
      <c r="I44" s="47">
        <f>+(B44-J44)/ABS(J44)</f>
        <v>0.27902617389090734</v>
      </c>
      <c r="J44" s="12">
        <f>+J29+J35+J41+J43</f>
        <v>4321.1000000000004</v>
      </c>
      <c r="K44" s="47">
        <f>+(J44-L44)/L44</f>
        <v>-5.2348787227509748E-2</v>
      </c>
      <c r="L44" s="12">
        <f>+L29+L35+L41+L43</f>
        <v>4559.7999999999993</v>
      </c>
      <c r="M44" s="47">
        <f>+(L44-N44)/N44</f>
        <v>0.1367953927850214</v>
      </c>
      <c r="N44" s="12">
        <f>+N29+N35+N41+N43</f>
        <v>4011.1</v>
      </c>
      <c r="O44" s="47">
        <f>+(N44-P44)/P44</f>
        <v>-8.6441087984755506E-3</v>
      </c>
      <c r="P44" s="12">
        <f>+P29+P35+P41+P43</f>
        <v>4046.0747100000003</v>
      </c>
    </row>
    <row r="45" spans="1:21" ht="8.4499999999999993" customHeight="1">
      <c r="A45" s="1"/>
      <c r="C45" s="44" t="s">
        <v>0</v>
      </c>
      <c r="E45" s="44" t="s">
        <v>0</v>
      </c>
      <c r="G45" s="44" t="s">
        <v>0</v>
      </c>
      <c r="I45" s="47" t="s">
        <v>0</v>
      </c>
      <c r="K45" s="47" t="s">
        <v>0</v>
      </c>
      <c r="M45" s="47" t="s">
        <v>0</v>
      </c>
      <c r="O45" s="47" t="s">
        <v>0</v>
      </c>
    </row>
    <row r="46" spans="1:21">
      <c r="A46" s="87" t="s">
        <v>288</v>
      </c>
      <c r="C46" s="44" t="s">
        <v>0</v>
      </c>
      <c r="E46" s="44" t="s">
        <v>0</v>
      </c>
      <c r="G46" s="44" t="s">
        <v>0</v>
      </c>
      <c r="I46" s="47" t="s">
        <v>0</v>
      </c>
      <c r="K46" s="47" t="s">
        <v>0</v>
      </c>
      <c r="M46" s="47" t="s">
        <v>0</v>
      </c>
      <c r="O46" s="47" t="s">
        <v>0</v>
      </c>
    </row>
    <row r="47" spans="1:21">
      <c r="A47" s="1" t="s">
        <v>289</v>
      </c>
      <c r="B47" s="12">
        <v>5000</v>
      </c>
      <c r="C47" s="44">
        <v>0</v>
      </c>
      <c r="D47" s="12">
        <v>0</v>
      </c>
      <c r="E47" s="44">
        <v>0</v>
      </c>
      <c r="F47" s="12">
        <v>0</v>
      </c>
      <c r="G47" s="44">
        <v>0</v>
      </c>
      <c r="H47" s="12">
        <v>0</v>
      </c>
      <c r="I47" s="47">
        <f>+(B47-J47)/ABS(J47)</f>
        <v>0</v>
      </c>
      <c r="J47" s="12">
        <v>5000</v>
      </c>
      <c r="K47" s="47">
        <f>+(J47-L47)/L47</f>
        <v>0</v>
      </c>
      <c r="L47" s="12">
        <v>5000</v>
      </c>
      <c r="M47" s="47">
        <f>+(L47-N47)/N47</f>
        <v>0</v>
      </c>
      <c r="N47" s="12">
        <f>5000000/1000</f>
        <v>5000</v>
      </c>
      <c r="O47" s="47">
        <f>+(N47-P47)/P47</f>
        <v>0</v>
      </c>
      <c r="P47" s="12">
        <f>5000000/1000</f>
        <v>5000</v>
      </c>
    </row>
    <row r="48" spans="1:21">
      <c r="A48" s="1" t="s">
        <v>290</v>
      </c>
      <c r="B48" s="12">
        <f>85.4+102.7</f>
        <v>188.10000000000002</v>
      </c>
      <c r="C48" s="44">
        <v>0</v>
      </c>
      <c r="D48" s="12">
        <v>0</v>
      </c>
      <c r="E48" s="44">
        <v>0</v>
      </c>
      <c r="F48" s="12">
        <v>0</v>
      </c>
      <c r="G48" s="44">
        <v>0</v>
      </c>
      <c r="H48" s="12">
        <v>0</v>
      </c>
      <c r="I48" s="47">
        <f>+(B48-J48)/ABS(J48)</f>
        <v>5.733558178752117E-2</v>
      </c>
      <c r="J48" s="12">
        <v>177.9</v>
      </c>
      <c r="K48" s="47">
        <f>+(J48-L48)/L48</f>
        <v>0.10634328358208951</v>
      </c>
      <c r="L48" s="12">
        <f>56.8+104</f>
        <v>160.80000000000001</v>
      </c>
      <c r="M48" s="47">
        <f>+(L48-N48)/N48</f>
        <v>1.8309859154929582</v>
      </c>
      <c r="N48" s="12">
        <v>56.8</v>
      </c>
      <c r="O48" s="47">
        <f>+(N48-P48)/P48</f>
        <v>0.30475521253153048</v>
      </c>
      <c r="P48" s="12">
        <f>43533.07/1000</f>
        <v>43.533070000000002</v>
      </c>
    </row>
    <row r="49" spans="1:21">
      <c r="A49" s="1" t="s">
        <v>302</v>
      </c>
      <c r="B49" s="12">
        <f>+B161</f>
        <v>0</v>
      </c>
      <c r="C49" s="44">
        <v>0</v>
      </c>
      <c r="D49" s="12">
        <f>+D161</f>
        <v>0</v>
      </c>
      <c r="E49" s="44">
        <v>0</v>
      </c>
      <c r="F49" s="12">
        <f>+F161</f>
        <v>0</v>
      </c>
      <c r="G49" s="44">
        <v>0</v>
      </c>
      <c r="H49" s="12">
        <f>+H161</f>
        <v>0</v>
      </c>
      <c r="I49" s="44">
        <v>0</v>
      </c>
      <c r="J49" s="12">
        <f>+J161</f>
        <v>0</v>
      </c>
      <c r="K49" s="44">
        <v>0</v>
      </c>
      <c r="L49" s="12">
        <f>+L161</f>
        <v>0</v>
      </c>
      <c r="M49" s="44">
        <v>0</v>
      </c>
      <c r="N49" s="12">
        <v>0</v>
      </c>
      <c r="O49" s="44">
        <v>0</v>
      </c>
      <c r="P49" s="12">
        <v>0</v>
      </c>
    </row>
    <row r="50" spans="1:21" ht="18">
      <c r="A50" s="1" t="s">
        <v>292</v>
      </c>
      <c r="B50" s="221">
        <v>601.5</v>
      </c>
      <c r="C50" s="44">
        <v>0</v>
      </c>
      <c r="D50" s="221">
        <v>0</v>
      </c>
      <c r="E50" s="44">
        <v>0</v>
      </c>
      <c r="F50" s="221">
        <v>0</v>
      </c>
      <c r="G50" s="44">
        <v>0</v>
      </c>
      <c r="H50" s="221">
        <v>0</v>
      </c>
      <c r="I50" s="47">
        <f>+(B50-J50)/ABS(J50)</f>
        <v>3.7784679089026878E-2</v>
      </c>
      <c r="J50" s="221">
        <v>579.6</v>
      </c>
      <c r="K50" s="47">
        <f>+(J50-L50)/L50</f>
        <v>0.15688622754491022</v>
      </c>
      <c r="L50" s="221">
        <f>316.8+184.2</f>
        <v>501</v>
      </c>
      <c r="M50" s="47">
        <f>+(L50-N50)/N50</f>
        <v>0.5072202166064983</v>
      </c>
      <c r="N50" s="221">
        <v>332.4</v>
      </c>
      <c r="O50" s="47">
        <f>+(N50-P50)/P50</f>
        <v>0.30232330716776168</v>
      </c>
      <c r="P50" s="221">
        <f>255236.16/1000</f>
        <v>255.23616000000001</v>
      </c>
      <c r="Q50" s="6"/>
      <c r="R50" s="6"/>
      <c r="S50" s="7"/>
      <c r="T50" s="7"/>
      <c r="U50" s="7"/>
    </row>
    <row r="51" spans="1:21" ht="16.5" thickBot="1">
      <c r="A51" s="1" t="s">
        <v>275</v>
      </c>
      <c r="B51" s="76">
        <f>SUM(B47:B50)</f>
        <v>5789.6</v>
      </c>
      <c r="C51" s="44">
        <v>0</v>
      </c>
      <c r="D51" s="76">
        <f>SUM(D47:D50)</f>
        <v>0</v>
      </c>
      <c r="E51" s="44">
        <v>0</v>
      </c>
      <c r="F51" s="76">
        <f>SUM(F47:F50)</f>
        <v>0</v>
      </c>
      <c r="G51" s="44">
        <v>0</v>
      </c>
      <c r="H51" s="76">
        <f>SUM(H47:H50)</f>
        <v>0</v>
      </c>
      <c r="I51" s="47">
        <f>+(B51-J51)/ABS(J51)</f>
        <v>5.5753365175858207E-3</v>
      </c>
      <c r="J51" s="76">
        <f>SUM(J47:J50)</f>
        <v>5757.5</v>
      </c>
      <c r="K51" s="47">
        <f>+(J51-L51)/L51</f>
        <v>1.6902751775053838E-2</v>
      </c>
      <c r="L51" s="76">
        <f>SUM(L47:L50)</f>
        <v>5661.8</v>
      </c>
      <c r="M51" s="47">
        <f>+(L51-N51)/N51</f>
        <v>5.0582646775031617E-2</v>
      </c>
      <c r="N51" s="76">
        <f>SUM(N47:N50)</f>
        <v>5389.2</v>
      </c>
      <c r="O51" s="47">
        <f>+(N51-P51)/P51</f>
        <v>1.7066372599887504E-2</v>
      </c>
      <c r="P51" s="76">
        <f>SUM(P47:P50)</f>
        <v>5298.7692300000008</v>
      </c>
    </row>
    <row r="52" spans="1:21">
      <c r="A52" s="1" t="s">
        <v>0</v>
      </c>
      <c r="B52" s="4">
        <f>+B29+B35+B41+B43+B51</f>
        <v>11316.400000000001</v>
      </c>
      <c r="C52" s="44">
        <v>0</v>
      </c>
      <c r="D52" s="4">
        <f>+D29+D35+D41+D43+D51</f>
        <v>0</v>
      </c>
      <c r="E52" s="44">
        <v>0</v>
      </c>
      <c r="F52" s="4">
        <f>+F29+F35+F41+F43+F51</f>
        <v>0</v>
      </c>
      <c r="G52" s="44">
        <v>0</v>
      </c>
      <c r="H52" s="4">
        <f>+H29+H35+H41+H43+H51</f>
        <v>0</v>
      </c>
      <c r="I52" s="47">
        <f>+(B52-J52)/ABS(J52)</f>
        <v>0.12281467664159715</v>
      </c>
      <c r="J52" s="4">
        <f>+J29+J35+J41+J43+J51</f>
        <v>10078.6</v>
      </c>
      <c r="K52" s="47">
        <f>+(J52-L52)/L52</f>
        <v>-1.3989981998904106E-2</v>
      </c>
      <c r="L52" s="4">
        <f>+L29+L35+L41+L43+L51</f>
        <v>10221.599999999999</v>
      </c>
      <c r="M52" s="47">
        <f>+(L52-N52)/N52</f>
        <v>8.7381119550647826E-2</v>
      </c>
      <c r="N52" s="4">
        <f>+N29+N35+N41+N43+N51-0.1</f>
        <v>9400.1999999999989</v>
      </c>
      <c r="O52" s="47">
        <f>+(N52-P52)/P52</f>
        <v>5.9237008510169137E-3</v>
      </c>
      <c r="P52" s="4">
        <f>+P29+P35+P41+P43+P51</f>
        <v>9344.8439400000007</v>
      </c>
    </row>
    <row r="55" spans="1:21">
      <c r="A55" s="185" t="s">
        <v>293</v>
      </c>
    </row>
    <row r="56" spans="1:21">
      <c r="A56" t="s">
        <v>294</v>
      </c>
      <c r="B56" s="12">
        <v>0</v>
      </c>
      <c r="D56" s="43">
        <v>0</v>
      </c>
      <c r="E56" s="43"/>
      <c r="F56" s="43">
        <v>0</v>
      </c>
      <c r="G56" s="43"/>
      <c r="H56" s="43">
        <v>0</v>
      </c>
      <c r="J56" s="43">
        <v>0</v>
      </c>
      <c r="K56" s="12"/>
      <c r="L56" s="43">
        <v>0</v>
      </c>
      <c r="M56" s="12"/>
      <c r="N56" s="12">
        <v>0</v>
      </c>
      <c r="O56" s="12"/>
      <c r="P56" s="12">
        <v>0</v>
      </c>
    </row>
    <row r="57" spans="1:21">
      <c r="A57" t="s">
        <v>295</v>
      </c>
      <c r="B57" s="12">
        <v>0</v>
      </c>
      <c r="D57" s="43">
        <v>0</v>
      </c>
      <c r="E57" s="43"/>
      <c r="F57" s="43">
        <v>0</v>
      </c>
      <c r="G57" s="43"/>
      <c r="H57" s="43">
        <v>0</v>
      </c>
      <c r="J57" s="43">
        <v>0</v>
      </c>
      <c r="K57" s="12"/>
      <c r="L57" s="43">
        <v>0</v>
      </c>
      <c r="M57" s="12"/>
      <c r="N57" s="12">
        <v>0</v>
      </c>
      <c r="O57" s="12"/>
      <c r="P57" s="12">
        <v>0</v>
      </c>
    </row>
    <row r="58" spans="1:21">
      <c r="A58" t="s">
        <v>284</v>
      </c>
      <c r="B58" s="12">
        <v>0</v>
      </c>
      <c r="D58" s="43">
        <v>0</v>
      </c>
      <c r="E58" s="43"/>
      <c r="F58" s="43">
        <v>0</v>
      </c>
      <c r="G58" s="43"/>
      <c r="H58" s="43">
        <v>0</v>
      </c>
      <c r="J58" s="43">
        <v>0</v>
      </c>
      <c r="K58" s="12"/>
      <c r="L58" s="43">
        <v>0</v>
      </c>
      <c r="M58" s="12"/>
      <c r="N58" s="12">
        <v>0</v>
      </c>
      <c r="O58" s="12"/>
      <c r="P58" s="12">
        <v>0</v>
      </c>
    </row>
    <row r="59" spans="1:21">
      <c r="D59" s="43"/>
      <c r="E59" s="43"/>
      <c r="F59" s="43"/>
      <c r="G59" s="43"/>
      <c r="H59" s="43"/>
      <c r="J59" s="43"/>
      <c r="K59" s="12"/>
      <c r="L59" s="43"/>
      <c r="M59" s="12"/>
      <c r="O59" s="12"/>
    </row>
    <row r="60" spans="1:21" ht="18.75">
      <c r="A60" s="122" t="s">
        <v>303</v>
      </c>
      <c r="B60" s="12">
        <v>3752.9</v>
      </c>
      <c r="C60" s="922" t="s">
        <v>0</v>
      </c>
      <c r="D60" s="12">
        <v>0</v>
      </c>
      <c r="E60" s="43"/>
      <c r="F60" s="12">
        <v>0</v>
      </c>
      <c r="G60" s="43"/>
      <c r="H60" s="12">
        <v>0</v>
      </c>
      <c r="J60" s="12">
        <v>3761.7</v>
      </c>
      <c r="K60" s="12"/>
      <c r="L60" s="12">
        <v>3150.3</v>
      </c>
      <c r="M60" s="12"/>
      <c r="N60" s="16">
        <v>2594.5</v>
      </c>
      <c r="O60" s="12"/>
      <c r="P60" s="16">
        <f>2556475.34/1000</f>
        <v>2556.47534</v>
      </c>
    </row>
    <row r="61" spans="1:21">
      <c r="A61" t="s">
        <v>217</v>
      </c>
      <c r="B61" s="12">
        <f>+B95</f>
        <v>0</v>
      </c>
      <c r="D61" s="12">
        <f>+D95</f>
        <v>0</v>
      </c>
      <c r="E61" s="43"/>
      <c r="F61" s="12">
        <f>+F95</f>
        <v>0</v>
      </c>
      <c r="G61" s="43"/>
      <c r="H61" s="12">
        <f>+H95</f>
        <v>0</v>
      </c>
      <c r="J61" s="12">
        <f>+J95</f>
        <v>0</v>
      </c>
      <c r="K61" s="12"/>
      <c r="L61" s="12">
        <f>+L95</f>
        <v>0</v>
      </c>
      <c r="M61" s="12"/>
      <c r="N61" s="12">
        <v>0</v>
      </c>
      <c r="O61" s="12"/>
      <c r="P61" s="12">
        <v>0</v>
      </c>
    </row>
    <row r="62" spans="1:21">
      <c r="A62" t="s">
        <v>297</v>
      </c>
      <c r="B62" s="12">
        <v>0</v>
      </c>
      <c r="C62" s="15" t="s">
        <v>0</v>
      </c>
      <c r="D62" s="12">
        <v>0</v>
      </c>
      <c r="E62" s="43"/>
      <c r="F62" s="12">
        <v>0</v>
      </c>
      <c r="G62" s="43"/>
      <c r="H62" s="12">
        <v>0</v>
      </c>
      <c r="J62" s="12">
        <v>0</v>
      </c>
      <c r="K62" s="12"/>
      <c r="L62" s="12">
        <v>6</v>
      </c>
      <c r="M62" s="12"/>
      <c r="N62" s="12">
        <v>63</v>
      </c>
      <c r="O62" s="12"/>
      <c r="P62" s="12">
        <f>100909.75/1000</f>
        <v>100.90975</v>
      </c>
    </row>
    <row r="67" spans="1:15">
      <c r="B67" s="17" t="s">
        <v>457</v>
      </c>
      <c r="D67" s="17" t="s">
        <v>458</v>
      </c>
      <c r="F67" s="17" t="s">
        <v>459</v>
      </c>
      <c r="H67" s="17" t="s">
        <v>460</v>
      </c>
    </row>
    <row r="69" spans="1:15">
      <c r="A69" t="s">
        <v>414</v>
      </c>
      <c r="B69" s="4">
        <f t="shared" ref="B69:M69" si="3">SUM(B70:B78)</f>
        <v>6305.9732299999996</v>
      </c>
      <c r="C69" s="11" t="s">
        <v>0</v>
      </c>
      <c r="D69" s="4">
        <f t="shared" si="3"/>
        <v>0</v>
      </c>
      <c r="E69" s="11" t="s">
        <v>0</v>
      </c>
      <c r="F69" s="4">
        <f t="shared" si="3"/>
        <v>0</v>
      </c>
      <c r="G69" s="11">
        <f t="shared" si="3"/>
        <v>0</v>
      </c>
      <c r="H69" s="4">
        <f t="shared" si="3"/>
        <v>0</v>
      </c>
      <c r="I69" s="11">
        <f t="shared" si="3"/>
        <v>0</v>
      </c>
      <c r="J69" s="4">
        <f t="shared" si="3"/>
        <v>0</v>
      </c>
      <c r="K69" s="11">
        <f t="shared" si="3"/>
        <v>0</v>
      </c>
      <c r="L69" s="4">
        <f t="shared" si="3"/>
        <v>0</v>
      </c>
      <c r="M69" s="11">
        <f t="shared" si="3"/>
        <v>0</v>
      </c>
      <c r="O69" s="11">
        <f>SUM(O70:O78)</f>
        <v>0</v>
      </c>
    </row>
    <row r="70" spans="1:15">
      <c r="A70" t="s">
        <v>461</v>
      </c>
      <c r="B70" s="12">
        <f>796426.05/1000</f>
        <v>796.42605000000003</v>
      </c>
      <c r="D70" s="12">
        <v>0</v>
      </c>
      <c r="F70" s="12">
        <v>0</v>
      </c>
      <c r="H70" s="12">
        <v>0</v>
      </c>
    </row>
    <row r="71" spans="1:15">
      <c r="A71" t="s">
        <v>462</v>
      </c>
      <c r="B71" s="12">
        <f>432081/1000</f>
        <v>432.08100000000002</v>
      </c>
      <c r="D71" s="12">
        <v>0</v>
      </c>
      <c r="F71" s="12">
        <v>0</v>
      </c>
      <c r="H71" s="12">
        <v>0</v>
      </c>
    </row>
    <row r="72" spans="1:15">
      <c r="A72" t="s">
        <v>463</v>
      </c>
      <c r="B72" s="12">
        <f>74046.4/1000</f>
        <v>74.046399999999991</v>
      </c>
      <c r="D72" s="12">
        <v>0</v>
      </c>
      <c r="F72" s="12">
        <v>0</v>
      </c>
      <c r="H72" s="12">
        <v>0</v>
      </c>
    </row>
    <row r="73" spans="1:15">
      <c r="A73" t="s">
        <v>464</v>
      </c>
      <c r="B73" s="12">
        <f>3503419.78/1000</f>
        <v>3503.4197799999997</v>
      </c>
      <c r="D73" s="12">
        <v>0</v>
      </c>
      <c r="F73" s="12">
        <v>0</v>
      </c>
      <c r="H73" s="12">
        <v>0</v>
      </c>
    </row>
    <row r="74" spans="1:15">
      <c r="A74" t="s">
        <v>465</v>
      </c>
      <c r="B74" s="12">
        <v>0</v>
      </c>
      <c r="D74" s="12">
        <v>0</v>
      </c>
      <c r="F74" s="12">
        <v>0</v>
      </c>
      <c r="H74" s="12">
        <v>0</v>
      </c>
    </row>
    <row r="75" spans="1:15">
      <c r="A75" t="s">
        <v>466</v>
      </c>
      <c r="B75" s="12">
        <f>1500000/1000</f>
        <v>1500</v>
      </c>
      <c r="D75" s="12">
        <v>0</v>
      </c>
      <c r="F75" s="12">
        <v>0</v>
      </c>
      <c r="H75" s="12">
        <v>0</v>
      </c>
    </row>
    <row r="76" spans="1:15">
      <c r="A76" t="s">
        <v>467</v>
      </c>
      <c r="B76" s="12">
        <v>0</v>
      </c>
      <c r="D76" s="12">
        <v>0</v>
      </c>
      <c r="F76" s="12">
        <v>0</v>
      </c>
      <c r="H76" s="12">
        <v>0</v>
      </c>
    </row>
    <row r="77" spans="1:15">
      <c r="A77" t="s">
        <v>468</v>
      </c>
      <c r="B77" s="12">
        <v>0</v>
      </c>
      <c r="D77" s="12">
        <v>0</v>
      </c>
      <c r="F77" s="12">
        <v>0</v>
      </c>
      <c r="H77" s="12">
        <v>0</v>
      </c>
    </row>
    <row r="78" spans="1:15">
      <c r="A78" t="s">
        <v>469</v>
      </c>
      <c r="B78" s="12">
        <v>0</v>
      </c>
      <c r="D78" s="12">
        <v>0</v>
      </c>
      <c r="F78" s="12">
        <v>0</v>
      </c>
      <c r="H78" s="12">
        <v>0</v>
      </c>
    </row>
    <row r="80" spans="1:15">
      <c r="A80" t="s">
        <v>470</v>
      </c>
      <c r="B80" s="4">
        <f t="shared" ref="B80:M80" si="4">SUM(B81:B82)</f>
        <v>0</v>
      </c>
      <c r="C80" s="11" t="s">
        <v>0</v>
      </c>
      <c r="D80" s="4">
        <f t="shared" si="4"/>
        <v>0</v>
      </c>
      <c r="E80" s="11" t="s">
        <v>0</v>
      </c>
      <c r="F80" s="4">
        <f t="shared" si="4"/>
        <v>0</v>
      </c>
      <c r="G80" s="11">
        <f t="shared" si="4"/>
        <v>0</v>
      </c>
      <c r="H80" s="4">
        <f t="shared" si="4"/>
        <v>0</v>
      </c>
      <c r="I80" s="11">
        <f t="shared" si="4"/>
        <v>0</v>
      </c>
      <c r="J80" s="4">
        <f t="shared" si="4"/>
        <v>0</v>
      </c>
      <c r="K80" s="11">
        <f t="shared" si="4"/>
        <v>0</v>
      </c>
      <c r="L80" s="4">
        <f t="shared" si="4"/>
        <v>0</v>
      </c>
      <c r="M80" s="11">
        <f t="shared" si="4"/>
        <v>0</v>
      </c>
      <c r="O80" s="11">
        <f>SUM(O81:O82)</f>
        <v>0</v>
      </c>
    </row>
    <row r="81" spans="1:15">
      <c r="A81" t="s">
        <v>471</v>
      </c>
      <c r="B81" s="12">
        <v>0</v>
      </c>
      <c r="D81" s="12">
        <v>0</v>
      </c>
      <c r="F81" s="12">
        <v>0</v>
      </c>
      <c r="H81" s="12">
        <v>0</v>
      </c>
    </row>
    <row r="82" spans="1:15">
      <c r="A82" t="s">
        <v>472</v>
      </c>
      <c r="B82" s="12">
        <v>0</v>
      </c>
      <c r="D82" s="12">
        <v>0</v>
      </c>
      <c r="F82" s="12">
        <v>0</v>
      </c>
      <c r="H82" s="12">
        <v>0</v>
      </c>
    </row>
    <row r="84" spans="1:15">
      <c r="A84" t="s">
        <v>473</v>
      </c>
      <c r="B84" s="4">
        <f t="shared" ref="B84:M84" si="5">SUM(B85:B95)</f>
        <v>2570.74424</v>
      </c>
      <c r="C84" s="11" t="s">
        <v>0</v>
      </c>
      <c r="D84" s="4">
        <f t="shared" si="5"/>
        <v>0</v>
      </c>
      <c r="E84" s="11" t="s">
        <v>0</v>
      </c>
      <c r="F84" s="4">
        <f t="shared" si="5"/>
        <v>0</v>
      </c>
      <c r="G84" s="11">
        <f t="shared" si="5"/>
        <v>0</v>
      </c>
      <c r="H84" s="4">
        <f t="shared" si="5"/>
        <v>0</v>
      </c>
      <c r="I84" s="11">
        <f t="shared" si="5"/>
        <v>0</v>
      </c>
      <c r="J84" s="4">
        <f t="shared" si="5"/>
        <v>0</v>
      </c>
      <c r="K84" s="11">
        <f t="shared" si="5"/>
        <v>0</v>
      </c>
      <c r="L84" s="4">
        <f t="shared" si="5"/>
        <v>0</v>
      </c>
      <c r="M84" s="11">
        <f t="shared" si="5"/>
        <v>0</v>
      </c>
      <c r="O84" s="11">
        <f>SUM(O85:O95)</f>
        <v>0</v>
      </c>
    </row>
    <row r="85" spans="1:15">
      <c r="A85" t="s">
        <v>474</v>
      </c>
      <c r="B85" s="12">
        <f>106625/1000</f>
        <v>106.625</v>
      </c>
      <c r="D85" s="12">
        <v>0</v>
      </c>
      <c r="F85" s="12">
        <v>0</v>
      </c>
      <c r="H85" s="12">
        <v>0</v>
      </c>
    </row>
    <row r="86" spans="1:15">
      <c r="A86" t="s">
        <v>475</v>
      </c>
      <c r="B86" s="12">
        <f>1478148.24/1000</f>
        <v>1478.14824</v>
      </c>
      <c r="D86" s="12">
        <v>0</v>
      </c>
      <c r="F86" s="12">
        <v>0</v>
      </c>
      <c r="H86" s="12">
        <v>0</v>
      </c>
    </row>
    <row r="87" spans="1:15">
      <c r="A87" t="s">
        <v>476</v>
      </c>
    </row>
    <row r="88" spans="1:15">
      <c r="A88" t="s">
        <v>477</v>
      </c>
      <c r="B88" s="12">
        <f>915443.95/1000</f>
        <v>915.44394999999997</v>
      </c>
      <c r="D88" s="12">
        <v>0</v>
      </c>
      <c r="F88" s="12">
        <v>0</v>
      </c>
      <c r="H88" s="12">
        <v>0</v>
      </c>
    </row>
    <row r="89" spans="1:15">
      <c r="A89" t="s">
        <v>478</v>
      </c>
      <c r="B89" s="12">
        <v>0</v>
      </c>
      <c r="D89" s="12">
        <v>0</v>
      </c>
      <c r="F89" s="12">
        <v>0</v>
      </c>
      <c r="H89" s="12">
        <v>0</v>
      </c>
    </row>
    <row r="90" spans="1:15">
      <c r="A90" t="s">
        <v>479</v>
      </c>
      <c r="B90" s="12">
        <v>0</v>
      </c>
      <c r="D90" s="12">
        <v>0</v>
      </c>
      <c r="F90" s="12">
        <v>0</v>
      </c>
      <c r="H90" s="12">
        <v>0</v>
      </c>
    </row>
    <row r="91" spans="1:15">
      <c r="A91" t="s">
        <v>480</v>
      </c>
      <c r="B91" s="12">
        <v>0</v>
      </c>
      <c r="D91" s="12">
        <v>0</v>
      </c>
      <c r="F91" s="12">
        <v>0</v>
      </c>
      <c r="H91" s="12">
        <v>0</v>
      </c>
    </row>
    <row r="92" spans="1:15">
      <c r="A92" t="s">
        <v>481</v>
      </c>
      <c r="B92" s="12">
        <v>0</v>
      </c>
      <c r="D92" s="12">
        <v>0</v>
      </c>
      <c r="F92" s="12">
        <v>0</v>
      </c>
      <c r="H92" s="12">
        <v>0</v>
      </c>
    </row>
    <row r="93" spans="1:15">
      <c r="A93" t="s">
        <v>482</v>
      </c>
      <c r="B93" s="12">
        <v>0</v>
      </c>
      <c r="D93" s="12">
        <v>0</v>
      </c>
      <c r="F93" s="12">
        <v>0</v>
      </c>
      <c r="H93" s="12">
        <v>0</v>
      </c>
    </row>
    <row r="94" spans="1:15">
      <c r="A94" t="s">
        <v>483</v>
      </c>
      <c r="B94" s="12">
        <f>70527.05/1000</f>
        <v>70.527050000000003</v>
      </c>
      <c r="D94" s="12">
        <v>0</v>
      </c>
      <c r="F94" s="12">
        <v>0</v>
      </c>
      <c r="H94" s="12">
        <v>0</v>
      </c>
    </row>
    <row r="95" spans="1:15">
      <c r="A95" t="s">
        <v>484</v>
      </c>
      <c r="B95" s="12">
        <v>0</v>
      </c>
      <c r="D95" s="12">
        <v>0</v>
      </c>
      <c r="F95" s="12">
        <v>0</v>
      </c>
      <c r="H95" s="12">
        <v>0</v>
      </c>
    </row>
    <row r="97" spans="1:17">
      <c r="A97" t="s">
        <v>485</v>
      </c>
      <c r="B97" s="4">
        <f t="shared" ref="B97:M97" si="6">SUM(B98:B101)</f>
        <v>316.58169999999996</v>
      </c>
      <c r="C97" s="11" t="s">
        <v>0</v>
      </c>
      <c r="D97" s="4">
        <f t="shared" si="6"/>
        <v>0</v>
      </c>
      <c r="E97" s="11" t="s">
        <v>0</v>
      </c>
      <c r="F97" s="4">
        <f t="shared" si="6"/>
        <v>0</v>
      </c>
      <c r="G97" s="11">
        <f t="shared" si="6"/>
        <v>0</v>
      </c>
      <c r="H97" s="4">
        <f t="shared" si="6"/>
        <v>0</v>
      </c>
      <c r="I97" s="11">
        <f t="shared" si="6"/>
        <v>0</v>
      </c>
      <c r="J97" s="4">
        <f t="shared" si="6"/>
        <v>0</v>
      </c>
      <c r="K97" s="11">
        <f t="shared" si="6"/>
        <v>0</v>
      </c>
      <c r="L97" s="4">
        <f t="shared" si="6"/>
        <v>0</v>
      </c>
      <c r="M97" s="11">
        <f t="shared" si="6"/>
        <v>0</v>
      </c>
      <c r="O97" s="11">
        <f>SUM(O98:O101)</f>
        <v>0</v>
      </c>
    </row>
    <row r="98" spans="1:17">
      <c r="A98" t="s">
        <v>486</v>
      </c>
      <c r="B98" s="12">
        <f>20261.65/1000</f>
        <v>20.261650000000003</v>
      </c>
      <c r="D98" s="12">
        <v>0</v>
      </c>
      <c r="F98" s="12">
        <v>0</v>
      </c>
      <c r="H98" s="12">
        <v>0</v>
      </c>
    </row>
    <row r="99" spans="1:17">
      <c r="A99" t="s">
        <v>487</v>
      </c>
      <c r="B99" s="12">
        <f>296320.05/1000</f>
        <v>296.32004999999998</v>
      </c>
      <c r="D99" s="12">
        <v>0</v>
      </c>
      <c r="F99" s="12">
        <v>0</v>
      </c>
      <c r="H99" s="12">
        <v>0</v>
      </c>
    </row>
    <row r="100" spans="1:17">
      <c r="A100" t="s">
        <v>488</v>
      </c>
      <c r="B100" s="12">
        <v>0</v>
      </c>
      <c r="D100" s="12">
        <v>0</v>
      </c>
      <c r="F100" s="12">
        <v>0</v>
      </c>
      <c r="H100" s="12">
        <v>0</v>
      </c>
    </row>
    <row r="101" spans="1:17">
      <c r="A101" t="s">
        <v>489</v>
      </c>
      <c r="B101" s="12">
        <v>0</v>
      </c>
      <c r="D101" s="12">
        <v>0</v>
      </c>
      <c r="F101" s="12">
        <v>0</v>
      </c>
      <c r="H101" s="12">
        <v>0</v>
      </c>
    </row>
    <row r="102" spans="1:17">
      <c r="E102" s="115" t="s">
        <v>0</v>
      </c>
    </row>
    <row r="103" spans="1:17">
      <c r="A103" t="s">
        <v>490</v>
      </c>
      <c r="B103" s="4">
        <f>174420.75/1000</f>
        <v>174.42075</v>
      </c>
      <c r="C103" s="11" t="s">
        <v>0</v>
      </c>
      <c r="D103" s="4">
        <v>0</v>
      </c>
      <c r="E103" s="11" t="s">
        <v>0</v>
      </c>
      <c r="F103" s="4">
        <v>0</v>
      </c>
      <c r="G103" s="11">
        <v>0</v>
      </c>
      <c r="H103" s="4">
        <v>0</v>
      </c>
      <c r="I103" s="11">
        <v>0</v>
      </c>
      <c r="J103" s="4">
        <v>0</v>
      </c>
      <c r="K103" s="11">
        <v>0</v>
      </c>
      <c r="L103" s="4">
        <v>0</v>
      </c>
      <c r="M103" s="11">
        <v>0</v>
      </c>
      <c r="N103" s="12">
        <v>0</v>
      </c>
      <c r="O103" s="11">
        <v>0</v>
      </c>
      <c r="P103" s="12">
        <v>0</v>
      </c>
      <c r="Q103" s="16" t="s">
        <v>0</v>
      </c>
    </row>
    <row r="104" spans="1:17">
      <c r="B104" s="16" t="s">
        <v>0</v>
      </c>
      <c r="D104" s="16" t="s">
        <v>0</v>
      </c>
      <c r="F104" s="16" t="s">
        <v>0</v>
      </c>
      <c r="H104" s="16" t="s">
        <v>0</v>
      </c>
    </row>
    <row r="105" spans="1:17">
      <c r="A105" t="s">
        <v>491</v>
      </c>
      <c r="B105" s="4">
        <v>0</v>
      </c>
      <c r="D105" s="4">
        <v>0</v>
      </c>
      <c r="F105" s="4">
        <v>0</v>
      </c>
      <c r="H105" s="4">
        <v>0</v>
      </c>
    </row>
    <row r="107" spans="1:17">
      <c r="A107" t="s">
        <v>492</v>
      </c>
      <c r="B107" s="4">
        <f t="shared" ref="B107:M107" si="7">SUM(B108:B111)</f>
        <v>197.94565</v>
      </c>
      <c r="C107" s="11" t="s">
        <v>0</v>
      </c>
      <c r="D107" s="4">
        <f t="shared" si="7"/>
        <v>0</v>
      </c>
      <c r="E107" s="11" t="s">
        <v>0</v>
      </c>
      <c r="F107" s="4">
        <f t="shared" si="7"/>
        <v>0</v>
      </c>
      <c r="G107" s="11">
        <f t="shared" si="7"/>
        <v>0</v>
      </c>
      <c r="H107" s="4">
        <f t="shared" si="7"/>
        <v>0</v>
      </c>
      <c r="I107" s="11">
        <f t="shared" si="7"/>
        <v>0</v>
      </c>
      <c r="J107" s="4">
        <f t="shared" si="7"/>
        <v>0</v>
      </c>
      <c r="K107" s="11">
        <f t="shared" si="7"/>
        <v>0</v>
      </c>
      <c r="L107" s="4">
        <f t="shared" si="7"/>
        <v>0</v>
      </c>
      <c r="M107" s="11">
        <f t="shared" si="7"/>
        <v>0</v>
      </c>
      <c r="O107" s="11">
        <f>SUM(O108:O111)</f>
        <v>0</v>
      </c>
    </row>
    <row r="108" spans="1:17">
      <c r="A108" t="s">
        <v>493</v>
      </c>
      <c r="B108" s="12">
        <f>178212.65/1000</f>
        <v>178.21265</v>
      </c>
      <c r="D108" s="12">
        <v>0</v>
      </c>
      <c r="F108" s="12">
        <v>0</v>
      </c>
      <c r="H108" s="12">
        <v>0</v>
      </c>
    </row>
    <row r="109" spans="1:17">
      <c r="A109" t="s">
        <v>494</v>
      </c>
      <c r="B109" s="12">
        <f>163272.9/1000</f>
        <v>163.27289999999999</v>
      </c>
      <c r="D109" s="12">
        <v>0</v>
      </c>
      <c r="F109" s="12">
        <v>0</v>
      </c>
      <c r="H109" s="12">
        <v>0</v>
      </c>
    </row>
    <row r="110" spans="1:17">
      <c r="A110" t="s">
        <v>495</v>
      </c>
      <c r="B110" s="12">
        <f>-143539.9/1000</f>
        <v>-143.53989999999999</v>
      </c>
      <c r="D110" s="12">
        <v>0</v>
      </c>
      <c r="F110" s="12">
        <v>0</v>
      </c>
      <c r="H110" s="12">
        <v>0</v>
      </c>
    </row>
    <row r="111" spans="1:17">
      <c r="A111" t="s">
        <v>496</v>
      </c>
      <c r="B111" s="12">
        <v>0</v>
      </c>
      <c r="D111" s="12">
        <v>0</v>
      </c>
      <c r="F111" s="12">
        <v>0</v>
      </c>
      <c r="H111" s="12">
        <v>0</v>
      </c>
    </row>
    <row r="112" spans="1:17">
      <c r="B112" s="16" t="s">
        <v>0</v>
      </c>
      <c r="D112" s="16" t="s">
        <v>0</v>
      </c>
      <c r="F112" s="16" t="s">
        <v>0</v>
      </c>
      <c r="H112" s="16" t="s">
        <v>0</v>
      </c>
    </row>
    <row r="113" spans="1:15">
      <c r="A113" t="s">
        <v>497</v>
      </c>
      <c r="B113" s="12">
        <v>0</v>
      </c>
      <c r="D113" s="12">
        <v>0</v>
      </c>
      <c r="F113" s="12">
        <v>0</v>
      </c>
      <c r="H113" s="12">
        <v>0</v>
      </c>
    </row>
    <row r="115" spans="1:15">
      <c r="A115" s="2" t="s">
        <v>498</v>
      </c>
      <c r="B115" s="4">
        <f t="shared" ref="B115:M115" si="8">+B69+B80+B84+B97+B103+B105+B107+B113</f>
        <v>9565.6655699999992</v>
      </c>
      <c r="C115" s="11" t="s">
        <v>0</v>
      </c>
      <c r="D115" s="4">
        <f t="shared" si="8"/>
        <v>0</v>
      </c>
      <c r="E115" s="11" t="s">
        <v>0</v>
      </c>
      <c r="F115" s="4">
        <f t="shared" si="8"/>
        <v>0</v>
      </c>
      <c r="G115" s="11">
        <f t="shared" si="8"/>
        <v>0</v>
      </c>
      <c r="H115" s="4">
        <f t="shared" si="8"/>
        <v>0</v>
      </c>
      <c r="I115" s="11">
        <f t="shared" si="8"/>
        <v>0</v>
      </c>
      <c r="J115" s="4">
        <f t="shared" si="8"/>
        <v>0</v>
      </c>
      <c r="K115" s="11">
        <f t="shared" si="8"/>
        <v>0</v>
      </c>
      <c r="L115" s="4">
        <f t="shared" si="8"/>
        <v>0</v>
      </c>
      <c r="M115" s="11">
        <f t="shared" si="8"/>
        <v>0</v>
      </c>
      <c r="O115" s="11">
        <f>+O69+O80+O84+O97+O103+O105+O107+O113</f>
        <v>0</v>
      </c>
    </row>
    <row r="118" spans="1:15">
      <c r="A118" t="s">
        <v>276</v>
      </c>
    </row>
    <row r="120" spans="1:15">
      <c r="A120" t="s">
        <v>499</v>
      </c>
      <c r="B120" s="4">
        <f>SUM(B121:B122)</f>
        <v>897.46855000000005</v>
      </c>
      <c r="C120" s="11"/>
      <c r="D120" s="4">
        <f>SUM(D121:D122)</f>
        <v>0</v>
      </c>
      <c r="E120" s="11"/>
      <c r="F120" s="4">
        <f>SUM(F121:F122)</f>
        <v>0</v>
      </c>
      <c r="G120" s="11"/>
      <c r="H120" s="4">
        <f>SUM(H121:H122)</f>
        <v>0</v>
      </c>
      <c r="I120" s="11"/>
      <c r="J120" s="4"/>
      <c r="K120" s="11"/>
      <c r="L120" s="4"/>
      <c r="M120" s="11"/>
      <c r="O120" s="11"/>
    </row>
    <row r="121" spans="1:15">
      <c r="A121" t="s">
        <v>500</v>
      </c>
      <c r="B121" s="12">
        <f>895194.25/1000</f>
        <v>895.19425000000001</v>
      </c>
      <c r="D121" s="12">
        <v>0</v>
      </c>
      <c r="F121" s="12">
        <v>0</v>
      </c>
      <c r="H121" s="12">
        <v>0</v>
      </c>
    </row>
    <row r="122" spans="1:15">
      <c r="A122" t="s">
        <v>501</v>
      </c>
      <c r="B122" s="12">
        <f>2274.3/1000</f>
        <v>2.2743000000000002</v>
      </c>
      <c r="D122" s="12">
        <v>0</v>
      </c>
      <c r="F122" s="12">
        <v>0</v>
      </c>
      <c r="H122" s="12">
        <v>0</v>
      </c>
    </row>
    <row r="123" spans="1:15">
      <c r="A123" t="s">
        <v>0</v>
      </c>
    </row>
    <row r="124" spans="1:15">
      <c r="A124" t="s">
        <v>502</v>
      </c>
      <c r="B124" s="4">
        <f>3044018.18/1000</f>
        <v>3044.01818</v>
      </c>
      <c r="C124" s="11"/>
      <c r="D124" s="4">
        <v>0</v>
      </c>
      <c r="E124" s="11"/>
      <c r="F124" s="4">
        <v>0</v>
      </c>
      <c r="G124" s="11"/>
      <c r="H124" s="4">
        <v>0</v>
      </c>
      <c r="I124" s="11"/>
      <c r="J124" s="4"/>
      <c r="K124" s="11"/>
      <c r="L124" s="4"/>
      <c r="M124" s="11"/>
      <c r="O124" s="11"/>
    </row>
    <row r="126" spans="1:15">
      <c r="A126" t="s">
        <v>503</v>
      </c>
      <c r="B126" s="4">
        <v>0</v>
      </c>
      <c r="C126" s="11"/>
      <c r="D126" s="4">
        <v>0</v>
      </c>
      <c r="E126" s="11"/>
      <c r="F126" s="4">
        <v>0</v>
      </c>
      <c r="G126" s="11"/>
      <c r="H126" s="4">
        <v>0</v>
      </c>
      <c r="I126" s="11"/>
      <c r="J126" s="4"/>
      <c r="K126" s="11"/>
      <c r="L126" s="4"/>
      <c r="M126" s="11"/>
      <c r="O126" s="11"/>
    </row>
    <row r="128" spans="1:15">
      <c r="A128" t="s">
        <v>504</v>
      </c>
      <c r="B128" s="4">
        <f>SUM(B129:B141)</f>
        <v>195.66649000000001</v>
      </c>
      <c r="C128" s="11"/>
      <c r="D128" s="4">
        <f>SUM(D129:D141)</f>
        <v>0</v>
      </c>
      <c r="E128" s="11"/>
      <c r="F128" s="4">
        <f>SUM(F129:F141)</f>
        <v>0</v>
      </c>
      <c r="G128" s="11"/>
      <c r="H128" s="4">
        <f>SUM(H129:H141)</f>
        <v>0</v>
      </c>
      <c r="I128" s="11"/>
      <c r="J128" s="4"/>
      <c r="K128" s="11"/>
      <c r="L128" s="4"/>
      <c r="M128" s="11"/>
      <c r="O128" s="11"/>
    </row>
    <row r="129" spans="1:15">
      <c r="A129" t="s">
        <v>505</v>
      </c>
      <c r="B129" s="12">
        <f>9061.05/1000</f>
        <v>9.0610499999999998</v>
      </c>
      <c r="D129" s="12">
        <v>0</v>
      </c>
      <c r="F129" s="12">
        <v>0</v>
      </c>
      <c r="H129" s="12">
        <v>0</v>
      </c>
    </row>
    <row r="130" spans="1:15">
      <c r="A130" t="s">
        <v>506</v>
      </c>
      <c r="B130" s="12">
        <v>0</v>
      </c>
      <c r="D130" s="12">
        <v>0</v>
      </c>
      <c r="F130" s="12">
        <v>0</v>
      </c>
      <c r="H130" s="12">
        <v>0</v>
      </c>
    </row>
    <row r="131" spans="1:15">
      <c r="A131" t="s">
        <v>507</v>
      </c>
      <c r="B131" s="12">
        <v>0</v>
      </c>
      <c r="D131" s="12">
        <v>0</v>
      </c>
      <c r="F131" s="12">
        <v>0</v>
      </c>
      <c r="H131" s="12">
        <v>0</v>
      </c>
    </row>
    <row r="132" spans="1:15">
      <c r="A132" t="s">
        <v>508</v>
      </c>
      <c r="B132" s="12">
        <v>0</v>
      </c>
      <c r="D132" s="12">
        <v>0</v>
      </c>
      <c r="F132" s="12">
        <v>0</v>
      </c>
      <c r="H132" s="12">
        <v>0</v>
      </c>
    </row>
    <row r="133" spans="1:15">
      <c r="A133" t="s">
        <v>509</v>
      </c>
      <c r="B133" s="12">
        <v>0</v>
      </c>
      <c r="D133" s="12">
        <v>0</v>
      </c>
      <c r="F133" s="12">
        <v>0</v>
      </c>
      <c r="H133" s="12">
        <v>0</v>
      </c>
    </row>
    <row r="134" spans="1:15">
      <c r="A134" t="s">
        <v>510</v>
      </c>
      <c r="B134" s="12">
        <v>28.448</v>
      </c>
      <c r="D134" s="12">
        <v>0</v>
      </c>
      <c r="F134" s="12">
        <v>0</v>
      </c>
      <c r="H134" s="12">
        <v>0</v>
      </c>
    </row>
    <row r="135" spans="1:15">
      <c r="A135" t="s">
        <v>511</v>
      </c>
      <c r="B135" s="12">
        <v>0</v>
      </c>
      <c r="D135" s="12">
        <v>0</v>
      </c>
      <c r="F135" s="12">
        <v>0</v>
      </c>
      <c r="H135" s="12">
        <v>0</v>
      </c>
    </row>
    <row r="136" spans="1:15">
      <c r="A136" t="s">
        <v>512</v>
      </c>
      <c r="B136" s="12">
        <f>158157.44/1000</f>
        <v>158.15744000000001</v>
      </c>
      <c r="D136" s="12">
        <v>0</v>
      </c>
      <c r="F136" s="12">
        <v>0</v>
      </c>
      <c r="H136" s="12">
        <v>0</v>
      </c>
    </row>
    <row r="137" spans="1:15">
      <c r="A137" t="s">
        <v>513</v>
      </c>
      <c r="B137" s="12">
        <v>0</v>
      </c>
      <c r="D137" s="12">
        <v>0</v>
      </c>
      <c r="F137" s="12">
        <v>0</v>
      </c>
      <c r="H137" s="12">
        <v>0</v>
      </c>
    </row>
    <row r="138" spans="1:15">
      <c r="A138" t="s">
        <v>514</v>
      </c>
      <c r="B138" s="12">
        <v>0</v>
      </c>
      <c r="D138" s="12">
        <v>0</v>
      </c>
      <c r="F138" s="12">
        <v>0</v>
      </c>
      <c r="H138" s="12">
        <v>0</v>
      </c>
    </row>
    <row r="139" spans="1:15">
      <c r="A139" t="s">
        <v>515</v>
      </c>
      <c r="B139" s="12">
        <v>0</v>
      </c>
      <c r="D139" s="12">
        <v>0</v>
      </c>
      <c r="F139" s="12">
        <v>0</v>
      </c>
      <c r="H139" s="12">
        <v>0</v>
      </c>
    </row>
    <row r="140" spans="1:15">
      <c r="A140" t="s">
        <v>516</v>
      </c>
      <c r="B140" s="12">
        <v>0</v>
      </c>
      <c r="D140" s="12">
        <v>0</v>
      </c>
      <c r="F140" s="12">
        <v>0</v>
      </c>
      <c r="H140" s="12">
        <v>0</v>
      </c>
    </row>
    <row r="141" spans="1:15">
      <c r="A141" t="s">
        <v>273</v>
      </c>
      <c r="B141" s="12">
        <v>0</v>
      </c>
      <c r="D141" s="12">
        <v>0</v>
      </c>
      <c r="F141" s="12">
        <v>0</v>
      </c>
      <c r="H141" s="12">
        <v>0</v>
      </c>
    </row>
    <row r="143" spans="1:15">
      <c r="A143" t="s">
        <v>517</v>
      </c>
      <c r="B143" s="4">
        <f>SUM(B144:B150)</f>
        <v>0</v>
      </c>
      <c r="C143" s="11"/>
      <c r="D143" s="4">
        <f>SUM(D144:D150)</f>
        <v>0</v>
      </c>
      <c r="E143" s="11"/>
      <c r="F143" s="4">
        <f>SUM(F144:F150)</f>
        <v>0</v>
      </c>
      <c r="G143" s="11"/>
      <c r="H143" s="4">
        <f>SUM(H144:H150)</f>
        <v>0</v>
      </c>
      <c r="I143" s="11"/>
      <c r="J143" s="4"/>
      <c r="K143" s="11"/>
      <c r="L143" s="4"/>
      <c r="M143" s="11"/>
      <c r="O143" s="11"/>
    </row>
    <row r="144" spans="1:15">
      <c r="A144" t="s">
        <v>518</v>
      </c>
      <c r="B144" s="12">
        <v>0</v>
      </c>
      <c r="D144" s="12">
        <v>0</v>
      </c>
      <c r="F144" s="12">
        <v>0</v>
      </c>
      <c r="H144" s="12">
        <v>0</v>
      </c>
    </row>
    <row r="145" spans="1:15">
      <c r="A145" t="s">
        <v>519</v>
      </c>
      <c r="B145" s="12">
        <v>0</v>
      </c>
      <c r="D145" s="12">
        <v>0</v>
      </c>
      <c r="F145" s="12">
        <v>0</v>
      </c>
      <c r="H145" s="12">
        <v>0</v>
      </c>
    </row>
    <row r="146" spans="1:15">
      <c r="A146" t="s">
        <v>520</v>
      </c>
      <c r="B146" s="12">
        <v>0</v>
      </c>
      <c r="D146" s="12">
        <v>0</v>
      </c>
      <c r="F146" s="12">
        <v>0</v>
      </c>
      <c r="H146" s="12">
        <v>0</v>
      </c>
    </row>
    <row r="147" spans="1:15">
      <c r="A147" t="s">
        <v>521</v>
      </c>
      <c r="B147" s="12">
        <v>0</v>
      </c>
      <c r="D147" s="12">
        <v>0</v>
      </c>
      <c r="F147" s="12">
        <v>0</v>
      </c>
      <c r="H147" s="12">
        <v>0</v>
      </c>
    </row>
    <row r="148" spans="1:15">
      <c r="A148" t="s">
        <v>522</v>
      </c>
      <c r="B148" s="12">
        <v>0</v>
      </c>
      <c r="D148" s="12">
        <v>0</v>
      </c>
      <c r="F148" s="12">
        <v>0</v>
      </c>
      <c r="H148" s="12">
        <v>0</v>
      </c>
    </row>
    <row r="149" spans="1:15">
      <c r="A149" t="s">
        <v>523</v>
      </c>
      <c r="B149" s="12">
        <v>0</v>
      </c>
      <c r="D149" s="12">
        <v>0</v>
      </c>
      <c r="F149" s="12">
        <v>0</v>
      </c>
      <c r="H149" s="12">
        <v>0</v>
      </c>
    </row>
    <row r="150" spans="1:15">
      <c r="A150" t="s">
        <v>524</v>
      </c>
      <c r="B150" s="12">
        <v>0</v>
      </c>
      <c r="D150" s="12">
        <v>0</v>
      </c>
      <c r="F150" s="12">
        <v>0</v>
      </c>
      <c r="H150" s="12">
        <v>0</v>
      </c>
    </row>
    <row r="152" spans="1:15">
      <c r="A152" t="s">
        <v>525</v>
      </c>
      <c r="B152" s="4">
        <v>0</v>
      </c>
      <c r="C152" s="11"/>
      <c r="D152" s="4">
        <v>0</v>
      </c>
      <c r="E152" s="11"/>
      <c r="F152" s="4">
        <v>0</v>
      </c>
      <c r="G152" s="11"/>
      <c r="H152" s="4">
        <v>0</v>
      </c>
      <c r="I152" s="11"/>
      <c r="J152" s="4"/>
      <c r="K152" s="11"/>
      <c r="L152" s="4"/>
      <c r="M152" s="11"/>
      <c r="O152" s="11"/>
    </row>
    <row r="154" spans="1:15">
      <c r="A154" t="s">
        <v>374</v>
      </c>
      <c r="B154" s="4">
        <v>0</v>
      </c>
      <c r="C154" s="11"/>
      <c r="D154" s="4">
        <v>0</v>
      </c>
      <c r="E154" s="11"/>
      <c r="F154" s="4">
        <v>0</v>
      </c>
      <c r="G154" s="11"/>
      <c r="H154" s="4">
        <v>0</v>
      </c>
      <c r="I154" s="11"/>
      <c r="J154" s="4"/>
      <c r="K154" s="11"/>
      <c r="L154" s="4"/>
      <c r="M154" s="11"/>
      <c r="O154" s="11"/>
    </row>
    <row r="156" spans="1:15">
      <c r="A156" t="s">
        <v>375</v>
      </c>
      <c r="B156" s="4">
        <v>0</v>
      </c>
      <c r="C156" s="11"/>
      <c r="D156" s="4">
        <v>0</v>
      </c>
      <c r="E156" s="11"/>
      <c r="F156" s="4">
        <v>0</v>
      </c>
      <c r="G156" s="11"/>
      <c r="H156" s="4">
        <v>0</v>
      </c>
      <c r="I156" s="11"/>
      <c r="J156" s="4"/>
      <c r="K156" s="11"/>
      <c r="L156" s="4"/>
      <c r="M156" s="11"/>
      <c r="O156" s="11"/>
    </row>
    <row r="158" spans="1:15">
      <c r="A158" t="s">
        <v>376</v>
      </c>
      <c r="B158" s="4">
        <f>+B162+B163+B164</f>
        <v>5361.2175200000001</v>
      </c>
      <c r="C158" s="11"/>
      <c r="D158" s="4">
        <f>+D162+D163+D164</f>
        <v>0</v>
      </c>
      <c r="E158" s="11"/>
      <c r="F158" s="4">
        <f>+F162+F163+F164</f>
        <v>0</v>
      </c>
      <c r="G158" s="11"/>
      <c r="H158" s="4">
        <f>+H162+H163+H164</f>
        <v>0</v>
      </c>
      <c r="I158" s="11"/>
      <c r="J158" s="4"/>
      <c r="K158" s="11"/>
      <c r="L158" s="4"/>
      <c r="M158" s="11"/>
      <c r="O158" s="11"/>
    </row>
    <row r="159" spans="1:15">
      <c r="A159" t="s">
        <v>377</v>
      </c>
      <c r="B159" s="12">
        <f>5000000/1000</f>
        <v>5000</v>
      </c>
      <c r="D159" s="12">
        <v>0</v>
      </c>
      <c r="F159" s="12">
        <v>0</v>
      </c>
      <c r="H159" s="12">
        <v>0</v>
      </c>
    </row>
    <row r="160" spans="1:15">
      <c r="A160" t="s">
        <v>378</v>
      </c>
      <c r="B160" s="12">
        <v>0</v>
      </c>
      <c r="D160" s="12">
        <v>0</v>
      </c>
      <c r="F160" s="12">
        <v>0</v>
      </c>
      <c r="H160" s="12">
        <v>0</v>
      </c>
    </row>
    <row r="161" spans="1:15">
      <c r="A161" t="s">
        <v>302</v>
      </c>
      <c r="B161" s="12">
        <v>0</v>
      </c>
      <c r="D161" s="12">
        <v>0</v>
      </c>
      <c r="F161" s="12">
        <v>0</v>
      </c>
      <c r="H161" s="12">
        <v>0</v>
      </c>
    </row>
    <row r="162" spans="1:15">
      <c r="A162" t="s">
        <v>289</v>
      </c>
      <c r="B162" s="4">
        <f>+B159+B160</f>
        <v>5000</v>
      </c>
      <c r="D162" s="4">
        <f>+D159+D160</f>
        <v>0</v>
      </c>
      <c r="F162" s="4">
        <f>+F159+F160</f>
        <v>0</v>
      </c>
      <c r="H162" s="4">
        <f>+H159+H160</f>
        <v>0</v>
      </c>
    </row>
    <row r="163" spans="1:15">
      <c r="A163" t="s">
        <v>379</v>
      </c>
      <c r="B163" s="12">
        <f>316844.17/1000</f>
        <v>316.84416999999996</v>
      </c>
      <c r="D163" s="12">
        <v>0</v>
      </c>
      <c r="F163" s="12">
        <v>0</v>
      </c>
      <c r="H163" s="12">
        <v>0</v>
      </c>
    </row>
    <row r="164" spans="1:15">
      <c r="A164" t="s">
        <v>380</v>
      </c>
      <c r="B164" s="12">
        <f>44373.35/1000</f>
        <v>44.373350000000002</v>
      </c>
      <c r="D164" s="12">
        <v>0</v>
      </c>
      <c r="F164" s="12">
        <v>0</v>
      </c>
      <c r="H164" s="12">
        <v>0</v>
      </c>
    </row>
    <row r="166" spans="1:15">
      <c r="A166" t="s">
        <v>381</v>
      </c>
      <c r="B166" s="4">
        <f>SUM(B167:B168)</f>
        <v>67.29482999999999</v>
      </c>
      <c r="C166" s="11"/>
      <c r="D166" s="4">
        <f>SUM(D167:D168)</f>
        <v>0</v>
      </c>
      <c r="E166" s="11"/>
      <c r="F166" s="4">
        <f>SUM(F167:F168)</f>
        <v>0</v>
      </c>
      <c r="G166" s="11"/>
      <c r="H166" s="4">
        <f>SUM(H167:H168)</f>
        <v>0</v>
      </c>
      <c r="I166" s="11"/>
      <c r="J166" s="4"/>
      <c r="K166" s="11"/>
      <c r="L166" s="4"/>
      <c r="M166" s="11"/>
      <c r="O166" s="11"/>
    </row>
    <row r="167" spans="1:15">
      <c r="A167" t="s">
        <v>382</v>
      </c>
      <c r="B167" s="12">
        <f>56781.88/1000</f>
        <v>56.781879999999994</v>
      </c>
      <c r="D167" s="12">
        <v>0</v>
      </c>
      <c r="F167" s="12">
        <v>0</v>
      </c>
      <c r="H167" s="12">
        <v>0</v>
      </c>
    </row>
    <row r="168" spans="1:15">
      <c r="A168" t="s">
        <v>383</v>
      </c>
      <c r="B168" s="12">
        <f>10512.95/1000</f>
        <v>10.51295</v>
      </c>
      <c r="D168" s="12">
        <v>0</v>
      </c>
      <c r="F168" s="12">
        <v>0</v>
      </c>
      <c r="H168" s="12">
        <v>0</v>
      </c>
    </row>
    <row r="170" spans="1:15">
      <c r="A170" t="s">
        <v>384</v>
      </c>
      <c r="B170" s="4">
        <f t="shared" ref="B170:M170" si="9">+B120+B124+B126+B128+B143+B152+B154+B156+B158+B166</f>
        <v>9565.665570000001</v>
      </c>
      <c r="C170" s="11" t="s">
        <v>0</v>
      </c>
      <c r="D170" s="4">
        <f t="shared" si="9"/>
        <v>0</v>
      </c>
      <c r="E170" s="11" t="s">
        <v>0</v>
      </c>
      <c r="F170" s="4">
        <f t="shared" si="9"/>
        <v>0</v>
      </c>
      <c r="G170" s="11">
        <f t="shared" si="9"/>
        <v>0</v>
      </c>
      <c r="H170" s="4">
        <f t="shared" si="9"/>
        <v>0</v>
      </c>
      <c r="I170" s="11">
        <f t="shared" si="9"/>
        <v>0</v>
      </c>
      <c r="J170" s="4">
        <f t="shared" si="9"/>
        <v>0</v>
      </c>
      <c r="K170" s="11">
        <f t="shared" si="9"/>
        <v>0</v>
      </c>
      <c r="L170" s="4">
        <f t="shared" si="9"/>
        <v>0</v>
      </c>
      <c r="M170" s="11">
        <f t="shared" si="9"/>
        <v>0</v>
      </c>
      <c r="O170" s="11">
        <f>+O120+O124+O126+O128+O143+O152+O154+O156+O158+O166</f>
        <v>0</v>
      </c>
    </row>
  </sheetData>
  <pageMargins left="0.22" right="0.21" top="0.45" bottom="0.55000000000000004" header="0.31" footer="0.28999999999999998"/>
  <pageSetup scale="54" orientation="landscape" r:id="rId1"/>
  <headerFooter alignWithMargins="0">
    <oddFooter>&amp;R&amp;P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6"/>
  <sheetViews>
    <sheetView workbookViewId="0"/>
  </sheetViews>
  <sheetFormatPr defaultRowHeight="15.75"/>
  <cols>
    <col min="1" max="1" width="33.25" customWidth="1"/>
    <col min="2" max="2" width="17.37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9.75" style="13" customWidth="1"/>
    <col min="18" max="18" width="15.75" style="12" customWidth="1"/>
    <col min="19" max="21" width="15.75" customWidth="1"/>
    <col min="22" max="256" width="11" customWidth="1"/>
  </cols>
  <sheetData>
    <row r="1" spans="1:21">
      <c r="A1" s="114" t="s">
        <v>441</v>
      </c>
      <c r="B1" s="37"/>
      <c r="C1" s="38"/>
      <c r="D1" s="37"/>
      <c r="E1" s="38"/>
      <c r="F1" s="37"/>
      <c r="G1" s="38"/>
      <c r="H1" s="37"/>
      <c r="I1" s="38"/>
      <c r="J1" s="37"/>
      <c r="K1" s="38"/>
      <c r="L1" s="37"/>
      <c r="M1" s="38"/>
      <c r="N1" s="37"/>
      <c r="O1" s="38"/>
      <c r="P1" s="37"/>
      <c r="Q1" s="38"/>
    </row>
    <row r="2" spans="1:21">
      <c r="A2" s="114" t="s">
        <v>305</v>
      </c>
      <c r="B2" s="37"/>
      <c r="C2" s="38"/>
      <c r="D2" s="37"/>
      <c r="E2" s="38"/>
      <c r="F2" s="37"/>
      <c r="G2" s="38"/>
      <c r="H2" s="37"/>
      <c r="I2" s="38"/>
      <c r="J2" s="37"/>
      <c r="K2" s="38"/>
      <c r="L2" s="37"/>
      <c r="M2" s="38"/>
      <c r="N2" s="37"/>
      <c r="O2" s="38"/>
      <c r="P2" s="37"/>
      <c r="Q2" s="38"/>
    </row>
    <row r="3" spans="1:21">
      <c r="A3" s="114" t="s">
        <v>526</v>
      </c>
      <c r="B3" s="37"/>
      <c r="C3" s="38"/>
      <c r="D3" s="37"/>
      <c r="E3" s="38"/>
      <c r="F3" s="37"/>
      <c r="G3" s="38"/>
      <c r="H3" s="37"/>
      <c r="I3" s="38"/>
      <c r="J3" s="37"/>
      <c r="K3" s="38"/>
      <c r="L3" s="37"/>
      <c r="M3" s="38"/>
      <c r="N3" s="37"/>
      <c r="O3" s="38"/>
      <c r="P3" s="37"/>
      <c r="Q3" s="38"/>
    </row>
    <row r="4" spans="1:21">
      <c r="A4" s="114" t="s">
        <v>179</v>
      </c>
      <c r="B4" s="37"/>
      <c r="C4" s="38"/>
      <c r="D4" s="37"/>
      <c r="E4" s="38"/>
      <c r="F4" s="37"/>
      <c r="G4" s="38"/>
      <c r="H4" s="37"/>
      <c r="I4" s="38"/>
      <c r="J4" s="37"/>
      <c r="K4" s="38"/>
      <c r="L4" s="37"/>
      <c r="M4" s="38"/>
      <c r="N4" s="37"/>
      <c r="O4" s="38"/>
      <c r="P4" s="37"/>
      <c r="Q4" s="38"/>
    </row>
    <row r="6" spans="1:21" s="2" customFormat="1" ht="16.5" thickBot="1">
      <c r="B6" s="400" t="s">
        <v>0</v>
      </c>
      <c r="C6" s="399"/>
      <c r="D6" s="400"/>
      <c r="E6" s="399"/>
      <c r="F6" s="400"/>
      <c r="G6" s="399"/>
      <c r="H6" s="400"/>
      <c r="I6" s="11"/>
      <c r="J6" s="123" t="s">
        <v>167</v>
      </c>
      <c r="K6" s="230"/>
      <c r="L6" s="123"/>
      <c r="M6" s="230"/>
      <c r="N6" s="123"/>
      <c r="O6" s="230"/>
      <c r="P6" s="123"/>
      <c r="Q6" s="230"/>
      <c r="R6" s="4"/>
    </row>
    <row r="7" spans="1:21" s="2" customFormat="1" ht="16.5" thickBot="1">
      <c r="B7" s="223" t="s">
        <v>168</v>
      </c>
      <c r="C7" s="224" t="s">
        <v>301</v>
      </c>
      <c r="D7" s="225" t="s">
        <v>527</v>
      </c>
      <c r="E7" s="224" t="s">
        <v>301</v>
      </c>
      <c r="F7" s="225" t="s">
        <v>299</v>
      </c>
      <c r="G7" s="224" t="s">
        <v>301</v>
      </c>
      <c r="H7" s="225" t="s">
        <v>298</v>
      </c>
      <c r="I7" s="224" t="s">
        <v>301</v>
      </c>
      <c r="J7" s="228" t="s">
        <v>174</v>
      </c>
      <c r="K7" s="227" t="s">
        <v>301</v>
      </c>
      <c r="L7" s="228" t="s">
        <v>175</v>
      </c>
      <c r="M7" s="227" t="s">
        <v>301</v>
      </c>
      <c r="N7" s="228" t="s">
        <v>176</v>
      </c>
      <c r="O7" s="227" t="s">
        <v>301</v>
      </c>
      <c r="P7" s="228" t="s">
        <v>177</v>
      </c>
      <c r="Q7" s="227" t="s">
        <v>301</v>
      </c>
      <c r="R7" s="80"/>
      <c r="S7" s="18"/>
      <c r="T7" s="18"/>
      <c r="U7" s="18"/>
    </row>
    <row r="8" spans="1:21">
      <c r="A8" s="87" t="s">
        <v>243</v>
      </c>
      <c r="B8" s="125"/>
      <c r="C8" s="124"/>
      <c r="D8" s="125"/>
      <c r="E8" s="124"/>
      <c r="F8" s="125"/>
      <c r="G8" s="124"/>
      <c r="H8" s="125"/>
      <c r="I8" s="124"/>
      <c r="J8" s="219"/>
      <c r="K8" s="124"/>
      <c r="L8" s="219"/>
      <c r="M8" s="124"/>
      <c r="N8" s="219"/>
      <c r="O8" s="124"/>
      <c r="P8" s="219"/>
      <c r="Q8" s="124"/>
      <c r="R8" s="14"/>
      <c r="S8" s="9"/>
      <c r="T8" s="9"/>
      <c r="U8" s="9"/>
    </row>
    <row r="9" spans="1:21">
      <c r="A9" s="1" t="s">
        <v>264</v>
      </c>
      <c r="B9"/>
    </row>
    <row r="10" spans="1:21">
      <c r="A10" s="1" t="s">
        <v>265</v>
      </c>
      <c r="B10" s="12">
        <f>+bichvar!B10</f>
        <v>384.1</v>
      </c>
      <c r="C10" s="47">
        <f t="shared" ref="C10:C15" si="0">+B10/$B$22</f>
        <v>3.3941889646884167E-2</v>
      </c>
      <c r="D10" s="12">
        <f>+bichvar!D10</f>
        <v>0</v>
      </c>
      <c r="E10" s="44">
        <v>0</v>
      </c>
      <c r="F10" s="12">
        <f>+bichvar!F10</f>
        <v>0</v>
      </c>
      <c r="G10" s="44">
        <v>0</v>
      </c>
      <c r="H10" s="12">
        <f>+bichvar!H10</f>
        <v>0</v>
      </c>
      <c r="I10" s="44">
        <v>0</v>
      </c>
      <c r="J10" s="12">
        <f>+bichvar!J10</f>
        <v>353.1</v>
      </c>
      <c r="K10" s="47">
        <f t="shared" ref="K10:K15" si="1">+J10/$J$22</f>
        <v>3.5034627825293201E-2</v>
      </c>
      <c r="L10" s="12">
        <f>+bichvar!L10</f>
        <v>100.2</v>
      </c>
      <c r="M10" s="47">
        <f t="shared" ref="M10:M15" si="2">+L10/$L$22</f>
        <v>9.8027706034280373E-3</v>
      </c>
      <c r="N10" s="12">
        <f>+bichvar!N10</f>
        <v>1104.0999999999999</v>
      </c>
      <c r="O10" s="47">
        <f t="shared" ref="O10:O15" si="3">+N10/$N$22</f>
        <v>0.11745494776706879</v>
      </c>
      <c r="P10" s="12">
        <f>+bichvar!P10</f>
        <v>593.88130000000001</v>
      </c>
      <c r="Q10" s="47">
        <f>+P10/$P$22</f>
        <v>6.355176221380536E-2</v>
      </c>
    </row>
    <row r="11" spans="1:21">
      <c r="A11" s="1" t="s">
        <v>266</v>
      </c>
      <c r="B11" s="12">
        <f>+bichvar!B11</f>
        <v>4060.5</v>
      </c>
      <c r="C11" s="47">
        <f t="shared" si="0"/>
        <v>0.35881552437170827</v>
      </c>
      <c r="D11" s="12">
        <f>+bichvar!D11</f>
        <v>0</v>
      </c>
      <c r="E11" s="44">
        <v>0</v>
      </c>
      <c r="F11" s="12">
        <f>+bichvar!F11</f>
        <v>0</v>
      </c>
      <c r="G11" s="44">
        <v>0</v>
      </c>
      <c r="H11" s="12">
        <f>+bichvar!H11</f>
        <v>0</v>
      </c>
      <c r="I11" s="44">
        <v>0</v>
      </c>
      <c r="J11" s="12">
        <f>+bichvar!J11</f>
        <v>3134.9</v>
      </c>
      <c r="K11" s="47">
        <f t="shared" si="1"/>
        <v>0.31104518484710181</v>
      </c>
      <c r="L11" s="12">
        <f>+bichvar!L11</f>
        <v>4411</v>
      </c>
      <c r="M11" s="47">
        <f t="shared" si="2"/>
        <v>0.43153713704312441</v>
      </c>
      <c r="N11" s="12">
        <f>+bichvar!N11</f>
        <v>3469.1</v>
      </c>
      <c r="O11" s="47">
        <f t="shared" si="3"/>
        <v>0.36904533946086254</v>
      </c>
      <c r="P11" s="12">
        <f>+bichvar!P11</f>
        <v>3705.32375</v>
      </c>
      <c r="Q11" s="47">
        <f t="shared" ref="Q11:Q27" si="4">+P11/$P$22</f>
        <v>0.39650996568702462</v>
      </c>
    </row>
    <row r="12" spans="1:21">
      <c r="A12" s="1" t="s">
        <v>267</v>
      </c>
      <c r="B12" s="12">
        <f>+bichvar!B12</f>
        <v>448.4</v>
      </c>
      <c r="C12" s="47">
        <f t="shared" si="0"/>
        <v>3.9623908663532569E-2</v>
      </c>
      <c r="D12" s="12">
        <f>+bichvar!D12</f>
        <v>0</v>
      </c>
      <c r="E12" s="44">
        <v>0</v>
      </c>
      <c r="F12" s="12">
        <f>+bichvar!F12</f>
        <v>0</v>
      </c>
      <c r="G12" s="44">
        <v>0</v>
      </c>
      <c r="H12" s="12">
        <f>+bichvar!H12</f>
        <v>0</v>
      </c>
      <c r="I12" s="44">
        <v>0</v>
      </c>
      <c r="J12" s="12">
        <f>+bichvar!J12</f>
        <v>422.8</v>
      </c>
      <c r="K12" s="47">
        <f t="shared" si="1"/>
        <v>4.1950270870954307E-2</v>
      </c>
      <c r="L12" s="12">
        <f>+bichvar!L12</f>
        <v>420.5</v>
      </c>
      <c r="M12" s="47">
        <f t="shared" si="2"/>
        <v>4.1138373640134625E-2</v>
      </c>
      <c r="N12" s="12">
        <f>+bichvar!N12</f>
        <v>0</v>
      </c>
      <c r="O12" s="47">
        <f t="shared" si="3"/>
        <v>0</v>
      </c>
      <c r="P12" s="12">
        <f>+bichvar!P12</f>
        <v>367.5</v>
      </c>
      <c r="Q12" s="47">
        <f t="shared" si="4"/>
        <v>3.9326499442857467E-2</v>
      </c>
    </row>
    <row r="13" spans="1:21">
      <c r="A13" s="1" t="s">
        <v>268</v>
      </c>
      <c r="B13" s="12">
        <f>+bichvar!B13</f>
        <v>1500</v>
      </c>
      <c r="C13" s="47">
        <f t="shared" si="0"/>
        <v>0.13255098794669681</v>
      </c>
      <c r="D13" s="12">
        <f>+bichvar!D13</f>
        <v>0</v>
      </c>
      <c r="E13" s="44">
        <v>0</v>
      </c>
      <c r="F13" s="12">
        <f>+bichvar!F13</f>
        <v>0</v>
      </c>
      <c r="G13" s="44">
        <v>0</v>
      </c>
      <c r="H13" s="12">
        <f>+bichvar!H13</f>
        <v>0</v>
      </c>
      <c r="I13" s="44">
        <v>0</v>
      </c>
      <c r="J13" s="12">
        <f>+bichvar!J13</f>
        <v>1500</v>
      </c>
      <c r="K13" s="47">
        <f t="shared" si="1"/>
        <v>0.14883019466989464</v>
      </c>
      <c r="L13" s="12">
        <f>+bichvar!L13</f>
        <v>1500</v>
      </c>
      <c r="M13" s="47">
        <f t="shared" si="2"/>
        <v>0.14674806292556941</v>
      </c>
      <c r="N13" s="12">
        <f>+bichvar!N13</f>
        <v>1500</v>
      </c>
      <c r="O13" s="47">
        <f t="shared" si="3"/>
        <v>0.15957107295589457</v>
      </c>
      <c r="P13" s="12">
        <f>+bichvar!P13</f>
        <v>1500</v>
      </c>
      <c r="Q13" s="47">
        <f t="shared" si="4"/>
        <v>0.16051632425656109</v>
      </c>
    </row>
    <row r="14" spans="1:21">
      <c r="A14" s="1" t="s">
        <v>269</v>
      </c>
      <c r="B14" s="221">
        <f>+bichvar!B14</f>
        <v>313.7</v>
      </c>
      <c r="C14" s="236">
        <f t="shared" si="0"/>
        <v>2.7720829945919193E-2</v>
      </c>
      <c r="D14" s="221">
        <f>+bichvar!D14</f>
        <v>0</v>
      </c>
      <c r="E14" s="545">
        <v>0</v>
      </c>
      <c r="F14" s="221">
        <f>+bichvar!F14</f>
        <v>0</v>
      </c>
      <c r="G14" s="545">
        <v>0</v>
      </c>
      <c r="H14" s="221">
        <f>+bichvar!H14</f>
        <v>0</v>
      </c>
      <c r="I14" s="545">
        <v>0</v>
      </c>
      <c r="J14" s="221">
        <f>+bichvar!J14</f>
        <v>291.3</v>
      </c>
      <c r="K14" s="328">
        <f t="shared" si="1"/>
        <v>2.8902823804893542E-2</v>
      </c>
      <c r="L14" s="221">
        <f>+bichvar!L14</f>
        <v>88.9</v>
      </c>
      <c r="M14" s="328">
        <f t="shared" si="2"/>
        <v>8.6972685293887474E-3</v>
      </c>
      <c r="N14" s="221">
        <f>+bichvar!N14</f>
        <v>25.3</v>
      </c>
      <c r="O14" s="328">
        <f t="shared" si="3"/>
        <v>2.691432097189422E-3</v>
      </c>
      <c r="P14" s="221">
        <f>+bichvar!P14</f>
        <v>39.934400000000004</v>
      </c>
      <c r="Q14" s="328">
        <f t="shared" si="4"/>
        <v>4.2734153995941425E-3</v>
      </c>
    </row>
    <row r="15" spans="1:21" ht="15.6" customHeight="1">
      <c r="A15" s="1"/>
      <c r="B15" s="12">
        <f>SUM(B10:B14)</f>
        <v>6706.7</v>
      </c>
      <c r="C15" s="47">
        <f t="shared" si="0"/>
        <v>0.59265314057474094</v>
      </c>
      <c r="D15" s="12">
        <f>SUM(D10:D14)</f>
        <v>0</v>
      </c>
      <c r="E15" s="44">
        <v>0</v>
      </c>
      <c r="F15" s="12">
        <f>SUM(F10:F14)</f>
        <v>0</v>
      </c>
      <c r="G15" s="44">
        <v>0</v>
      </c>
      <c r="H15" s="12">
        <f>SUM(H10:H14)</f>
        <v>0</v>
      </c>
      <c r="I15" s="44">
        <v>0</v>
      </c>
      <c r="J15" s="12">
        <f>SUM(J10:J14)</f>
        <v>5702.1</v>
      </c>
      <c r="K15" s="47">
        <f t="shared" si="1"/>
        <v>0.56576310201813751</v>
      </c>
      <c r="L15" s="12">
        <f>SUM(L10:L14)</f>
        <v>6520.5999999999995</v>
      </c>
      <c r="M15" s="47">
        <f t="shared" si="2"/>
        <v>0.63792361274164522</v>
      </c>
      <c r="N15" s="12">
        <f>SUM(N10:N14)</f>
        <v>6098.5</v>
      </c>
      <c r="O15" s="47">
        <f t="shared" si="3"/>
        <v>0.64876279228101541</v>
      </c>
      <c r="P15" s="12">
        <f>SUM(P10:P14)</f>
        <v>6206.6394500000006</v>
      </c>
      <c r="Q15" s="47">
        <f t="shared" si="4"/>
        <v>0.66417796699984266</v>
      </c>
    </row>
    <row r="16" spans="1:21" ht="7.9" customHeight="1">
      <c r="A16" s="1"/>
      <c r="C16" s="44" t="s">
        <v>0</v>
      </c>
      <c r="E16" s="44" t="s">
        <v>0</v>
      </c>
      <c r="G16" s="44" t="s">
        <v>0</v>
      </c>
      <c r="I16" s="44" t="s">
        <v>0</v>
      </c>
      <c r="K16" s="47" t="s">
        <v>0</v>
      </c>
      <c r="M16" s="47" t="s">
        <v>0</v>
      </c>
      <c r="O16" s="47" t="s">
        <v>0</v>
      </c>
      <c r="Q16" s="47" t="s">
        <v>0</v>
      </c>
    </row>
    <row r="17" spans="1:17" ht="15.6" customHeight="1">
      <c r="A17" s="1" t="s">
        <v>270</v>
      </c>
      <c r="B17" s="12">
        <f>+bichvar!B17</f>
        <v>0</v>
      </c>
      <c r="C17" s="47">
        <f t="shared" ref="C17:C22" si="5">+B17/$B$22</f>
        <v>0</v>
      </c>
      <c r="D17" s="12">
        <f>+bichvar!D17</f>
        <v>0</v>
      </c>
      <c r="E17" s="44">
        <v>0</v>
      </c>
      <c r="F17" s="12">
        <f>+bichvar!F17</f>
        <v>0</v>
      </c>
      <c r="G17" s="44">
        <v>0</v>
      </c>
      <c r="H17" s="12">
        <f>+bichvar!H17</f>
        <v>0</v>
      </c>
      <c r="I17" s="44">
        <v>0</v>
      </c>
      <c r="J17" s="12">
        <f>+bichvar!J17</f>
        <v>0</v>
      </c>
      <c r="K17" s="47"/>
      <c r="L17" s="12">
        <f>+bichvar!L17</f>
        <v>0</v>
      </c>
      <c r="M17" s="47">
        <f t="shared" ref="M17:M22" si="6">+L17/$L$22</f>
        <v>0</v>
      </c>
      <c r="N17" s="12">
        <f>+bichvar!N17</f>
        <v>0</v>
      </c>
      <c r="O17" s="47">
        <f t="shared" ref="O17:O22" si="7">+N17/$N$22</f>
        <v>0</v>
      </c>
      <c r="P17" s="12">
        <f>+bichvar!P17</f>
        <v>0</v>
      </c>
      <c r="Q17" s="47">
        <f t="shared" si="4"/>
        <v>0</v>
      </c>
    </row>
    <row r="18" spans="1:17">
      <c r="A18" s="1" t="s">
        <v>271</v>
      </c>
      <c r="B18" s="12">
        <f>+bichvar!B18</f>
        <v>0</v>
      </c>
      <c r="C18" s="47">
        <f t="shared" si="5"/>
        <v>0</v>
      </c>
      <c r="D18" s="12">
        <f>+bichvar!D18</f>
        <v>0</v>
      </c>
      <c r="E18" s="44">
        <v>0</v>
      </c>
      <c r="F18" s="12">
        <f>+bichvar!F18</f>
        <v>0</v>
      </c>
      <c r="G18" s="44">
        <v>0</v>
      </c>
      <c r="H18" s="12">
        <f>+bichvar!H18</f>
        <v>0</v>
      </c>
      <c r="I18" s="44">
        <v>0</v>
      </c>
      <c r="J18" s="12">
        <f>+bichvar!J18</f>
        <v>0</v>
      </c>
      <c r="K18" s="47">
        <f>+J18/$J$22</f>
        <v>0</v>
      </c>
      <c r="L18" s="12">
        <f>+bichvar!L18</f>
        <v>0</v>
      </c>
      <c r="M18" s="47">
        <f t="shared" si="6"/>
        <v>0</v>
      </c>
      <c r="N18" s="12">
        <f>+bichvar!N18</f>
        <v>0</v>
      </c>
      <c r="O18" s="47">
        <f t="shared" si="7"/>
        <v>0</v>
      </c>
      <c r="P18" s="12">
        <f>+bichvar!P18</f>
        <v>0</v>
      </c>
      <c r="Q18" s="47">
        <f t="shared" si="4"/>
        <v>0</v>
      </c>
    </row>
    <row r="19" spans="1:17">
      <c r="A19" s="1" t="s">
        <v>272</v>
      </c>
      <c r="B19" s="12">
        <f>+bichvar!B19</f>
        <v>3752.9</v>
      </c>
      <c r="C19" s="47">
        <f t="shared" si="5"/>
        <v>0.33163373511010563</v>
      </c>
      <c r="D19" s="12">
        <f>+bichvar!D19</f>
        <v>0</v>
      </c>
      <c r="E19" s="44">
        <v>0</v>
      </c>
      <c r="F19" s="12">
        <f>+bichvar!F19</f>
        <v>0</v>
      </c>
      <c r="G19" s="44">
        <v>0</v>
      </c>
      <c r="H19" s="12">
        <f>+bichvar!H19</f>
        <v>0</v>
      </c>
      <c r="I19" s="44">
        <v>0</v>
      </c>
      <c r="J19" s="12">
        <f>+bichvar!J19</f>
        <v>3761.7</v>
      </c>
      <c r="K19" s="47">
        <f>+J19/$J$22</f>
        <v>0.37323636219316181</v>
      </c>
      <c r="L19" s="12">
        <f>+bichvar!L19</f>
        <v>3150.2999999999997</v>
      </c>
      <c r="M19" s="47">
        <f t="shared" si="6"/>
        <v>0.30820028175628084</v>
      </c>
      <c r="N19" s="12">
        <f>+bichvar!N19</f>
        <v>2594.5</v>
      </c>
      <c r="O19" s="47">
        <f t="shared" si="7"/>
        <v>0.27600476585604566</v>
      </c>
      <c r="P19" s="12">
        <f>+bichvar!P19</f>
        <v>2556.47534</v>
      </c>
      <c r="Q19" s="47">
        <f t="shared" si="4"/>
        <v>0.27357068308622817</v>
      </c>
    </row>
    <row r="20" spans="1:17">
      <c r="A20" s="1" t="s">
        <v>273</v>
      </c>
      <c r="B20" s="12">
        <f>+bichvar!B20</f>
        <v>176.7</v>
      </c>
      <c r="C20" s="47">
        <f t="shared" si="5"/>
        <v>1.5614506380120883E-2</v>
      </c>
      <c r="D20" s="12">
        <f>+bichvar!D20</f>
        <v>0</v>
      </c>
      <c r="E20" s="44">
        <v>0</v>
      </c>
      <c r="F20" s="12">
        <f>+bichvar!F20</f>
        <v>0</v>
      </c>
      <c r="G20" s="44">
        <v>0</v>
      </c>
      <c r="H20" s="12">
        <f>+bichvar!H20</f>
        <v>0</v>
      </c>
      <c r="I20" s="44">
        <v>0</v>
      </c>
      <c r="J20" s="12">
        <f>+bichvar!J20</f>
        <v>179.8</v>
      </c>
      <c r="K20" s="47">
        <f>+J20/$J$22</f>
        <v>1.7839779334431372E-2</v>
      </c>
      <c r="L20" s="12">
        <f>+bichvar!L20</f>
        <v>189.8</v>
      </c>
      <c r="M20" s="47">
        <f t="shared" si="6"/>
        <v>1.8568521562182048E-2</v>
      </c>
      <c r="N20" s="12">
        <f>+bichvar!N20</f>
        <v>200.9</v>
      </c>
      <c r="O20" s="47">
        <f t="shared" si="7"/>
        <v>2.137188570455948E-2</v>
      </c>
      <c r="P20" s="12">
        <f>+bichvar!P20</f>
        <v>214.39635000000001</v>
      </c>
      <c r="Q20" s="47">
        <f t="shared" si="4"/>
        <v>2.2942742690682107E-2</v>
      </c>
    </row>
    <row r="21" spans="1:17" ht="16.5" thickBot="1">
      <c r="A21" s="1" t="s">
        <v>274</v>
      </c>
      <c r="B21" s="99">
        <f>+bichvar!B21</f>
        <v>680.1</v>
      </c>
      <c r="C21" s="231">
        <f t="shared" si="5"/>
        <v>6.0098617935032336E-2</v>
      </c>
      <c r="D21" s="99">
        <f>+bichvar!D21</f>
        <v>0</v>
      </c>
      <c r="E21" s="232">
        <v>0</v>
      </c>
      <c r="F21" s="99">
        <f>+bichvar!F21</f>
        <v>0</v>
      </c>
      <c r="G21" s="232">
        <v>0</v>
      </c>
      <c r="H21" s="99">
        <f>+bichvar!H21</f>
        <v>0</v>
      </c>
      <c r="I21" s="232">
        <v>0</v>
      </c>
      <c r="J21" s="99">
        <f>+bichvar!J21</f>
        <v>435</v>
      </c>
      <c r="K21" s="329">
        <f>+J21/$J$22</f>
        <v>4.316075645426945E-2</v>
      </c>
      <c r="L21" s="99">
        <f>+bichvar!L21</f>
        <v>360.9</v>
      </c>
      <c r="M21" s="329">
        <f t="shared" si="6"/>
        <v>3.5307583939891994E-2</v>
      </c>
      <c r="N21" s="99">
        <f>+bichvar!N21</f>
        <v>506.3</v>
      </c>
      <c r="O21" s="329">
        <f t="shared" si="7"/>
        <v>5.3860556158379619E-2</v>
      </c>
      <c r="P21" s="99">
        <f>+bichvar!P21</f>
        <v>367.33279999999996</v>
      </c>
      <c r="Q21" s="329">
        <f t="shared" si="4"/>
        <v>3.9308607223247E-2</v>
      </c>
    </row>
    <row r="22" spans="1:17">
      <c r="A22" s="1" t="s">
        <v>275</v>
      </c>
      <c r="B22" s="4">
        <f>SUM(B15:B21)</f>
        <v>11316.400000000001</v>
      </c>
      <c r="C22" s="112">
        <f t="shared" si="5"/>
        <v>1</v>
      </c>
      <c r="D22" s="4">
        <f>SUM(D15:D21)</f>
        <v>0</v>
      </c>
      <c r="E22" s="44">
        <v>0</v>
      </c>
      <c r="F22" s="4">
        <f>SUM(F15:F21)</f>
        <v>0</v>
      </c>
      <c r="G22" s="42">
        <v>0</v>
      </c>
      <c r="H22" s="4">
        <f>SUM(H15:H21)</f>
        <v>0</v>
      </c>
      <c r="I22" s="42">
        <v>0</v>
      </c>
      <c r="J22" s="4">
        <f>SUM(J15:J21)</f>
        <v>10078.599999999999</v>
      </c>
      <c r="K22" s="47">
        <f>+J22/$J$22</f>
        <v>1</v>
      </c>
      <c r="L22" s="4">
        <f>SUM(L15:L21)</f>
        <v>10221.599999999999</v>
      </c>
      <c r="M22" s="47">
        <f t="shared" si="6"/>
        <v>1</v>
      </c>
      <c r="N22" s="4">
        <f>SUM(N15:N21)</f>
        <v>9400.1999999999989</v>
      </c>
      <c r="O22" s="47">
        <f t="shared" si="7"/>
        <v>1</v>
      </c>
      <c r="P22" s="4">
        <f>SUM(P15:P21)</f>
        <v>9344.8439400000007</v>
      </c>
      <c r="Q22" s="47">
        <f t="shared" si="4"/>
        <v>1</v>
      </c>
    </row>
    <row r="23" spans="1:17" ht="7.9" customHeight="1">
      <c r="A23" s="1"/>
      <c r="C23" s="44" t="s">
        <v>0</v>
      </c>
      <c r="E23" s="44" t="s">
        <v>0</v>
      </c>
      <c r="G23" s="44" t="s">
        <v>0</v>
      </c>
      <c r="I23" s="44" t="s">
        <v>0</v>
      </c>
      <c r="K23" s="47" t="s">
        <v>0</v>
      </c>
      <c r="M23" s="47" t="s">
        <v>0</v>
      </c>
      <c r="O23" s="47" t="s">
        <v>0</v>
      </c>
      <c r="Q23" s="47" t="s">
        <v>0</v>
      </c>
    </row>
    <row r="24" spans="1:17">
      <c r="A24" s="87" t="s">
        <v>276</v>
      </c>
      <c r="C24" s="44" t="s">
        <v>0</v>
      </c>
      <c r="E24" s="44" t="s">
        <v>0</v>
      </c>
      <c r="G24" s="44" t="s">
        <v>0</v>
      </c>
      <c r="I24" s="44" t="s">
        <v>0</v>
      </c>
      <c r="K24" s="47" t="s">
        <v>0</v>
      </c>
      <c r="M24" s="47" t="s">
        <v>0</v>
      </c>
      <c r="O24" s="47" t="s">
        <v>0</v>
      </c>
      <c r="Q24" s="47" t="s">
        <v>0</v>
      </c>
    </row>
    <row r="25" spans="1:17">
      <c r="A25" s="1" t="s">
        <v>277</v>
      </c>
      <c r="C25" s="44" t="s">
        <v>0</v>
      </c>
      <c r="E25" s="44" t="s">
        <v>0</v>
      </c>
      <c r="G25" s="44" t="s">
        <v>0</v>
      </c>
      <c r="I25" s="44" t="s">
        <v>0</v>
      </c>
      <c r="K25" s="47" t="s">
        <v>0</v>
      </c>
      <c r="M25" s="47" t="s">
        <v>0</v>
      </c>
      <c r="O25" s="47" t="s">
        <v>0</v>
      </c>
      <c r="Q25" s="47" t="s">
        <v>0</v>
      </c>
    </row>
    <row r="26" spans="1:17">
      <c r="A26" s="1" t="s">
        <v>456</v>
      </c>
      <c r="B26" s="12">
        <f>+bichvar!B26</f>
        <v>2186.9</v>
      </c>
      <c r="C26" s="47">
        <f>+B26/$B$22</f>
        <v>0.19325050369375418</v>
      </c>
      <c r="D26" s="12">
        <f>+bichvar!D26</f>
        <v>0</v>
      </c>
      <c r="E26" s="44">
        <v>0</v>
      </c>
      <c r="F26" s="12">
        <f>+bichvar!F26</f>
        <v>0</v>
      </c>
      <c r="G26" s="44">
        <v>0</v>
      </c>
      <c r="H26" s="12">
        <f>+bichvar!H26</f>
        <v>0</v>
      </c>
      <c r="I26" s="44">
        <v>0</v>
      </c>
      <c r="J26" s="12">
        <f>+bichvar!J26</f>
        <v>1096</v>
      </c>
      <c r="K26" s="47">
        <f>+J26/$J$22</f>
        <v>0.10874526223880303</v>
      </c>
      <c r="L26" s="12">
        <f>+bichvar!L26</f>
        <v>1260</v>
      </c>
      <c r="M26" s="47">
        <f>+L26/$L$22</f>
        <v>0.1232683728574783</v>
      </c>
      <c r="N26" s="12">
        <f>+bichvar!N26</f>
        <v>896.5</v>
      </c>
      <c r="O26" s="47">
        <f>+N26/$N$22</f>
        <v>9.5370311269972988E-2</v>
      </c>
      <c r="P26" s="12">
        <f>+bichvar!P26</f>
        <v>1239.3327099999999</v>
      </c>
      <c r="Q26" s="47">
        <f t="shared" si="4"/>
        <v>0.13262208742674839</v>
      </c>
    </row>
    <row r="27" spans="1:17">
      <c r="A27" s="1" t="s">
        <v>279</v>
      </c>
      <c r="B27" s="12">
        <f>+bichvar!B27</f>
        <v>3159.4</v>
      </c>
      <c r="C27" s="47">
        <f>+B27/$B$22</f>
        <v>0.27918772754586263</v>
      </c>
      <c r="D27" s="12">
        <f>+bichvar!D27</f>
        <v>0</v>
      </c>
      <c r="E27" s="44">
        <v>0</v>
      </c>
      <c r="F27" s="12">
        <f>+bichvar!F27</f>
        <v>0</v>
      </c>
      <c r="G27" s="44">
        <v>0</v>
      </c>
      <c r="H27" s="12">
        <f>+bichvar!H27</f>
        <v>0</v>
      </c>
      <c r="I27" s="44">
        <v>0</v>
      </c>
      <c r="J27" s="12">
        <f>+bichvar!J27</f>
        <v>3062.5</v>
      </c>
      <c r="K27" s="47">
        <f>+J27/$J$22</f>
        <v>0.30386164745103489</v>
      </c>
      <c r="L27" s="12">
        <f>+bichvar!L27</f>
        <v>3185.4</v>
      </c>
      <c r="M27" s="47">
        <f>+L27/$L$22</f>
        <v>0.31163418642873919</v>
      </c>
      <c r="N27" s="12">
        <f>+bichvar!N27</f>
        <v>3005.2</v>
      </c>
      <c r="O27" s="47">
        <f>+N27/$N$22</f>
        <v>0.31969532563136954</v>
      </c>
      <c r="P27" s="12">
        <f>+bichvar!P27</f>
        <v>2738.3595</v>
      </c>
      <c r="Q27" s="47">
        <f t="shared" si="4"/>
        <v>0.293034267622023</v>
      </c>
    </row>
    <row r="28" spans="1:17">
      <c r="A28" s="1" t="s">
        <v>280</v>
      </c>
      <c r="B28" s="221">
        <f>+bichvar!B28</f>
        <v>0</v>
      </c>
      <c r="C28" s="236">
        <f>+B28/$B$22</f>
        <v>0</v>
      </c>
      <c r="D28" s="221">
        <f>+bichvar!D28</f>
        <v>0</v>
      </c>
      <c r="E28" s="545">
        <v>0</v>
      </c>
      <c r="F28" s="221">
        <f>+bichvar!F28</f>
        <v>0</v>
      </c>
      <c r="G28" s="545">
        <v>0</v>
      </c>
      <c r="H28" s="221">
        <f>+bichvar!H28</f>
        <v>0</v>
      </c>
      <c r="I28" s="545">
        <v>0</v>
      </c>
      <c r="J28" s="221">
        <f>+bichvar!J28</f>
        <v>0</v>
      </c>
      <c r="K28" s="328">
        <f>+J28/$J$22</f>
        <v>0</v>
      </c>
      <c r="L28" s="221">
        <f>+bichvar!L28</f>
        <v>0</v>
      </c>
      <c r="M28" s="328">
        <f>+L28/$L$22</f>
        <v>0</v>
      </c>
      <c r="N28" s="221">
        <f>+bichvar!N28</f>
        <v>0</v>
      </c>
      <c r="O28" s="328">
        <f>+N28/$N$22</f>
        <v>0</v>
      </c>
      <c r="P28" s="221">
        <f>+bichvar!P28</f>
        <v>0</v>
      </c>
      <c r="Q28" s="328">
        <f t="shared" ref="Q28:Q43" si="8">+P28/$P$22</f>
        <v>0</v>
      </c>
    </row>
    <row r="29" spans="1:17">
      <c r="A29" s="1"/>
      <c r="B29" s="12">
        <f>SUM(B26:B28)</f>
        <v>5346.3</v>
      </c>
      <c r="C29" s="47">
        <f>+B29/$B$22</f>
        <v>0.47243823123961681</v>
      </c>
      <c r="D29" s="12">
        <f>SUM(D26:D28)</f>
        <v>0</v>
      </c>
      <c r="E29" s="44">
        <v>0</v>
      </c>
      <c r="F29" s="12">
        <f>SUM(F26:F28)</f>
        <v>0</v>
      </c>
      <c r="G29" s="44">
        <v>0</v>
      </c>
      <c r="H29" s="12">
        <f>SUM(H26:H28)</f>
        <v>0</v>
      </c>
      <c r="I29" s="44">
        <v>0</v>
      </c>
      <c r="J29" s="12">
        <f>SUM(J26:J28)</f>
        <v>4158.5</v>
      </c>
      <c r="K29" s="47">
        <f>+J29/$J$22</f>
        <v>0.41260690968983793</v>
      </c>
      <c r="L29" s="12">
        <f>SUM(L26:L28)</f>
        <v>4445.3999999999996</v>
      </c>
      <c r="M29" s="47">
        <f>+L29/$L$22</f>
        <v>0.43490255928621746</v>
      </c>
      <c r="N29" s="12">
        <f>SUM(N26:N28)</f>
        <v>3901.7</v>
      </c>
      <c r="O29" s="47">
        <f>+N29/$N$22</f>
        <v>0.41506563690134257</v>
      </c>
      <c r="P29" s="12">
        <f>SUM(P26:P28)</f>
        <v>3977.6922100000002</v>
      </c>
      <c r="Q29" s="47">
        <f t="shared" si="8"/>
        <v>0.42565635504877142</v>
      </c>
    </row>
    <row r="30" spans="1:17" ht="7.9" customHeight="1">
      <c r="A30" s="1"/>
      <c r="C30" s="44" t="s">
        <v>0</v>
      </c>
      <c r="E30" s="44" t="s">
        <v>0</v>
      </c>
      <c r="G30" s="44" t="s">
        <v>0</v>
      </c>
      <c r="I30" s="44" t="s">
        <v>0</v>
      </c>
      <c r="K30" s="47" t="s">
        <v>0</v>
      </c>
      <c r="M30" s="47" t="s">
        <v>0</v>
      </c>
      <c r="O30" s="47" t="s">
        <v>0</v>
      </c>
      <c r="Q30" s="47" t="s">
        <v>0</v>
      </c>
    </row>
    <row r="31" spans="1:17">
      <c r="A31" s="1" t="s">
        <v>281</v>
      </c>
      <c r="C31" s="44" t="s">
        <v>0</v>
      </c>
      <c r="E31" s="44" t="s">
        <v>0</v>
      </c>
      <c r="G31" s="44" t="s">
        <v>0</v>
      </c>
      <c r="I31" s="44" t="s">
        <v>0</v>
      </c>
      <c r="K31" s="47" t="s">
        <v>0</v>
      </c>
      <c r="M31" s="47" t="s">
        <v>0</v>
      </c>
      <c r="O31" s="47" t="s">
        <v>0</v>
      </c>
      <c r="Q31" s="47" t="s">
        <v>0</v>
      </c>
    </row>
    <row r="32" spans="1:17">
      <c r="A32" s="1" t="s">
        <v>282</v>
      </c>
      <c r="B32" s="12">
        <f>+bichvar!B32</f>
        <v>0</v>
      </c>
      <c r="C32" s="47">
        <f>+B32/$B$22</f>
        <v>0</v>
      </c>
      <c r="D32" s="12">
        <f>+bichvar!D32</f>
        <v>0</v>
      </c>
      <c r="E32" s="44">
        <v>0</v>
      </c>
      <c r="F32" s="12">
        <f>+bichvar!F32</f>
        <v>0</v>
      </c>
      <c r="G32" s="44">
        <v>0</v>
      </c>
      <c r="H32" s="12">
        <f>+bichvar!H32</f>
        <v>0</v>
      </c>
      <c r="I32" s="44">
        <v>0</v>
      </c>
      <c r="J32" s="12">
        <f>+bichvar!J32</f>
        <v>0</v>
      </c>
      <c r="K32" s="47">
        <f>+J32/$J$22</f>
        <v>0</v>
      </c>
      <c r="L32" s="12">
        <f>+bichvar!L32</f>
        <v>0</v>
      </c>
      <c r="M32" s="47">
        <f>+L32/$L$22</f>
        <v>0</v>
      </c>
      <c r="N32" s="12">
        <f>+bichvar!N32</f>
        <v>0</v>
      </c>
      <c r="O32" s="47">
        <f>+N32/$N$22</f>
        <v>0</v>
      </c>
      <c r="P32" s="12">
        <f>+bichvar!P32</f>
        <v>0</v>
      </c>
      <c r="Q32" s="47">
        <f t="shared" si="8"/>
        <v>0</v>
      </c>
    </row>
    <row r="33" spans="1:21">
      <c r="A33" s="1" t="s">
        <v>283</v>
      </c>
      <c r="B33" s="12">
        <f>+bichvar!B33</f>
        <v>0</v>
      </c>
      <c r="C33" s="47">
        <f>+B33/$B$22</f>
        <v>0</v>
      </c>
      <c r="D33" s="12">
        <f>+bichvar!D33</f>
        <v>0</v>
      </c>
      <c r="E33" s="44">
        <v>0</v>
      </c>
      <c r="F33" s="12">
        <f>+bichvar!F33</f>
        <v>0</v>
      </c>
      <c r="G33" s="44">
        <v>0</v>
      </c>
      <c r="H33" s="12">
        <f>+bichvar!H33</f>
        <v>0</v>
      </c>
      <c r="I33" s="44">
        <v>0</v>
      </c>
      <c r="J33" s="12">
        <f>+bichvar!J33</f>
        <v>0</v>
      </c>
      <c r="K33" s="47">
        <f>+J33/$J$22</f>
        <v>0</v>
      </c>
      <c r="L33" s="12">
        <f>+bichvar!L33</f>
        <v>0</v>
      </c>
      <c r="M33" s="47">
        <f>+L33/$L$22</f>
        <v>0</v>
      </c>
      <c r="N33" s="12">
        <f>+bichvar!N33</f>
        <v>0</v>
      </c>
      <c r="O33" s="47">
        <f>+N33/$N$22</f>
        <v>0</v>
      </c>
      <c r="P33" s="12">
        <f>+bichvar!P33</f>
        <v>0</v>
      </c>
      <c r="Q33" s="47">
        <f t="shared" si="8"/>
        <v>0</v>
      </c>
    </row>
    <row r="34" spans="1:21" ht="18">
      <c r="A34" s="1" t="s">
        <v>284</v>
      </c>
      <c r="B34" s="221">
        <f>+bichvar!B34</f>
        <v>180.5</v>
      </c>
      <c r="C34" s="236">
        <f>+B34/$B$22</f>
        <v>1.5950302216252515E-2</v>
      </c>
      <c r="D34" s="221">
        <f>+bichvar!D34</f>
        <v>0</v>
      </c>
      <c r="E34" s="545">
        <v>0</v>
      </c>
      <c r="F34" s="221">
        <f>+bichvar!F34</f>
        <v>0</v>
      </c>
      <c r="G34" s="545">
        <v>0</v>
      </c>
      <c r="H34" s="221">
        <f>+bichvar!H34</f>
        <v>0</v>
      </c>
      <c r="I34" s="545">
        <v>0</v>
      </c>
      <c r="J34" s="221">
        <f>+bichvar!J34</f>
        <v>162.6</v>
      </c>
      <c r="K34" s="328">
        <f>+J34/$J$22</f>
        <v>1.6133193102216579E-2</v>
      </c>
      <c r="L34" s="221">
        <f>+bichvar!L34</f>
        <v>114.39999999999999</v>
      </c>
      <c r="M34" s="328">
        <f>+L34/$L$22</f>
        <v>1.1191985599123426E-2</v>
      </c>
      <c r="N34" s="221">
        <f>+bichvar!N34</f>
        <v>109.4</v>
      </c>
      <c r="O34" s="328">
        <f>+N34/$N$22</f>
        <v>1.1638050254249912E-2</v>
      </c>
      <c r="P34" s="221">
        <f>+bichvar!P34</f>
        <v>68.382499999999993</v>
      </c>
      <c r="Q34" s="328">
        <f t="shared" si="8"/>
        <v>7.3176716956495254E-3</v>
      </c>
      <c r="R34" s="6"/>
      <c r="S34" s="7"/>
      <c r="T34" s="7"/>
      <c r="U34" s="7"/>
    </row>
    <row r="35" spans="1:21">
      <c r="A35" s="1"/>
      <c r="B35" s="12">
        <f>SUM(B32:B34)</f>
        <v>180.5</v>
      </c>
      <c r="C35" s="47">
        <f>+B35/$B$22</f>
        <v>1.5950302216252515E-2</v>
      </c>
      <c r="D35" s="12">
        <f>SUM(D32:D34)</f>
        <v>0</v>
      </c>
      <c r="E35" s="44">
        <v>0</v>
      </c>
      <c r="F35" s="12">
        <f>SUM(F32:F34)</f>
        <v>0</v>
      </c>
      <c r="G35" s="44">
        <v>0</v>
      </c>
      <c r="H35" s="12">
        <f>SUM(H32:H34)</f>
        <v>0</v>
      </c>
      <c r="I35" s="44">
        <v>0</v>
      </c>
      <c r="J35" s="12">
        <f>SUM(J32:J34)</f>
        <v>162.6</v>
      </c>
      <c r="K35" s="47">
        <f>+J35/$J$22</f>
        <v>1.6133193102216579E-2</v>
      </c>
      <c r="L35" s="12">
        <f>SUM(L32:L34)</f>
        <v>114.39999999999999</v>
      </c>
      <c r="M35" s="47">
        <f>+L35/$L$22</f>
        <v>1.1191985599123426E-2</v>
      </c>
      <c r="N35" s="12">
        <f>SUM(N32:N34)</f>
        <v>109.4</v>
      </c>
      <c r="O35" s="47">
        <f>+N35/$N$22</f>
        <v>1.1638050254249912E-2</v>
      </c>
      <c r="P35" s="12">
        <f>SUM(P32:P34)</f>
        <v>68.382499999999993</v>
      </c>
      <c r="Q35" s="47">
        <f t="shared" si="8"/>
        <v>7.3176716956495254E-3</v>
      </c>
    </row>
    <row r="36" spans="1:21" ht="7.15" customHeight="1">
      <c r="A36" s="1"/>
      <c r="C36" s="44" t="s">
        <v>0</v>
      </c>
      <c r="E36" s="44" t="s">
        <v>0</v>
      </c>
      <c r="G36" s="44" t="s">
        <v>0</v>
      </c>
      <c r="I36" s="44" t="s">
        <v>0</v>
      </c>
      <c r="K36" s="47" t="s">
        <v>0</v>
      </c>
      <c r="M36" s="47" t="s">
        <v>0</v>
      </c>
      <c r="O36" s="47" t="s">
        <v>0</v>
      </c>
      <c r="Q36" s="47" t="s">
        <v>0</v>
      </c>
    </row>
    <row r="37" spans="1:21">
      <c r="A37" s="1" t="s">
        <v>285</v>
      </c>
      <c r="C37" s="44" t="s">
        <v>0</v>
      </c>
      <c r="E37" s="44" t="s">
        <v>0</v>
      </c>
      <c r="G37" s="44" t="s">
        <v>0</v>
      </c>
      <c r="I37" s="44" t="s">
        <v>0</v>
      </c>
      <c r="K37" s="47" t="s">
        <v>0</v>
      </c>
      <c r="M37" s="47" t="s">
        <v>0</v>
      </c>
      <c r="O37" s="47" t="s">
        <v>0</v>
      </c>
      <c r="Q37" s="47" t="s">
        <v>0</v>
      </c>
    </row>
    <row r="38" spans="1:21">
      <c r="A38" s="1" t="s">
        <v>282</v>
      </c>
      <c r="B38" s="12">
        <f>+bichvar!B38</f>
        <v>0</v>
      </c>
      <c r="C38" s="47">
        <f>+B38/$B$22</f>
        <v>0</v>
      </c>
      <c r="D38" s="12">
        <f>+bichvar!D38</f>
        <v>0</v>
      </c>
      <c r="E38" s="44">
        <v>0</v>
      </c>
      <c r="F38" s="12">
        <f>+bichvar!F38</f>
        <v>0</v>
      </c>
      <c r="G38" s="44">
        <v>0</v>
      </c>
      <c r="H38" s="12">
        <f>+bichvar!H38</f>
        <v>0</v>
      </c>
      <c r="I38" s="44">
        <v>0</v>
      </c>
      <c r="J38" s="12">
        <f>+bichvar!J38</f>
        <v>0</v>
      </c>
      <c r="K38" s="47">
        <f>+J38/$J$22</f>
        <v>0</v>
      </c>
      <c r="L38" s="12">
        <f>+bichvar!L38</f>
        <v>0</v>
      </c>
      <c r="M38" s="47">
        <f>+L38/$L$22</f>
        <v>0</v>
      </c>
      <c r="N38" s="12">
        <f>+bichvar!N38</f>
        <v>0</v>
      </c>
      <c r="O38" s="47">
        <f>+N38/$N$22</f>
        <v>0</v>
      </c>
      <c r="P38" s="12">
        <f>+bichvar!P38</f>
        <v>0</v>
      </c>
      <c r="Q38" s="47">
        <f t="shared" si="8"/>
        <v>0</v>
      </c>
    </row>
    <row r="39" spans="1:21">
      <c r="A39" s="1" t="s">
        <v>286</v>
      </c>
      <c r="B39" s="12">
        <f>+bichvar!B39</f>
        <v>0</v>
      </c>
      <c r="C39" s="47">
        <f>+B39/$B$22</f>
        <v>0</v>
      </c>
      <c r="D39" s="12">
        <f>+bichvar!D39</f>
        <v>0</v>
      </c>
      <c r="E39" s="44">
        <v>0</v>
      </c>
      <c r="F39" s="12">
        <f>+bichvar!F39</f>
        <v>0</v>
      </c>
      <c r="G39" s="44">
        <v>0</v>
      </c>
      <c r="H39" s="12">
        <f>+bichvar!H39</f>
        <v>0</v>
      </c>
      <c r="I39" s="44">
        <v>0</v>
      </c>
      <c r="J39" s="12">
        <f>+bichvar!J39</f>
        <v>0</v>
      </c>
      <c r="K39" s="47">
        <f>+J39/$J$22</f>
        <v>0</v>
      </c>
      <c r="L39" s="12">
        <f>+bichvar!L39</f>
        <v>0</v>
      </c>
      <c r="M39" s="47">
        <f>+L39/$L$22</f>
        <v>0</v>
      </c>
      <c r="N39" s="12">
        <f>+bichvar!N39</f>
        <v>0</v>
      </c>
      <c r="O39" s="47">
        <f>+N39/$N$22</f>
        <v>0</v>
      </c>
      <c r="P39" s="12">
        <f>+bichvar!P39</f>
        <v>0</v>
      </c>
      <c r="Q39" s="47">
        <f t="shared" si="8"/>
        <v>0</v>
      </c>
    </row>
    <row r="40" spans="1:21">
      <c r="A40" s="1" t="s">
        <v>284</v>
      </c>
      <c r="B40" s="221">
        <f>+bichvar!B40</f>
        <v>0</v>
      </c>
      <c r="C40" s="236">
        <f>+B40/$B$22</f>
        <v>0</v>
      </c>
      <c r="D40" s="221">
        <f>+bichvar!D40</f>
        <v>0</v>
      </c>
      <c r="E40" s="545">
        <v>0</v>
      </c>
      <c r="F40" s="221">
        <f>+bichvar!F40</f>
        <v>0</v>
      </c>
      <c r="G40" s="545">
        <v>0</v>
      </c>
      <c r="H40" s="221">
        <f>+bichvar!H40</f>
        <v>0</v>
      </c>
      <c r="I40" s="545">
        <v>0</v>
      </c>
      <c r="J40" s="221">
        <f>+bichvar!J40</f>
        <v>0</v>
      </c>
      <c r="K40" s="328">
        <f>+J40/$J$22</f>
        <v>0</v>
      </c>
      <c r="L40" s="221">
        <f>+bichvar!L40</f>
        <v>0</v>
      </c>
      <c r="M40" s="328">
        <f>+L40/$L$22</f>
        <v>0</v>
      </c>
      <c r="N40" s="221">
        <f>+bichvar!N40</f>
        <v>0</v>
      </c>
      <c r="O40" s="328">
        <f>+N40/$N$22</f>
        <v>0</v>
      </c>
      <c r="P40" s="221">
        <f>+bichvar!P40</f>
        <v>0</v>
      </c>
      <c r="Q40" s="328">
        <f t="shared" si="8"/>
        <v>0</v>
      </c>
    </row>
    <row r="41" spans="1:21">
      <c r="A41" s="1"/>
      <c r="B41" s="12">
        <f>SUM(B38:B40)</f>
        <v>0</v>
      </c>
      <c r="C41" s="47">
        <f>+B41/$B$22</f>
        <v>0</v>
      </c>
      <c r="D41" s="12">
        <f>SUM(D38:D40)</f>
        <v>0</v>
      </c>
      <c r="E41" s="44">
        <v>0</v>
      </c>
      <c r="F41" s="12">
        <f>SUM(F38:F40)</f>
        <v>0</v>
      </c>
      <c r="G41" s="44">
        <v>0</v>
      </c>
      <c r="H41" s="12">
        <f>SUM(H38:H40)</f>
        <v>0</v>
      </c>
      <c r="I41" s="44">
        <v>0</v>
      </c>
      <c r="J41" s="12">
        <f>SUM(J38:J40)</f>
        <v>0</v>
      </c>
      <c r="K41" s="47">
        <f>+J41/$J$22</f>
        <v>0</v>
      </c>
      <c r="L41" s="12">
        <f>SUM(L38:L40)</f>
        <v>0</v>
      </c>
      <c r="M41" s="47">
        <f>+L41/$L$22</f>
        <v>0</v>
      </c>
      <c r="N41" s="12">
        <f>SUM(N38:N40)</f>
        <v>0</v>
      </c>
      <c r="O41" s="47">
        <f>+N41/$N$22</f>
        <v>0</v>
      </c>
      <c r="P41" s="12">
        <f>SUM(P38:P40)</f>
        <v>0</v>
      </c>
      <c r="Q41" s="47">
        <f t="shared" si="8"/>
        <v>0</v>
      </c>
    </row>
    <row r="42" spans="1:21" ht="8.4499999999999993" customHeight="1">
      <c r="A42" s="1"/>
      <c r="C42" s="44" t="s">
        <v>0</v>
      </c>
      <c r="E42" s="44" t="s">
        <v>0</v>
      </c>
      <c r="G42" s="44" t="s">
        <v>0</v>
      </c>
      <c r="I42" s="44" t="s">
        <v>0</v>
      </c>
      <c r="K42" s="47" t="s">
        <v>0</v>
      </c>
      <c r="M42" s="47" t="s">
        <v>0</v>
      </c>
      <c r="O42" s="47" t="s">
        <v>0</v>
      </c>
      <c r="Q42" s="47" t="s">
        <v>0</v>
      </c>
    </row>
    <row r="43" spans="1:21" ht="18">
      <c r="A43" s="1" t="s">
        <v>287</v>
      </c>
      <c r="B43" s="221">
        <f>+bichvar!B43</f>
        <v>0</v>
      </c>
      <c r="C43" s="236">
        <f>+B43/$B$22</f>
        <v>0</v>
      </c>
      <c r="D43" s="221">
        <f>+bichvar!D43</f>
        <v>0</v>
      </c>
      <c r="E43" s="545">
        <v>0</v>
      </c>
      <c r="F43" s="221">
        <f>+bichvar!F43</f>
        <v>0</v>
      </c>
      <c r="G43" s="545">
        <v>0</v>
      </c>
      <c r="H43" s="221">
        <f>+bichvar!H43</f>
        <v>0</v>
      </c>
      <c r="I43" s="545">
        <v>0</v>
      </c>
      <c r="J43" s="221">
        <f>+bichvar!J43</f>
        <v>0</v>
      </c>
      <c r="K43" s="328">
        <f>+J43/$J$22</f>
        <v>0</v>
      </c>
      <c r="L43" s="221">
        <f>+bichvar!L43</f>
        <v>0</v>
      </c>
      <c r="M43" s="328">
        <f>+L43/$L$22</f>
        <v>0</v>
      </c>
      <c r="N43" s="221">
        <f>+bichvar!N43</f>
        <v>0</v>
      </c>
      <c r="O43" s="328">
        <f>+N43/$N$22</f>
        <v>0</v>
      </c>
      <c r="P43" s="221">
        <f>+bichvar!P43</f>
        <v>0</v>
      </c>
      <c r="Q43" s="328">
        <f t="shared" si="8"/>
        <v>0</v>
      </c>
      <c r="R43" s="6"/>
    </row>
    <row r="44" spans="1:21">
      <c r="A44" s="1"/>
      <c r="B44" s="12">
        <f>+B29+B35+B41+B43</f>
        <v>5526.8</v>
      </c>
      <c r="C44" s="47">
        <f>+B44/$B$22</f>
        <v>0.4883885334558693</v>
      </c>
      <c r="D44" s="12">
        <f>+D29+D35+D41+D43</f>
        <v>0</v>
      </c>
      <c r="E44" s="44">
        <v>0</v>
      </c>
      <c r="F44" s="12">
        <f>+F29+F35+F41+F43</f>
        <v>0</v>
      </c>
      <c r="G44" s="44">
        <v>0</v>
      </c>
      <c r="H44" s="12">
        <f>+H29+H35+H41+H43</f>
        <v>0</v>
      </c>
      <c r="I44" s="44">
        <v>0</v>
      </c>
      <c r="J44" s="12">
        <f>+J29+J35+J41+J43</f>
        <v>4321.1000000000004</v>
      </c>
      <c r="K44" s="47">
        <f>+J44/$J$22</f>
        <v>0.42874010279205454</v>
      </c>
      <c r="L44" s="12">
        <f>+L29+L35+L41+L43</f>
        <v>4559.7999999999993</v>
      </c>
      <c r="M44" s="47">
        <f>+L44/$L$22</f>
        <v>0.44609454488534084</v>
      </c>
      <c r="N44" s="12">
        <f>+N29+N35+N41+N43</f>
        <v>4011.1</v>
      </c>
      <c r="O44" s="47">
        <f>+N44/$N$22</f>
        <v>0.42670368715559248</v>
      </c>
      <c r="P44" s="12">
        <f>+P29+P35+P41+P43</f>
        <v>4046.0747100000003</v>
      </c>
      <c r="Q44" s="47">
        <f>+P44/$P$22</f>
        <v>0.43297402674442093</v>
      </c>
    </row>
    <row r="45" spans="1:21" ht="8.4499999999999993" customHeight="1">
      <c r="A45" s="1"/>
      <c r="C45" s="44" t="s">
        <v>0</v>
      </c>
      <c r="E45" s="44" t="s">
        <v>0</v>
      </c>
      <c r="G45" s="44" t="s">
        <v>0</v>
      </c>
      <c r="I45" s="44" t="s">
        <v>0</v>
      </c>
      <c r="K45" s="47" t="s">
        <v>0</v>
      </c>
      <c r="M45" s="47" t="s">
        <v>0</v>
      </c>
      <c r="O45" s="47" t="s">
        <v>0</v>
      </c>
      <c r="Q45" s="47" t="s">
        <v>0</v>
      </c>
    </row>
    <row r="46" spans="1:21">
      <c r="A46" s="87" t="s">
        <v>288</v>
      </c>
      <c r="C46" s="44" t="s">
        <v>0</v>
      </c>
      <c r="E46" s="44" t="s">
        <v>0</v>
      </c>
      <c r="G46" s="44" t="s">
        <v>0</v>
      </c>
      <c r="I46" s="44" t="s">
        <v>0</v>
      </c>
      <c r="K46" s="47" t="s">
        <v>0</v>
      </c>
      <c r="M46" s="47" t="s">
        <v>0</v>
      </c>
      <c r="O46" s="47" t="s">
        <v>0</v>
      </c>
      <c r="Q46" s="47" t="s">
        <v>0</v>
      </c>
    </row>
    <row r="47" spans="1:21">
      <c r="A47" s="1" t="s">
        <v>289</v>
      </c>
      <c r="B47" s="12">
        <f>+bichvar!B47</f>
        <v>5000</v>
      </c>
      <c r="C47" s="47">
        <f t="shared" ref="C47:C52" si="9">+B47/$B$22</f>
        <v>0.44183662648898936</v>
      </c>
      <c r="D47" s="12">
        <f>+bichvar!D47</f>
        <v>0</v>
      </c>
      <c r="E47" s="44">
        <v>0</v>
      </c>
      <c r="F47" s="12">
        <f>+bichvar!F47</f>
        <v>0</v>
      </c>
      <c r="G47" s="44">
        <v>0</v>
      </c>
      <c r="H47" s="12">
        <f>+bichvar!H47</f>
        <v>0</v>
      </c>
      <c r="I47" s="44">
        <v>0</v>
      </c>
      <c r="J47" s="12">
        <f>+bichvar!J47</f>
        <v>5000</v>
      </c>
      <c r="K47" s="47">
        <f>+J47/$J$22</f>
        <v>0.49610064889964883</v>
      </c>
      <c r="L47" s="12">
        <f>+bichvar!L47</f>
        <v>5000</v>
      </c>
      <c r="M47" s="47">
        <f>+L47/$L$22</f>
        <v>0.489160209751898</v>
      </c>
      <c r="N47" s="12">
        <f>+bichvar!N47</f>
        <v>5000</v>
      </c>
      <c r="O47" s="47">
        <f>+N47/$N$22</f>
        <v>0.53190357651964859</v>
      </c>
      <c r="P47" s="12">
        <f>+bichvar!P47</f>
        <v>5000</v>
      </c>
      <c r="Q47" s="47">
        <f>+P47/$P$22</f>
        <v>0.53505441418853694</v>
      </c>
    </row>
    <row r="48" spans="1:21">
      <c r="A48" s="1" t="s">
        <v>290</v>
      </c>
      <c r="B48" s="12">
        <f>+bichvar!B48</f>
        <v>188.10000000000002</v>
      </c>
      <c r="C48" s="47">
        <f t="shared" si="9"/>
        <v>1.6621893888515784E-2</v>
      </c>
      <c r="D48" s="12">
        <f>+bichvar!D48</f>
        <v>0</v>
      </c>
      <c r="E48" s="44">
        <v>0</v>
      </c>
      <c r="F48" s="12">
        <f>+bichvar!F48</f>
        <v>0</v>
      </c>
      <c r="G48" s="44">
        <v>0</v>
      </c>
      <c r="H48" s="12">
        <f>+bichvar!H48</f>
        <v>0</v>
      </c>
      <c r="I48" s="44">
        <v>0</v>
      </c>
      <c r="J48" s="12">
        <f>+bichvar!J48</f>
        <v>177.9</v>
      </c>
      <c r="K48" s="47">
        <f>+J48/$J$22</f>
        <v>1.7651261087849507E-2</v>
      </c>
      <c r="L48" s="12">
        <f>+bichvar!L48</f>
        <v>160.80000000000001</v>
      </c>
      <c r="M48" s="47">
        <f>+L48/$L$22</f>
        <v>1.5731392345621042E-2</v>
      </c>
      <c r="N48" s="12">
        <f>+bichvar!N48</f>
        <v>56.8</v>
      </c>
      <c r="O48" s="47">
        <f>+N48/$N$22</f>
        <v>6.0424246292632077E-3</v>
      </c>
      <c r="P48" s="12">
        <f>+bichvar!P48</f>
        <v>43.533070000000002</v>
      </c>
      <c r="Q48" s="47">
        <f>+P48/$P$22</f>
        <v>4.6585122533357145E-3</v>
      </c>
    </row>
    <row r="49" spans="1:21">
      <c r="A49" s="1" t="s">
        <v>302</v>
      </c>
      <c r="B49" s="12">
        <f>+bichvar!B49</f>
        <v>0</v>
      </c>
      <c r="C49" s="47">
        <f t="shared" si="9"/>
        <v>0</v>
      </c>
      <c r="D49" s="12">
        <f>+bichvar!D49</f>
        <v>0</v>
      </c>
      <c r="E49" s="44">
        <v>0</v>
      </c>
      <c r="F49" s="12">
        <f>+bichvar!F49</f>
        <v>0</v>
      </c>
      <c r="G49" s="44">
        <v>0</v>
      </c>
      <c r="H49" s="12">
        <f>+bichvar!H49</f>
        <v>0</v>
      </c>
      <c r="I49" s="44">
        <v>0</v>
      </c>
      <c r="K49" s="47"/>
      <c r="M49" s="47"/>
      <c r="O49" s="47"/>
      <c r="Q49" s="47"/>
    </row>
    <row r="50" spans="1:21" ht="18">
      <c r="A50" s="1" t="s">
        <v>292</v>
      </c>
      <c r="B50" s="221">
        <f>+bichvar!B50</f>
        <v>601.5</v>
      </c>
      <c r="C50" s="236">
        <f t="shared" si="9"/>
        <v>5.3152946166625421E-2</v>
      </c>
      <c r="D50" s="221">
        <f>+bichvar!D50</f>
        <v>0</v>
      </c>
      <c r="E50" s="545">
        <v>0</v>
      </c>
      <c r="F50" s="221">
        <f>+bichvar!F50</f>
        <v>0</v>
      </c>
      <c r="G50" s="545">
        <v>0</v>
      </c>
      <c r="H50" s="221">
        <f>+bichvar!H50</f>
        <v>0</v>
      </c>
      <c r="I50" s="545">
        <v>0</v>
      </c>
      <c r="J50" s="221">
        <f>+bichvar!J50</f>
        <v>579.6</v>
      </c>
      <c r="K50" s="328">
        <f>+J50/$J$22</f>
        <v>5.7507987220447296E-2</v>
      </c>
      <c r="L50" s="221">
        <f>+bichvar!L50</f>
        <v>501</v>
      </c>
      <c r="M50" s="328">
        <f>+L50/$L$22</f>
        <v>4.9013853017140181E-2</v>
      </c>
      <c r="N50" s="221">
        <f>+bichvar!N50</f>
        <v>332.4</v>
      </c>
      <c r="O50" s="328">
        <f>+N50/$N$22</f>
        <v>3.5360949767026237E-2</v>
      </c>
      <c r="P50" s="221">
        <f>+bichvar!P50</f>
        <v>255.23616000000001</v>
      </c>
      <c r="Q50" s="328">
        <f>+P50/$P$22</f>
        <v>2.7313046813706339E-2</v>
      </c>
      <c r="R50" s="6"/>
      <c r="S50" s="7"/>
      <c r="T50" s="7"/>
      <c r="U50" s="7"/>
    </row>
    <row r="51" spans="1:21" ht="16.5" thickBot="1">
      <c r="A51" s="1" t="s">
        <v>275</v>
      </c>
      <c r="B51" s="76">
        <f>SUM(B47:B50)</f>
        <v>5789.6</v>
      </c>
      <c r="C51" s="231">
        <f t="shared" si="9"/>
        <v>0.51161146654413059</v>
      </c>
      <c r="D51" s="76">
        <f>SUM(D47:D50)</f>
        <v>0</v>
      </c>
      <c r="E51" s="232">
        <v>0</v>
      </c>
      <c r="F51" s="76">
        <f>SUM(F47:F50)</f>
        <v>0</v>
      </c>
      <c r="G51" s="232">
        <v>0</v>
      </c>
      <c r="H51" s="76">
        <f>SUM(H47:H50)</f>
        <v>0</v>
      </c>
      <c r="I51" s="232">
        <v>0</v>
      </c>
      <c r="J51" s="76">
        <f>SUM(J47:J50)</f>
        <v>5757.5</v>
      </c>
      <c r="K51" s="231">
        <f>+J51/$J$22</f>
        <v>0.57125989720794568</v>
      </c>
      <c r="L51" s="76">
        <f>SUM(L47:L50)</f>
        <v>5661.8</v>
      </c>
      <c r="M51" s="231">
        <f>+L51/$L$22</f>
        <v>0.55390545511465927</v>
      </c>
      <c r="N51" s="76">
        <f>SUM(N47:N50)</f>
        <v>5389.2</v>
      </c>
      <c r="O51" s="231">
        <f>+N51/$N$22</f>
        <v>0.57330695091593797</v>
      </c>
      <c r="P51" s="76">
        <f>SUM(P47:P50)</f>
        <v>5298.7692300000008</v>
      </c>
      <c r="Q51" s="231">
        <f>+P51/$P$22</f>
        <v>0.56702597325557913</v>
      </c>
    </row>
    <row r="52" spans="1:21">
      <c r="A52" s="1" t="s">
        <v>0</v>
      </c>
      <c r="B52" s="4">
        <f>+B29+B35+B41+B43+B51</f>
        <v>11316.400000000001</v>
      </c>
      <c r="C52" s="112">
        <f t="shared" si="9"/>
        <v>1</v>
      </c>
      <c r="D52" s="4">
        <f>+D29+D35+D41+D43+D51</f>
        <v>0</v>
      </c>
      <c r="E52" s="42">
        <v>0</v>
      </c>
      <c r="F52" s="4">
        <f>+F29+F35+F41+F43+F51</f>
        <v>0</v>
      </c>
      <c r="G52" s="42">
        <v>0</v>
      </c>
      <c r="H52" s="4">
        <f>+H29+H35+H41+H43+H51</f>
        <v>0</v>
      </c>
      <c r="I52" s="42">
        <v>0</v>
      </c>
      <c r="J52" s="4">
        <f>+J29+J35+J41+J43+J51-0.1</f>
        <v>10078.5</v>
      </c>
      <c r="K52" s="47">
        <f>+J52/$J$22</f>
        <v>0.99999007798702211</v>
      </c>
      <c r="L52" s="4">
        <f>+L29+L35+L41+L43+L51</f>
        <v>10221.599999999999</v>
      </c>
      <c r="M52" s="47">
        <f>+L52/$L$22</f>
        <v>1</v>
      </c>
      <c r="N52" s="4">
        <f>+N29+N35+N41+N43+N51</f>
        <v>9400.2999999999993</v>
      </c>
      <c r="O52" s="47">
        <f>+N52/$N$22</f>
        <v>1.0000106380715303</v>
      </c>
      <c r="P52" s="4">
        <f>+P29+P35+P41+P43+P51</f>
        <v>9344.8439400000007</v>
      </c>
      <c r="Q52" s="47">
        <f>+P52/$P$22</f>
        <v>1</v>
      </c>
    </row>
    <row r="55" spans="1:21">
      <c r="A55" s="185" t="s">
        <v>293</v>
      </c>
      <c r="B55"/>
      <c r="C55"/>
      <c r="D55"/>
      <c r="E55"/>
      <c r="F55"/>
      <c r="G55"/>
      <c r="H55"/>
      <c r="I55"/>
      <c r="J55"/>
      <c r="K55"/>
      <c r="L55"/>
      <c r="M55"/>
      <c r="N55"/>
      <c r="O55"/>
      <c r="P55"/>
      <c r="Q55"/>
      <c r="R55"/>
    </row>
    <row r="56" spans="1:21">
      <c r="A56" t="s">
        <v>294</v>
      </c>
      <c r="B56" s="3">
        <f>+bichvar!B56</f>
        <v>0</v>
      </c>
      <c r="C56"/>
      <c r="D56" s="3">
        <f>+bichvar!D56</f>
        <v>0</v>
      </c>
      <c r="E56"/>
      <c r="F56" s="3">
        <f>+bichvar!F56</f>
        <v>0</v>
      </c>
      <c r="G56"/>
      <c r="H56" s="3">
        <f>+bichvar!H56</f>
        <v>0</v>
      </c>
      <c r="I56"/>
      <c r="J56" s="3">
        <f>+bichvar!J56</f>
        <v>0</v>
      </c>
      <c r="K56"/>
      <c r="L56" s="3">
        <f>+bichvar!L56</f>
        <v>0</v>
      </c>
      <c r="M56"/>
      <c r="N56" s="3">
        <f>+bichvar!N56</f>
        <v>0</v>
      </c>
      <c r="O56"/>
      <c r="P56" s="3">
        <f>+bichvar!P56</f>
        <v>0</v>
      </c>
      <c r="Q56"/>
      <c r="R56"/>
    </row>
    <row r="57" spans="1:21">
      <c r="A57" t="s">
        <v>295</v>
      </c>
      <c r="B57" s="3">
        <f>+bichvar!B57</f>
        <v>0</v>
      </c>
      <c r="C57"/>
      <c r="D57" s="3">
        <f>+bichvar!D57</f>
        <v>0</v>
      </c>
      <c r="E57"/>
      <c r="F57" s="3">
        <f>+bichvar!F57</f>
        <v>0</v>
      </c>
      <c r="G57"/>
      <c r="H57" s="3">
        <f>+bichvar!H57</f>
        <v>0</v>
      </c>
      <c r="I57"/>
      <c r="J57" s="3">
        <f>+bichvar!J57</f>
        <v>0</v>
      </c>
      <c r="K57"/>
      <c r="L57" s="3">
        <f>+bichvar!L57</f>
        <v>0</v>
      </c>
      <c r="M57"/>
      <c r="N57" s="3">
        <f>+bichvar!N57</f>
        <v>0</v>
      </c>
      <c r="O57"/>
      <c r="P57" s="3">
        <f>+bichvar!P57</f>
        <v>0</v>
      </c>
      <c r="Q57"/>
      <c r="R57"/>
    </row>
    <row r="58" spans="1:21">
      <c r="A58" t="s">
        <v>284</v>
      </c>
      <c r="B58" s="3">
        <f>+bichvar!B58</f>
        <v>0</v>
      </c>
      <c r="C58"/>
      <c r="D58" s="3">
        <f>+bichvar!D58</f>
        <v>0</v>
      </c>
      <c r="E58"/>
      <c r="F58" s="3">
        <f>+bichvar!F58</f>
        <v>0</v>
      </c>
      <c r="G58"/>
      <c r="H58" s="3">
        <f>+bichvar!H58</f>
        <v>0</v>
      </c>
      <c r="I58"/>
      <c r="J58" s="3">
        <f>+bichvar!J58</f>
        <v>0</v>
      </c>
      <c r="K58"/>
      <c r="L58" s="3">
        <f>+bichvar!L58</f>
        <v>0</v>
      </c>
      <c r="M58"/>
      <c r="N58" s="3">
        <f>+bichvar!N58</f>
        <v>0</v>
      </c>
      <c r="O58"/>
      <c r="P58" s="3">
        <f>+bichvar!P58</f>
        <v>0</v>
      </c>
      <c r="Q58"/>
      <c r="R58"/>
    </row>
    <row r="59" spans="1:21">
      <c r="B59" s="3"/>
      <c r="C59"/>
      <c r="D59" s="3"/>
      <c r="E59"/>
      <c r="F59" s="3"/>
      <c r="G59"/>
      <c r="H59" s="3"/>
      <c r="I59"/>
      <c r="J59" s="3"/>
      <c r="K59"/>
      <c r="L59" s="3"/>
      <c r="M59"/>
      <c r="N59" s="3"/>
      <c r="O59"/>
      <c r="P59" s="3"/>
      <c r="Q59"/>
      <c r="R59"/>
    </row>
    <row r="60" spans="1:21" ht="18.75">
      <c r="A60" s="122" t="s">
        <v>303</v>
      </c>
      <c r="B60" s="3">
        <f>+bichvar!B60</f>
        <v>3752.9</v>
      </c>
      <c r="C60"/>
      <c r="D60" s="3">
        <f>+bichvar!D60</f>
        <v>0</v>
      </c>
      <c r="E60"/>
      <c r="F60" s="3">
        <f>+bichvar!F60</f>
        <v>0</v>
      </c>
      <c r="G60"/>
      <c r="H60" s="3">
        <f>+bichvar!H60</f>
        <v>0</v>
      </c>
      <c r="I60"/>
      <c r="J60" s="3">
        <f>+bichvar!J60</f>
        <v>3761.7</v>
      </c>
      <c r="K60"/>
      <c r="L60" s="3">
        <f>+bichvar!L60</f>
        <v>3150.3</v>
      </c>
      <c r="M60"/>
      <c r="N60" s="3">
        <f>+bichvar!N60</f>
        <v>2594.5</v>
      </c>
      <c r="O60"/>
      <c r="P60" s="3">
        <f>+bichvar!P60</f>
        <v>2556.47534</v>
      </c>
      <c r="Q60"/>
      <c r="R60"/>
    </row>
    <row r="61" spans="1:21">
      <c r="A61" t="s">
        <v>217</v>
      </c>
      <c r="B61" s="3">
        <f>+bichvar!B61</f>
        <v>0</v>
      </c>
      <c r="C61"/>
      <c r="D61" s="3">
        <f>+bichvar!D61</f>
        <v>0</v>
      </c>
      <c r="E61"/>
      <c r="F61" s="3">
        <f>+bichvar!F61</f>
        <v>0</v>
      </c>
      <c r="G61"/>
      <c r="H61" s="3">
        <f>+bichvar!H61</f>
        <v>0</v>
      </c>
      <c r="I61"/>
      <c r="J61" s="3">
        <f>+bichvar!J61</f>
        <v>0</v>
      </c>
      <c r="K61"/>
      <c r="L61" s="3">
        <f>+bichvar!L61</f>
        <v>0</v>
      </c>
      <c r="M61"/>
      <c r="N61" s="3">
        <f>+bichvar!N61</f>
        <v>0</v>
      </c>
      <c r="O61"/>
      <c r="P61" s="3">
        <f>+bichvar!P61</f>
        <v>0</v>
      </c>
      <c r="Q61"/>
      <c r="R61"/>
    </row>
    <row r="62" spans="1:21">
      <c r="A62" t="s">
        <v>297</v>
      </c>
      <c r="B62" s="3">
        <f>+bichvar!B62</f>
        <v>0</v>
      </c>
      <c r="C62"/>
      <c r="D62" s="3">
        <f>+bichvar!D62</f>
        <v>0</v>
      </c>
      <c r="E62"/>
      <c r="F62" s="3">
        <f>+bichvar!F62</f>
        <v>0</v>
      </c>
      <c r="G62"/>
      <c r="H62" s="3">
        <f>+bichvar!H62</f>
        <v>0</v>
      </c>
      <c r="I62"/>
      <c r="J62" s="3">
        <f>+bichvar!J62</f>
        <v>0</v>
      </c>
      <c r="K62"/>
      <c r="L62" s="3">
        <f>+bichvar!L62</f>
        <v>6</v>
      </c>
      <c r="M62"/>
      <c r="N62" s="3">
        <f>+bichvar!N62</f>
        <v>63</v>
      </c>
      <c r="O62"/>
      <c r="P62" s="3">
        <f>+bichvar!P62</f>
        <v>100.90975</v>
      </c>
      <c r="Q62"/>
      <c r="R62"/>
    </row>
    <row r="63" spans="1:21">
      <c r="B63"/>
      <c r="C63"/>
      <c r="D63"/>
      <c r="E63"/>
      <c r="F63"/>
      <c r="G63"/>
      <c r="H63"/>
      <c r="I63"/>
      <c r="J63"/>
      <c r="K63"/>
      <c r="L63"/>
      <c r="M63"/>
      <c r="N63"/>
      <c r="O63"/>
      <c r="P63"/>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row r="156" spans="2:18">
      <c r="B156"/>
      <c r="C156"/>
      <c r="D156"/>
      <c r="E156"/>
      <c r="F156"/>
      <c r="G156"/>
      <c r="H156"/>
      <c r="I156"/>
      <c r="J156"/>
      <c r="K156"/>
      <c r="L156"/>
      <c r="M156"/>
      <c r="N156"/>
      <c r="O156"/>
      <c r="P156"/>
      <c r="Q156"/>
      <c r="R156"/>
    </row>
  </sheetData>
  <pageMargins left="0.2" right="0.23" top="0.54" bottom="0.59" header="0.34" footer="0.3"/>
  <pageSetup scale="52" orientation="landscape" r:id="rId1"/>
  <headerFooter alignWithMargins="0">
    <oddFooter>&amp;R&amp;P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1"/>
  <sheetViews>
    <sheetView workbookViewId="0"/>
  </sheetViews>
  <sheetFormatPr defaultRowHeight="15.75"/>
  <cols>
    <col min="1" max="1" width="33.75" customWidth="1"/>
    <col min="2" max="2" width="18.375" style="12" customWidth="1"/>
    <col min="3" max="3" width="15.75" style="13" customWidth="1"/>
    <col min="4" max="4" width="15.75" style="12" customWidth="1"/>
    <col min="5" max="5" width="14.625" style="13" customWidth="1"/>
    <col min="6" max="6" width="15.75" style="12" customWidth="1"/>
    <col min="7" max="7" width="9.75" style="13" customWidth="1"/>
    <col min="8" max="8" width="18"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441</v>
      </c>
      <c r="B1" s="37"/>
      <c r="C1" s="38"/>
      <c r="D1" s="37"/>
      <c r="E1" s="38"/>
      <c r="F1" s="37"/>
      <c r="G1" s="38"/>
      <c r="H1" s="37"/>
      <c r="I1" s="37"/>
      <c r="J1" s="38"/>
      <c r="K1" s="37"/>
    </row>
    <row r="2" spans="1:15">
      <c r="A2" s="114" t="s">
        <v>305</v>
      </c>
      <c r="B2" s="37"/>
      <c r="C2" s="38"/>
      <c r="D2" s="37"/>
      <c r="E2" s="38"/>
      <c r="F2" s="37"/>
      <c r="G2" s="38"/>
      <c r="H2" s="37"/>
      <c r="I2" s="37"/>
      <c r="J2" s="38"/>
      <c r="K2" s="37"/>
    </row>
    <row r="3" spans="1:15">
      <c r="A3" s="114" t="s">
        <v>306</v>
      </c>
      <c r="B3" s="37"/>
      <c r="C3" s="38"/>
      <c r="D3" s="37"/>
      <c r="E3" s="38"/>
      <c r="F3" s="37"/>
      <c r="G3" s="38"/>
      <c r="H3" s="37"/>
      <c r="I3" s="37"/>
      <c r="J3" s="38"/>
      <c r="K3" s="37"/>
    </row>
    <row r="4" spans="1:15">
      <c r="A4" s="114" t="s">
        <v>179</v>
      </c>
      <c r="B4" s="37"/>
      <c r="C4" s="38"/>
      <c r="D4" s="37"/>
      <c r="E4" s="38"/>
      <c r="F4" s="37"/>
      <c r="G4" s="38"/>
      <c r="H4" s="37"/>
      <c r="I4" s="37"/>
      <c r="J4" s="38"/>
      <c r="K4" s="37"/>
    </row>
    <row r="5" spans="1:15">
      <c r="A5" s="34"/>
      <c r="B5" s="37"/>
      <c r="C5" s="38"/>
      <c r="D5" s="37"/>
      <c r="E5" s="38"/>
      <c r="F5" s="37"/>
      <c r="G5" s="38"/>
      <c r="H5" s="37"/>
      <c r="I5" s="37"/>
      <c r="J5" s="38"/>
    </row>
    <row r="6" spans="1:15" ht="16.5" thickBot="1">
      <c r="B6" s="429" t="s">
        <v>307</v>
      </c>
      <c r="C6" s="38"/>
      <c r="D6" s="37"/>
      <c r="E6" s="38"/>
      <c r="H6" s="377" t="s">
        <v>528</v>
      </c>
      <c r="I6" s="215"/>
      <c r="J6" s="216"/>
      <c r="K6" s="37"/>
    </row>
    <row r="7" spans="1:15" ht="16.5" thickTop="1">
      <c r="B7" s="402" t="s">
        <v>313</v>
      </c>
      <c r="C7" s="403" t="s">
        <v>310</v>
      </c>
      <c r="D7" s="408" t="s">
        <v>311</v>
      </c>
      <c r="E7" s="407" t="s">
        <v>312</v>
      </c>
      <c r="F7" s="125" t="s">
        <v>0</v>
      </c>
      <c r="G7" s="124" t="s">
        <v>0</v>
      </c>
      <c r="H7" s="402" t="s">
        <v>313</v>
      </c>
      <c r="I7" s="404" t="s">
        <v>310</v>
      </c>
      <c r="J7" s="406" t="s">
        <v>311</v>
      </c>
      <c r="K7" s="407" t="s">
        <v>312</v>
      </c>
      <c r="L7" s="14"/>
      <c r="M7" s="9"/>
      <c r="N7" s="9"/>
      <c r="O7" s="9"/>
    </row>
    <row r="8" spans="1:15">
      <c r="A8" s="87" t="s">
        <v>243</v>
      </c>
      <c r="B8" s="395"/>
      <c r="C8" s="124"/>
      <c r="D8" s="396"/>
      <c r="E8" s="397"/>
      <c r="F8" s="125"/>
      <c r="G8" s="124"/>
      <c r="H8" s="395"/>
      <c r="I8" s="125"/>
      <c r="J8" s="398"/>
      <c r="K8" s="397"/>
      <c r="L8" s="14"/>
      <c r="M8" s="9"/>
      <c r="N8" s="9"/>
      <c r="O8" s="9"/>
    </row>
    <row r="9" spans="1:15">
      <c r="A9" s="1" t="s">
        <v>264</v>
      </c>
      <c r="B9" s="126"/>
      <c r="C9" s="127"/>
      <c r="D9" s="365"/>
      <c r="E9" s="372" t="s">
        <v>0</v>
      </c>
      <c r="H9" s="135"/>
      <c r="I9" s="78"/>
      <c r="J9" s="370" t="s">
        <v>0</v>
      </c>
      <c r="K9" s="372" t="s">
        <v>0</v>
      </c>
    </row>
    <row r="10" spans="1:15">
      <c r="A10" s="1" t="s">
        <v>265</v>
      </c>
      <c r="B10" s="129">
        <v>0</v>
      </c>
      <c r="C10" s="92">
        <v>384.1</v>
      </c>
      <c r="D10" s="366">
        <f t="shared" ref="D10:D15" si="0">SUM(B10:C10)</f>
        <v>384.1</v>
      </c>
      <c r="E10" s="136">
        <f>+B10/D10</f>
        <v>0</v>
      </c>
      <c r="F10" s="88" t="s">
        <v>0</v>
      </c>
      <c r="G10" s="100" t="s">
        <v>0</v>
      </c>
      <c r="H10" s="129">
        <v>0</v>
      </c>
      <c r="I10" s="92">
        <v>353.1</v>
      </c>
      <c r="J10" s="366">
        <f t="shared" ref="J10:J15" si="1">SUM(H10:I10)</f>
        <v>353.1</v>
      </c>
      <c r="K10" s="136">
        <f>+H10/J10</f>
        <v>0</v>
      </c>
    </row>
    <row r="11" spans="1:15">
      <c r="A11" s="1" t="s">
        <v>266</v>
      </c>
      <c r="B11" s="129">
        <v>0</v>
      </c>
      <c r="C11" s="92">
        <v>4060.5</v>
      </c>
      <c r="D11" s="366">
        <f t="shared" si="0"/>
        <v>4060.5</v>
      </c>
      <c r="E11" s="136">
        <f>+B11/D11</f>
        <v>0</v>
      </c>
      <c r="F11" s="88" t="s">
        <v>0</v>
      </c>
      <c r="G11" s="100" t="s">
        <v>0</v>
      </c>
      <c r="H11" s="129">
        <v>0</v>
      </c>
      <c r="I11" s="92">
        <v>3134.9</v>
      </c>
      <c r="J11" s="366">
        <f t="shared" si="1"/>
        <v>3134.9</v>
      </c>
      <c r="K11" s="136">
        <f>+H11/J11</f>
        <v>0</v>
      </c>
    </row>
    <row r="12" spans="1:15">
      <c r="A12" s="1" t="s">
        <v>267</v>
      </c>
      <c r="B12" s="129">
        <v>448.4</v>
      </c>
      <c r="C12" s="92">
        <v>0</v>
      </c>
      <c r="D12" s="366">
        <f t="shared" si="0"/>
        <v>448.4</v>
      </c>
      <c r="E12" s="428">
        <f>+B12/D12</f>
        <v>1</v>
      </c>
      <c r="F12" s="88" t="s">
        <v>0</v>
      </c>
      <c r="G12" s="100" t="s">
        <v>0</v>
      </c>
      <c r="H12" s="129">
        <v>422.8</v>
      </c>
      <c r="I12" s="92">
        <v>0</v>
      </c>
      <c r="J12" s="366">
        <f t="shared" si="1"/>
        <v>422.8</v>
      </c>
      <c r="K12" s="136">
        <v>0</v>
      </c>
    </row>
    <row r="13" spans="1:15">
      <c r="A13" s="1" t="s">
        <v>268</v>
      </c>
      <c r="B13" s="129">
        <f>+B77</f>
        <v>0</v>
      </c>
      <c r="C13" s="92">
        <v>1500</v>
      </c>
      <c r="D13" s="366">
        <f t="shared" si="0"/>
        <v>1500</v>
      </c>
      <c r="E13" s="136">
        <v>0</v>
      </c>
      <c r="F13" s="88" t="s">
        <v>0</v>
      </c>
      <c r="G13" s="100" t="s">
        <v>0</v>
      </c>
      <c r="H13" s="129">
        <f>+H77</f>
        <v>0</v>
      </c>
      <c r="I13" s="92">
        <v>1500</v>
      </c>
      <c r="J13" s="366">
        <f t="shared" si="1"/>
        <v>1500</v>
      </c>
      <c r="K13" s="136">
        <v>0</v>
      </c>
    </row>
    <row r="14" spans="1:15" ht="18">
      <c r="A14" s="1" t="s">
        <v>269</v>
      </c>
      <c r="B14" s="130">
        <f>+(B74+B79+B80)</f>
        <v>0</v>
      </c>
      <c r="C14" s="137">
        <v>313.7</v>
      </c>
      <c r="D14" s="367">
        <f t="shared" si="0"/>
        <v>313.7</v>
      </c>
      <c r="E14" s="136">
        <f>+B14/D14</f>
        <v>0</v>
      </c>
      <c r="F14" s="88" t="s">
        <v>0</v>
      </c>
      <c r="G14" s="100" t="s">
        <v>0</v>
      </c>
      <c r="H14" s="130">
        <f>+(H74+H79+H80)</f>
        <v>0</v>
      </c>
      <c r="I14" s="137">
        <v>291.3</v>
      </c>
      <c r="J14" s="367">
        <f t="shared" si="1"/>
        <v>291.3</v>
      </c>
      <c r="K14" s="136">
        <f>+H14/J14</f>
        <v>0</v>
      </c>
    </row>
    <row r="15" spans="1:15" ht="15.6" customHeight="1">
      <c r="A15" s="1"/>
      <c r="B15" s="129">
        <f>SUM(B10:B14)</f>
        <v>448.4</v>
      </c>
      <c r="C15" s="92">
        <f>SUM(C10:C14)</f>
        <v>6258.3</v>
      </c>
      <c r="D15" s="366">
        <f t="shared" si="0"/>
        <v>6706.7</v>
      </c>
      <c r="E15" s="428">
        <f>+B15/D15</f>
        <v>6.6858514619708653E-2</v>
      </c>
      <c r="F15" s="88" t="s">
        <v>0</v>
      </c>
      <c r="G15" s="100" t="s">
        <v>0</v>
      </c>
      <c r="H15" s="129">
        <f>SUM(H10:H14)</f>
        <v>422.8</v>
      </c>
      <c r="I15" s="92">
        <f>SUM(I10:I14)</f>
        <v>5279.3</v>
      </c>
      <c r="J15" s="366">
        <f t="shared" si="1"/>
        <v>5702.1</v>
      </c>
      <c r="K15" s="373">
        <f>+H15/J15</f>
        <v>7.4148120867750481E-2</v>
      </c>
    </row>
    <row r="16" spans="1:15" ht="7.9" customHeight="1">
      <c r="A16" s="1"/>
      <c r="B16" s="129"/>
      <c r="C16" s="93" t="s">
        <v>0</v>
      </c>
      <c r="D16" s="366"/>
      <c r="E16" s="136" t="s">
        <v>0</v>
      </c>
      <c r="F16" s="88"/>
      <c r="G16" s="100" t="s">
        <v>0</v>
      </c>
      <c r="H16" s="129"/>
      <c r="I16" s="93" t="s">
        <v>0</v>
      </c>
      <c r="J16" s="366"/>
      <c r="K16" s="136" t="s">
        <v>0</v>
      </c>
    </row>
    <row r="17" spans="1:11" ht="15.6" customHeight="1">
      <c r="A17" s="1" t="s">
        <v>270</v>
      </c>
      <c r="B17" s="129">
        <f>+B75</f>
        <v>0</v>
      </c>
      <c r="C17" s="92">
        <v>0</v>
      </c>
      <c r="D17" s="366">
        <f t="shared" ref="D17:D22" si="2">SUM(B17:C17)</f>
        <v>0</v>
      </c>
      <c r="E17" s="136">
        <v>0</v>
      </c>
      <c r="F17"/>
      <c r="G17"/>
      <c r="H17" s="129">
        <f>+H75</f>
        <v>0</v>
      </c>
      <c r="I17" s="92">
        <v>0</v>
      </c>
      <c r="J17" s="366">
        <f t="shared" ref="J17:J22" si="3">SUM(H17:I17)</f>
        <v>0</v>
      </c>
      <c r="K17" s="136">
        <v>0</v>
      </c>
    </row>
    <row r="18" spans="1:11">
      <c r="A18" s="1" t="s">
        <v>271</v>
      </c>
      <c r="B18" s="129">
        <f>+B83+B84</f>
        <v>0</v>
      </c>
      <c r="C18" s="92">
        <v>0</v>
      </c>
      <c r="D18" s="366">
        <f t="shared" si="2"/>
        <v>0</v>
      </c>
      <c r="E18" s="136">
        <v>0</v>
      </c>
      <c r="F18"/>
      <c r="G18"/>
      <c r="H18" s="129">
        <f>+H83+H84</f>
        <v>0</v>
      </c>
      <c r="I18" s="92">
        <v>0</v>
      </c>
      <c r="J18" s="366">
        <f t="shared" si="3"/>
        <v>0</v>
      </c>
      <c r="K18" s="136">
        <v>0</v>
      </c>
    </row>
    <row r="19" spans="1:11">
      <c r="A19" s="1" t="s">
        <v>314</v>
      </c>
      <c r="B19" s="129">
        <f>+B86</f>
        <v>0</v>
      </c>
      <c r="C19" s="92">
        <v>3752.9</v>
      </c>
      <c r="D19" s="366">
        <f t="shared" si="2"/>
        <v>3752.9</v>
      </c>
      <c r="E19" s="136">
        <f>+B19/D19</f>
        <v>0</v>
      </c>
      <c r="F19"/>
      <c r="G19"/>
      <c r="H19" s="129">
        <f>+H86</f>
        <v>0</v>
      </c>
      <c r="I19" s="92">
        <v>3761.7</v>
      </c>
      <c r="J19" s="366">
        <f t="shared" si="3"/>
        <v>3761.7</v>
      </c>
      <c r="K19" s="136">
        <f>+H19/J19</f>
        <v>0</v>
      </c>
    </row>
    <row r="20" spans="1:11">
      <c r="A20" s="1" t="s">
        <v>273</v>
      </c>
      <c r="B20" s="129">
        <f>+B109</f>
        <v>0</v>
      </c>
      <c r="C20" s="92">
        <v>176.7</v>
      </c>
      <c r="D20" s="366">
        <f t="shared" si="2"/>
        <v>176.7</v>
      </c>
      <c r="E20" s="136">
        <v>0</v>
      </c>
      <c r="F20"/>
      <c r="G20"/>
      <c r="H20" s="129">
        <f>+H109</f>
        <v>0</v>
      </c>
      <c r="I20" s="92">
        <v>179.8</v>
      </c>
      <c r="J20" s="366">
        <f t="shared" si="3"/>
        <v>179.8</v>
      </c>
      <c r="K20" s="136">
        <v>0</v>
      </c>
    </row>
    <row r="21" spans="1:11" ht="18">
      <c r="A21" s="1" t="s">
        <v>274</v>
      </c>
      <c r="B21" s="130">
        <f>+(B99+B105+B107+B115)</f>
        <v>0</v>
      </c>
      <c r="C21" s="137">
        <v>680.1</v>
      </c>
      <c r="D21" s="367">
        <f t="shared" si="2"/>
        <v>680.1</v>
      </c>
      <c r="E21" s="136">
        <f>+B21/D21</f>
        <v>0</v>
      </c>
      <c r="F21"/>
      <c r="G21"/>
      <c r="H21" s="130">
        <f>+(H99+H105+H107+H115)</f>
        <v>0</v>
      </c>
      <c r="I21" s="137">
        <v>435</v>
      </c>
      <c r="J21" s="367">
        <f t="shared" si="3"/>
        <v>435</v>
      </c>
      <c r="K21" s="136">
        <f>+H21/J21</f>
        <v>0</v>
      </c>
    </row>
    <row r="22" spans="1:11">
      <c r="A22" s="1" t="s">
        <v>275</v>
      </c>
      <c r="B22" s="132">
        <f>SUM(B15:B21)</f>
        <v>448.4</v>
      </c>
      <c r="C22" s="95">
        <f>SUM(C15:C21)</f>
        <v>10868.000000000002</v>
      </c>
      <c r="D22" s="368">
        <f t="shared" si="2"/>
        <v>11316.400000000001</v>
      </c>
      <c r="E22" s="548">
        <f>+B22/D22</f>
        <v>3.9623908663532569E-2</v>
      </c>
      <c r="F22"/>
      <c r="G22"/>
      <c r="H22" s="132">
        <f>SUM(H15:H21)</f>
        <v>422.8</v>
      </c>
      <c r="I22" s="95">
        <f>SUM(I15:I21)</f>
        <v>9655.7999999999993</v>
      </c>
      <c r="J22" s="368">
        <f t="shared" si="3"/>
        <v>10078.599999999999</v>
      </c>
      <c r="K22" s="431">
        <f>+H22/J22</f>
        <v>4.1950270870954307E-2</v>
      </c>
    </row>
    <row r="23" spans="1:11" ht="7.9" customHeight="1">
      <c r="A23" s="1"/>
      <c r="B23" s="129"/>
      <c r="C23" s="93" t="s">
        <v>0</v>
      </c>
      <c r="D23" s="366"/>
      <c r="E23" s="136" t="s">
        <v>0</v>
      </c>
      <c r="F23"/>
      <c r="G23"/>
      <c r="H23" s="129"/>
      <c r="I23" s="93" t="s">
        <v>0</v>
      </c>
      <c r="J23" s="366"/>
      <c r="K23" s="136" t="s">
        <v>0</v>
      </c>
    </row>
    <row r="24" spans="1:11">
      <c r="A24" s="87" t="s">
        <v>276</v>
      </c>
      <c r="B24" s="129"/>
      <c r="C24" s="93" t="s">
        <v>0</v>
      </c>
      <c r="D24" s="366"/>
      <c r="E24" s="136" t="s">
        <v>0</v>
      </c>
      <c r="F24"/>
      <c r="G24"/>
      <c r="H24" s="129"/>
      <c r="I24" s="93" t="s">
        <v>0</v>
      </c>
      <c r="J24" s="366"/>
      <c r="K24" s="136" t="s">
        <v>0</v>
      </c>
    </row>
    <row r="25" spans="1:11">
      <c r="A25" s="1" t="s">
        <v>277</v>
      </c>
      <c r="B25" s="129"/>
      <c r="C25" s="93" t="s">
        <v>0</v>
      </c>
      <c r="D25" s="366"/>
      <c r="E25" s="136" t="s">
        <v>0</v>
      </c>
      <c r="F25"/>
      <c r="G25"/>
      <c r="H25" s="129"/>
      <c r="I25" s="93" t="s">
        <v>0</v>
      </c>
      <c r="J25" s="366"/>
      <c r="K25" s="136" t="s">
        <v>0</v>
      </c>
    </row>
    <row r="26" spans="1:11">
      <c r="A26" s="1" t="s">
        <v>456</v>
      </c>
      <c r="B26" s="129">
        <f>+B122</f>
        <v>0</v>
      </c>
      <c r="C26" s="92">
        <v>2186.9</v>
      </c>
      <c r="D26" s="366">
        <f>SUM(B26:C26)</f>
        <v>2186.9</v>
      </c>
      <c r="E26" s="136">
        <f>+B26/D26</f>
        <v>0</v>
      </c>
      <c r="F26"/>
      <c r="G26"/>
      <c r="H26" s="129">
        <f>+H122</f>
        <v>0</v>
      </c>
      <c r="I26" s="92">
        <v>1096</v>
      </c>
      <c r="J26" s="366">
        <f>SUM(H26:I26)</f>
        <v>1096</v>
      </c>
      <c r="K26" s="136">
        <f>+H26/J26</f>
        <v>0</v>
      </c>
    </row>
    <row r="27" spans="1:11">
      <c r="A27" s="1" t="s">
        <v>279</v>
      </c>
      <c r="B27" s="129">
        <f>+B126</f>
        <v>0</v>
      </c>
      <c r="C27" s="92">
        <v>3159.4</v>
      </c>
      <c r="D27" s="366">
        <f>SUM(B27:C27)</f>
        <v>3159.4</v>
      </c>
      <c r="E27" s="136">
        <f>+B27/D27</f>
        <v>0</v>
      </c>
      <c r="F27"/>
      <c r="G27"/>
      <c r="H27" s="129">
        <f>+H126</f>
        <v>0</v>
      </c>
      <c r="I27" s="92">
        <v>3062.5</v>
      </c>
      <c r="J27" s="366">
        <f>SUM(H27:I27)</f>
        <v>3062.5</v>
      </c>
      <c r="K27" s="136">
        <f>+H27/J27</f>
        <v>0</v>
      </c>
    </row>
    <row r="28" spans="1:11" ht="18">
      <c r="A28" s="1" t="s">
        <v>280</v>
      </c>
      <c r="B28" s="130">
        <f>+B128</f>
        <v>0</v>
      </c>
      <c r="C28" s="137">
        <v>0</v>
      </c>
      <c r="D28" s="367">
        <f>SUM(B28:C28)</f>
        <v>0</v>
      </c>
      <c r="E28" s="136">
        <v>0</v>
      </c>
      <c r="F28"/>
      <c r="G28"/>
      <c r="H28" s="130">
        <f>+H128</f>
        <v>0</v>
      </c>
      <c r="I28" s="137">
        <v>0</v>
      </c>
      <c r="J28" s="367">
        <f>SUM(H28:I28)</f>
        <v>0</v>
      </c>
      <c r="K28" s="136">
        <v>0</v>
      </c>
    </row>
    <row r="29" spans="1:11">
      <c r="A29" s="1"/>
      <c r="B29" s="129">
        <f>SUM(B26:B28)</f>
        <v>0</v>
      </c>
      <c r="C29" s="92">
        <f>SUM(C26:C28)</f>
        <v>5346.3</v>
      </c>
      <c r="D29" s="366">
        <f>SUM(B29:C29)</f>
        <v>5346.3</v>
      </c>
      <c r="E29" s="136">
        <f>+B29/D29</f>
        <v>0</v>
      </c>
      <c r="F29"/>
      <c r="G29"/>
      <c r="H29" s="129">
        <f>SUM(H26:H28)</f>
        <v>0</v>
      </c>
      <c r="I29" s="92">
        <f>SUM(I26:I28)</f>
        <v>4158.5</v>
      </c>
      <c r="J29" s="366">
        <f>SUM(H29:I29)</f>
        <v>4158.5</v>
      </c>
      <c r="K29" s="136">
        <f>+H29/J29</f>
        <v>0</v>
      </c>
    </row>
    <row r="30" spans="1:11" ht="7.9" customHeight="1">
      <c r="A30" s="1"/>
      <c r="B30" s="129"/>
      <c r="C30" s="93" t="s">
        <v>0</v>
      </c>
      <c r="D30" s="366"/>
      <c r="E30" s="136" t="s">
        <v>0</v>
      </c>
      <c r="F30"/>
      <c r="G30"/>
      <c r="H30" s="129"/>
      <c r="I30" s="93" t="s">
        <v>0</v>
      </c>
      <c r="J30" s="366"/>
      <c r="K30" s="136" t="s">
        <v>0</v>
      </c>
    </row>
    <row r="31" spans="1:11">
      <c r="A31" s="1" t="s">
        <v>281</v>
      </c>
      <c r="B31" s="129"/>
      <c r="C31" s="93" t="s">
        <v>0</v>
      </c>
      <c r="D31" s="366"/>
      <c r="E31" s="136" t="s">
        <v>0</v>
      </c>
      <c r="F31"/>
      <c r="G31"/>
      <c r="H31" s="129"/>
      <c r="I31" s="93" t="s">
        <v>0</v>
      </c>
      <c r="J31" s="366"/>
      <c r="K31" s="136" t="s">
        <v>0</v>
      </c>
    </row>
    <row r="32" spans="1:11">
      <c r="A32" s="1" t="s">
        <v>282</v>
      </c>
      <c r="B32" s="129">
        <f>+B141</f>
        <v>0</v>
      </c>
      <c r="C32" s="92">
        <v>0</v>
      </c>
      <c r="D32" s="366">
        <f>SUM(B32:C32)</f>
        <v>0</v>
      </c>
      <c r="E32" s="136">
        <v>0</v>
      </c>
      <c r="F32"/>
      <c r="G32"/>
      <c r="H32" s="129">
        <f>+H141</f>
        <v>0</v>
      </c>
      <c r="I32" s="92">
        <v>0</v>
      </c>
      <c r="J32" s="366">
        <f>SUM(H32:I32)</f>
        <v>0</v>
      </c>
      <c r="K32" s="136">
        <v>0</v>
      </c>
    </row>
    <row r="33" spans="1:15">
      <c r="A33" s="1" t="s">
        <v>283</v>
      </c>
      <c r="B33" s="129">
        <f>+B142</f>
        <v>0</v>
      </c>
      <c r="C33" s="92">
        <v>0</v>
      </c>
      <c r="D33" s="366">
        <f>SUM(B33:C33)</f>
        <v>0</v>
      </c>
      <c r="E33" s="136">
        <v>0</v>
      </c>
      <c r="F33"/>
      <c r="G33"/>
      <c r="H33" s="129">
        <f>+H142</f>
        <v>0</v>
      </c>
      <c r="I33" s="92">
        <v>0</v>
      </c>
      <c r="J33" s="366">
        <f>SUM(H33:I33)</f>
        <v>0</v>
      </c>
      <c r="K33" s="136">
        <v>0</v>
      </c>
    </row>
    <row r="34" spans="1:15" ht="18">
      <c r="A34" s="1" t="s">
        <v>284</v>
      </c>
      <c r="B34" s="130">
        <f>+(B131+B132+B133+B134+B135+B136+B137+B138+B139+B140+B143)</f>
        <v>0</v>
      </c>
      <c r="C34" s="137">
        <v>180.5</v>
      </c>
      <c r="D34" s="367">
        <f>SUM(B34:C34)</f>
        <v>180.5</v>
      </c>
      <c r="E34" s="136">
        <f>+B34/D34</f>
        <v>0</v>
      </c>
      <c r="F34"/>
      <c r="G34"/>
      <c r="H34" s="130">
        <f>+(H131+H132+H133+H134+H135+H136+H137+H138+H139+H140+H143)</f>
        <v>0</v>
      </c>
      <c r="I34" s="137">
        <v>162.6</v>
      </c>
      <c r="J34" s="367">
        <f>SUM(H34:I34)</f>
        <v>162.6</v>
      </c>
      <c r="K34" s="136">
        <f>+H34/J34</f>
        <v>0</v>
      </c>
      <c r="L34" s="6"/>
      <c r="M34" s="7"/>
      <c r="N34" s="7"/>
      <c r="O34" s="7"/>
    </row>
    <row r="35" spans="1:15">
      <c r="A35" s="1"/>
      <c r="B35" s="129">
        <f>SUM(B32:B34)</f>
        <v>0</v>
      </c>
      <c r="C35" s="92">
        <f>SUM(C32:C34)</f>
        <v>180.5</v>
      </c>
      <c r="D35" s="366">
        <f>SUM(B35:C35)</f>
        <v>180.5</v>
      </c>
      <c r="E35" s="136">
        <f>+B35/D35</f>
        <v>0</v>
      </c>
      <c r="F35"/>
      <c r="G35"/>
      <c r="H35" s="129">
        <f>SUM(H32:H34)</f>
        <v>0</v>
      </c>
      <c r="I35" s="92">
        <f>SUM(I32:I34)</f>
        <v>162.6</v>
      </c>
      <c r="J35" s="366">
        <f>SUM(H35:I35)</f>
        <v>162.6</v>
      </c>
      <c r="K35" s="136">
        <f>+H35/J35</f>
        <v>0</v>
      </c>
    </row>
    <row r="36" spans="1:15" ht="7.15" customHeight="1">
      <c r="A36" s="1"/>
      <c r="B36" s="129"/>
      <c r="C36" s="93" t="s">
        <v>0</v>
      </c>
      <c r="D36" s="366"/>
      <c r="E36" s="136" t="s">
        <v>275</v>
      </c>
      <c r="F36"/>
      <c r="G36"/>
      <c r="H36" s="129"/>
      <c r="I36" s="93" t="s">
        <v>0</v>
      </c>
      <c r="J36" s="366"/>
      <c r="K36" s="136" t="s">
        <v>275</v>
      </c>
    </row>
    <row r="37" spans="1:15">
      <c r="A37" s="1" t="s">
        <v>285</v>
      </c>
      <c r="B37" s="129"/>
      <c r="C37" s="93" t="s">
        <v>0</v>
      </c>
      <c r="D37" s="366"/>
      <c r="E37" s="136" t="s">
        <v>0</v>
      </c>
      <c r="F37"/>
      <c r="G37"/>
      <c r="H37" s="129"/>
      <c r="I37" s="93" t="s">
        <v>0</v>
      </c>
      <c r="J37" s="366"/>
      <c r="K37" s="136" t="s">
        <v>0</v>
      </c>
    </row>
    <row r="38" spans="1:15">
      <c r="A38" s="1" t="s">
        <v>282</v>
      </c>
      <c r="B38" s="129">
        <f>+B148</f>
        <v>0</v>
      </c>
      <c r="C38" s="93">
        <v>0</v>
      </c>
      <c r="D38" s="366">
        <f>SUM(B38:C38)</f>
        <v>0</v>
      </c>
      <c r="E38" s="136">
        <v>0</v>
      </c>
      <c r="F38"/>
      <c r="G38"/>
      <c r="H38" s="129">
        <f>+H148</f>
        <v>0</v>
      </c>
      <c r="I38" s="93">
        <v>0</v>
      </c>
      <c r="J38" s="366">
        <f>SUM(H38:I38)</f>
        <v>0</v>
      </c>
      <c r="K38" s="136">
        <v>0</v>
      </c>
    </row>
    <row r="39" spans="1:15">
      <c r="A39" s="1" t="s">
        <v>286</v>
      </c>
      <c r="B39" s="129">
        <f>+B149</f>
        <v>0</v>
      </c>
      <c r="C39" s="93">
        <v>0</v>
      </c>
      <c r="D39" s="366">
        <f>SUM(B39:C39)</f>
        <v>0</v>
      </c>
      <c r="E39" s="136">
        <v>0</v>
      </c>
      <c r="F39"/>
      <c r="G39"/>
      <c r="H39" s="129">
        <f>+H149</f>
        <v>0</v>
      </c>
      <c r="I39" s="93">
        <v>0</v>
      </c>
      <c r="J39" s="366">
        <f>SUM(H39:I39)</f>
        <v>0</v>
      </c>
      <c r="K39" s="136">
        <v>0</v>
      </c>
    </row>
    <row r="40" spans="1:15" ht="18">
      <c r="A40" s="1" t="s">
        <v>284</v>
      </c>
      <c r="B40" s="130">
        <f>+(B146+B147+B150+B151+B152)</f>
        <v>0</v>
      </c>
      <c r="C40" s="295">
        <v>0</v>
      </c>
      <c r="D40" s="367">
        <f>SUM(B40:C40)</f>
        <v>0</v>
      </c>
      <c r="E40" s="136">
        <v>0</v>
      </c>
      <c r="F40"/>
      <c r="G40"/>
      <c r="H40" s="130">
        <f>+(H146+H147+H150+H151+H152)</f>
        <v>0</v>
      </c>
      <c r="I40" s="295">
        <v>0</v>
      </c>
      <c r="J40" s="367">
        <f>SUM(H40:I40)</f>
        <v>0</v>
      </c>
      <c r="K40" s="136">
        <v>0</v>
      </c>
    </row>
    <row r="41" spans="1:15">
      <c r="A41" s="1"/>
      <c r="B41" s="129">
        <f>SUM(B38:B40)</f>
        <v>0</v>
      </c>
      <c r="C41" s="92">
        <f>SUM(C38:C40)</f>
        <v>0</v>
      </c>
      <c r="D41" s="366">
        <f>SUM(B41:C41)</f>
        <v>0</v>
      </c>
      <c r="E41" s="136">
        <v>0</v>
      </c>
      <c r="F41"/>
      <c r="G41"/>
      <c r="H41" s="129">
        <f>SUM(H38:H40)</f>
        <v>0</v>
      </c>
      <c r="I41" s="92">
        <f>SUM(I38:I40)</f>
        <v>0</v>
      </c>
      <c r="J41" s="366">
        <f>SUM(H41:I41)</f>
        <v>0</v>
      </c>
      <c r="K41" s="136">
        <v>0</v>
      </c>
    </row>
    <row r="42" spans="1:15" ht="8.4499999999999993" customHeight="1">
      <c r="A42" s="1"/>
      <c r="B42" s="129"/>
      <c r="C42" s="93" t="s">
        <v>0</v>
      </c>
      <c r="D42" s="366"/>
      <c r="E42" s="136" t="s">
        <v>0</v>
      </c>
      <c r="F42"/>
      <c r="G42"/>
      <c r="H42" s="129"/>
      <c r="I42" s="93" t="s">
        <v>0</v>
      </c>
      <c r="J42" s="366"/>
      <c r="K42" s="136" t="s">
        <v>0</v>
      </c>
    </row>
    <row r="43" spans="1:15" ht="18">
      <c r="A43" s="1" t="s">
        <v>287</v>
      </c>
      <c r="B43" s="130">
        <f>+(B154+B156+B158)</f>
        <v>0</v>
      </c>
      <c r="C43" s="131">
        <v>0</v>
      </c>
      <c r="D43" s="367">
        <f>SUM(B43:C43)</f>
        <v>0</v>
      </c>
      <c r="E43" s="136">
        <v>0</v>
      </c>
      <c r="F43"/>
      <c r="G43"/>
      <c r="H43" s="130">
        <f>+(H154+H156+H158)</f>
        <v>0</v>
      </c>
      <c r="I43" s="131">
        <v>0</v>
      </c>
      <c r="J43" s="367">
        <f>SUM(H43:I43)</f>
        <v>0</v>
      </c>
      <c r="K43" s="136">
        <v>0</v>
      </c>
      <c r="L43" s="6"/>
    </row>
    <row r="44" spans="1:15">
      <c r="A44" s="1"/>
      <c r="B44" s="129">
        <f>+B29+B35+B41+B43</f>
        <v>0</v>
      </c>
      <c r="C44" s="92">
        <f>+C29+C35+C41+C43</f>
        <v>5526.8</v>
      </c>
      <c r="D44" s="366">
        <f>+D29+D35+D41+D43</f>
        <v>5526.8</v>
      </c>
      <c r="E44" s="136">
        <v>0</v>
      </c>
      <c r="F44"/>
      <c r="G44"/>
      <c r="H44" s="129">
        <f>+H29+H35+H41+H43</f>
        <v>0</v>
      </c>
      <c r="I44" s="92">
        <f>+I29+I35+I41+I43</f>
        <v>4321.1000000000004</v>
      </c>
      <c r="J44" s="366">
        <f>+J29+J35+J41+J43</f>
        <v>4321.1000000000004</v>
      </c>
      <c r="K44" s="366">
        <f>+K29+K35+K41+K43</f>
        <v>0</v>
      </c>
    </row>
    <row r="45" spans="1:15" ht="8.4499999999999993" customHeight="1">
      <c r="A45" s="1"/>
      <c r="B45" s="129"/>
      <c r="C45" s="93" t="s">
        <v>0</v>
      </c>
      <c r="D45" s="366"/>
      <c r="E45" s="136" t="s">
        <v>0</v>
      </c>
      <c r="F45"/>
      <c r="G45"/>
      <c r="H45" s="129"/>
      <c r="I45" s="93" t="s">
        <v>0</v>
      </c>
      <c r="J45" s="366"/>
      <c r="K45" s="136" t="s">
        <v>0</v>
      </c>
    </row>
    <row r="46" spans="1:15">
      <c r="A46" s="87" t="s">
        <v>288</v>
      </c>
      <c r="B46" s="129"/>
      <c r="C46" s="93" t="s">
        <v>0</v>
      </c>
      <c r="D46" s="366"/>
      <c r="E46" s="136" t="s">
        <v>0</v>
      </c>
      <c r="F46"/>
      <c r="G46"/>
      <c r="H46" s="129"/>
      <c r="I46" s="93" t="s">
        <v>0</v>
      </c>
      <c r="J46" s="366"/>
      <c r="K46" s="136" t="s">
        <v>0</v>
      </c>
    </row>
    <row r="47" spans="1:15">
      <c r="A47" s="1" t="s">
        <v>289</v>
      </c>
      <c r="B47" s="129">
        <f>+B163</f>
        <v>0</v>
      </c>
      <c r="C47" s="92">
        <v>5000</v>
      </c>
      <c r="D47" s="366">
        <f>SUM(B47:C47)</f>
        <v>5000</v>
      </c>
      <c r="E47" s="136">
        <f>+B47/D47</f>
        <v>0</v>
      </c>
      <c r="F47"/>
      <c r="G47"/>
      <c r="H47" s="129">
        <f>+H163</f>
        <v>0</v>
      </c>
      <c r="I47" s="92">
        <v>5000</v>
      </c>
      <c r="J47" s="366">
        <f>SUM(H47:I47)</f>
        <v>5000</v>
      </c>
      <c r="K47" s="136">
        <f>+H47/J47</f>
        <v>0</v>
      </c>
    </row>
    <row r="48" spans="1:15">
      <c r="A48" s="1" t="s">
        <v>290</v>
      </c>
      <c r="B48" s="129">
        <f>+B167</f>
        <v>0</v>
      </c>
      <c r="C48" s="92">
        <v>188.1</v>
      </c>
      <c r="D48" s="366">
        <f>SUM(B48:C48)</f>
        <v>188.1</v>
      </c>
      <c r="E48" s="136">
        <v>0</v>
      </c>
      <c r="F48"/>
      <c r="G48"/>
      <c r="H48" s="129">
        <f>+H167</f>
        <v>0</v>
      </c>
      <c r="I48" s="92">
        <v>177.9</v>
      </c>
      <c r="J48" s="366">
        <f>SUM(H48:I48)</f>
        <v>177.9</v>
      </c>
      <c r="K48" s="136">
        <v>0</v>
      </c>
    </row>
    <row r="49" spans="1:15">
      <c r="A49" s="1" t="s">
        <v>302</v>
      </c>
      <c r="B49" s="129"/>
      <c r="C49" s="92">
        <v>0</v>
      </c>
      <c r="D49" s="366">
        <v>0</v>
      </c>
      <c r="E49" s="136">
        <v>0</v>
      </c>
      <c r="F49"/>
      <c r="G49"/>
      <c r="H49" s="129"/>
      <c r="I49" s="92">
        <v>0</v>
      </c>
      <c r="J49" s="366">
        <v>0</v>
      </c>
      <c r="K49" s="136">
        <v>0</v>
      </c>
    </row>
    <row r="50" spans="1:15" ht="18">
      <c r="A50" s="1" t="s">
        <v>292</v>
      </c>
      <c r="B50" s="130">
        <f>+(B164+B165)</f>
        <v>0</v>
      </c>
      <c r="C50" s="137">
        <v>601.5</v>
      </c>
      <c r="D50" s="367">
        <f>SUM(B50:C50)</f>
        <v>601.5</v>
      </c>
      <c r="E50" s="136">
        <v>0</v>
      </c>
      <c r="F50"/>
      <c r="G50"/>
      <c r="H50" s="130">
        <f>+(H164+H165)</f>
        <v>0</v>
      </c>
      <c r="I50" s="137">
        <v>579.6</v>
      </c>
      <c r="J50" s="367">
        <f>SUM(H50:I50)</f>
        <v>579.6</v>
      </c>
      <c r="K50" s="136">
        <v>0</v>
      </c>
      <c r="L50" s="6"/>
      <c r="M50" s="7"/>
      <c r="N50" s="7"/>
      <c r="O50" s="7"/>
    </row>
    <row r="51" spans="1:15">
      <c r="A51" s="1" t="s">
        <v>275</v>
      </c>
      <c r="B51" s="129">
        <f>SUM(B47:B50)</f>
        <v>0</v>
      </c>
      <c r="C51" s="92">
        <f>SUM(C47:C50)</f>
        <v>5789.6</v>
      </c>
      <c r="D51" s="366">
        <f>SUM(B51:C51)</f>
        <v>5789.6</v>
      </c>
      <c r="E51" s="136">
        <v>0</v>
      </c>
      <c r="F51"/>
      <c r="G51"/>
      <c r="H51" s="129">
        <f>SUM(H47:H50)</f>
        <v>0</v>
      </c>
      <c r="I51" s="92">
        <f>SUM(I47:I50)</f>
        <v>5757.5</v>
      </c>
      <c r="J51" s="366">
        <f>SUM(H51:I51)</f>
        <v>5757.5</v>
      </c>
      <c r="K51" s="136">
        <v>0</v>
      </c>
    </row>
    <row r="52" spans="1:15">
      <c r="A52" s="1" t="s">
        <v>0</v>
      </c>
      <c r="B52" s="129"/>
      <c r="C52" s="93" t="s">
        <v>0</v>
      </c>
      <c r="D52" s="366"/>
      <c r="E52" s="136" t="s">
        <v>0</v>
      </c>
      <c r="F52"/>
      <c r="G52"/>
      <c r="H52" s="129"/>
      <c r="I52" s="93" t="s">
        <v>0</v>
      </c>
      <c r="J52" s="366"/>
      <c r="K52" s="136" t="s">
        <v>0</v>
      </c>
    </row>
    <row r="53" spans="1:15" ht="16.5" thickBot="1">
      <c r="A53" s="1" t="s">
        <v>0</v>
      </c>
      <c r="B53" s="133">
        <f>+B29+B35+B41+B43+B51</f>
        <v>0</v>
      </c>
      <c r="C53" s="134">
        <f>+C29+C35+C41+C43+C51</f>
        <v>11316.400000000001</v>
      </c>
      <c r="D53" s="369">
        <f>SUM(B53:C53)</f>
        <v>11316.400000000001</v>
      </c>
      <c r="E53" s="391">
        <f>+B53/D53</f>
        <v>0</v>
      </c>
      <c r="F53"/>
      <c r="G53"/>
      <c r="H53" s="133">
        <f>+H29+H35+H41+H43+H51</f>
        <v>0</v>
      </c>
      <c r="I53" s="134">
        <f>+I29+I35+I41+I43+I51</f>
        <v>10078.6</v>
      </c>
      <c r="J53" s="369">
        <f>SUM(H53:I53)</f>
        <v>10078.6</v>
      </c>
      <c r="K53" s="391">
        <f>+H53/J53</f>
        <v>0</v>
      </c>
    </row>
    <row r="54" spans="1:15" ht="16.5" thickTop="1">
      <c r="A54" s="1"/>
      <c r="B54" s="91"/>
      <c r="C54" s="89" t="s">
        <v>0</v>
      </c>
      <c r="D54" s="91"/>
      <c r="E54" s="100" t="s">
        <v>0</v>
      </c>
      <c r="F54"/>
      <c r="G54"/>
      <c r="H54" s="91"/>
      <c r="I54" s="89" t="s">
        <v>0</v>
      </c>
      <c r="J54" s="91"/>
    </row>
    <row r="55" spans="1:15">
      <c r="A55" s="1"/>
      <c r="B55" s="91" t="s">
        <v>529</v>
      </c>
      <c r="C55" s="89"/>
      <c r="D55" s="91"/>
      <c r="E55" s="100"/>
      <c r="F55"/>
      <c r="G55"/>
      <c r="H55" s="91" t="s">
        <v>530</v>
      </c>
      <c r="I55" s="89"/>
      <c r="J55" s="91"/>
    </row>
    <row r="56" spans="1:15">
      <c r="C56" s="43"/>
      <c r="E56" s="115" t="s">
        <v>0</v>
      </c>
      <c r="F56"/>
      <c r="G56"/>
      <c r="H56"/>
      <c r="J56" s="43"/>
    </row>
    <row r="57" spans="1:15">
      <c r="A57" s="18" t="s">
        <v>319</v>
      </c>
      <c r="C57" s="43"/>
      <c r="E57" s="115" t="s">
        <v>0</v>
      </c>
      <c r="F57"/>
      <c r="G57"/>
      <c r="H57"/>
      <c r="J57" s="43"/>
    </row>
    <row r="58" spans="1:15">
      <c r="A58" t="s">
        <v>294</v>
      </c>
      <c r="B58" s="12">
        <f>+bichvar!B56</f>
        <v>0</v>
      </c>
      <c r="C58" s="43"/>
      <c r="E58" s="115" t="s">
        <v>0</v>
      </c>
      <c r="F58"/>
      <c r="G58"/>
      <c r="H58"/>
      <c r="J58" s="43"/>
    </row>
    <row r="59" spans="1:15">
      <c r="A59" t="s">
        <v>295</v>
      </c>
      <c r="B59" s="12">
        <f>+bichvar!B57</f>
        <v>0</v>
      </c>
      <c r="C59" s="43"/>
      <c r="E59" s="115" t="s">
        <v>0</v>
      </c>
      <c r="F59"/>
      <c r="G59"/>
      <c r="H59"/>
      <c r="J59" s="43"/>
    </row>
    <row r="60" spans="1:15">
      <c r="A60" t="s">
        <v>284</v>
      </c>
      <c r="B60" s="12">
        <f>+bichvar!B58</f>
        <v>0</v>
      </c>
      <c r="C60" s="43"/>
      <c r="E60" s="115" t="s">
        <v>0</v>
      </c>
      <c r="F60"/>
      <c r="G60"/>
      <c r="H60"/>
      <c r="J60" s="43"/>
    </row>
    <row r="61" spans="1:15">
      <c r="C61" s="43"/>
      <c r="E61" s="115" t="s">
        <v>0</v>
      </c>
      <c r="F61"/>
      <c r="G61"/>
      <c r="H61"/>
      <c r="J61" s="43"/>
    </row>
    <row r="62" spans="1:15" ht="18.75">
      <c r="A62" s="122" t="s">
        <v>303</v>
      </c>
      <c r="B62" s="12">
        <f>+bichvar!B60</f>
        <v>3752.9</v>
      </c>
      <c r="C62" s="43"/>
      <c r="E62" s="115" t="s">
        <v>0</v>
      </c>
      <c r="F62"/>
      <c r="G62"/>
      <c r="H62" s="3"/>
      <c r="J62" s="12">
        <f>+J19+J63</f>
        <v>3761.7</v>
      </c>
    </row>
    <row r="63" spans="1:15">
      <c r="A63" t="s">
        <v>217</v>
      </c>
      <c r="B63" s="12">
        <f>+bichvar!B61</f>
        <v>0</v>
      </c>
      <c r="C63" s="43"/>
      <c r="E63" s="115" t="s">
        <v>0</v>
      </c>
      <c r="F63"/>
      <c r="G63"/>
      <c r="H63" s="3"/>
      <c r="J63" s="12">
        <v>0</v>
      </c>
    </row>
    <row r="64" spans="1:15">
      <c r="A64" t="s">
        <v>320</v>
      </c>
      <c r="B64" s="12">
        <f>+bichvar!B62</f>
        <v>0</v>
      </c>
      <c r="C64" s="43"/>
      <c r="E64" s="115" t="s">
        <v>0</v>
      </c>
      <c r="F64"/>
      <c r="G64"/>
      <c r="H64" s="3"/>
      <c r="J64" s="12">
        <f>100909.75/1000</f>
        <v>100.90975</v>
      </c>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sheetData>
  <pageMargins left="0.7" right="0.28999999999999998" top="0.55000000000000004" bottom="0.5" header="0.34" footer="0.28999999999999998"/>
  <pageSetup scale="63" orientation="landscape" r:id="rId1"/>
  <headerFooter alignWithMargins="0">
    <oddFooter>&amp;R&amp;P</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20"/>
  <sheetViews>
    <sheetView workbookViewId="0"/>
  </sheetViews>
  <sheetFormatPr defaultRowHeight="15.75"/>
  <cols>
    <col min="1" max="1" width="50" customWidth="1"/>
    <col min="2" max="2" width="15.75" style="27" customWidth="1"/>
    <col min="3" max="3" width="8.2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 style="27" customWidth="1"/>
    <col min="14" max="14" width="15.75" style="27" customWidth="1"/>
    <col min="15" max="15" width="11" style="27" customWidth="1"/>
    <col min="16" max="16" width="15.75" style="27" customWidth="1"/>
    <col min="17" max="17" width="11" style="27" customWidth="1"/>
    <col min="18" max="18" width="15.75" style="27" customWidth="1"/>
    <col min="19" max="19" width="11" style="27" customWidth="1"/>
    <col min="20" max="20" width="17.375" style="27" customWidth="1"/>
    <col min="21" max="21" width="11.75" style="27" customWidth="1"/>
    <col min="22" max="256" width="11" customWidth="1"/>
  </cols>
  <sheetData>
    <row r="1" spans="1:22">
      <c r="A1" s="114" t="s">
        <v>441</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6" spans="1:22" s="2" customFormat="1" ht="16.5" thickBot="1">
      <c r="B6" s="377" t="s">
        <v>185</v>
      </c>
      <c r="C6" s="399"/>
      <c r="D6" s="400"/>
      <c r="E6" s="399"/>
      <c r="F6" s="400"/>
      <c r="G6" s="399"/>
      <c r="H6" s="400"/>
      <c r="I6" s="401"/>
      <c r="J6" s="377" t="s">
        <v>174</v>
      </c>
      <c r="K6" s="399"/>
      <c r="L6" s="400"/>
      <c r="M6" s="399"/>
      <c r="N6" s="400"/>
      <c r="O6" s="399"/>
      <c r="P6" s="400"/>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7" t="s">
        <v>0</v>
      </c>
      <c r="D9" s="29" t="s">
        <v>0</v>
      </c>
      <c r="E9" s="29" t="s">
        <v>0</v>
      </c>
      <c r="F9" s="29" t="s">
        <v>0</v>
      </c>
      <c r="G9" s="29" t="s">
        <v>0</v>
      </c>
      <c r="H9" s="29" t="s">
        <v>0</v>
      </c>
      <c r="I9" s="29" t="s">
        <v>0</v>
      </c>
      <c r="J9" s="16" t="s">
        <v>0</v>
      </c>
      <c r="K9" s="47" t="s">
        <v>0</v>
      </c>
      <c r="L9" s="16" t="s">
        <v>0</v>
      </c>
      <c r="M9" s="47" t="s">
        <v>0</v>
      </c>
      <c r="N9" s="16" t="s">
        <v>0</v>
      </c>
      <c r="O9" s="47" t="s">
        <v>0</v>
      </c>
      <c r="P9" s="16" t="s">
        <v>0</v>
      </c>
      <c r="Q9" s="29" t="s">
        <v>0</v>
      </c>
      <c r="R9" s="29" t="s">
        <v>0</v>
      </c>
    </row>
    <row r="10" spans="1:22">
      <c r="A10" t="s">
        <v>330</v>
      </c>
      <c r="B10" s="12">
        <f>+B50</f>
        <v>126.6</v>
      </c>
      <c r="C10" s="43">
        <v>0</v>
      </c>
      <c r="D10" s="12">
        <f>+F50</f>
        <v>0</v>
      </c>
      <c r="E10" s="43">
        <v>0</v>
      </c>
      <c r="F10" s="12">
        <f>+J50</f>
        <v>0</v>
      </c>
      <c r="G10" s="43">
        <v>0</v>
      </c>
      <c r="H10" s="12">
        <f>+N50</f>
        <v>0</v>
      </c>
      <c r="J10" s="12">
        <f>+D50</f>
        <v>131.5</v>
      </c>
      <c r="K10" s="46">
        <f>+(-J10+L10)/ABS(J10)</f>
        <v>5.2471482889733669E-2</v>
      </c>
      <c r="L10" s="12">
        <f>+H50</f>
        <v>138.39999999999998</v>
      </c>
      <c r="M10" s="46">
        <f>+(-L10+N10)/ABS(L10)</f>
        <v>-0.11271676300578022</v>
      </c>
      <c r="N10" s="12">
        <f>+L50</f>
        <v>122.8</v>
      </c>
      <c r="O10" s="46">
        <f>+(-N10+P10)/ABS(N10)</f>
        <v>0.37703583061889251</v>
      </c>
      <c r="P10" s="12">
        <f>+P50</f>
        <v>169.1</v>
      </c>
    </row>
    <row r="11" spans="1:22">
      <c r="A11" t="s">
        <v>354</v>
      </c>
      <c r="B11" s="12">
        <f>+B51</f>
        <v>0</v>
      </c>
      <c r="C11" s="43">
        <v>0</v>
      </c>
      <c r="D11" s="12">
        <v>0</v>
      </c>
      <c r="E11" s="43">
        <v>0</v>
      </c>
      <c r="F11" s="12">
        <f>+J51</f>
        <v>0</v>
      </c>
      <c r="G11" s="43">
        <v>0</v>
      </c>
      <c r="H11" s="12">
        <v>0</v>
      </c>
      <c r="J11" s="12">
        <v>0</v>
      </c>
      <c r="K11" s="43">
        <v>0</v>
      </c>
      <c r="L11" s="12">
        <v>0</v>
      </c>
      <c r="M11" s="43">
        <v>0</v>
      </c>
      <c r="N11" s="12">
        <v>0</v>
      </c>
      <c r="O11" s="43">
        <v>0</v>
      </c>
      <c r="P11" s="12">
        <f>+P51</f>
        <v>0</v>
      </c>
    </row>
    <row r="12" spans="1:22">
      <c r="A12" t="s">
        <v>332</v>
      </c>
      <c r="B12" s="240">
        <f>+B52</f>
        <v>0</v>
      </c>
      <c r="C12" s="43">
        <v>0</v>
      </c>
      <c r="D12" s="240">
        <f>+F52</f>
        <v>0</v>
      </c>
      <c r="E12" s="43">
        <v>0</v>
      </c>
      <c r="F12" s="240">
        <f>+J52</f>
        <v>0</v>
      </c>
      <c r="G12" s="43">
        <v>0</v>
      </c>
      <c r="H12" s="240">
        <f>+N52</f>
        <v>0</v>
      </c>
      <c r="J12" s="221">
        <f>+D52</f>
        <v>0</v>
      </c>
      <c r="K12" s="43">
        <v>0</v>
      </c>
      <c r="L12" s="221">
        <f>+H52</f>
        <v>0</v>
      </c>
      <c r="M12" s="43">
        <v>0</v>
      </c>
      <c r="N12" s="221">
        <f>+L52</f>
        <v>0</v>
      </c>
      <c r="O12" s="43">
        <v>0</v>
      </c>
      <c r="P12" s="221">
        <f>+P52</f>
        <v>0</v>
      </c>
    </row>
    <row r="13" spans="1:22">
      <c r="B13" s="12">
        <f>SUM(B10:B12)</f>
        <v>126.6</v>
      </c>
      <c r="C13" s="43">
        <v>0</v>
      </c>
      <c r="D13" s="12">
        <f>SUM(D10:D12)</f>
        <v>0</v>
      </c>
      <c r="E13" s="43">
        <v>0</v>
      </c>
      <c r="F13" s="12">
        <f>SUM(F10:F12)</f>
        <v>0</v>
      </c>
      <c r="G13" s="43">
        <v>0</v>
      </c>
      <c r="H13" s="12">
        <f>SUM(H10:H12)</f>
        <v>0</v>
      </c>
      <c r="J13" s="12">
        <f>SUM(J10:J12)</f>
        <v>131.5</v>
      </c>
      <c r="K13" s="46">
        <f>+(-J13+L13)/ABS(J13)</f>
        <v>5.2471482889733669E-2</v>
      </c>
      <c r="L13" s="12">
        <f>SUM(L10:L12)</f>
        <v>138.39999999999998</v>
      </c>
      <c r="M13" s="46">
        <f>+(-L13+N13)/ABS(L13)</f>
        <v>-0.11271676300578022</v>
      </c>
      <c r="N13" s="12">
        <f>SUM(N10:N12)</f>
        <v>122.8</v>
      </c>
      <c r="O13" s="46">
        <f>+(-N13+P13)/ABS(N13)</f>
        <v>0.37703583061889251</v>
      </c>
      <c r="P13" s="12">
        <f>SUM(P10:P12)</f>
        <v>169.1</v>
      </c>
    </row>
    <row r="14" spans="1:22">
      <c r="A14" t="s">
        <v>333</v>
      </c>
      <c r="B14" s="240">
        <f>+B54</f>
        <v>29.9</v>
      </c>
      <c r="C14" s="43">
        <v>0</v>
      </c>
      <c r="D14" s="240">
        <f>+F54</f>
        <v>0</v>
      </c>
      <c r="E14" s="43">
        <v>0</v>
      </c>
      <c r="F14" s="240">
        <f>+J54</f>
        <v>0</v>
      </c>
      <c r="G14" s="43">
        <v>0</v>
      </c>
      <c r="H14" s="240">
        <f>+N54</f>
        <v>0</v>
      </c>
      <c r="J14" s="240">
        <f>+D54</f>
        <v>31.1</v>
      </c>
      <c r="K14" s="46">
        <f>+(-J14+L14)/ABS(J14)</f>
        <v>-0.31189710610932486</v>
      </c>
      <c r="L14" s="240">
        <f>+H54</f>
        <v>21.4</v>
      </c>
      <c r="M14" s="46">
        <f>+(-L14+N14)/ABS(L14)</f>
        <v>0.43925233644859824</v>
      </c>
      <c r="N14" s="240">
        <f>+L54</f>
        <v>30.8</v>
      </c>
      <c r="O14" s="46">
        <f>+(-N14+P14)/ABS(N14)</f>
        <v>-0.32467532467532467</v>
      </c>
      <c r="P14" s="240">
        <f>+P54</f>
        <v>20.8</v>
      </c>
    </row>
    <row r="15" spans="1:22">
      <c r="B15" s="12">
        <f>+B13-B14</f>
        <v>96.699999999999989</v>
      </c>
      <c r="C15" s="43">
        <v>0</v>
      </c>
      <c r="D15" s="12">
        <f>+D13-D14</f>
        <v>0</v>
      </c>
      <c r="E15" s="43">
        <v>0</v>
      </c>
      <c r="F15" s="12">
        <f>+F13-F14</f>
        <v>0</v>
      </c>
      <c r="G15" s="43">
        <v>0</v>
      </c>
      <c r="H15" s="12">
        <f>+H13-H14</f>
        <v>0</v>
      </c>
      <c r="J15" s="12">
        <f>+J13-J14</f>
        <v>100.4</v>
      </c>
      <c r="K15" s="46">
        <f>+(-J15+L15)/ABS(J15)</f>
        <v>0.16533864541832635</v>
      </c>
      <c r="L15" s="12">
        <f>+L13-L14</f>
        <v>116.99999999999997</v>
      </c>
      <c r="M15" s="46">
        <f>+(-L15+N15)/ABS(L15)</f>
        <v>-0.21367521367521347</v>
      </c>
      <c r="N15" s="12">
        <f>+N13-N14</f>
        <v>92</v>
      </c>
      <c r="O15" s="46">
        <f>+(-N15+P15)/ABS(N15)</f>
        <v>0.61195652173913029</v>
      </c>
      <c r="P15" s="12">
        <f>+P13-P14</f>
        <v>148.29999999999998</v>
      </c>
    </row>
    <row r="16" spans="1:22" ht="9" customHeight="1">
      <c r="B16" s="12"/>
      <c r="C16" s="44" t="s">
        <v>0</v>
      </c>
      <c r="E16" s="44" t="s">
        <v>0</v>
      </c>
      <c r="G16" s="44" t="s">
        <v>0</v>
      </c>
      <c r="J16" s="12"/>
      <c r="K16" s="46"/>
      <c r="L16" s="12"/>
      <c r="M16" s="46"/>
      <c r="N16" s="12"/>
      <c r="O16" s="46"/>
      <c r="P16" s="12"/>
    </row>
    <row r="17" spans="1:16">
      <c r="A17" t="s">
        <v>334</v>
      </c>
      <c r="B17" s="12"/>
      <c r="C17" s="44" t="s">
        <v>0</v>
      </c>
      <c r="E17" s="44" t="s">
        <v>0</v>
      </c>
      <c r="G17" s="44" t="s">
        <v>0</v>
      </c>
      <c r="J17" s="12"/>
      <c r="K17" s="46"/>
      <c r="L17" s="12"/>
      <c r="M17" s="46"/>
      <c r="N17" s="12"/>
      <c r="O17" s="47" t="s">
        <v>0</v>
      </c>
      <c r="P17" s="12"/>
    </row>
    <row r="18" spans="1:16">
      <c r="A18" t="s">
        <v>335</v>
      </c>
      <c r="B18" s="12">
        <f>+B58</f>
        <v>54.4</v>
      </c>
      <c r="C18" s="43">
        <v>0</v>
      </c>
      <c r="D18" s="12">
        <f>+F58</f>
        <v>0</v>
      </c>
      <c r="E18" s="43">
        <v>0</v>
      </c>
      <c r="F18" s="12">
        <f>+J58</f>
        <v>0</v>
      </c>
      <c r="G18" s="43">
        <v>0</v>
      </c>
      <c r="H18" s="12">
        <f>+N58</f>
        <v>0</v>
      </c>
      <c r="J18" s="12">
        <f>+D58</f>
        <v>19.8</v>
      </c>
      <c r="K18" s="46">
        <f>+(-J18+L18)/ABS(J18)</f>
        <v>0.93939393939393923</v>
      </c>
      <c r="L18" s="12">
        <f>+H58</f>
        <v>38.4</v>
      </c>
      <c r="M18" s="46">
        <f>+(-L18+N18)/ABS(L18)</f>
        <v>-0.52083333333333337</v>
      </c>
      <c r="N18" s="12">
        <f>+L58</f>
        <v>18.399999999999999</v>
      </c>
      <c r="O18" s="46">
        <f>+(-N18+P18)/ABS(N18)</f>
        <v>3.8858695652173916</v>
      </c>
      <c r="P18" s="12">
        <f>+P58</f>
        <v>89.9</v>
      </c>
    </row>
    <row r="19" spans="1:16">
      <c r="A19" t="s">
        <v>336</v>
      </c>
      <c r="B19" s="12">
        <f>+B59</f>
        <v>0</v>
      </c>
      <c r="C19" s="43">
        <v>0</v>
      </c>
      <c r="D19" s="12">
        <f>+F59</f>
        <v>0</v>
      </c>
      <c r="E19" s="43">
        <v>0</v>
      </c>
      <c r="F19" s="12">
        <f>+J59</f>
        <v>0</v>
      </c>
      <c r="G19" s="43">
        <v>0</v>
      </c>
      <c r="H19" s="12">
        <f>+N59</f>
        <v>0</v>
      </c>
      <c r="J19" s="12">
        <f>+D59</f>
        <v>0</v>
      </c>
      <c r="K19" s="43">
        <v>0</v>
      </c>
      <c r="L19" s="12">
        <f>+H59</f>
        <v>0</v>
      </c>
      <c r="M19" s="43">
        <v>0</v>
      </c>
      <c r="N19" s="12">
        <f>+L59</f>
        <v>0</v>
      </c>
      <c r="O19" s="43">
        <v>0</v>
      </c>
      <c r="P19" s="12">
        <f>+P59</f>
        <v>0</v>
      </c>
    </row>
    <row r="20" spans="1:16">
      <c r="A20" t="s">
        <v>284</v>
      </c>
      <c r="B20" s="240">
        <f>+B60</f>
        <v>144.69999999999999</v>
      </c>
      <c r="C20" s="43">
        <v>0</v>
      </c>
      <c r="D20" s="240">
        <f>+F60</f>
        <v>0</v>
      </c>
      <c r="E20" s="43">
        <v>0</v>
      </c>
      <c r="F20" s="240">
        <f>+J60</f>
        <v>0</v>
      </c>
      <c r="G20" s="43">
        <v>0</v>
      </c>
      <c r="H20" s="240">
        <f>+N60</f>
        <v>0</v>
      </c>
      <c r="J20" s="240">
        <f>+D60</f>
        <v>133.69999999999999</v>
      </c>
      <c r="K20" s="46">
        <f>+(-J20+L20)/ABS(J20)</f>
        <v>2.9917726252805216E-3</v>
      </c>
      <c r="L20" s="240">
        <f>+H60</f>
        <v>134.1</v>
      </c>
      <c r="M20" s="46">
        <f>+(-L20+N20)/ABS(L20)</f>
        <v>2.6845637583892575E-2</v>
      </c>
      <c r="N20" s="240">
        <f>+L60</f>
        <v>137.69999999999999</v>
      </c>
      <c r="O20" s="46">
        <f>+(-N20+P20)/ABS(N20)</f>
        <v>-0.28830791575889608</v>
      </c>
      <c r="P20" s="240">
        <f>+P60</f>
        <v>98</v>
      </c>
    </row>
    <row r="21" spans="1:16">
      <c r="B21" s="12">
        <f>SUM(B18:B20)</f>
        <v>199.1</v>
      </c>
      <c r="C21" s="43">
        <v>0</v>
      </c>
      <c r="D21" s="12">
        <f>SUM(D18:D20)</f>
        <v>0</v>
      </c>
      <c r="E21" s="43">
        <v>0</v>
      </c>
      <c r="F21" s="12">
        <f>SUM(F18:F20)</f>
        <v>0</v>
      </c>
      <c r="G21" s="43">
        <v>0</v>
      </c>
      <c r="H21" s="12">
        <f>SUM(H18:H20)</f>
        <v>0</v>
      </c>
      <c r="J21" s="12">
        <f>SUM(J18:J20)</f>
        <v>153.5</v>
      </c>
      <c r="K21" s="46">
        <f>+(-J21+L21)/ABS(J21)</f>
        <v>0.12377850162866449</v>
      </c>
      <c r="L21" s="12">
        <f>SUM(L18:L20)</f>
        <v>172.5</v>
      </c>
      <c r="M21" s="46">
        <f>+(-L21+N21)/ABS(L21)</f>
        <v>-9.507246376811597E-2</v>
      </c>
      <c r="N21" s="12">
        <f>SUM(N18:N20)</f>
        <v>156.1</v>
      </c>
      <c r="O21" s="46">
        <f>+(-N21+P21)/ABS(N21)</f>
        <v>0.20371556694426657</v>
      </c>
      <c r="P21" s="12">
        <f>SUM(P18:P20)</f>
        <v>187.9</v>
      </c>
    </row>
    <row r="22" spans="1:16">
      <c r="B22" s="240"/>
      <c r="C22" s="44" t="s">
        <v>0</v>
      </c>
      <c r="D22" s="379"/>
      <c r="E22" s="44" t="s">
        <v>0</v>
      </c>
      <c r="F22" s="379"/>
      <c r="G22" s="44" t="s">
        <v>0</v>
      </c>
      <c r="H22" s="379"/>
      <c r="J22" s="240"/>
      <c r="K22" s="46"/>
      <c r="L22" s="240"/>
      <c r="M22" s="46"/>
      <c r="N22" s="240"/>
      <c r="O22" s="46"/>
      <c r="P22" s="240"/>
    </row>
    <row r="23" spans="1:16">
      <c r="A23" t="s">
        <v>337</v>
      </c>
      <c r="B23" s="12">
        <f>+B15+B21</f>
        <v>295.79999999999995</v>
      </c>
      <c r="C23" s="43">
        <v>0</v>
      </c>
      <c r="D23" s="12">
        <f>+D15+D21</f>
        <v>0</v>
      </c>
      <c r="E23" s="43">
        <v>0</v>
      </c>
      <c r="F23" s="12">
        <f>+F15+F21</f>
        <v>0</v>
      </c>
      <c r="G23" s="43">
        <v>0</v>
      </c>
      <c r="H23" s="12">
        <f>+H15+H21</f>
        <v>0</v>
      </c>
      <c r="J23" s="12">
        <f>+J15+J21</f>
        <v>253.9</v>
      </c>
      <c r="K23" s="46">
        <f>+(-J23+L23)/ABS(J23)</f>
        <v>0.14021268215833002</v>
      </c>
      <c r="L23" s="12">
        <f>+L15+L21</f>
        <v>289.5</v>
      </c>
      <c r="M23" s="46">
        <f>+(-L23+N23)/ABS(L23)</f>
        <v>-0.14300518134715029</v>
      </c>
      <c r="N23" s="12">
        <f>+N15+N21</f>
        <v>248.1</v>
      </c>
      <c r="O23" s="46">
        <f>+(-N23+P23)/ABS(N23)</f>
        <v>0.35509875050382911</v>
      </c>
      <c r="P23" s="12">
        <f>+P15+P21</f>
        <v>336.2</v>
      </c>
    </row>
    <row r="24" spans="1:16">
      <c r="B24" s="12"/>
      <c r="C24" s="44" t="s">
        <v>0</v>
      </c>
      <c r="E24" s="44" t="s">
        <v>0</v>
      </c>
      <c r="G24" s="44" t="s">
        <v>0</v>
      </c>
      <c r="J24" s="12"/>
      <c r="K24" s="46"/>
      <c r="L24" s="12"/>
      <c r="M24" s="46"/>
      <c r="N24" s="12"/>
      <c r="O24" s="46"/>
      <c r="P24" s="12"/>
    </row>
    <row r="25" spans="1:16">
      <c r="A25" t="s">
        <v>338</v>
      </c>
      <c r="B25" s="12">
        <f>+B65</f>
        <v>0</v>
      </c>
      <c r="C25" s="43">
        <v>0</v>
      </c>
      <c r="D25" s="12">
        <f>+F65</f>
        <v>0</v>
      </c>
      <c r="E25" s="43">
        <v>0</v>
      </c>
      <c r="F25" s="12">
        <f>+J65</f>
        <v>0</v>
      </c>
      <c r="G25" s="43">
        <v>0</v>
      </c>
      <c r="H25" s="12">
        <f>+N65</f>
        <v>0</v>
      </c>
      <c r="J25" s="12">
        <f>+D65</f>
        <v>0</v>
      </c>
      <c r="K25" s="43">
        <v>0</v>
      </c>
      <c r="L25" s="12">
        <f>+H65</f>
        <v>0</v>
      </c>
      <c r="M25" s="43">
        <v>0</v>
      </c>
      <c r="N25" s="12">
        <f>+L65</f>
        <v>0</v>
      </c>
      <c r="O25" s="43">
        <v>0</v>
      </c>
      <c r="P25" s="12">
        <f>+P65</f>
        <v>40</v>
      </c>
    </row>
    <row r="26" spans="1:16">
      <c r="B26" s="12"/>
      <c r="C26" s="44" t="s">
        <v>0</v>
      </c>
      <c r="E26" s="44" t="s">
        <v>0</v>
      </c>
      <c r="G26" s="44" t="s">
        <v>0</v>
      </c>
      <c r="J26" s="12"/>
      <c r="K26" s="46"/>
      <c r="L26" s="12"/>
      <c r="M26" s="46"/>
      <c r="N26" s="12"/>
      <c r="O26" s="46"/>
      <c r="P26" s="12"/>
    </row>
    <row r="27" spans="1:16">
      <c r="A27" t="s">
        <v>339</v>
      </c>
      <c r="B27" s="240"/>
      <c r="C27" s="44" t="s">
        <v>0</v>
      </c>
      <c r="D27" s="379"/>
      <c r="E27" s="44" t="s">
        <v>0</v>
      </c>
      <c r="F27" s="379"/>
      <c r="G27" s="44" t="s">
        <v>0</v>
      </c>
      <c r="H27" s="379"/>
      <c r="J27" s="240"/>
      <c r="K27" s="46"/>
      <c r="L27" s="240"/>
      <c r="M27" s="46"/>
      <c r="N27" s="240"/>
      <c r="O27" s="46"/>
      <c r="P27" s="240"/>
    </row>
    <row r="28" spans="1:16">
      <c r="A28" t="s">
        <v>340</v>
      </c>
      <c r="B28" s="12">
        <f>+B23-B25</f>
        <v>295.79999999999995</v>
      </c>
      <c r="C28" s="43">
        <v>0</v>
      </c>
      <c r="D28" s="12">
        <f>+D23-D25</f>
        <v>0</v>
      </c>
      <c r="E28" s="43">
        <v>0</v>
      </c>
      <c r="F28" s="12">
        <f>+F23-F25</f>
        <v>0</v>
      </c>
      <c r="G28" s="43">
        <v>0</v>
      </c>
      <c r="H28" s="12">
        <f>+H23-H25</f>
        <v>0</v>
      </c>
      <c r="J28" s="12">
        <f>+J23-J25</f>
        <v>253.9</v>
      </c>
      <c r="K28" s="46">
        <f>+(-J28+L28)/ABS(J28)</f>
        <v>0.14021268215833002</v>
      </c>
      <c r="L28" s="12">
        <f>+L23-L25</f>
        <v>289.5</v>
      </c>
      <c r="M28" s="46">
        <f>+(-L28+N28)/ABS(L28)</f>
        <v>-0.14300518134715029</v>
      </c>
      <c r="N28" s="12">
        <f>+N23-N25</f>
        <v>248.1</v>
      </c>
      <c r="O28" s="46">
        <f>+(-N28+P28)/ABS(N28)</f>
        <v>0.19387343812978636</v>
      </c>
      <c r="P28" s="12">
        <f>+P23-P25</f>
        <v>296.2</v>
      </c>
    </row>
    <row r="29" spans="1:16">
      <c r="B29" s="12"/>
      <c r="C29" s="44" t="s">
        <v>0</v>
      </c>
      <c r="E29" s="44" t="s">
        <v>0</v>
      </c>
      <c r="G29" s="44" t="s">
        <v>0</v>
      </c>
      <c r="J29" s="12"/>
      <c r="K29" s="46"/>
      <c r="L29" s="12"/>
      <c r="M29" s="46"/>
      <c r="N29" s="12"/>
      <c r="O29" s="46"/>
      <c r="P29" s="12"/>
    </row>
    <row r="30" spans="1:16">
      <c r="A30" t="s">
        <v>341</v>
      </c>
      <c r="B30" s="12"/>
      <c r="C30" s="44" t="s">
        <v>0</v>
      </c>
      <c r="E30" s="44" t="s">
        <v>0</v>
      </c>
      <c r="G30" s="44" t="s">
        <v>0</v>
      </c>
      <c r="J30" s="12"/>
      <c r="K30" s="46"/>
      <c r="L30" s="12"/>
      <c r="M30" s="46"/>
      <c r="N30" s="12"/>
      <c r="O30" s="46"/>
      <c r="P30" s="12"/>
    </row>
    <row r="31" spans="1:16">
      <c r="A31" t="s">
        <v>342</v>
      </c>
      <c r="B31" s="12">
        <f>+B71</f>
        <v>137.1</v>
      </c>
      <c r="C31" s="43">
        <v>0</v>
      </c>
      <c r="D31" s="12">
        <f>+F71</f>
        <v>0</v>
      </c>
      <c r="E31" s="43">
        <v>0</v>
      </c>
      <c r="F31" s="12">
        <f>+J71</f>
        <v>0</v>
      </c>
      <c r="G31" s="43">
        <v>0</v>
      </c>
      <c r="H31" s="12">
        <f>+N71</f>
        <v>0</v>
      </c>
      <c r="J31" s="12">
        <f>+D71</f>
        <v>97</v>
      </c>
      <c r="K31" s="46">
        <f>+(-J31+L31)/ABS(J31)</f>
        <v>0.29278350515463925</v>
      </c>
      <c r="L31" s="12">
        <f>+H71</f>
        <v>125.4</v>
      </c>
      <c r="M31" s="46">
        <f>+(-L31+N31)/ABS(L31)</f>
        <v>3.1897926634769191E-3</v>
      </c>
      <c r="N31" s="12">
        <f>+L71</f>
        <v>125.80000000000001</v>
      </c>
      <c r="O31" s="46">
        <f>+(-N31+P31)/ABS(N31)</f>
        <v>0.14546899841017497</v>
      </c>
      <c r="P31" s="12">
        <f>+P71</f>
        <v>144.10000000000002</v>
      </c>
    </row>
    <row r="32" spans="1:16">
      <c r="A32" t="s">
        <v>343</v>
      </c>
      <c r="B32" s="12">
        <f>+B72</f>
        <v>12</v>
      </c>
      <c r="C32" s="43">
        <v>0</v>
      </c>
      <c r="D32" s="12">
        <f>+F72</f>
        <v>0</v>
      </c>
      <c r="E32" s="43">
        <v>0</v>
      </c>
      <c r="F32" s="12">
        <f>+J72</f>
        <v>0</v>
      </c>
      <c r="G32" s="43">
        <v>0</v>
      </c>
      <c r="H32" s="12">
        <f>+N72</f>
        <v>0</v>
      </c>
      <c r="J32" s="12">
        <f>+D72</f>
        <v>12</v>
      </c>
      <c r="K32" s="46">
        <f>+(-J32+L32)/ABS(J32)</f>
        <v>0</v>
      </c>
      <c r="L32" s="12">
        <f>+H72</f>
        <v>12</v>
      </c>
      <c r="M32" s="46">
        <f>+(-L32+N32)/ABS(L32)</f>
        <v>0</v>
      </c>
      <c r="N32" s="12">
        <f>+L72</f>
        <v>12</v>
      </c>
      <c r="O32" s="46">
        <f>+(-N32+P32)/ABS(N32)</f>
        <v>-0.66666666666666663</v>
      </c>
      <c r="P32" s="12">
        <f>+P72</f>
        <v>4</v>
      </c>
    </row>
    <row r="33" spans="1:22">
      <c r="A33" t="s">
        <v>344</v>
      </c>
      <c r="B33" s="12">
        <f>+B73</f>
        <v>3.3</v>
      </c>
      <c r="C33" s="43">
        <v>0</v>
      </c>
      <c r="D33" s="12">
        <f>+F73</f>
        <v>0</v>
      </c>
      <c r="E33" s="43">
        <v>0</v>
      </c>
      <c r="F33" s="12">
        <f>+J73</f>
        <v>0</v>
      </c>
      <c r="G33" s="43">
        <v>0</v>
      </c>
      <c r="H33" s="12">
        <f>+N73</f>
        <v>0</v>
      </c>
      <c r="J33" s="12">
        <f>+D73</f>
        <v>3.3000000000000003</v>
      </c>
      <c r="K33" s="46">
        <f>+(-J33+L33)/ABS(J33)</f>
        <v>0</v>
      </c>
      <c r="L33" s="12">
        <f>+H73</f>
        <v>3.3000000000000003</v>
      </c>
      <c r="M33" s="46">
        <f>+(-L33+N33)/ABS(L33)</f>
        <v>-0.33333333333333331</v>
      </c>
      <c r="N33" s="12">
        <f>+L73</f>
        <v>2.2000000000000002</v>
      </c>
      <c r="O33" s="46">
        <f>+(-N33+P33)/ABS(N33)</f>
        <v>0.45454545454545453</v>
      </c>
      <c r="P33" s="12">
        <f>+P73</f>
        <v>3.2</v>
      </c>
    </row>
    <row r="34" spans="1:22">
      <c r="A34" t="s">
        <v>345</v>
      </c>
      <c r="B34" s="240">
        <f>+B74</f>
        <v>87.7</v>
      </c>
      <c r="C34" s="43">
        <v>0</v>
      </c>
      <c r="D34" s="240">
        <f>+F74</f>
        <v>0</v>
      </c>
      <c r="E34" s="43">
        <v>0</v>
      </c>
      <c r="F34" s="240">
        <f>+J74</f>
        <v>0</v>
      </c>
      <c r="G34" s="43">
        <v>0</v>
      </c>
      <c r="H34" s="240">
        <f>+N74</f>
        <v>0</v>
      </c>
      <c r="J34" s="240">
        <f>+D74</f>
        <v>51.6</v>
      </c>
      <c r="K34" s="46">
        <f>+(-J34+L34)/ABS(J34)</f>
        <v>0.92441860465116299</v>
      </c>
      <c r="L34" s="240">
        <f>+H74</f>
        <v>99.300000000000011</v>
      </c>
      <c r="M34" s="46">
        <f>+(-L34+N34)/ABS(L34)</f>
        <v>-0.26082578046324273</v>
      </c>
      <c r="N34" s="240">
        <f>+L74</f>
        <v>73.400000000000006</v>
      </c>
      <c r="O34" s="46">
        <f>+(-N34+P34)/ABS(N34)</f>
        <v>0.73569482288828336</v>
      </c>
      <c r="P34" s="240">
        <f>+P74</f>
        <v>127.4</v>
      </c>
    </row>
    <row r="35" spans="1:22">
      <c r="B35" s="12">
        <f>SUM(B31:B34)</f>
        <v>240.10000000000002</v>
      </c>
      <c r="C35" s="43">
        <v>0</v>
      </c>
      <c r="D35" s="12">
        <f>SUM(D31:D34)</f>
        <v>0</v>
      </c>
      <c r="E35" s="43">
        <v>0</v>
      </c>
      <c r="F35" s="12">
        <f>SUM(F31:F34)</f>
        <v>0</v>
      </c>
      <c r="G35" s="43">
        <v>0</v>
      </c>
      <c r="H35" s="12">
        <f>SUM(H31:H34)</f>
        <v>0</v>
      </c>
      <c r="J35" s="12">
        <f>SUM(J31:J34)</f>
        <v>163.9</v>
      </c>
      <c r="K35" s="46">
        <f>+(-J35+L35)/ABS(J35)</f>
        <v>0.46430750457596109</v>
      </c>
      <c r="L35" s="12">
        <f>SUM(L31:L34)</f>
        <v>240.00000000000003</v>
      </c>
      <c r="M35" s="46">
        <f>+(-L35+N35)/ABS(L35)</f>
        <v>-0.11083333333333341</v>
      </c>
      <c r="N35" s="12">
        <f>SUM(N31:N34)</f>
        <v>213.4</v>
      </c>
      <c r="O35" s="46">
        <f>+(-N35+P35)/ABS(N35)</f>
        <v>0.30599812558575462</v>
      </c>
      <c r="P35" s="12">
        <f>SUM(P31:P34)</f>
        <v>278.70000000000005</v>
      </c>
    </row>
    <row r="36" spans="1:22">
      <c r="B36" s="240"/>
      <c r="C36" s="43"/>
      <c r="D36" s="379"/>
      <c r="E36" s="43"/>
      <c r="F36" s="379"/>
      <c r="G36" s="43"/>
      <c r="H36" s="379"/>
      <c r="J36" s="240"/>
      <c r="K36" s="46"/>
      <c r="L36" s="240"/>
      <c r="M36" s="46"/>
      <c r="N36" s="240"/>
      <c r="O36" s="46"/>
      <c r="P36" s="240"/>
    </row>
    <row r="37" spans="1:22">
      <c r="A37" t="s">
        <v>346</v>
      </c>
      <c r="B37" s="12">
        <f>+B28-B35</f>
        <v>55.699999999999932</v>
      </c>
      <c r="C37" s="43">
        <v>0</v>
      </c>
      <c r="D37" s="12">
        <f>+D28-D35</f>
        <v>0</v>
      </c>
      <c r="E37" s="43">
        <v>0</v>
      </c>
      <c r="F37" s="12">
        <f>+F28-F35</f>
        <v>0</v>
      </c>
      <c r="G37" s="43">
        <v>0</v>
      </c>
      <c r="H37" s="12">
        <f>+H28-H35</f>
        <v>0</v>
      </c>
      <c r="J37" s="12">
        <f>+J28-J35</f>
        <v>90</v>
      </c>
      <c r="K37" s="46">
        <f>+(-J37+L37)/ABS(J37)</f>
        <v>-0.45000000000000029</v>
      </c>
      <c r="L37" s="12">
        <f>+L28-L35</f>
        <v>49.499999999999972</v>
      </c>
      <c r="M37" s="46">
        <f>+(-L37+N37)/ABS(L37)</f>
        <v>-0.29898989898989881</v>
      </c>
      <c r="N37" s="12">
        <f>+N28-N35</f>
        <v>34.699999999999989</v>
      </c>
      <c r="O37" s="46">
        <f>+(-N37+P37)/ABS(N37)</f>
        <v>-0.49567723342939629</v>
      </c>
      <c r="P37" s="12">
        <f>+P28-P35</f>
        <v>17.499999999999943</v>
      </c>
    </row>
    <row r="38" spans="1:22">
      <c r="B38" s="12"/>
      <c r="C38" s="44" t="s">
        <v>0</v>
      </c>
      <c r="E38" s="44" t="s">
        <v>0</v>
      </c>
      <c r="G38" s="44" t="s">
        <v>0</v>
      </c>
      <c r="J38" s="12"/>
      <c r="K38" s="46"/>
      <c r="L38" s="12"/>
      <c r="M38" s="46"/>
      <c r="N38" s="12"/>
      <c r="O38" s="46"/>
      <c r="P38" s="12"/>
    </row>
    <row r="39" spans="1:22">
      <c r="A39" t="s">
        <v>347</v>
      </c>
      <c r="B39" s="12">
        <f>+B79</f>
        <v>18.600000000000001</v>
      </c>
      <c r="C39" s="43">
        <v>0</v>
      </c>
      <c r="D39" s="12">
        <f>+F79</f>
        <v>0</v>
      </c>
      <c r="E39" s="43">
        <v>0</v>
      </c>
      <c r="F39" s="12">
        <f>+J79</f>
        <v>0</v>
      </c>
      <c r="G39" s="43">
        <v>0</v>
      </c>
      <c r="H39" s="12">
        <f>+N79</f>
        <v>0</v>
      </c>
      <c r="J39" s="12">
        <f>+D79</f>
        <v>13.3</v>
      </c>
      <c r="K39" s="43">
        <v>0</v>
      </c>
      <c r="L39" s="12">
        <f>+H79</f>
        <v>19</v>
      </c>
      <c r="M39" s="46">
        <f>+(-L39+N39)/ABS(L39)</f>
        <v>-0.90526315789473677</v>
      </c>
      <c r="N39" s="12">
        <f>+L79</f>
        <v>1.8</v>
      </c>
      <c r="O39" s="46">
        <f>+(-N39+P39)/ABS(N39)</f>
        <v>-1</v>
      </c>
      <c r="P39" s="12">
        <f>+P79</f>
        <v>0</v>
      </c>
    </row>
    <row r="40" spans="1:22" ht="16.5" thickBot="1">
      <c r="B40" s="76"/>
      <c r="C40" s="44" t="s">
        <v>0</v>
      </c>
      <c r="D40" s="30"/>
      <c r="E40" s="44" t="s">
        <v>0</v>
      </c>
      <c r="F40" s="30"/>
      <c r="G40" s="44" t="s">
        <v>0</v>
      </c>
      <c r="H40" s="30"/>
      <c r="J40" s="76"/>
      <c r="K40" s="46"/>
      <c r="L40" s="76"/>
      <c r="M40" s="46"/>
      <c r="N40" s="76"/>
      <c r="O40" s="46"/>
      <c r="P40" s="76"/>
    </row>
    <row r="41" spans="1:22" s="2" customFormat="1">
      <c r="A41" s="2" t="s">
        <v>359</v>
      </c>
      <c r="B41" s="4">
        <f>+B37-B39</f>
        <v>37.09999999999993</v>
      </c>
      <c r="C41" s="42">
        <v>0</v>
      </c>
      <c r="D41" s="4">
        <f>+D37-D39</f>
        <v>0</v>
      </c>
      <c r="E41" s="42">
        <v>0</v>
      </c>
      <c r="F41" s="4">
        <f>+F37-F39</f>
        <v>0</v>
      </c>
      <c r="G41" s="42">
        <v>0</v>
      </c>
      <c r="H41" s="4">
        <f>+H37-H39</f>
        <v>0</v>
      </c>
      <c r="I41" s="146"/>
      <c r="J41" s="4">
        <f>+J37-J39</f>
        <v>76.7</v>
      </c>
      <c r="K41" s="112">
        <f>+(-J41+L41)/ABS(J41)</f>
        <v>-0.60234680573663668</v>
      </c>
      <c r="L41" s="4">
        <f>+L37-L39</f>
        <v>30.499999999999972</v>
      </c>
      <c r="M41" s="112">
        <f>+(-L41+N41)/ABS(L41)</f>
        <v>7.8688524590164663E-2</v>
      </c>
      <c r="N41" s="4">
        <f>+N37-N39</f>
        <v>32.899999999999991</v>
      </c>
      <c r="O41" s="112">
        <f>+(-N41+P41)/ABS(N41)</f>
        <v>-0.46808510638298029</v>
      </c>
      <c r="P41" s="4">
        <f>+P37-P39</f>
        <v>17.499999999999943</v>
      </c>
      <c r="Q41" s="146"/>
      <c r="R41" s="146"/>
      <c r="S41" s="146"/>
      <c r="T41" s="146"/>
      <c r="U41" s="146"/>
    </row>
    <row r="42" spans="1:22" ht="5.45" customHeight="1">
      <c r="C42" s="29"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s="2" customFormat="1">
      <c r="B46" s="241" t="s">
        <v>349</v>
      </c>
      <c r="C46" s="146" t="s">
        <v>0</v>
      </c>
      <c r="D46" s="241" t="s">
        <v>350</v>
      </c>
      <c r="E46" s="146"/>
      <c r="F46" s="241" t="s">
        <v>349</v>
      </c>
      <c r="G46" s="146"/>
      <c r="H46" s="241" t="s">
        <v>350</v>
      </c>
      <c r="I46" s="146"/>
      <c r="J46" s="241" t="s">
        <v>349</v>
      </c>
      <c r="K46" s="146"/>
      <c r="L46" s="241" t="s">
        <v>350</v>
      </c>
      <c r="M46" s="146"/>
      <c r="N46" s="241" t="s">
        <v>349</v>
      </c>
      <c r="O46" s="146"/>
      <c r="P46" s="241" t="s">
        <v>350</v>
      </c>
      <c r="Q46" s="146"/>
      <c r="R46" s="993" t="s">
        <v>351</v>
      </c>
      <c r="S46" s="146"/>
      <c r="T46" s="993" t="s">
        <v>532</v>
      </c>
      <c r="U46" s="22" t="s">
        <v>0</v>
      </c>
    </row>
    <row r="47" spans="1:22" ht="16.5" thickBot="1">
      <c r="B47" s="243" t="s">
        <v>353</v>
      </c>
      <c r="C47" s="245"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0</v>
      </c>
      <c r="V47" s="18"/>
    </row>
    <row r="48" spans="1:22">
      <c r="A48" t="s">
        <v>328</v>
      </c>
      <c r="B48" s="29" t="s">
        <v>0</v>
      </c>
      <c r="U48" s="29" t="s">
        <v>0</v>
      </c>
    </row>
    <row r="49" spans="1:25">
      <c r="A49" t="s">
        <v>329</v>
      </c>
      <c r="B49" s="16" t="s">
        <v>0</v>
      </c>
      <c r="C49" s="47" t="s">
        <v>0</v>
      </c>
      <c r="D49" s="16" t="s">
        <v>0</v>
      </c>
      <c r="E49" s="29" t="s">
        <v>0</v>
      </c>
      <c r="F49" s="29" t="s">
        <v>0</v>
      </c>
      <c r="G49" s="47" t="s">
        <v>0</v>
      </c>
      <c r="H49" s="16" t="s">
        <v>0</v>
      </c>
      <c r="I49" s="29" t="s">
        <v>0</v>
      </c>
      <c r="J49" s="29" t="s">
        <v>0</v>
      </c>
      <c r="K49" s="47" t="s">
        <v>0</v>
      </c>
      <c r="L49" s="16" t="s">
        <v>0</v>
      </c>
      <c r="M49" s="29" t="s">
        <v>0</v>
      </c>
      <c r="N49" s="29" t="s">
        <v>0</v>
      </c>
      <c r="O49" s="47" t="s">
        <v>0</v>
      </c>
      <c r="P49" s="16" t="s">
        <v>0</v>
      </c>
      <c r="Q49" s="29" t="s">
        <v>0</v>
      </c>
      <c r="R49" s="16" t="s">
        <v>0</v>
      </c>
      <c r="S49" s="47" t="s">
        <v>0</v>
      </c>
      <c r="T49" s="16" t="s">
        <v>0</v>
      </c>
      <c r="U49" s="16" t="s">
        <v>0</v>
      </c>
      <c r="V49" t="s">
        <v>0</v>
      </c>
      <c r="X49" t="s">
        <v>0</v>
      </c>
      <c r="Y49" t="s">
        <v>0</v>
      </c>
    </row>
    <row r="50" spans="1:25">
      <c r="A50" t="s">
        <v>330</v>
      </c>
      <c r="B50" s="12">
        <v>126.6</v>
      </c>
      <c r="C50" s="46">
        <f>+(B50-D50)/ABS(D50)</f>
        <v>-3.7262357414448714E-2</v>
      </c>
      <c r="D50" s="12">
        <f>39.9+39.4+52.2</f>
        <v>131.5</v>
      </c>
      <c r="E50" s="29"/>
      <c r="F50" s="12">
        <v>0</v>
      </c>
      <c r="G50" s="43">
        <v>0</v>
      </c>
      <c r="H50" s="12">
        <f>47.1+37+54.3</f>
        <v>138.39999999999998</v>
      </c>
      <c r="J50" s="12">
        <v>0</v>
      </c>
      <c r="K50" s="43">
        <v>0</v>
      </c>
      <c r="L50" s="12">
        <f>84.1+38.7</f>
        <v>122.8</v>
      </c>
      <c r="M50" s="29"/>
      <c r="N50" s="12">
        <v>0</v>
      </c>
      <c r="O50" s="43">
        <v>0</v>
      </c>
      <c r="P50" s="12">
        <f>64.5+51.7+52.9</f>
        <v>169.1</v>
      </c>
      <c r="R50" s="12">
        <f>+B50</f>
        <v>126.6</v>
      </c>
      <c r="S50" s="46">
        <f t="shared" ref="S50:S55" si="0">+(R50-T50)/T50</f>
        <v>-3.7262357414448714E-2</v>
      </c>
      <c r="T50" s="12">
        <f>+D50</f>
        <v>131.5</v>
      </c>
      <c r="U50" s="12">
        <f>+D50+H50+L50+P50</f>
        <v>561.79999999999995</v>
      </c>
    </row>
    <row r="51" spans="1:25">
      <c r="A51" t="s">
        <v>354</v>
      </c>
      <c r="B51" s="12">
        <v>0</v>
      </c>
      <c r="C51" s="43">
        <v>0</v>
      </c>
      <c r="D51" s="12">
        <v>0</v>
      </c>
      <c r="E51" s="29"/>
      <c r="F51" s="12">
        <v>0</v>
      </c>
      <c r="G51" s="43">
        <v>0</v>
      </c>
      <c r="H51" s="12">
        <v>0</v>
      </c>
      <c r="J51" s="12">
        <v>0</v>
      </c>
      <c r="K51" s="43">
        <v>0</v>
      </c>
      <c r="L51" s="12">
        <v>0</v>
      </c>
      <c r="M51" s="29"/>
      <c r="N51" s="12">
        <v>0</v>
      </c>
      <c r="O51" s="43">
        <v>0</v>
      </c>
      <c r="P51" s="12">
        <v>0</v>
      </c>
      <c r="R51" s="12">
        <f>+B51</f>
        <v>0</v>
      </c>
      <c r="S51" s="46"/>
      <c r="T51" s="12">
        <f>+D51</f>
        <v>0</v>
      </c>
      <c r="U51" s="12">
        <f>+D51+H51+L51+P51</f>
        <v>0</v>
      </c>
    </row>
    <row r="52" spans="1:25">
      <c r="A52" t="s">
        <v>332</v>
      </c>
      <c r="B52" s="221">
        <f>+B89</f>
        <v>0</v>
      </c>
      <c r="C52" s="43">
        <v>0</v>
      </c>
      <c r="D52" s="221">
        <f>+D89</f>
        <v>0</v>
      </c>
      <c r="E52" s="29"/>
      <c r="F52" s="334">
        <f>+D89</f>
        <v>0</v>
      </c>
      <c r="G52" s="43">
        <v>0</v>
      </c>
      <c r="H52" s="334">
        <f>+F89</f>
        <v>0</v>
      </c>
      <c r="J52" s="334">
        <f>+F89</f>
        <v>0</v>
      </c>
      <c r="K52" s="43">
        <v>0</v>
      </c>
      <c r="L52" s="334">
        <f>+H89</f>
        <v>0</v>
      </c>
      <c r="M52" s="29"/>
      <c r="N52" s="334">
        <f>+H89</f>
        <v>0</v>
      </c>
      <c r="O52" s="43">
        <v>0</v>
      </c>
      <c r="P52" s="334">
        <f>+J89</f>
        <v>0</v>
      </c>
      <c r="R52" s="240">
        <f>+B52</f>
        <v>0</v>
      </c>
      <c r="S52" s="43">
        <v>0</v>
      </c>
      <c r="T52" s="240">
        <f>+D52</f>
        <v>0</v>
      </c>
      <c r="U52" s="12">
        <f>+D52+H52+L52+P52</f>
        <v>0</v>
      </c>
    </row>
    <row r="53" spans="1:25">
      <c r="B53" s="12">
        <f>SUM(B50:B52)</f>
        <v>126.6</v>
      </c>
      <c r="C53" s="46">
        <f>+(B53-D53)/ABS(D53)</f>
        <v>-3.7262357414448714E-2</v>
      </c>
      <c r="D53" s="12">
        <f>SUM(D50:D52)</f>
        <v>131.5</v>
      </c>
      <c r="E53" s="29"/>
      <c r="F53" s="12">
        <f>SUM(F50:F52)</f>
        <v>0</v>
      </c>
      <c r="G53" s="43">
        <v>0</v>
      </c>
      <c r="H53" s="12">
        <f>SUM(H50:H52)</f>
        <v>138.39999999999998</v>
      </c>
      <c r="J53" s="12">
        <f>SUM(J50:J52)</f>
        <v>0</v>
      </c>
      <c r="K53" s="43">
        <v>0</v>
      </c>
      <c r="L53" s="12">
        <f>SUM(L50:L52)</f>
        <v>122.8</v>
      </c>
      <c r="M53" s="29"/>
      <c r="N53" s="12">
        <f>SUM(N50:N52)</f>
        <v>0</v>
      </c>
      <c r="O53" s="43">
        <v>0</v>
      </c>
      <c r="P53" s="12">
        <f>SUM(P50:P52)</f>
        <v>169.1</v>
      </c>
      <c r="R53" s="12">
        <f>SUM(R50:R52)</f>
        <v>126.6</v>
      </c>
      <c r="S53" s="46">
        <f t="shared" si="0"/>
        <v>-3.7262357414448714E-2</v>
      </c>
      <c r="T53" s="12">
        <f>SUM(T50:T52)</f>
        <v>131.5</v>
      </c>
      <c r="U53" s="12">
        <f>SUM(U50:U52)</f>
        <v>561.79999999999995</v>
      </c>
    </row>
    <row r="54" spans="1:25">
      <c r="A54" t="s">
        <v>333</v>
      </c>
      <c r="B54" s="240">
        <v>29.9</v>
      </c>
      <c r="C54" s="46">
        <f>+(B54-D54)/ABS(D54)</f>
        <v>-3.858520900321552E-2</v>
      </c>
      <c r="D54" s="240">
        <f>11+10.1+10</f>
        <v>31.1</v>
      </c>
      <c r="E54" s="29" t="s">
        <v>0</v>
      </c>
      <c r="F54" s="240">
        <v>0</v>
      </c>
      <c r="G54" s="43">
        <v>0</v>
      </c>
      <c r="H54" s="240">
        <f>10.7+10.7</f>
        <v>21.4</v>
      </c>
      <c r="J54" s="240">
        <v>0</v>
      </c>
      <c r="K54" s="43">
        <v>0</v>
      </c>
      <c r="L54" s="240">
        <f>21.1+9.7</f>
        <v>30.8</v>
      </c>
      <c r="M54" s="29" t="s">
        <v>0</v>
      </c>
      <c r="N54" s="240">
        <v>0</v>
      </c>
      <c r="O54" s="43">
        <v>0</v>
      </c>
      <c r="P54" s="240">
        <f>10.5+10.3</f>
        <v>20.8</v>
      </c>
      <c r="R54" s="240">
        <f>+B54</f>
        <v>29.9</v>
      </c>
      <c r="S54" s="46">
        <f t="shared" si="0"/>
        <v>-3.858520900321552E-2</v>
      </c>
      <c r="T54" s="240">
        <f>+D54</f>
        <v>31.1</v>
      </c>
      <c r="U54" s="12">
        <f>+D54+H54+L54+P54</f>
        <v>104.1</v>
      </c>
    </row>
    <row r="55" spans="1:25">
      <c r="B55" s="12">
        <f>+B53-B54</f>
        <v>96.699999999999989</v>
      </c>
      <c r="C55" s="46">
        <f>+(B55-D55)/ABS(D55)</f>
        <v>-3.6852589641434431E-2</v>
      </c>
      <c r="D55" s="12">
        <f>+D53-D54</f>
        <v>100.4</v>
      </c>
      <c r="E55" s="29" t="s">
        <v>0</v>
      </c>
      <c r="F55" s="12">
        <f>+F53-F54</f>
        <v>0</v>
      </c>
      <c r="G55" s="43">
        <v>0</v>
      </c>
      <c r="H55" s="12">
        <f>+H53-H54</f>
        <v>116.99999999999997</v>
      </c>
      <c r="J55" s="12">
        <f>+J53-J54</f>
        <v>0</v>
      </c>
      <c r="K55" s="43">
        <v>0</v>
      </c>
      <c r="L55" s="12">
        <f>+L53-L54</f>
        <v>92</v>
      </c>
      <c r="M55" s="29" t="s">
        <v>0</v>
      </c>
      <c r="N55" s="12">
        <f>+N53-N54</f>
        <v>0</v>
      </c>
      <c r="O55" s="43">
        <v>0</v>
      </c>
      <c r="P55" s="12">
        <f>+P53-P54</f>
        <v>148.29999999999998</v>
      </c>
      <c r="R55" s="12">
        <f>+R53-R54</f>
        <v>96.699999999999989</v>
      </c>
      <c r="S55" s="46">
        <f t="shared" si="0"/>
        <v>-3.6852589641434431E-2</v>
      </c>
      <c r="T55" s="12">
        <f>+T53-T54</f>
        <v>100.4</v>
      </c>
      <c r="U55" s="12">
        <f>+U53-U54</f>
        <v>457.69999999999993</v>
      </c>
    </row>
    <row r="56" spans="1:25">
      <c r="B56" s="12"/>
      <c r="C56" s="47" t="s">
        <v>0</v>
      </c>
      <c r="D56" s="12"/>
      <c r="E56" s="29" t="s">
        <v>0</v>
      </c>
      <c r="G56" s="44" t="s">
        <v>0</v>
      </c>
      <c r="K56" s="44" t="s">
        <v>0</v>
      </c>
      <c r="M56" s="29" t="s">
        <v>0</v>
      </c>
      <c r="O56" s="44" t="s">
        <v>0</v>
      </c>
      <c r="R56" s="12"/>
      <c r="S56" s="46"/>
      <c r="T56" s="12"/>
      <c r="U56" s="12"/>
    </row>
    <row r="57" spans="1:25">
      <c r="A57" t="s">
        <v>334</v>
      </c>
      <c r="B57" s="12"/>
      <c r="C57" s="47" t="s">
        <v>0</v>
      </c>
      <c r="D57" s="12"/>
      <c r="E57" s="29" t="s">
        <v>0</v>
      </c>
      <c r="G57" s="44" t="s">
        <v>0</v>
      </c>
      <c r="K57" s="44" t="s">
        <v>0</v>
      </c>
      <c r="M57" s="29" t="s">
        <v>0</v>
      </c>
      <c r="O57" s="44" t="s">
        <v>0</v>
      </c>
      <c r="R57" s="12"/>
      <c r="S57" s="47" t="s">
        <v>0</v>
      </c>
      <c r="T57" s="12"/>
      <c r="U57" s="12"/>
    </row>
    <row r="58" spans="1:25">
      <c r="A58" t="s">
        <v>335</v>
      </c>
      <c r="B58" s="12">
        <v>54.4</v>
      </c>
      <c r="C58" s="46">
        <f>+(B58-D58)/ABS(D58)</f>
        <v>1.7474747474747472</v>
      </c>
      <c r="D58" s="12">
        <f>4.3+4+11.5</f>
        <v>19.8</v>
      </c>
      <c r="E58" s="29" t="s">
        <v>0</v>
      </c>
      <c r="F58" s="12">
        <v>0</v>
      </c>
      <c r="G58" s="43">
        <v>0</v>
      </c>
      <c r="H58" s="12">
        <f>14.1+13.3+11</f>
        <v>38.4</v>
      </c>
      <c r="J58" s="12">
        <v>0</v>
      </c>
      <c r="K58" s="43">
        <v>0</v>
      </c>
      <c r="L58" s="12">
        <f>14.6+3.8</f>
        <v>18.399999999999999</v>
      </c>
      <c r="M58" s="29" t="s">
        <v>0</v>
      </c>
      <c r="N58" s="12">
        <v>0</v>
      </c>
      <c r="O58" s="43">
        <v>0</v>
      </c>
      <c r="P58" s="12">
        <f>5.8+7.7+76.4</f>
        <v>89.9</v>
      </c>
      <c r="R58" s="12">
        <f>+B58</f>
        <v>54.4</v>
      </c>
      <c r="S58" s="46">
        <f>+(R58-T58)/T58</f>
        <v>1.7474747474747472</v>
      </c>
      <c r="T58" s="12">
        <f>+D58</f>
        <v>19.8</v>
      </c>
      <c r="U58" s="12">
        <f>+D58+H58+L58+P58</f>
        <v>166.5</v>
      </c>
    </row>
    <row r="59" spans="1:25">
      <c r="A59" t="s">
        <v>336</v>
      </c>
      <c r="B59" s="12">
        <f>+B96</f>
        <v>0</v>
      </c>
      <c r="C59" s="43">
        <v>0</v>
      </c>
      <c r="D59" s="12">
        <f>+D96</f>
        <v>0</v>
      </c>
      <c r="E59" s="29" t="s">
        <v>0</v>
      </c>
      <c r="F59" s="27">
        <f>+D96</f>
        <v>0</v>
      </c>
      <c r="G59" s="44">
        <v>0</v>
      </c>
      <c r="H59" s="27">
        <f>+F96</f>
        <v>0</v>
      </c>
      <c r="J59" s="27">
        <f>+F96</f>
        <v>0</v>
      </c>
      <c r="K59" s="43">
        <v>0</v>
      </c>
      <c r="L59" s="27">
        <f>+H96</f>
        <v>0</v>
      </c>
      <c r="M59" s="29" t="s">
        <v>0</v>
      </c>
      <c r="N59" s="27">
        <v>0</v>
      </c>
      <c r="O59" s="43">
        <v>0</v>
      </c>
      <c r="P59" s="27">
        <v>0</v>
      </c>
      <c r="R59" s="12">
        <f>+B59</f>
        <v>0</v>
      </c>
      <c r="S59" s="43">
        <v>0</v>
      </c>
      <c r="T59" s="12">
        <f>+D59</f>
        <v>0</v>
      </c>
      <c r="U59" s="12">
        <f>+D59+H59+L59+P59</f>
        <v>0</v>
      </c>
    </row>
    <row r="60" spans="1:25">
      <c r="A60" t="s">
        <v>284</v>
      </c>
      <c r="B60" s="240">
        <v>144.69999999999999</v>
      </c>
      <c r="C60" s="46">
        <f>+(B60-D60)/ABS(D60)</f>
        <v>8.2273747195213173E-2</v>
      </c>
      <c r="D60" s="240">
        <f>88.8+12.6+32.3</f>
        <v>133.69999999999999</v>
      </c>
      <c r="E60" s="29" t="s">
        <v>0</v>
      </c>
      <c r="F60" s="240">
        <v>0</v>
      </c>
      <c r="G60" s="43">
        <v>0</v>
      </c>
      <c r="H60" s="240">
        <f>3.5+61.8+68.8</f>
        <v>134.1</v>
      </c>
      <c r="J60" s="240">
        <v>0</v>
      </c>
      <c r="K60" s="43">
        <v>0</v>
      </c>
      <c r="L60" s="240">
        <f>46+91.7</f>
        <v>137.69999999999999</v>
      </c>
      <c r="M60" s="29" t="s">
        <v>0</v>
      </c>
      <c r="N60" s="240">
        <v>0</v>
      </c>
      <c r="O60" s="43">
        <v>0</v>
      </c>
      <c r="P60" s="240">
        <f>14.7+31.8+51.5</f>
        <v>98</v>
      </c>
      <c r="R60" s="240">
        <f>+B60</f>
        <v>144.69999999999999</v>
      </c>
      <c r="S60" s="46">
        <f>+(R60-T60)/T60</f>
        <v>8.2273747195213173E-2</v>
      </c>
      <c r="T60" s="240">
        <f>+D60</f>
        <v>133.69999999999999</v>
      </c>
      <c r="U60" s="12">
        <f>+D60+H60+L60+P60</f>
        <v>503.49999999999994</v>
      </c>
    </row>
    <row r="61" spans="1:25">
      <c r="B61" s="12">
        <f>SUM(B58:B60)</f>
        <v>199.1</v>
      </c>
      <c r="C61" s="46">
        <f>+(B61-D61)/ABS(D61)</f>
        <v>0.29706840390879474</v>
      </c>
      <c r="D61" s="12">
        <f>SUM(D58:D60)</f>
        <v>153.5</v>
      </c>
      <c r="E61" s="29" t="s">
        <v>0</v>
      </c>
      <c r="F61" s="12">
        <f>SUM(F58:F60)</f>
        <v>0</v>
      </c>
      <c r="G61" s="43">
        <v>0</v>
      </c>
      <c r="H61" s="12">
        <f>SUM(H58:H60)</f>
        <v>172.5</v>
      </c>
      <c r="J61" s="12">
        <f>SUM(J58:J60)</f>
        <v>0</v>
      </c>
      <c r="K61" s="43">
        <v>0</v>
      </c>
      <c r="L61" s="12">
        <f>SUM(L58:L60)</f>
        <v>156.1</v>
      </c>
      <c r="M61" s="29" t="s">
        <v>0</v>
      </c>
      <c r="N61" s="12">
        <f>SUM(N58:N60)</f>
        <v>0</v>
      </c>
      <c r="O61" s="43">
        <v>0</v>
      </c>
      <c r="P61" s="12">
        <f>SUM(P58:P60)</f>
        <v>187.9</v>
      </c>
      <c r="R61" s="12">
        <f>SUM(R58:R60)</f>
        <v>199.1</v>
      </c>
      <c r="S61" s="46">
        <f>+(R61-T61)/T61</f>
        <v>0.29706840390879474</v>
      </c>
      <c r="T61" s="12">
        <f>SUM(T58:T60)</f>
        <v>153.5</v>
      </c>
      <c r="U61" s="12">
        <f>SUM(U58:U60)</f>
        <v>670</v>
      </c>
    </row>
    <row r="62" spans="1:25">
      <c r="B62" s="240"/>
      <c r="C62" s="47" t="s">
        <v>0</v>
      </c>
      <c r="D62" s="240"/>
      <c r="E62" s="29" t="s">
        <v>0</v>
      </c>
      <c r="F62" s="379"/>
      <c r="G62" s="44" t="s">
        <v>0</v>
      </c>
      <c r="H62" s="379"/>
      <c r="J62" s="379"/>
      <c r="K62" s="44" t="s">
        <v>0</v>
      </c>
      <c r="L62" s="379"/>
      <c r="M62" s="29" t="s">
        <v>0</v>
      </c>
      <c r="N62" s="379"/>
      <c r="O62" s="44" t="s">
        <v>0</v>
      </c>
      <c r="P62" s="379"/>
      <c r="R62" s="240"/>
      <c r="S62" s="46"/>
      <c r="T62" s="240"/>
      <c r="U62" s="240"/>
    </row>
    <row r="63" spans="1:25">
      <c r="A63" t="s">
        <v>337</v>
      </c>
      <c r="B63" s="12">
        <f>+B55+B61</f>
        <v>295.79999999999995</v>
      </c>
      <c r="C63" s="46">
        <f>+(B63-D63)/ABS(D63)</f>
        <v>0.16502560063016916</v>
      </c>
      <c r="D63" s="12">
        <f>+D55+D61</f>
        <v>253.9</v>
      </c>
      <c r="E63" s="29" t="s">
        <v>0</v>
      </c>
      <c r="F63" s="12">
        <f>+F55+F61</f>
        <v>0</v>
      </c>
      <c r="G63" s="43">
        <v>0</v>
      </c>
      <c r="H63" s="12">
        <f>+H55+H61</f>
        <v>289.5</v>
      </c>
      <c r="J63" s="12">
        <f>+J55+J61</f>
        <v>0</v>
      </c>
      <c r="K63" s="43">
        <v>0</v>
      </c>
      <c r="L63" s="12">
        <f>+L55+L61</f>
        <v>248.1</v>
      </c>
      <c r="M63" s="29" t="s">
        <v>0</v>
      </c>
      <c r="N63" s="12">
        <f>+N55+N61</f>
        <v>0</v>
      </c>
      <c r="O63" s="43">
        <v>0</v>
      </c>
      <c r="P63" s="12">
        <f>+P55+P61</f>
        <v>336.2</v>
      </c>
      <c r="R63" s="12">
        <f>+R55+R61</f>
        <v>295.79999999999995</v>
      </c>
      <c r="S63" s="46">
        <f>+(R63-T63)/T63</f>
        <v>0.16502560063016916</v>
      </c>
      <c r="T63" s="12">
        <f>+T55+T61</f>
        <v>253.9</v>
      </c>
      <c r="U63" s="12">
        <f>+U55+U61</f>
        <v>1127.6999999999998</v>
      </c>
    </row>
    <row r="64" spans="1:25">
      <c r="B64" s="12"/>
      <c r="C64" s="47" t="s">
        <v>0</v>
      </c>
      <c r="D64" s="12"/>
      <c r="E64" s="29" t="s">
        <v>0</v>
      </c>
      <c r="G64" s="44" t="s">
        <v>0</v>
      </c>
      <c r="K64" s="44" t="s">
        <v>0</v>
      </c>
      <c r="M64" s="29" t="s">
        <v>0</v>
      </c>
      <c r="O64" s="44" t="s">
        <v>0</v>
      </c>
      <c r="R64" s="12"/>
      <c r="S64" s="46"/>
      <c r="T64" s="12"/>
      <c r="U64" s="12"/>
    </row>
    <row r="65" spans="1:21">
      <c r="A65" t="s">
        <v>338</v>
      </c>
      <c r="B65" s="12">
        <f>+B102</f>
        <v>0</v>
      </c>
      <c r="C65" s="43">
        <v>0</v>
      </c>
      <c r="D65" s="12">
        <f>+D102</f>
        <v>0</v>
      </c>
      <c r="E65" s="29" t="s">
        <v>0</v>
      </c>
      <c r="F65" s="27">
        <f>+D102</f>
        <v>0</v>
      </c>
      <c r="G65" s="43">
        <v>0</v>
      </c>
      <c r="H65" s="27">
        <f>+F102</f>
        <v>0</v>
      </c>
      <c r="J65" s="27">
        <f>+F102</f>
        <v>0</v>
      </c>
      <c r="K65" s="43">
        <v>0</v>
      </c>
      <c r="L65" s="27">
        <f>+H102</f>
        <v>0</v>
      </c>
      <c r="M65" s="29" t="s">
        <v>0</v>
      </c>
      <c r="N65" s="12">
        <v>0</v>
      </c>
      <c r="O65" s="43">
        <v>0</v>
      </c>
      <c r="P65" s="12">
        <v>40</v>
      </c>
      <c r="R65" s="12">
        <f>+B65</f>
        <v>0</v>
      </c>
      <c r="S65" s="43">
        <v>0</v>
      </c>
      <c r="T65" s="12">
        <f>+D65</f>
        <v>0</v>
      </c>
      <c r="U65" s="12">
        <f>+D65+H65+L65+P65</f>
        <v>40</v>
      </c>
    </row>
    <row r="66" spans="1:21">
      <c r="B66" s="12"/>
      <c r="C66" s="47" t="s">
        <v>0</v>
      </c>
      <c r="D66" s="12"/>
      <c r="E66" s="29" t="s">
        <v>0</v>
      </c>
      <c r="G66" s="44" t="s">
        <v>0</v>
      </c>
      <c r="K66" s="44" t="s">
        <v>0</v>
      </c>
      <c r="M66" s="29" t="s">
        <v>0</v>
      </c>
      <c r="O66" s="44" t="s">
        <v>0</v>
      </c>
      <c r="R66" s="12"/>
      <c r="S66" s="46"/>
      <c r="T66" s="12"/>
      <c r="U66" s="12"/>
    </row>
    <row r="67" spans="1:21">
      <c r="A67" t="s">
        <v>339</v>
      </c>
      <c r="B67" s="240"/>
      <c r="C67" s="47" t="s">
        <v>0</v>
      </c>
      <c r="D67" s="240"/>
      <c r="E67" s="29" t="s">
        <v>0</v>
      </c>
      <c r="F67" s="379"/>
      <c r="G67" s="44" t="s">
        <v>0</v>
      </c>
      <c r="H67" s="379"/>
      <c r="J67" s="379"/>
      <c r="K67" s="44" t="s">
        <v>0</v>
      </c>
      <c r="L67" s="379"/>
      <c r="M67" s="29" t="s">
        <v>0</v>
      </c>
      <c r="N67" s="379"/>
      <c r="O67" s="44" t="s">
        <v>0</v>
      </c>
      <c r="P67" s="379"/>
      <c r="R67" s="240"/>
      <c r="S67" s="46"/>
      <c r="T67" s="240"/>
      <c r="U67" s="240"/>
    </row>
    <row r="68" spans="1:21">
      <c r="A68" t="s">
        <v>340</v>
      </c>
      <c r="B68" s="12">
        <f>+B63-B65</f>
        <v>295.79999999999995</v>
      </c>
      <c r="C68" s="46">
        <f>+(B68-D68)/ABS(D68)</f>
        <v>0.16502560063016916</v>
      </c>
      <c r="D68" s="12">
        <f>+D63-D65</f>
        <v>253.9</v>
      </c>
      <c r="E68" s="29" t="s">
        <v>0</v>
      </c>
      <c r="F68" s="12">
        <f>+F63-F65</f>
        <v>0</v>
      </c>
      <c r="G68" s="43">
        <v>0</v>
      </c>
      <c r="H68" s="12">
        <f>+H63-H65</f>
        <v>289.5</v>
      </c>
      <c r="J68" s="12">
        <f>+J63-J65</f>
        <v>0</v>
      </c>
      <c r="K68" s="43">
        <v>0</v>
      </c>
      <c r="L68" s="12">
        <f>+L63-L65</f>
        <v>248.1</v>
      </c>
      <c r="M68" s="29" t="s">
        <v>0</v>
      </c>
      <c r="N68" s="12">
        <f>+N63-N65</f>
        <v>0</v>
      </c>
      <c r="O68" s="43">
        <v>0</v>
      </c>
      <c r="P68" s="12">
        <f>+P63-P65</f>
        <v>296.2</v>
      </c>
      <c r="R68" s="12">
        <f>+R63-R65</f>
        <v>295.79999999999995</v>
      </c>
      <c r="S68" s="46">
        <f>+(R68-T68)/T68</f>
        <v>0.16502560063016916</v>
      </c>
      <c r="T68" s="12">
        <f>+T63-T65</f>
        <v>253.9</v>
      </c>
      <c r="U68" s="12">
        <f>+U63-U65</f>
        <v>1087.6999999999998</v>
      </c>
    </row>
    <row r="69" spans="1:21">
      <c r="B69" s="12"/>
      <c r="C69" s="47" t="s">
        <v>0</v>
      </c>
      <c r="D69" s="12"/>
      <c r="E69" s="29" t="s">
        <v>0</v>
      </c>
      <c r="G69" s="44" t="s">
        <v>0</v>
      </c>
      <c r="K69" s="44" t="s">
        <v>0</v>
      </c>
      <c r="M69" s="29" t="s">
        <v>0</v>
      </c>
      <c r="O69" s="44" t="s">
        <v>0</v>
      </c>
      <c r="R69" s="12"/>
      <c r="S69" s="46"/>
      <c r="T69" s="12"/>
      <c r="U69" s="12"/>
    </row>
    <row r="70" spans="1:21">
      <c r="A70" t="s">
        <v>341</v>
      </c>
      <c r="B70" s="12"/>
      <c r="C70" s="47" t="s">
        <v>0</v>
      </c>
      <c r="D70" s="12"/>
      <c r="E70" s="29" t="s">
        <v>0</v>
      </c>
      <c r="G70" s="44" t="s">
        <v>0</v>
      </c>
      <c r="K70" s="44" t="s">
        <v>0</v>
      </c>
      <c r="M70" s="29" t="s">
        <v>0</v>
      </c>
      <c r="O70" s="44" t="s">
        <v>0</v>
      </c>
      <c r="R70" s="12"/>
      <c r="S70" s="46"/>
      <c r="T70" s="12"/>
      <c r="U70" s="12"/>
    </row>
    <row r="71" spans="1:21">
      <c r="A71" t="s">
        <v>342</v>
      </c>
      <c r="B71" s="12">
        <v>137.1</v>
      </c>
      <c r="C71" s="46">
        <f>+(B71-D71)/ABS(D71)</f>
        <v>0.41340206185567002</v>
      </c>
      <c r="D71" s="12">
        <f>31.5+31.5+34</f>
        <v>97</v>
      </c>
      <c r="E71" s="29" t="s">
        <v>0</v>
      </c>
      <c r="F71" s="12">
        <v>0</v>
      </c>
      <c r="G71" s="43">
        <v>0</v>
      </c>
      <c r="H71" s="12">
        <f>34+45.7+45.7</f>
        <v>125.4</v>
      </c>
      <c r="J71" s="12">
        <v>0</v>
      </c>
      <c r="K71" s="43">
        <v>0</v>
      </c>
      <c r="L71" s="12">
        <f>91.4+34.4</f>
        <v>125.80000000000001</v>
      </c>
      <c r="M71" s="29" t="s">
        <v>0</v>
      </c>
      <c r="N71" s="12">
        <v>0</v>
      </c>
      <c r="O71" s="43">
        <v>0</v>
      </c>
      <c r="P71" s="12">
        <f>45.7+45.7+52.7</f>
        <v>144.10000000000002</v>
      </c>
      <c r="R71" s="12">
        <f>+B71</f>
        <v>137.1</v>
      </c>
      <c r="S71" s="46">
        <f>+(R71-T71)/T71</f>
        <v>0.41340206185567002</v>
      </c>
      <c r="T71" s="12">
        <f>+D71</f>
        <v>97</v>
      </c>
      <c r="U71" s="12">
        <f>+D71+H71+L71+P71</f>
        <v>492.30000000000007</v>
      </c>
    </row>
    <row r="72" spans="1:21">
      <c r="A72" t="s">
        <v>343</v>
      </c>
      <c r="B72" s="12">
        <v>12</v>
      </c>
      <c r="C72" s="46">
        <f>+(B72-D72)/ABS(D72)</f>
        <v>0</v>
      </c>
      <c r="D72" s="12">
        <f>4+4+4</f>
        <v>12</v>
      </c>
      <c r="E72" s="29" t="s">
        <v>0</v>
      </c>
      <c r="F72" s="12">
        <v>0</v>
      </c>
      <c r="G72" s="43">
        <v>0</v>
      </c>
      <c r="H72" s="12">
        <f>4+4+4</f>
        <v>12</v>
      </c>
      <c r="J72" s="12">
        <v>0</v>
      </c>
      <c r="K72" s="43">
        <v>0</v>
      </c>
      <c r="L72" s="12">
        <f>8+4</f>
        <v>12</v>
      </c>
      <c r="M72" s="29" t="s">
        <v>0</v>
      </c>
      <c r="N72" s="12">
        <v>0</v>
      </c>
      <c r="O72" s="43">
        <v>0</v>
      </c>
      <c r="P72" s="12">
        <v>4</v>
      </c>
      <c r="R72" s="12">
        <f>+B72</f>
        <v>12</v>
      </c>
      <c r="S72" s="46">
        <f>+(R72-T72)/T72</f>
        <v>0</v>
      </c>
      <c r="T72" s="12">
        <f>+D72</f>
        <v>12</v>
      </c>
      <c r="U72" s="12">
        <f>+D72+H72+L72+P72</f>
        <v>40</v>
      </c>
    </row>
    <row r="73" spans="1:21">
      <c r="A73" t="s">
        <v>344</v>
      </c>
      <c r="B73" s="12">
        <v>3.3</v>
      </c>
      <c r="C73" s="46">
        <f>+(B73-D73)/ABS(D73)</f>
        <v>-1.3457248783335229E-16</v>
      </c>
      <c r="D73" s="12">
        <f>1.1+1.1+1.1</f>
        <v>3.3000000000000003</v>
      </c>
      <c r="E73" s="29" t="s">
        <v>0</v>
      </c>
      <c r="F73" s="12">
        <v>0</v>
      </c>
      <c r="G73" s="43">
        <v>0</v>
      </c>
      <c r="H73" s="12">
        <f>1.1+1.1+1.1</f>
        <v>3.3000000000000003</v>
      </c>
      <c r="J73" s="12">
        <v>0</v>
      </c>
      <c r="K73" s="43">
        <v>0</v>
      </c>
      <c r="L73" s="12">
        <f>1.1+1.1</f>
        <v>2.2000000000000002</v>
      </c>
      <c r="M73" s="29" t="s">
        <v>0</v>
      </c>
      <c r="N73" s="12">
        <v>0</v>
      </c>
      <c r="O73" s="43">
        <v>0</v>
      </c>
      <c r="P73" s="12">
        <f>1+1.1+1.1</f>
        <v>3.2</v>
      </c>
      <c r="R73" s="12">
        <f>+B73</f>
        <v>3.3</v>
      </c>
      <c r="S73" s="46">
        <f>+(R73-T73)/T73</f>
        <v>-1.3457248783335229E-16</v>
      </c>
      <c r="T73" s="12">
        <f>+D73</f>
        <v>3.3000000000000003</v>
      </c>
      <c r="U73" s="12">
        <f>+D73+H73+L73+P73</f>
        <v>12</v>
      </c>
    </row>
    <row r="74" spans="1:21">
      <c r="A74" t="s">
        <v>345</v>
      </c>
      <c r="B74" s="240">
        <v>87.7</v>
      </c>
      <c r="C74" s="46">
        <f>+(B74-D74)/ABS(D74)</f>
        <v>0.69961240310077522</v>
      </c>
      <c r="D74" s="240">
        <f>17.6+15.5+18.5</f>
        <v>51.6</v>
      </c>
      <c r="E74" s="29" t="s">
        <v>0</v>
      </c>
      <c r="F74" s="240">
        <v>0</v>
      </c>
      <c r="G74" s="43">
        <v>0</v>
      </c>
      <c r="H74" s="240">
        <f>23.4+31.8+44.1</f>
        <v>99.300000000000011</v>
      </c>
      <c r="J74" s="240">
        <v>0</v>
      </c>
      <c r="K74" s="43">
        <v>0</v>
      </c>
      <c r="L74" s="240">
        <f>52.1+21.3</f>
        <v>73.400000000000006</v>
      </c>
      <c r="M74" s="29" t="s">
        <v>0</v>
      </c>
      <c r="N74" s="240">
        <v>0</v>
      </c>
      <c r="O74" s="43">
        <v>0</v>
      </c>
      <c r="P74" s="240">
        <f>24.2+31.2+72</f>
        <v>127.4</v>
      </c>
      <c r="R74" s="240">
        <f>+B74</f>
        <v>87.7</v>
      </c>
      <c r="S74" s="46">
        <f>+(R74-T74)/T74</f>
        <v>0.69961240310077522</v>
      </c>
      <c r="T74" s="240">
        <f>+D74</f>
        <v>51.6</v>
      </c>
      <c r="U74" s="12">
        <f>+D74+H74+L74+P74</f>
        <v>351.70000000000005</v>
      </c>
    </row>
    <row r="75" spans="1:21">
      <c r="B75" s="12">
        <f>SUM(B71:B74)</f>
        <v>240.10000000000002</v>
      </c>
      <c r="C75" s="46">
        <f>+(B75-D75)/ABS(D75)</f>
        <v>0.46491763270286768</v>
      </c>
      <c r="D75" s="12">
        <f>SUM(D71:D74)</f>
        <v>163.9</v>
      </c>
      <c r="E75" s="29" t="s">
        <v>0</v>
      </c>
      <c r="F75" s="12">
        <f>SUM(F71:F74)</f>
        <v>0</v>
      </c>
      <c r="G75" s="43">
        <v>0</v>
      </c>
      <c r="H75" s="12">
        <f>SUM(H71:H74)</f>
        <v>240.00000000000003</v>
      </c>
      <c r="J75" s="12">
        <f>SUM(J71:J74)</f>
        <v>0</v>
      </c>
      <c r="K75" s="43">
        <v>0</v>
      </c>
      <c r="L75" s="12">
        <f>SUM(L71:L74)</f>
        <v>213.4</v>
      </c>
      <c r="M75" s="29" t="s">
        <v>0</v>
      </c>
      <c r="N75" s="12">
        <f>SUM(N71:N74)</f>
        <v>0</v>
      </c>
      <c r="O75" s="43">
        <v>0</v>
      </c>
      <c r="P75" s="12">
        <f>SUM(P71:P74)</f>
        <v>278.70000000000005</v>
      </c>
      <c r="R75" s="12">
        <f>SUM(R71:R74)</f>
        <v>240.10000000000002</v>
      </c>
      <c r="S75" s="46">
        <f>+(R75-T75)/T75</f>
        <v>0.46491763270286768</v>
      </c>
      <c r="T75" s="12">
        <f>SUM(T71:T74)</f>
        <v>163.9</v>
      </c>
      <c r="U75" s="12">
        <f>SUM(U71:U74)</f>
        <v>896.00000000000011</v>
      </c>
    </row>
    <row r="76" spans="1:21">
      <c r="B76" s="240"/>
      <c r="C76" s="46"/>
      <c r="D76" s="240"/>
      <c r="E76" s="29"/>
      <c r="F76" s="379"/>
      <c r="G76" s="43"/>
      <c r="H76" s="379"/>
      <c r="J76" s="379"/>
      <c r="K76" s="43"/>
      <c r="L76" s="379"/>
      <c r="M76" s="29"/>
      <c r="N76" s="379"/>
      <c r="O76" s="43"/>
      <c r="P76" s="379"/>
      <c r="R76" s="240"/>
      <c r="S76" s="46"/>
      <c r="T76" s="240"/>
      <c r="U76" s="240"/>
    </row>
    <row r="77" spans="1:21">
      <c r="A77" t="s">
        <v>346</v>
      </c>
      <c r="B77" s="12">
        <f>+B68-B75</f>
        <v>55.699999999999932</v>
      </c>
      <c r="C77" s="46">
        <f>+(B77-D77)/ABS(D77)</f>
        <v>-0.38111111111111184</v>
      </c>
      <c r="D77" s="12">
        <f>+D68-D75</f>
        <v>90</v>
      </c>
      <c r="E77" s="29" t="s">
        <v>0</v>
      </c>
      <c r="F77" s="12">
        <f>+F68-F75</f>
        <v>0</v>
      </c>
      <c r="G77" s="43">
        <v>0</v>
      </c>
      <c r="H77" s="12">
        <f>+H68-H75</f>
        <v>49.499999999999972</v>
      </c>
      <c r="J77" s="12">
        <f>+J68-J75</f>
        <v>0</v>
      </c>
      <c r="K77" s="43">
        <v>0</v>
      </c>
      <c r="L77" s="12">
        <f>+L68-L75</f>
        <v>34.699999999999989</v>
      </c>
      <c r="M77" s="29" t="s">
        <v>0</v>
      </c>
      <c r="N77" s="12">
        <f>+N68-N75</f>
        <v>0</v>
      </c>
      <c r="O77" s="43">
        <v>0</v>
      </c>
      <c r="P77" s="12">
        <f>+P68-P75</f>
        <v>17.499999999999943</v>
      </c>
      <c r="R77" s="12">
        <f>+R68-R75</f>
        <v>55.699999999999932</v>
      </c>
      <c r="S77" s="46">
        <f>+(R77-T77)/T77</f>
        <v>-0.38111111111111184</v>
      </c>
      <c r="T77" s="12">
        <f>+T68-T75</f>
        <v>90</v>
      </c>
      <c r="U77" s="12">
        <f>+U68-U75</f>
        <v>191.6999999999997</v>
      </c>
    </row>
    <row r="78" spans="1:21">
      <c r="B78" s="12"/>
      <c r="C78" s="47" t="s">
        <v>0</v>
      </c>
      <c r="D78" s="12"/>
      <c r="E78" s="29" t="s">
        <v>0</v>
      </c>
      <c r="G78" s="44" t="s">
        <v>0</v>
      </c>
      <c r="K78" s="44" t="s">
        <v>0</v>
      </c>
      <c r="M78" s="29" t="s">
        <v>0</v>
      </c>
      <c r="O78" s="44" t="s">
        <v>0</v>
      </c>
      <c r="R78" s="12"/>
      <c r="S78" s="46"/>
      <c r="T78" s="12"/>
      <c r="U78" s="12"/>
    </row>
    <row r="79" spans="1:21">
      <c r="A79" t="s">
        <v>347</v>
      </c>
      <c r="B79" s="12">
        <v>18.600000000000001</v>
      </c>
      <c r="C79" s="43">
        <v>0</v>
      </c>
      <c r="D79" s="12">
        <v>13.3</v>
      </c>
      <c r="E79" s="29" t="s">
        <v>0</v>
      </c>
      <c r="F79" s="12">
        <v>0</v>
      </c>
      <c r="G79" s="43">
        <v>0</v>
      </c>
      <c r="H79" s="12">
        <v>19</v>
      </c>
      <c r="J79" s="12">
        <v>0</v>
      </c>
      <c r="K79" s="43">
        <v>0</v>
      </c>
      <c r="L79" s="12">
        <v>1.8</v>
      </c>
      <c r="M79" s="29" t="s">
        <v>0</v>
      </c>
      <c r="N79" s="12">
        <v>0</v>
      </c>
      <c r="O79" s="43">
        <v>0</v>
      </c>
      <c r="P79" s="12">
        <v>0</v>
      </c>
      <c r="R79" s="12">
        <f>+B79</f>
        <v>18.600000000000001</v>
      </c>
      <c r="S79" s="46">
        <f>+(R79-T79)/T79</f>
        <v>0.39849624060150379</v>
      </c>
      <c r="T79" s="12">
        <f>+D79</f>
        <v>13.3</v>
      </c>
      <c r="U79" s="12">
        <f>+D79+H79+L79+P79</f>
        <v>34.099999999999994</v>
      </c>
    </row>
    <row r="80" spans="1:21" ht="16.5" thickBot="1">
      <c r="B80" s="76"/>
      <c r="C80" s="47" t="s">
        <v>0</v>
      </c>
      <c r="D80" s="76"/>
      <c r="E80" s="29" t="s">
        <v>0</v>
      </c>
      <c r="F80" s="31" t="s">
        <v>0</v>
      </c>
      <c r="G80" s="44" t="s">
        <v>0</v>
      </c>
      <c r="H80" s="31" t="s">
        <v>0</v>
      </c>
      <c r="J80" s="30"/>
      <c r="K80" s="44" t="s">
        <v>0</v>
      </c>
      <c r="L80" s="30"/>
      <c r="M80" s="29" t="s">
        <v>0</v>
      </c>
      <c r="N80" s="30"/>
      <c r="O80" s="44" t="s">
        <v>0</v>
      </c>
      <c r="P80" s="30"/>
      <c r="R80" s="76"/>
      <c r="S80" s="46"/>
      <c r="T80" s="76"/>
      <c r="U80" s="76"/>
    </row>
    <row r="81" spans="1:21" s="2" customFormat="1">
      <c r="A81" s="2" t="s">
        <v>359</v>
      </c>
      <c r="B81" s="4">
        <f>+B77-B79</f>
        <v>37.09999999999993</v>
      </c>
      <c r="C81" s="112">
        <f>+(B81-D81)/ABS(D81)</f>
        <v>-0.51629726205997484</v>
      </c>
      <c r="D81" s="4">
        <f>+D77-D79</f>
        <v>76.7</v>
      </c>
      <c r="E81" s="146" t="s">
        <v>0</v>
      </c>
      <c r="F81" s="4">
        <f>+F77-F79</f>
        <v>0</v>
      </c>
      <c r="G81" s="42">
        <v>0</v>
      </c>
      <c r="H81" s="4">
        <f>+H77-H79</f>
        <v>30.499999999999972</v>
      </c>
      <c r="I81" s="146"/>
      <c r="J81" s="4">
        <f>+J77-J79</f>
        <v>0</v>
      </c>
      <c r="K81" s="42">
        <v>0</v>
      </c>
      <c r="L81" s="4">
        <f>+L77-L79</f>
        <v>32.899999999999991</v>
      </c>
      <c r="M81" s="146" t="s">
        <v>0</v>
      </c>
      <c r="N81" s="4">
        <f>+N77-N79</f>
        <v>0</v>
      </c>
      <c r="O81" s="42">
        <v>0</v>
      </c>
      <c r="P81" s="4">
        <f>+P77-P79</f>
        <v>17.499999999999943</v>
      </c>
      <c r="Q81" s="146"/>
      <c r="R81" s="4">
        <f>+R77-R79</f>
        <v>37.09999999999993</v>
      </c>
      <c r="S81" s="112">
        <f>+(R81-T81)/T81</f>
        <v>-0.51629726205997484</v>
      </c>
      <c r="T81" s="4">
        <f>+T77-T79</f>
        <v>76.7</v>
      </c>
      <c r="U81" s="4">
        <f>+U77-U79</f>
        <v>157.59999999999971</v>
      </c>
    </row>
    <row r="82" spans="1:21">
      <c r="E82" s="29"/>
      <c r="M82" s="29"/>
      <c r="U82" s="29" t="s">
        <v>0</v>
      </c>
    </row>
    <row r="83" spans="1:21">
      <c r="E83" s="29"/>
      <c r="F83" s="29" t="s">
        <v>0</v>
      </c>
      <c r="M83" s="29"/>
      <c r="N83" s="29" t="s">
        <v>0</v>
      </c>
      <c r="U83" s="29" t="s">
        <v>0</v>
      </c>
    </row>
    <row r="84" spans="1:21">
      <c r="B84" s="565" t="s">
        <v>261</v>
      </c>
      <c r="D84" s="565" t="s">
        <v>261</v>
      </c>
      <c r="E84" s="29" t="s">
        <v>0</v>
      </c>
      <c r="F84" s="565" t="s">
        <v>261</v>
      </c>
      <c r="H84" s="565" t="s">
        <v>261</v>
      </c>
      <c r="M84" s="29" t="s">
        <v>0</v>
      </c>
    </row>
    <row r="85" spans="1:21">
      <c r="B85" s="26" t="s">
        <v>353</v>
      </c>
      <c r="D85" s="26" t="s">
        <v>533</v>
      </c>
      <c r="F85" s="26" t="s">
        <v>534</v>
      </c>
      <c r="H85" s="26" t="s">
        <v>535</v>
      </c>
      <c r="M85" s="29" t="s">
        <v>0</v>
      </c>
    </row>
    <row r="86" spans="1:21">
      <c r="A86" t="s">
        <v>536</v>
      </c>
      <c r="B86" s="29" t="s">
        <v>0</v>
      </c>
      <c r="D86" s="29" t="s">
        <v>0</v>
      </c>
      <c r="F86" s="29" t="s">
        <v>0</v>
      </c>
      <c r="H86" s="29" t="s">
        <v>0</v>
      </c>
      <c r="M86" s="29" t="s">
        <v>0</v>
      </c>
    </row>
    <row r="87" spans="1:21">
      <c r="A87" t="s">
        <v>329</v>
      </c>
      <c r="B87"/>
    </row>
    <row r="88" spans="1:21">
      <c r="A88" t="s">
        <v>330</v>
      </c>
      <c r="B88" s="16">
        <f>+(69.1+38.9+42.3)</f>
        <v>150.30000000000001</v>
      </c>
      <c r="D88" s="12">
        <v>0</v>
      </c>
      <c r="F88" s="12">
        <v>0</v>
      </c>
      <c r="H88" s="12">
        <v>0</v>
      </c>
    </row>
    <row r="89" spans="1:21" ht="18">
      <c r="A89" t="s">
        <v>537</v>
      </c>
      <c r="B89" s="6">
        <v>0</v>
      </c>
      <c r="D89" s="6">
        <v>0</v>
      </c>
      <c r="F89" s="6">
        <v>0</v>
      </c>
      <c r="H89" s="6">
        <v>0</v>
      </c>
    </row>
    <row r="90" spans="1:21">
      <c r="B90" s="12">
        <f>SUM(B88:B89)</f>
        <v>150.30000000000001</v>
      </c>
      <c r="D90" s="12">
        <f>SUM(D88:D89)</f>
        <v>0</v>
      </c>
      <c r="F90" s="12">
        <f>SUM(F88:F89)</f>
        <v>0</v>
      </c>
      <c r="H90" s="12">
        <f>SUM(H88:H89)</f>
        <v>0</v>
      </c>
    </row>
    <row r="91" spans="1:21">
      <c r="A91" t="s">
        <v>333</v>
      </c>
      <c r="B91" s="12">
        <f>9.5+9.5+9.5</f>
        <v>28.5</v>
      </c>
      <c r="D91" s="12">
        <v>0</v>
      </c>
      <c r="F91" s="12">
        <v>0</v>
      </c>
      <c r="H91" s="12">
        <v>0</v>
      </c>
    </row>
    <row r="92" spans="1:21">
      <c r="B92" s="12">
        <f>+B90-B91</f>
        <v>121.80000000000001</v>
      </c>
      <c r="C92" s="29" t="s">
        <v>0</v>
      </c>
      <c r="D92" s="12">
        <f>+D90-D91</f>
        <v>0</v>
      </c>
      <c r="F92" s="12">
        <f>+F90-F91</f>
        <v>0</v>
      </c>
      <c r="H92" s="12">
        <f>+H90-H91</f>
        <v>0</v>
      </c>
    </row>
    <row r="93" spans="1:21">
      <c r="B93" s="12"/>
      <c r="D93" s="12"/>
      <c r="F93" s="12"/>
      <c r="H93" s="12"/>
    </row>
    <row r="94" spans="1:21">
      <c r="A94" t="s">
        <v>334</v>
      </c>
      <c r="B94" s="12"/>
      <c r="D94" s="12"/>
      <c r="F94" s="12"/>
      <c r="H94" s="12"/>
    </row>
    <row r="95" spans="1:21">
      <c r="A95" t="s">
        <v>335</v>
      </c>
      <c r="B95" s="16">
        <f>2.1+2.1+2.9</f>
        <v>7.1</v>
      </c>
      <c r="D95" s="16">
        <v>0</v>
      </c>
      <c r="F95" s="16">
        <v>0</v>
      </c>
      <c r="H95" s="16">
        <v>0</v>
      </c>
    </row>
    <row r="96" spans="1:21">
      <c r="A96" t="s">
        <v>336</v>
      </c>
      <c r="B96" s="12">
        <v>0</v>
      </c>
      <c r="D96" s="12">
        <v>0</v>
      </c>
      <c r="F96" s="12">
        <v>0</v>
      </c>
      <c r="H96" s="12">
        <v>0</v>
      </c>
    </row>
    <row r="97" spans="1:8">
      <c r="A97" t="s">
        <v>284</v>
      </c>
      <c r="B97" s="12">
        <v>75.099999999999994</v>
      </c>
      <c r="D97" s="12">
        <v>0</v>
      </c>
      <c r="F97" s="12">
        <v>0</v>
      </c>
      <c r="H97" s="12">
        <v>0</v>
      </c>
    </row>
    <row r="98" spans="1:8">
      <c r="B98" s="12">
        <f>SUM(B95:B97)</f>
        <v>82.199999999999989</v>
      </c>
      <c r="D98" s="12">
        <f>SUM(D95:D97)</f>
        <v>0</v>
      </c>
      <c r="F98" s="12">
        <f>SUM(F95:F97)</f>
        <v>0</v>
      </c>
      <c r="H98" s="12">
        <f>SUM(H95:H97)</f>
        <v>0</v>
      </c>
    </row>
    <row r="99" spans="1:8">
      <c r="B99" s="12"/>
      <c r="D99" s="12"/>
      <c r="F99" s="12"/>
      <c r="H99" s="12"/>
    </row>
    <row r="100" spans="1:8">
      <c r="A100" t="s">
        <v>337</v>
      </c>
      <c r="B100" s="12">
        <f>+B92+B98</f>
        <v>204</v>
      </c>
      <c r="D100" s="12">
        <f>+D92+D98</f>
        <v>0</v>
      </c>
      <c r="F100" s="12">
        <f>+F92+F98</f>
        <v>0</v>
      </c>
      <c r="H100" s="12">
        <f>+H92+H98</f>
        <v>0</v>
      </c>
    </row>
    <row r="101" spans="1:8">
      <c r="B101" s="12"/>
      <c r="D101" s="12"/>
      <c r="F101" s="12"/>
      <c r="H101" s="12"/>
    </row>
    <row r="102" spans="1:8">
      <c r="A102" t="s">
        <v>538</v>
      </c>
      <c r="B102" s="12">
        <v>0</v>
      </c>
      <c r="D102" s="12">
        <v>0</v>
      </c>
      <c r="F102" s="12">
        <v>0</v>
      </c>
      <c r="H102" s="12">
        <v>0</v>
      </c>
    </row>
    <row r="103" spans="1:8">
      <c r="B103" s="12"/>
      <c r="D103" s="12"/>
      <c r="F103" s="12"/>
      <c r="H103" s="12"/>
    </row>
    <row r="104" spans="1:8">
      <c r="A104" t="s">
        <v>339</v>
      </c>
      <c r="B104" s="12"/>
      <c r="D104" s="12"/>
      <c r="F104" s="12"/>
      <c r="H104" s="12"/>
    </row>
    <row r="105" spans="1:8">
      <c r="A105" t="s">
        <v>340</v>
      </c>
      <c r="B105" s="12">
        <f>+B100-B102</f>
        <v>204</v>
      </c>
      <c r="D105" s="12">
        <f>+D100-D102</f>
        <v>0</v>
      </c>
      <c r="F105" s="12">
        <f>+F100-F102</f>
        <v>0</v>
      </c>
      <c r="H105" s="12">
        <f>+H100-H102</f>
        <v>0</v>
      </c>
    </row>
    <row r="106" spans="1:8">
      <c r="B106" s="12"/>
      <c r="D106" s="12"/>
      <c r="F106" s="12"/>
      <c r="H106" s="12"/>
    </row>
    <row r="107" spans="1:8">
      <c r="A107" t="s">
        <v>341</v>
      </c>
      <c r="B107" s="12"/>
      <c r="D107" s="12"/>
      <c r="F107" s="12"/>
      <c r="H107" s="12"/>
    </row>
    <row r="108" spans="1:8">
      <c r="A108" t="s">
        <v>342</v>
      </c>
      <c r="B108" s="12">
        <f>28.1+28.4+28.4</f>
        <v>84.9</v>
      </c>
      <c r="D108" s="12">
        <v>0</v>
      </c>
      <c r="F108" s="12">
        <v>0</v>
      </c>
      <c r="H108" s="12">
        <v>0</v>
      </c>
    </row>
    <row r="109" spans="1:8">
      <c r="A109" t="s">
        <v>343</v>
      </c>
      <c r="B109" s="12">
        <f>4+4+4</f>
        <v>12</v>
      </c>
      <c r="D109" s="12">
        <v>0</v>
      </c>
      <c r="F109" s="12">
        <v>0</v>
      </c>
      <c r="H109" s="12">
        <v>0</v>
      </c>
    </row>
    <row r="110" spans="1:8">
      <c r="A110" t="s">
        <v>344</v>
      </c>
      <c r="B110" s="12">
        <f>1.1</f>
        <v>1.1000000000000001</v>
      </c>
      <c r="D110" s="12">
        <v>0</v>
      </c>
      <c r="F110" s="12">
        <v>0</v>
      </c>
      <c r="H110" s="12">
        <v>0</v>
      </c>
    </row>
    <row r="111" spans="1:8">
      <c r="A111" t="s">
        <v>345</v>
      </c>
      <c r="B111" s="12">
        <f>27.9+33.8+18.9-19</f>
        <v>61.599999999999994</v>
      </c>
      <c r="D111" s="12">
        <v>0</v>
      </c>
      <c r="F111" s="12">
        <v>0</v>
      </c>
      <c r="H111" s="12">
        <v>0</v>
      </c>
    </row>
    <row r="112" spans="1:8">
      <c r="B112" s="12">
        <f>SUM(B108:B111)</f>
        <v>159.6</v>
      </c>
      <c r="D112" s="12">
        <f>SUM(D108:D111)</f>
        <v>0</v>
      </c>
      <c r="F112" s="12">
        <f>SUM(F108:F111)</f>
        <v>0</v>
      </c>
      <c r="H112" s="12">
        <f>SUM(H108:H111)</f>
        <v>0</v>
      </c>
    </row>
    <row r="113" spans="1:8">
      <c r="B113" s="12"/>
      <c r="D113" s="12"/>
      <c r="F113" s="12"/>
      <c r="H113" s="12"/>
    </row>
    <row r="114" spans="1:8">
      <c r="A114" t="s">
        <v>346</v>
      </c>
      <c r="B114" s="12">
        <f>+B105-B112</f>
        <v>44.400000000000006</v>
      </c>
      <c r="D114" s="12">
        <f>+D105-D112</f>
        <v>0</v>
      </c>
      <c r="F114" s="12">
        <f>+F105-F112</f>
        <v>0</v>
      </c>
      <c r="H114" s="12">
        <f>+H105-H112</f>
        <v>0</v>
      </c>
    </row>
    <row r="115" spans="1:8">
      <c r="B115" s="12"/>
      <c r="D115" s="12"/>
      <c r="F115" s="12"/>
      <c r="H115" s="12"/>
    </row>
    <row r="116" spans="1:8">
      <c r="A116" t="s">
        <v>347</v>
      </c>
      <c r="B116" s="12">
        <v>0</v>
      </c>
      <c r="D116" s="12">
        <v>0</v>
      </c>
      <c r="F116" s="12">
        <v>0</v>
      </c>
      <c r="H116" s="12">
        <v>0</v>
      </c>
    </row>
    <row r="117" spans="1:8">
      <c r="B117" s="12"/>
      <c r="D117" s="12"/>
      <c r="F117" s="12"/>
      <c r="H117" s="12"/>
    </row>
    <row r="118" spans="1:8">
      <c r="A118" t="s">
        <v>539</v>
      </c>
      <c r="B118" s="12">
        <f>+B114-B116</f>
        <v>44.400000000000006</v>
      </c>
      <c r="D118" s="12">
        <f>+D114-D116</f>
        <v>0</v>
      </c>
      <c r="F118" s="12">
        <f>+F114-F116</f>
        <v>0</v>
      </c>
      <c r="H118" s="12">
        <f>+H114-H116</f>
        <v>0</v>
      </c>
    </row>
    <row r="120" spans="1:8">
      <c r="B120" s="29" t="s">
        <v>0</v>
      </c>
    </row>
  </sheetData>
  <pageMargins left="0.22" right="0.2" top="0.47" bottom="0.38" header="0.31" footer="0.2"/>
  <pageSetup scale="44" orientation="landscape" r:id="rId1"/>
  <headerFooter alignWithMargins="0">
    <oddFooter>&amp;R&amp;16&amp;P</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sheetViews>
  <sheetFormatPr defaultRowHeight="15.75"/>
  <cols>
    <col min="1" max="1" width="50" customWidth="1"/>
    <col min="2" max="2" width="15.75" customWidth="1"/>
    <col min="3" max="3" width="11" customWidth="1"/>
    <col min="4" max="4" width="15.75" customWidth="1"/>
    <col min="5" max="5" width="6.125" customWidth="1"/>
    <col min="6" max="6" width="16" customWidth="1"/>
    <col min="7" max="7" width="11"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441</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541</v>
      </c>
      <c r="C8" s="34"/>
      <c r="D8" s="34"/>
      <c r="E8" s="2"/>
      <c r="F8" s="114" t="s">
        <v>206</v>
      </c>
      <c r="G8" s="114"/>
      <c r="H8" s="114"/>
      <c r="I8" s="114"/>
      <c r="J8" s="114"/>
      <c r="K8" s="114"/>
      <c r="L8" s="114"/>
    </row>
    <row r="9" spans="1:14" ht="16.5" thickBot="1">
      <c r="B9" s="247" t="s">
        <v>185</v>
      </c>
      <c r="C9" s="226" t="s">
        <v>169</v>
      </c>
      <c r="D9" s="247" t="s">
        <v>174</v>
      </c>
      <c r="E9" s="2"/>
      <c r="F9" s="226">
        <v>1999</v>
      </c>
      <c r="G9" s="226" t="s">
        <v>169</v>
      </c>
      <c r="H9" s="226">
        <v>1998</v>
      </c>
      <c r="I9" s="226" t="s">
        <v>169</v>
      </c>
      <c r="J9" s="226">
        <v>1997</v>
      </c>
      <c r="K9" s="226" t="s">
        <v>169</v>
      </c>
      <c r="L9" s="226">
        <v>1996</v>
      </c>
    </row>
    <row r="10" spans="1:14">
      <c r="A10" t="s">
        <v>328</v>
      </c>
    </row>
    <row r="11" spans="1:14">
      <c r="A11" t="s">
        <v>329</v>
      </c>
      <c r="B11" s="16" t="s">
        <v>0</v>
      </c>
      <c r="C11" s="47" t="s">
        <v>0</v>
      </c>
      <c r="D11" s="16" t="s">
        <v>0</v>
      </c>
      <c r="E11" s="44" t="s">
        <v>0</v>
      </c>
      <c r="F11" s="16" t="s">
        <v>0</v>
      </c>
      <c r="G11" s="47" t="s">
        <v>0</v>
      </c>
      <c r="M11" s="43"/>
      <c r="N11" s="43"/>
    </row>
    <row r="12" spans="1:14">
      <c r="A12" t="s">
        <v>330</v>
      </c>
      <c r="B12" s="12">
        <f>+'BICHRÉSULT     '!R50</f>
        <v>126.6</v>
      </c>
      <c r="C12" s="46">
        <f>+(B12-D12)/ABS(D12)</f>
        <v>-3.7262357414448714E-2</v>
      </c>
      <c r="D12" s="12">
        <f>+'BICHRÉSULT     '!T50</f>
        <v>131.5</v>
      </c>
      <c r="E12" s="44"/>
      <c r="F12" s="12">
        <v>561.79999999999995</v>
      </c>
      <c r="G12" s="46">
        <f>+(F12-H12)/ABS(H12)</f>
        <v>8.8127057912066639E-2</v>
      </c>
      <c r="H12" s="12">
        <v>516.29999999999995</v>
      </c>
      <c r="I12" s="46">
        <f>+(H12-J12)/ABS(J12)</f>
        <v>-0.22430889423076933</v>
      </c>
      <c r="J12" s="12">
        <v>665.6</v>
      </c>
      <c r="K12" s="46">
        <f>+(J12-L12)/ABS(L12)</f>
        <v>-6.2705285159748167E-3</v>
      </c>
      <c r="L12" s="12">
        <v>669.8</v>
      </c>
      <c r="M12" s="43"/>
      <c r="N12" s="43"/>
    </row>
    <row r="13" spans="1:14">
      <c r="A13" t="s">
        <v>354</v>
      </c>
      <c r="B13" s="12">
        <v>0</v>
      </c>
      <c r="C13" s="43">
        <v>0</v>
      </c>
      <c r="D13" s="12">
        <v>0</v>
      </c>
      <c r="E13" s="44"/>
      <c r="F13" s="12">
        <v>0</v>
      </c>
      <c r="G13" s="43">
        <v>0</v>
      </c>
      <c r="H13" s="12">
        <v>0</v>
      </c>
      <c r="I13" s="43">
        <v>0</v>
      </c>
      <c r="J13" s="12">
        <v>0</v>
      </c>
      <c r="K13" s="43">
        <v>0</v>
      </c>
      <c r="L13" s="12">
        <v>0</v>
      </c>
      <c r="M13" s="43"/>
      <c r="N13" s="43"/>
    </row>
    <row r="14" spans="1:14">
      <c r="A14" t="s">
        <v>332</v>
      </c>
      <c r="B14" s="221">
        <f>+'BICHRÉSULT     '!R52</f>
        <v>0</v>
      </c>
      <c r="C14" s="43">
        <v>0</v>
      </c>
      <c r="D14" s="240">
        <f>+'BICHRÉSULT     '!T52</f>
        <v>0</v>
      </c>
      <c r="E14" s="44"/>
      <c r="F14" s="240">
        <f>+'BICHRÉSULT     '!U52</f>
        <v>0</v>
      </c>
      <c r="G14" s="43">
        <v>0</v>
      </c>
      <c r="H14" s="240">
        <f>+'BICHRÉSULT     '!U52</f>
        <v>0</v>
      </c>
      <c r="I14" s="43">
        <v>0</v>
      </c>
      <c r="J14" s="240">
        <f>+'BICHRÉSULT     '!W52</f>
        <v>0</v>
      </c>
      <c r="K14" s="43">
        <v>0</v>
      </c>
      <c r="L14" s="240">
        <v>0</v>
      </c>
      <c r="M14" s="43"/>
      <c r="N14" s="43"/>
    </row>
    <row r="15" spans="1:14">
      <c r="B15" s="12">
        <f>SUM(B12:B14)</f>
        <v>126.6</v>
      </c>
      <c r="C15" s="46">
        <f>+(B15-D15)/ABS(D15)</f>
        <v>-3.7262357414448714E-2</v>
      </c>
      <c r="D15" s="12">
        <f>SUM(D12:D14)</f>
        <v>131.5</v>
      </c>
      <c r="E15" s="44"/>
      <c r="F15" s="12">
        <f>SUM(F12:F14)</f>
        <v>561.79999999999995</v>
      </c>
      <c r="G15" s="46">
        <f>+(F15-H15)/ABS(H15)</f>
        <v>8.8127057912066639E-2</v>
      </c>
      <c r="H15" s="12">
        <f>SUM(H12:H14)</f>
        <v>516.29999999999995</v>
      </c>
      <c r="I15" s="46">
        <f>+(H15-J15)/ABS(J15)</f>
        <v>-0.22430889423076933</v>
      </c>
      <c r="J15" s="12">
        <f>SUM(J12:J14)</f>
        <v>665.6</v>
      </c>
      <c r="K15" s="46">
        <f>+(J15-L15)/ABS(L15)</f>
        <v>-6.2705285159748167E-3</v>
      </c>
      <c r="L15" s="12">
        <f>SUM(L12:L14)</f>
        <v>669.8</v>
      </c>
      <c r="M15" s="43"/>
      <c r="N15" s="43"/>
    </row>
    <row r="16" spans="1:14">
      <c r="A16" t="s">
        <v>333</v>
      </c>
      <c r="B16" s="240">
        <f>+'BICHRÉSULT     '!R54</f>
        <v>29.9</v>
      </c>
      <c r="C16" s="46">
        <f>+(B16-D16)/ABS(D16)</f>
        <v>-3.858520900321552E-2</v>
      </c>
      <c r="D16" s="240">
        <f>+'BICHRÉSULT     '!T54</f>
        <v>31.1</v>
      </c>
      <c r="E16" s="44" t="s">
        <v>0</v>
      </c>
      <c r="F16" s="240">
        <f>+'BICHRÉSULT     '!U54</f>
        <v>104.1</v>
      </c>
      <c r="G16" s="46">
        <f>+(F16-H16)/ABS(H16)</f>
        <v>-1.327014218009484E-2</v>
      </c>
      <c r="H16" s="240">
        <v>105.5</v>
      </c>
      <c r="I16" s="46">
        <f>+(H16-J16)/ABS(J16)</f>
        <v>-6.637168141592921E-2</v>
      </c>
      <c r="J16" s="240">
        <v>113</v>
      </c>
      <c r="K16" s="46">
        <f>+(J16-L16)/ABS(L16)</f>
        <v>7.5166508087535736E-2</v>
      </c>
      <c r="L16" s="240">
        <v>105.1</v>
      </c>
      <c r="M16" s="43"/>
      <c r="N16" s="43"/>
    </row>
    <row r="17" spans="1:14" s="209" customFormat="1">
      <c r="B17" s="16">
        <f>+B15-B16</f>
        <v>96.699999999999989</v>
      </c>
      <c r="C17" s="46">
        <f>+(B17-D17)/ABS(D17)</f>
        <v>-3.6852589641434431E-2</v>
      </c>
      <c r="D17" s="16">
        <f>+D15-D16</f>
        <v>100.4</v>
      </c>
      <c r="E17" s="44" t="s">
        <v>0</v>
      </c>
      <c r="F17" s="16">
        <f>+F15-F16</f>
        <v>457.69999999999993</v>
      </c>
      <c r="G17" s="46">
        <f>+(F17-H17)/ABS(H17)</f>
        <v>0.11416747809152868</v>
      </c>
      <c r="H17" s="16">
        <f>+H15-H16</f>
        <v>410.79999999999995</v>
      </c>
      <c r="I17" s="46">
        <f>+(H17-J17)/ABS(J17)</f>
        <v>-0.25660513934129581</v>
      </c>
      <c r="J17" s="16">
        <f>+J15-J16</f>
        <v>552.6</v>
      </c>
      <c r="K17" s="46">
        <f>+(J17-L17)/ABS(L17)</f>
        <v>-2.142730653444291E-2</v>
      </c>
      <c r="L17" s="16">
        <f>+L12-L16</f>
        <v>564.69999999999993</v>
      </c>
      <c r="M17" s="44"/>
      <c r="N17" s="44"/>
    </row>
    <row r="18" spans="1:14">
      <c r="B18" s="12"/>
      <c r="C18" s="46"/>
      <c r="D18" s="12"/>
      <c r="E18" s="44"/>
      <c r="F18" s="12"/>
      <c r="G18" s="46"/>
      <c r="H18" s="12"/>
      <c r="I18" s="46"/>
      <c r="J18" s="12"/>
      <c r="K18" s="46"/>
      <c r="L18" s="12"/>
      <c r="M18" s="43"/>
      <c r="N18" s="43"/>
    </row>
    <row r="19" spans="1:14">
      <c r="A19" t="s">
        <v>334</v>
      </c>
      <c r="B19" s="12"/>
      <c r="C19" s="46"/>
      <c r="D19" s="12"/>
      <c r="E19" s="44" t="s">
        <v>0</v>
      </c>
      <c r="F19" s="12"/>
      <c r="G19" s="46"/>
      <c r="H19" s="12"/>
      <c r="I19" s="46"/>
      <c r="J19" s="12"/>
      <c r="K19" s="46"/>
      <c r="L19" s="12"/>
      <c r="M19" s="43"/>
      <c r="N19" s="43"/>
    </row>
    <row r="20" spans="1:14">
      <c r="A20" t="s">
        <v>335</v>
      </c>
      <c r="B20" s="12">
        <f>+'BICHRÉSULT     '!R58</f>
        <v>54.4</v>
      </c>
      <c r="C20" s="46">
        <f>+(B20-D20)/ABS(D20)</f>
        <v>1.7474747474747472</v>
      </c>
      <c r="D20" s="12">
        <f>+'BICHRÉSULT     '!T58</f>
        <v>19.8</v>
      </c>
      <c r="E20" s="44" t="s">
        <v>0</v>
      </c>
      <c r="F20" s="12">
        <f>+'BICHRÉSULT     '!U58</f>
        <v>166.5</v>
      </c>
      <c r="G20" s="46">
        <f>+(F20-H20)/ABS(H20)</f>
        <v>1.8316326530612246</v>
      </c>
      <c r="H20" s="12">
        <v>58.8</v>
      </c>
      <c r="I20" s="46">
        <f>+(H20-J20)/ABS(J20)</f>
        <v>1.0631578947368421</v>
      </c>
      <c r="J20" s="12">
        <v>28.5</v>
      </c>
      <c r="K20" s="46">
        <f>+(J20-L20)/ABS(L20)</f>
        <v>6.7415730337078678E-2</v>
      </c>
      <c r="L20" s="12">
        <v>26.7</v>
      </c>
      <c r="M20" s="43"/>
      <c r="N20" s="43"/>
    </row>
    <row r="21" spans="1:14">
      <c r="A21" t="s">
        <v>336</v>
      </c>
      <c r="B21" s="12">
        <f>+'BICHRÉSULT     '!R59</f>
        <v>0</v>
      </c>
      <c r="C21" s="43">
        <v>0</v>
      </c>
      <c r="D21" s="12">
        <f>+'BICHRÉSULT     '!T59</f>
        <v>0</v>
      </c>
      <c r="E21" s="44" t="s">
        <v>0</v>
      </c>
      <c r="F21" s="12">
        <f>+'BICHRÉSULT     '!U59</f>
        <v>0</v>
      </c>
      <c r="G21" s="43">
        <v>0</v>
      </c>
      <c r="H21" s="12">
        <f>+'BICHRÉSULT     '!U59</f>
        <v>0</v>
      </c>
      <c r="I21" s="43">
        <v>0</v>
      </c>
      <c r="J21" s="12">
        <v>0</v>
      </c>
      <c r="K21" s="43">
        <v>0</v>
      </c>
      <c r="L21" s="12">
        <v>0</v>
      </c>
      <c r="M21" s="43"/>
      <c r="N21" s="43"/>
    </row>
    <row r="22" spans="1:14">
      <c r="A22" t="s">
        <v>284</v>
      </c>
      <c r="B22" s="240">
        <f>+'BICHRÉSULT     '!R60</f>
        <v>144.69999999999999</v>
      </c>
      <c r="C22" s="46">
        <f>+(B22-D22)/ABS(D22)</f>
        <v>8.2273747195213173E-2</v>
      </c>
      <c r="D22" s="240">
        <f>+'BICHRÉSULT     '!T60</f>
        <v>133.69999999999999</v>
      </c>
      <c r="E22" s="44" t="s">
        <v>0</v>
      </c>
      <c r="F22" s="240">
        <f>+'BICHRÉSULT     '!U60</f>
        <v>503.49999999999994</v>
      </c>
      <c r="G22" s="46">
        <f>+(F22-H22)/ABS(H22)</f>
        <v>-7.7331867326369985E-2</v>
      </c>
      <c r="H22" s="240">
        <v>545.70000000000005</v>
      </c>
      <c r="I22" s="46">
        <f>+(H22-J22)/ABS(J22)</f>
        <v>4.2980582524271851</v>
      </c>
      <c r="J22" s="240">
        <v>103</v>
      </c>
      <c r="K22" s="46">
        <f>+(J22-L22)/ABS(L22)</f>
        <v>3.4588744588744591</v>
      </c>
      <c r="L22" s="240">
        <v>23.1</v>
      </c>
      <c r="M22" s="43"/>
      <c r="N22" s="43"/>
    </row>
    <row r="23" spans="1:14" s="209" customFormat="1">
      <c r="B23" s="16">
        <f>SUM(B20:B22)</f>
        <v>199.1</v>
      </c>
      <c r="C23" s="46">
        <f>+(B23-D23)/ABS(D23)</f>
        <v>0.29706840390879474</v>
      </c>
      <c r="D23" s="16">
        <f>SUM(D20:D22)</f>
        <v>153.5</v>
      </c>
      <c r="E23" s="44" t="s">
        <v>0</v>
      </c>
      <c r="F23" s="16">
        <f>SUM(F20:F22)</f>
        <v>670</v>
      </c>
      <c r="G23" s="46">
        <f>+(F23-H23)/ABS(H23)</f>
        <v>0.10835401157981803</v>
      </c>
      <c r="H23" s="16">
        <f>SUM(H20:H22)</f>
        <v>604.5</v>
      </c>
      <c r="I23" s="46">
        <f>+(H23-J23)/ABS(J23)</f>
        <v>3.5969581749049429</v>
      </c>
      <c r="J23" s="16">
        <f>SUM(J20:J22)</f>
        <v>131.5</v>
      </c>
      <c r="K23" s="46">
        <f>+(J23-L23)/ABS(L23)</f>
        <v>1.6405622489959841</v>
      </c>
      <c r="L23" s="16">
        <f>SUM(L20:L22)</f>
        <v>49.8</v>
      </c>
      <c r="M23" s="44"/>
      <c r="N23" s="44"/>
    </row>
    <row r="24" spans="1:14">
      <c r="B24" s="240"/>
      <c r="C24" s="46"/>
      <c r="D24" s="240"/>
      <c r="E24" s="44"/>
      <c r="F24" s="240"/>
      <c r="G24" s="46"/>
      <c r="H24" s="240"/>
      <c r="I24" s="46"/>
      <c r="J24" s="240"/>
      <c r="K24" s="46"/>
      <c r="L24" s="240"/>
      <c r="M24" s="43"/>
      <c r="N24" s="43"/>
    </row>
    <row r="25" spans="1:14" s="209" customFormat="1">
      <c r="A25" s="209" t="s">
        <v>337</v>
      </c>
      <c r="B25" s="16">
        <f>+B17+B23</f>
        <v>295.79999999999995</v>
      </c>
      <c r="C25" s="46">
        <f>+(B25-D25)/ABS(D25)</f>
        <v>0.16502560063016916</v>
      </c>
      <c r="D25" s="16">
        <f>+D17+D23</f>
        <v>253.9</v>
      </c>
      <c r="E25" s="44" t="s">
        <v>0</v>
      </c>
      <c r="F25" s="16">
        <f>+F17+F23</f>
        <v>1127.6999999999998</v>
      </c>
      <c r="G25" s="46">
        <f>+(F25-H25)/ABS(H25)</f>
        <v>0.11070619521323734</v>
      </c>
      <c r="H25" s="16">
        <f>+H17+H23</f>
        <v>1015.3</v>
      </c>
      <c r="I25" s="46">
        <f>+(H25-J25)/ABS(J25)</f>
        <v>0.48413974565122048</v>
      </c>
      <c r="J25" s="16">
        <f>+J17+J23</f>
        <v>684.1</v>
      </c>
      <c r="K25" s="46">
        <f>+(J25-L25)/ABS(L25)</f>
        <v>0.11326281529698967</v>
      </c>
      <c r="L25" s="16">
        <f>+L17+L23</f>
        <v>614.49999999999989</v>
      </c>
      <c r="M25" s="44"/>
      <c r="N25" s="44"/>
    </row>
    <row r="26" spans="1:14">
      <c r="B26" s="12"/>
      <c r="C26" s="46"/>
      <c r="D26" s="12"/>
      <c r="E26" s="44" t="s">
        <v>0</v>
      </c>
      <c r="F26" s="12"/>
      <c r="G26" s="46"/>
      <c r="H26" s="12"/>
      <c r="I26" s="46"/>
      <c r="J26" s="12"/>
      <c r="K26" s="46"/>
      <c r="L26" s="12"/>
      <c r="M26" s="43"/>
      <c r="N26" s="43"/>
    </row>
    <row r="27" spans="1:14">
      <c r="A27" t="s">
        <v>338</v>
      </c>
      <c r="B27" s="12">
        <f>+'BICHRÉSULT     '!R65</f>
        <v>0</v>
      </c>
      <c r="C27" s="43">
        <v>0</v>
      </c>
      <c r="D27" s="12">
        <f>+'BICHRÉSULT     '!T65</f>
        <v>0</v>
      </c>
      <c r="E27" s="44" t="s">
        <v>0</v>
      </c>
      <c r="F27" s="12">
        <f>+'BICHRÉSULT     '!U65</f>
        <v>40</v>
      </c>
      <c r="G27" s="43">
        <v>0</v>
      </c>
      <c r="H27" s="12">
        <v>93.5</v>
      </c>
      <c r="I27" s="43">
        <v>0</v>
      </c>
      <c r="J27" s="12">
        <v>0</v>
      </c>
      <c r="K27" s="43">
        <v>0</v>
      </c>
      <c r="L27" s="12">
        <v>0</v>
      </c>
      <c r="M27" s="43"/>
      <c r="N27" s="43"/>
    </row>
    <row r="28" spans="1:14">
      <c r="B28" s="12"/>
      <c r="C28" s="46"/>
      <c r="D28" s="12"/>
      <c r="E28" s="44" t="s">
        <v>0</v>
      </c>
      <c r="F28" s="12"/>
      <c r="G28" s="46"/>
      <c r="H28" s="12"/>
      <c r="I28" s="46"/>
      <c r="J28" s="12"/>
      <c r="K28" s="46"/>
      <c r="L28" s="12"/>
      <c r="M28" s="43"/>
      <c r="N28" s="43"/>
    </row>
    <row r="29" spans="1:14">
      <c r="A29" t="s">
        <v>339</v>
      </c>
      <c r="B29" s="240"/>
      <c r="C29" s="46"/>
      <c r="D29" s="240"/>
      <c r="E29" s="44" t="s">
        <v>0</v>
      </c>
      <c r="F29" s="240"/>
      <c r="G29" s="46"/>
      <c r="H29" s="240"/>
      <c r="I29" s="46"/>
      <c r="J29" s="240"/>
      <c r="K29" s="46"/>
      <c r="L29" s="240"/>
      <c r="M29" s="43"/>
      <c r="N29" s="43"/>
    </row>
    <row r="30" spans="1:14" s="209" customFormat="1">
      <c r="A30" s="209" t="s">
        <v>340</v>
      </c>
      <c r="B30" s="16">
        <f>+B25-B27</f>
        <v>295.79999999999995</v>
      </c>
      <c r="C30" s="46">
        <f>+(B30-D30)/ABS(D30)</f>
        <v>0.16502560063016916</v>
      </c>
      <c r="D30" s="16">
        <f>+D25-D27</f>
        <v>253.9</v>
      </c>
      <c r="E30" s="44" t="s">
        <v>0</v>
      </c>
      <c r="F30" s="16">
        <f>+F25-F27</f>
        <v>1087.6999999999998</v>
      </c>
      <c r="G30" s="46">
        <f>+(F30-H30)/ABS(H30)</f>
        <v>0.17997396398351037</v>
      </c>
      <c r="H30" s="16">
        <f>+H25-H27</f>
        <v>921.8</v>
      </c>
      <c r="I30" s="46">
        <f>+(H30-J30)/ABS(J30)</f>
        <v>0.34746382107878954</v>
      </c>
      <c r="J30" s="16">
        <f>+J25-J27</f>
        <v>684.1</v>
      </c>
      <c r="K30" s="46">
        <f>+(J30-L30)/ABS(L30)</f>
        <v>0.11326281529698967</v>
      </c>
      <c r="L30" s="16">
        <f>+L25-L27</f>
        <v>614.49999999999989</v>
      </c>
      <c r="M30" s="44"/>
      <c r="N30" s="44"/>
    </row>
    <row r="31" spans="1:14">
      <c r="B31" s="12"/>
      <c r="C31" s="46"/>
      <c r="D31" s="12"/>
      <c r="E31" s="44" t="s">
        <v>0</v>
      </c>
      <c r="F31" s="12"/>
      <c r="G31" s="46"/>
      <c r="H31" s="12"/>
      <c r="I31" s="46"/>
      <c r="J31" s="12"/>
      <c r="K31" s="46"/>
      <c r="L31" s="12"/>
      <c r="M31" s="43"/>
      <c r="N31" s="43"/>
    </row>
    <row r="32" spans="1:14">
      <c r="A32" t="s">
        <v>341</v>
      </c>
      <c r="B32" s="12"/>
      <c r="C32" s="46"/>
      <c r="D32" s="12"/>
      <c r="E32" s="44" t="s">
        <v>0</v>
      </c>
      <c r="F32" s="12"/>
      <c r="G32" s="46"/>
      <c r="H32" s="12"/>
      <c r="I32" s="46"/>
      <c r="J32" s="12"/>
      <c r="K32" s="46"/>
      <c r="L32" s="12"/>
      <c r="M32" s="43"/>
      <c r="N32" s="43"/>
    </row>
    <row r="33" spans="1:14">
      <c r="A33" t="s">
        <v>342</v>
      </c>
      <c r="B33" s="12">
        <f>+'BICHRÉSULT     '!R71</f>
        <v>137.1</v>
      </c>
      <c r="C33" s="46">
        <f>+(B33-D33)/ABS(D33)</f>
        <v>0.41340206185567002</v>
      </c>
      <c r="D33" s="12">
        <f>+'BICHRÉSULT     '!T71</f>
        <v>97</v>
      </c>
      <c r="E33" s="44" t="s">
        <v>0</v>
      </c>
      <c r="F33" s="12">
        <f>+'BICHRÉSULT     '!U71</f>
        <v>492.30000000000007</v>
      </c>
      <c r="G33" s="46">
        <f>+(F33-H33)/ABS(H33)</f>
        <v>0.27143595041322338</v>
      </c>
      <c r="H33" s="12">
        <v>387.2</v>
      </c>
      <c r="I33" s="46">
        <f>+(H33-J33)/ABS(J33)</f>
        <v>0.34772015315001731</v>
      </c>
      <c r="J33" s="12">
        <v>287.3</v>
      </c>
      <c r="K33" s="46">
        <f>+(J33-L33)/ABS(L33)</f>
        <v>0.57510964912280704</v>
      </c>
      <c r="L33" s="12">
        <v>182.4</v>
      </c>
      <c r="M33" s="43"/>
      <c r="N33" s="43"/>
    </row>
    <row r="34" spans="1:14">
      <c r="A34" t="s">
        <v>343</v>
      </c>
      <c r="B34" s="12">
        <f>+'BICHRÉSULT     '!R72</f>
        <v>12</v>
      </c>
      <c r="C34" s="46">
        <f>+(B34-D34)/ABS(D34)</f>
        <v>0</v>
      </c>
      <c r="D34" s="12">
        <f>+'BICHRÉSULT     '!T72</f>
        <v>12</v>
      </c>
      <c r="E34" s="44" t="s">
        <v>0</v>
      </c>
      <c r="F34" s="12">
        <f>+'BICHRÉSULT     '!U72</f>
        <v>40</v>
      </c>
      <c r="G34" s="46">
        <f>+(F34-H34)/ABS(H34)</f>
        <v>-0.16666666666666666</v>
      </c>
      <c r="H34" s="12">
        <v>48</v>
      </c>
      <c r="I34" s="46">
        <f>+(H34-J34)/ABS(J34)</f>
        <v>-8.745247148288976E-2</v>
      </c>
      <c r="J34" s="12">
        <v>52.6</v>
      </c>
      <c r="K34" s="46">
        <f>+(J34-L34)/ABS(L34)</f>
        <v>-0.12333333333333331</v>
      </c>
      <c r="L34" s="12">
        <v>60</v>
      </c>
      <c r="M34" s="43"/>
      <c r="N34" s="43"/>
    </row>
    <row r="35" spans="1:14">
      <c r="A35" t="s">
        <v>344</v>
      </c>
      <c r="B35" s="12">
        <f>+'BICHRÉSULT     '!R73</f>
        <v>3.3</v>
      </c>
      <c r="C35" s="46">
        <f>+(B35-D35)/ABS(D35)</f>
        <v>-1.3457248783335229E-16</v>
      </c>
      <c r="D35" s="12">
        <f>+'BICHRÉSULT     '!T73</f>
        <v>3.3000000000000003</v>
      </c>
      <c r="E35" s="44" t="s">
        <v>0</v>
      </c>
      <c r="F35" s="12">
        <f>+'BICHRÉSULT     '!U73</f>
        <v>12</v>
      </c>
      <c r="G35" s="46">
        <f>+(F35-H35)/ABS(H35)</f>
        <v>9.0909090909090912E-2</v>
      </c>
      <c r="H35" s="12">
        <v>11</v>
      </c>
      <c r="I35" s="46">
        <f>+(H35-J35)/ABS(J35)</f>
        <v>-0.31677018633540377</v>
      </c>
      <c r="J35" s="12">
        <v>16.100000000000001</v>
      </c>
      <c r="K35" s="46">
        <f>+(J35-L35)/ABS(L35)</f>
        <v>8.7837837837837884E-2</v>
      </c>
      <c r="L35" s="12">
        <v>14.8</v>
      </c>
      <c r="M35" s="43"/>
      <c r="N35" s="43"/>
    </row>
    <row r="36" spans="1:14">
      <c r="A36" t="s">
        <v>345</v>
      </c>
      <c r="B36" s="240">
        <f>+'BICHRÉSULT     '!R74</f>
        <v>87.7</v>
      </c>
      <c r="C36" s="46">
        <f>+(B36-D36)/ABS(D36)</f>
        <v>0.69961240310077522</v>
      </c>
      <c r="D36" s="240">
        <f>+'BICHRÉSULT     '!T74</f>
        <v>51.6</v>
      </c>
      <c r="E36" s="44" t="s">
        <v>0</v>
      </c>
      <c r="F36" s="240">
        <f>+'BICHRÉSULT     '!U74</f>
        <v>351.70000000000005</v>
      </c>
      <c r="G36" s="46">
        <f>+(F36-H36)/ABS(H36)</f>
        <v>0.26967509025270775</v>
      </c>
      <c r="H36" s="240">
        <v>277</v>
      </c>
      <c r="I36" s="46">
        <f>+(H36-J36)/ABS(J36)</f>
        <v>0.45102147721320057</v>
      </c>
      <c r="J36" s="240">
        <v>190.9</v>
      </c>
      <c r="K36" s="46">
        <f>+(J36-L36)/ABS(L36)</f>
        <v>-0.14966592427616923</v>
      </c>
      <c r="L36" s="240">
        <v>224.5</v>
      </c>
      <c r="M36" s="43"/>
      <c r="N36" s="43"/>
    </row>
    <row r="37" spans="1:14" s="209" customFormat="1">
      <c r="B37" s="16">
        <f>SUM(B33:B36)</f>
        <v>240.10000000000002</v>
      </c>
      <c r="C37" s="46">
        <f>+(B37-D37)/ABS(D37)</f>
        <v>0.46491763270286768</v>
      </c>
      <c r="D37" s="16">
        <f>SUM(D33:D36)</f>
        <v>163.9</v>
      </c>
      <c r="E37" s="44" t="s">
        <v>0</v>
      </c>
      <c r="F37" s="16">
        <f>SUM(F33:F36)</f>
        <v>896.00000000000011</v>
      </c>
      <c r="G37" s="46">
        <f>+(F37-H37)/ABS(H37)</f>
        <v>0.2389380530973452</v>
      </c>
      <c r="H37" s="16">
        <f>SUM(H33:H36)</f>
        <v>723.2</v>
      </c>
      <c r="I37" s="46">
        <f>+(H37-J37)/ABS(J37)</f>
        <v>0.32236240628999802</v>
      </c>
      <c r="J37" s="16">
        <f>SUM(J33:J36)</f>
        <v>546.90000000000009</v>
      </c>
      <c r="K37" s="46">
        <f>+(J37-L37)/ABS(L37)</f>
        <v>0.13535395474361658</v>
      </c>
      <c r="L37" s="16">
        <f>SUM(L33:L36)</f>
        <v>481.7</v>
      </c>
      <c r="M37" s="44"/>
      <c r="N37" s="44"/>
    </row>
    <row r="38" spans="1:14">
      <c r="B38" s="249"/>
      <c r="C38" s="112"/>
      <c r="D38" s="249"/>
      <c r="E38" s="42"/>
      <c r="F38" s="249"/>
      <c r="G38" s="112"/>
      <c r="H38" s="249"/>
      <c r="I38" s="112"/>
      <c r="J38" s="249"/>
      <c r="K38" s="112"/>
      <c r="L38" s="249"/>
      <c r="M38" s="43"/>
      <c r="N38" s="43"/>
    </row>
    <row r="39" spans="1:14" s="209" customFormat="1">
      <c r="A39" s="209" t="s">
        <v>346</v>
      </c>
      <c r="B39" s="16">
        <f>+B30-B37</f>
        <v>55.699999999999932</v>
      </c>
      <c r="C39" s="46">
        <f>+(B39-D39)/ABS(D39)</f>
        <v>-0.38111111111111184</v>
      </c>
      <c r="D39" s="16">
        <f>+D30-D37</f>
        <v>90</v>
      </c>
      <c r="E39" s="44" t="s">
        <v>0</v>
      </c>
      <c r="F39" s="16">
        <f>+F30-F37</f>
        <v>191.6999999999997</v>
      </c>
      <c r="G39" s="46">
        <f>+(F39-H39)/ABS(H39)</f>
        <v>-3.4743202416919472E-2</v>
      </c>
      <c r="H39" s="16">
        <f>+H30-H37</f>
        <v>198.59999999999991</v>
      </c>
      <c r="I39" s="46">
        <f>+(H39-J39)/ABS(J39)</f>
        <v>0.44752186588921289</v>
      </c>
      <c r="J39" s="16">
        <f>+J30-J37</f>
        <v>137.19999999999993</v>
      </c>
      <c r="K39" s="46">
        <f>+(J39-L39)/ABS(L39)</f>
        <v>3.3132530120482208E-2</v>
      </c>
      <c r="L39" s="16">
        <f>+L30-L37</f>
        <v>132.7999999999999</v>
      </c>
      <c r="M39" s="44"/>
      <c r="N39" s="44"/>
    </row>
    <row r="40" spans="1:14">
      <c r="B40" s="12"/>
      <c r="C40" s="46"/>
      <c r="D40" s="12"/>
      <c r="E40" s="44" t="s">
        <v>0</v>
      </c>
      <c r="F40" s="12"/>
      <c r="G40" s="46"/>
      <c r="H40" s="12"/>
      <c r="I40" s="46"/>
      <c r="J40" s="12"/>
      <c r="K40" s="46"/>
      <c r="L40" s="12"/>
      <c r="M40" s="43"/>
      <c r="N40" s="43"/>
    </row>
    <row r="41" spans="1:14">
      <c r="A41" t="s">
        <v>347</v>
      </c>
      <c r="B41" s="12">
        <f>+'BICHRÉSULT     '!R79</f>
        <v>18.600000000000001</v>
      </c>
      <c r="C41" s="46">
        <f>+(B41-D41)/ABS(D41)</f>
        <v>0.39849624060150379</v>
      </c>
      <c r="D41" s="12">
        <f>+'BICHRÉSULT     '!T79</f>
        <v>13.3</v>
      </c>
      <c r="E41" s="44" t="s">
        <v>0</v>
      </c>
      <c r="F41" s="12">
        <f>+'BICHRÉSULT     '!U79</f>
        <v>34.099999999999994</v>
      </c>
      <c r="G41" s="46">
        <f>+(F41-H41)/ABS(H41)</f>
        <v>1.3680555555555551</v>
      </c>
      <c r="H41" s="12">
        <v>14.4</v>
      </c>
      <c r="I41" s="46">
        <f>+(H41-J41)/ABS(J41)</f>
        <v>-0.55000000000000004</v>
      </c>
      <c r="J41" s="12">
        <v>32</v>
      </c>
      <c r="K41" s="46">
        <f>+(J41-L41)/ABS(L41)</f>
        <v>3.9230769230769229</v>
      </c>
      <c r="L41" s="121">
        <v>6.5</v>
      </c>
      <c r="M41" s="43"/>
      <c r="N41" s="43"/>
    </row>
    <row r="42" spans="1:14" ht="16.5" thickBot="1">
      <c r="B42" s="76"/>
      <c r="C42" s="46"/>
      <c r="D42" s="76"/>
      <c r="E42" s="44" t="s">
        <v>0</v>
      </c>
      <c r="F42" s="76"/>
      <c r="G42" s="46"/>
      <c r="H42" s="76"/>
      <c r="I42" s="46"/>
      <c r="J42" s="76"/>
      <c r="K42" s="46"/>
      <c r="L42" s="76"/>
      <c r="M42" s="43"/>
      <c r="N42" s="43"/>
    </row>
    <row r="43" spans="1:14">
      <c r="A43" s="2" t="s">
        <v>359</v>
      </c>
      <c r="B43" s="4">
        <f>+B39-B41</f>
        <v>37.09999999999993</v>
      </c>
      <c r="C43" s="112">
        <f>+(B43-D43)/ABS(D43)</f>
        <v>-0.51629726205997484</v>
      </c>
      <c r="D43" s="4">
        <f>+D39-D41</f>
        <v>76.7</v>
      </c>
      <c r="E43" s="42" t="s">
        <v>0</v>
      </c>
      <c r="F43" s="4">
        <f>+F39-F41</f>
        <v>157.59999999999971</v>
      </c>
      <c r="G43" s="112">
        <f>+(F43-H43)/ABS(H43)</f>
        <v>-0.1444082519001097</v>
      </c>
      <c r="H43" s="4">
        <f>+H39-H41</f>
        <v>184.1999999999999</v>
      </c>
      <c r="I43" s="112">
        <f>+(H43-J43)/ABS(J43)</f>
        <v>0.75095057034220558</v>
      </c>
      <c r="J43" s="4">
        <f>+J39-J41</f>
        <v>105.19999999999993</v>
      </c>
      <c r="K43" s="112">
        <f>+(J43-L43)/ABS(L43)</f>
        <v>-0.16706254948535221</v>
      </c>
      <c r="L43" s="4">
        <f>+L39-L41</f>
        <v>126.2999999999999</v>
      </c>
      <c r="M43" s="43"/>
      <c r="N43" s="43"/>
    </row>
    <row r="44" spans="1:14">
      <c r="E44" t="s">
        <v>0</v>
      </c>
    </row>
    <row r="45" spans="1:14">
      <c r="E45" t="s">
        <v>0</v>
      </c>
    </row>
  </sheetData>
  <pageMargins left="0.43" right="0.2" top="0.54" bottom="0.59" header="0.34" footer="0.34"/>
  <pageSetup scale="62" orientation="landscape" r:id="rId1"/>
  <headerFooter alignWithMargins="0">
    <oddFooter>&amp;R&amp;P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6"/>
  <sheetViews>
    <sheetView workbookViewId="0"/>
  </sheetViews>
  <sheetFormatPr defaultRowHeight="15.75"/>
  <cols>
    <col min="1" max="1" width="33.5" customWidth="1"/>
    <col min="2" max="2" width="14.875" customWidth="1"/>
    <col min="3" max="3" width="12.75" customWidth="1"/>
    <col min="4" max="4" width="13.875" customWidth="1"/>
    <col min="5" max="5" width="14.625" customWidth="1"/>
    <col min="6" max="6" width="14.75" customWidth="1"/>
    <col min="7" max="7" width="8.875" customWidth="1"/>
    <col min="8" max="8" width="14.75" customWidth="1"/>
    <col min="9" max="9" width="12.75" customWidth="1"/>
    <col min="10" max="10" width="13.75" customWidth="1"/>
    <col min="11" max="11" width="13.25" customWidth="1"/>
    <col min="12" max="12" width="14.5" customWidth="1"/>
    <col min="13" max="13" width="11" customWidth="1"/>
    <col min="14" max="14" width="14.25" customWidth="1"/>
    <col min="15" max="15" width="13.625" customWidth="1"/>
    <col min="16" max="16" width="14.5" customWidth="1"/>
    <col min="17" max="17" width="9.75" customWidth="1"/>
    <col min="18" max="18" width="15.875" customWidth="1"/>
    <col min="19" max="19" width="11" customWidth="1"/>
    <col min="20" max="20" width="15.875" customWidth="1"/>
    <col min="21" max="256" width="11" customWidth="1"/>
  </cols>
  <sheetData>
    <row r="1" spans="1:27">
      <c r="A1" s="114" t="s">
        <v>542</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166</v>
      </c>
      <c r="J4" s="175" t="s">
        <v>167</v>
      </c>
      <c r="K4" s="176"/>
      <c r="L4" s="176"/>
      <c r="M4" s="176"/>
      <c r="N4" s="176"/>
      <c r="O4" s="176"/>
      <c r="P4" s="176"/>
    </row>
    <row r="5" spans="1:27" ht="16.5" thickBot="1">
      <c r="B5" s="174" t="s">
        <v>168</v>
      </c>
      <c r="C5" s="174" t="s">
        <v>169</v>
      </c>
      <c r="D5" s="173" t="s">
        <v>170</v>
      </c>
      <c r="E5" s="174" t="s">
        <v>169</v>
      </c>
      <c r="F5" s="173" t="s">
        <v>171</v>
      </c>
      <c r="G5" s="174" t="s">
        <v>169</v>
      </c>
      <c r="H5" s="174" t="s">
        <v>172</v>
      </c>
      <c r="I5" s="173" t="s">
        <v>173</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+'bhdvar  '!B22</f>
        <v>28161.600000000002</v>
      </c>
      <c r="C11" s="43">
        <v>0</v>
      </c>
      <c r="D11" s="12">
        <f>+'bhdvar  '!D22</f>
        <v>0</v>
      </c>
      <c r="E11" s="43">
        <v>0</v>
      </c>
      <c r="F11" s="12">
        <f>+'bhdvar  '!F22</f>
        <v>0</v>
      </c>
      <c r="G11" s="43">
        <v>0</v>
      </c>
      <c r="H11" s="12">
        <f>+'bhdvar  '!H22</f>
        <v>0</v>
      </c>
      <c r="I11" s="43">
        <v>0</v>
      </c>
      <c r="J11" s="12">
        <f>+'bhdvar  '!J22</f>
        <v>0</v>
      </c>
      <c r="K11" s="43">
        <v>0</v>
      </c>
      <c r="L11" s="12">
        <f>+'bhdvar  '!L22</f>
        <v>0</v>
      </c>
      <c r="M11" s="43">
        <v>0</v>
      </c>
      <c r="N11" s="12">
        <f>+'bhdvar  '!N22</f>
        <v>0</v>
      </c>
      <c r="O11" s="43">
        <v>0</v>
      </c>
      <c r="P11" s="12">
        <f>+'bhdvar  '!P22</f>
        <v>0</v>
      </c>
      <c r="Q11" s="43"/>
      <c r="R11" s="43"/>
      <c r="S11" s="43"/>
      <c r="T11" s="43"/>
      <c r="U11" s="43"/>
      <c r="V11" s="43"/>
      <c r="W11" s="43"/>
      <c r="X11" s="43"/>
      <c r="Y11" s="43"/>
      <c r="Z11" s="43"/>
      <c r="AA11" s="43"/>
    </row>
    <row r="12" spans="1:27">
      <c r="A12" t="s">
        <v>181</v>
      </c>
      <c r="B12" s="12">
        <f>+'bhdvar  '!B17</f>
        <v>0</v>
      </c>
      <c r="C12" s="43">
        <v>0</v>
      </c>
      <c r="D12" s="12">
        <f>+'bhdvar  '!D17</f>
        <v>0</v>
      </c>
      <c r="E12" s="43">
        <v>0</v>
      </c>
      <c r="F12" s="12">
        <f>+'bhdvar  '!F17</f>
        <v>0</v>
      </c>
      <c r="G12" s="43">
        <v>0</v>
      </c>
      <c r="H12" s="12">
        <f>+'bhdvar  '!H17</f>
        <v>0</v>
      </c>
      <c r="I12" s="43">
        <v>0</v>
      </c>
      <c r="J12" s="12">
        <f>+'bhdvar  '!J17</f>
        <v>0</v>
      </c>
      <c r="K12" s="43">
        <v>0</v>
      </c>
      <c r="L12" s="12">
        <f>+'bhdvar  '!L17</f>
        <v>0</v>
      </c>
      <c r="M12" s="43">
        <v>0</v>
      </c>
      <c r="N12" s="12">
        <f>+'bhdvar  '!N17</f>
        <v>0</v>
      </c>
      <c r="O12" s="43">
        <v>0</v>
      </c>
      <c r="P12" s="12">
        <f>+'bhdvar  '!P17</f>
        <v>0</v>
      </c>
      <c r="Q12" s="43"/>
      <c r="R12" s="43"/>
      <c r="S12" s="43"/>
      <c r="T12" s="43"/>
      <c r="U12" s="43"/>
      <c r="V12" s="43"/>
      <c r="W12" s="43"/>
      <c r="X12" s="43"/>
      <c r="Y12" s="43"/>
      <c r="Z12" s="43"/>
      <c r="AA12" s="43"/>
    </row>
    <row r="13" spans="1:27">
      <c r="A13" t="s">
        <v>182</v>
      </c>
      <c r="B13" s="12">
        <f>+'bhdvar  '!B19</f>
        <v>5467.1</v>
      </c>
      <c r="C13" s="43">
        <v>0</v>
      </c>
      <c r="D13" s="12">
        <f>+'bhdvar  '!D19</f>
        <v>0</v>
      </c>
      <c r="E13" s="43">
        <v>0</v>
      </c>
      <c r="F13" s="12">
        <f>+'bhdvar  '!F19</f>
        <v>0</v>
      </c>
      <c r="G13" s="43">
        <v>0</v>
      </c>
      <c r="H13" s="12">
        <f>+'bhdvar  '!H19</f>
        <v>0</v>
      </c>
      <c r="I13" s="43">
        <v>0</v>
      </c>
      <c r="J13" s="12">
        <f>+'bhdvar  '!J19</f>
        <v>0</v>
      </c>
      <c r="K13" s="43">
        <v>0</v>
      </c>
      <c r="L13" s="12">
        <f>+'bhdvar  '!L19</f>
        <v>0</v>
      </c>
      <c r="M13" s="43">
        <v>0</v>
      </c>
      <c r="N13" s="12">
        <f>+'bhdvar  '!N19</f>
        <v>0</v>
      </c>
      <c r="O13" s="43">
        <v>0</v>
      </c>
      <c r="P13" s="12">
        <f>+'bhdvar  '!P19</f>
        <v>0</v>
      </c>
      <c r="Q13" s="43"/>
      <c r="R13" s="43"/>
      <c r="S13" s="43"/>
      <c r="T13" s="43"/>
      <c r="U13" s="43"/>
      <c r="V13" s="43"/>
      <c r="W13" s="43"/>
      <c r="X13" s="43"/>
      <c r="Y13" s="43"/>
      <c r="Z13" s="43"/>
      <c r="AA13" s="43"/>
    </row>
    <row r="14" spans="1:27">
      <c r="A14" t="s">
        <v>183</v>
      </c>
      <c r="B14" s="12">
        <f>+'bhdvar  '!B29</f>
        <v>4276</v>
      </c>
      <c r="C14" s="43">
        <v>0</v>
      </c>
      <c r="D14" s="12">
        <f>+'bhdvar  '!D29</f>
        <v>0</v>
      </c>
      <c r="E14" s="43">
        <v>0</v>
      </c>
      <c r="F14" s="12">
        <f>+'bhdvar  '!F29</f>
        <v>0</v>
      </c>
      <c r="G14" s="43">
        <v>0</v>
      </c>
      <c r="H14" s="12">
        <f>+'bhdvar  '!H29</f>
        <v>0</v>
      </c>
      <c r="I14" s="43">
        <v>0</v>
      </c>
      <c r="J14" s="12">
        <f>+'bhdvar  '!J29</f>
        <v>0</v>
      </c>
      <c r="K14" s="43">
        <v>0</v>
      </c>
      <c r="L14" s="12">
        <f>+'bhdvar  '!L29</f>
        <v>0</v>
      </c>
      <c r="M14" s="43">
        <v>0</v>
      </c>
      <c r="N14" s="12">
        <f>+'bhdvar  '!N29</f>
        <v>0</v>
      </c>
      <c r="O14" s="43">
        <v>0</v>
      </c>
      <c r="P14" s="12">
        <f>+'bhdvar  '!P29</f>
        <v>0</v>
      </c>
      <c r="Q14" s="43"/>
      <c r="R14" s="43"/>
      <c r="S14" s="43"/>
      <c r="T14" s="43"/>
      <c r="U14" s="43"/>
      <c r="V14" s="43"/>
      <c r="W14" s="43"/>
      <c r="X14" s="43"/>
      <c r="Y14" s="43"/>
      <c r="Z14" s="43"/>
      <c r="AA14" s="43"/>
    </row>
    <row r="15" spans="1:27">
      <c r="A15" t="s">
        <v>184</v>
      </c>
      <c r="B15" s="12">
        <f>+'bhdvar  '!B51</f>
        <v>12420.4</v>
      </c>
      <c r="C15" s="43">
        <v>0</v>
      </c>
      <c r="D15" s="12">
        <f>+'bhdvar  '!D51</f>
        <v>0</v>
      </c>
      <c r="E15" s="43">
        <v>0</v>
      </c>
      <c r="F15" s="12">
        <f>+'bhdvar  '!F51</f>
        <v>0</v>
      </c>
      <c r="G15" s="43">
        <v>0</v>
      </c>
      <c r="H15" s="12">
        <f>+'bhdvar  '!H51</f>
        <v>0</v>
      </c>
      <c r="I15" s="43">
        <v>0</v>
      </c>
      <c r="J15" s="12">
        <f>+'bhdvar  '!J51</f>
        <v>0</v>
      </c>
      <c r="K15" s="43">
        <v>0</v>
      </c>
      <c r="L15" s="12">
        <f>+'bhdvar  '!L51</f>
        <v>0</v>
      </c>
      <c r="M15" s="43">
        <v>0</v>
      </c>
      <c r="N15" s="12">
        <f>+'bhdvar  '!N51</f>
        <v>0</v>
      </c>
      <c r="O15" s="43">
        <v>0</v>
      </c>
      <c r="P15" s="12">
        <f>+'bhdvar  '!P51</f>
        <v>0</v>
      </c>
      <c r="Q15" s="43"/>
      <c r="R15" s="43"/>
      <c r="S15" s="43"/>
      <c r="T15" s="43"/>
      <c r="U15" s="43"/>
      <c r="V15" s="43"/>
      <c r="W15" s="43"/>
      <c r="X15" s="43"/>
      <c r="Y15" s="43"/>
      <c r="Z15" s="43"/>
      <c r="AA15" s="43"/>
    </row>
    <row r="16" spans="1:27">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row>
    <row r="17" spans="1:27" ht="16.5" thickBot="1">
      <c r="B17" s="187"/>
      <c r="C17" s="187"/>
      <c r="D17" s="187"/>
      <c r="E17" s="187"/>
      <c r="F17" s="187"/>
      <c r="G17" s="187"/>
      <c r="H17" s="187"/>
      <c r="I17" s="187"/>
      <c r="J17" s="187"/>
      <c r="K17" s="187"/>
      <c r="L17" s="187"/>
      <c r="M17" s="187"/>
      <c r="N17" s="187"/>
      <c r="O17" s="187"/>
      <c r="P17" s="187"/>
      <c r="Q17" s="43"/>
      <c r="R17" s="43"/>
      <c r="S17" s="43"/>
      <c r="T17" s="43"/>
      <c r="U17" s="43"/>
      <c r="V17" s="43"/>
      <c r="W17" s="43"/>
      <c r="X17" s="43"/>
      <c r="Y17" s="43"/>
      <c r="Z17" s="43"/>
      <c r="AA17" s="43"/>
    </row>
    <row r="18" spans="1:27">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row>
    <row r="19" spans="1:27">
      <c r="B19" s="51" t="s">
        <v>185</v>
      </c>
      <c r="C19" s="43"/>
      <c r="D19" s="51" t="s">
        <v>174</v>
      </c>
      <c r="E19" s="43"/>
      <c r="F19" s="51" t="s">
        <v>185</v>
      </c>
      <c r="G19" s="43"/>
      <c r="H19" s="51" t="s">
        <v>174</v>
      </c>
      <c r="I19" s="43"/>
      <c r="J19" s="51" t="s">
        <v>185</v>
      </c>
      <c r="K19" s="43"/>
      <c r="L19" s="51" t="s">
        <v>174</v>
      </c>
      <c r="M19" s="43"/>
      <c r="N19" s="51" t="s">
        <v>185</v>
      </c>
      <c r="O19" s="43"/>
      <c r="P19" s="51" t="s">
        <v>174</v>
      </c>
      <c r="Q19" s="43"/>
      <c r="R19" s="51" t="s">
        <v>185</v>
      </c>
      <c r="S19" s="43"/>
      <c r="T19" s="51" t="s">
        <v>174</v>
      </c>
      <c r="U19" s="43"/>
      <c r="V19" s="43"/>
      <c r="W19" s="43"/>
      <c r="X19" s="43"/>
      <c r="Y19" s="43"/>
      <c r="Z19" s="43"/>
      <c r="AA19" s="43"/>
    </row>
    <row r="20" spans="1:27">
      <c r="B20" s="50" t="s">
        <v>186</v>
      </c>
      <c r="C20" s="50" t="s">
        <v>169</v>
      </c>
      <c r="D20" s="50" t="s">
        <v>186</v>
      </c>
      <c r="E20" s="43"/>
      <c r="F20" s="50" t="s">
        <v>187</v>
      </c>
      <c r="G20" s="50" t="s">
        <v>169</v>
      </c>
      <c r="H20" s="50" t="s">
        <v>187</v>
      </c>
      <c r="I20" s="43"/>
      <c r="J20" s="50" t="s">
        <v>188</v>
      </c>
      <c r="K20" s="50" t="s">
        <v>169</v>
      </c>
      <c r="L20" s="50" t="s">
        <v>188</v>
      </c>
      <c r="M20" s="43"/>
      <c r="N20" s="50" t="s">
        <v>189</v>
      </c>
      <c r="O20" s="50" t="s">
        <v>169</v>
      </c>
      <c r="P20" s="50" t="s">
        <v>189</v>
      </c>
      <c r="Q20" s="43"/>
      <c r="R20" s="50" t="s">
        <v>190</v>
      </c>
      <c r="S20" s="50" t="s">
        <v>169</v>
      </c>
      <c r="T20" s="50" t="s">
        <v>190</v>
      </c>
      <c r="U20" s="43"/>
      <c r="V20" s="43"/>
      <c r="W20" s="43"/>
      <c r="X20" s="43"/>
      <c r="Y20" s="43"/>
      <c r="Z20" s="43"/>
      <c r="AA20" s="43"/>
    </row>
    <row r="21" spans="1:27" ht="16.5" thickBot="1">
      <c r="B21" s="326" t="s">
        <v>191</v>
      </c>
      <c r="C21" s="326"/>
      <c r="D21" s="326" t="s">
        <v>192</v>
      </c>
      <c r="E21" s="208"/>
      <c r="F21" s="326" t="s">
        <v>193</v>
      </c>
      <c r="G21" s="326"/>
      <c r="H21" s="326" t="s">
        <v>194</v>
      </c>
      <c r="I21" s="208"/>
      <c r="J21" s="326" t="s">
        <v>195</v>
      </c>
      <c r="K21" s="326"/>
      <c r="L21" s="326" t="s">
        <v>196</v>
      </c>
      <c r="M21" s="208"/>
      <c r="N21" s="326" t="s">
        <v>197</v>
      </c>
      <c r="O21" s="326"/>
      <c r="P21" s="326" t="s">
        <v>198</v>
      </c>
      <c r="Q21" s="208"/>
      <c r="R21" s="326" t="s">
        <v>543</v>
      </c>
      <c r="S21" s="326"/>
      <c r="T21" s="326" t="s">
        <v>200</v>
      </c>
      <c r="U21" s="43"/>
      <c r="V21" s="43"/>
      <c r="W21" s="43"/>
      <c r="X21" s="43"/>
      <c r="Y21" s="43"/>
      <c r="Z21" s="43"/>
      <c r="AA21" s="43"/>
    </row>
    <row r="22" spans="1:27">
      <c r="A22" s="2" t="s">
        <v>52</v>
      </c>
      <c r="B22" s="43"/>
      <c r="C22" s="43"/>
      <c r="D22" s="43"/>
      <c r="E22" s="43"/>
      <c r="F22" s="43"/>
      <c r="G22" s="43"/>
      <c r="H22" s="43"/>
      <c r="I22" s="43"/>
      <c r="J22" s="43"/>
      <c r="K22" s="43"/>
      <c r="L22" s="43"/>
      <c r="M22" s="43"/>
      <c r="N22" s="43"/>
      <c r="O22" s="43"/>
      <c r="P22" s="43"/>
      <c r="Q22" s="43"/>
      <c r="R22" s="43"/>
      <c r="S22" s="47" t="s">
        <v>0</v>
      </c>
      <c r="T22" s="43"/>
      <c r="U22" s="43"/>
      <c r="V22" s="43"/>
      <c r="W22" s="43"/>
      <c r="X22" s="43"/>
      <c r="Y22" s="43"/>
      <c r="Z22" s="43"/>
      <c r="AA22" s="43"/>
    </row>
    <row r="23" spans="1:27">
      <c r="A23" t="s">
        <v>201</v>
      </c>
      <c r="B23" s="12">
        <f>+BHdRÉSULT!B55</f>
        <v>65.699999999999989</v>
      </c>
      <c r="C23" s="43">
        <v>0</v>
      </c>
      <c r="D23" s="12">
        <f>+BHdRÉSULT!D55</f>
        <v>0</v>
      </c>
      <c r="E23" s="43"/>
      <c r="F23" s="12">
        <f>+BHdRÉSULT!F55</f>
        <v>0</v>
      </c>
      <c r="G23" s="43">
        <v>0</v>
      </c>
      <c r="H23" s="12">
        <f>+BHdRÉSULT!H55</f>
        <v>0</v>
      </c>
      <c r="I23" s="43"/>
      <c r="J23" s="12">
        <f>+BHdRÉSULT!J55</f>
        <v>0</v>
      </c>
      <c r="K23" s="43">
        <v>0</v>
      </c>
      <c r="L23" s="12">
        <f>+BHdRÉSULT!L55</f>
        <v>0</v>
      </c>
      <c r="M23" s="43"/>
      <c r="N23" s="12">
        <f>+BHdRÉSULT!N55</f>
        <v>0</v>
      </c>
      <c r="O23" s="43">
        <v>0</v>
      </c>
      <c r="P23" s="12">
        <f>+BHdRÉSULT!P55</f>
        <v>0</v>
      </c>
      <c r="Q23" s="43"/>
      <c r="R23" s="12">
        <f>+BHdRÉSULT!R55</f>
        <v>65.699999999999989</v>
      </c>
      <c r="S23" s="89">
        <v>0</v>
      </c>
      <c r="T23" s="12">
        <f>+BHdRÉSULT!T55</f>
        <v>0</v>
      </c>
      <c r="U23" s="43"/>
      <c r="V23" s="43"/>
      <c r="W23" s="43"/>
      <c r="X23" s="43"/>
      <c r="Y23" s="43"/>
      <c r="Z23" s="43"/>
      <c r="AA23" s="43"/>
    </row>
    <row r="24" spans="1:27">
      <c r="A24" t="s">
        <v>202</v>
      </c>
      <c r="B24" s="12">
        <f>+BHdRÉSULT!B61</f>
        <v>0.2</v>
      </c>
      <c r="C24" s="43">
        <v>0</v>
      </c>
      <c r="D24" s="12">
        <f>+BHdRÉSULT!D61</f>
        <v>0</v>
      </c>
      <c r="E24" s="43"/>
      <c r="F24" s="12">
        <f>+BHdRÉSULT!F61</f>
        <v>0</v>
      </c>
      <c r="G24" s="43">
        <v>0</v>
      </c>
      <c r="H24" s="12">
        <f>+BHdRÉSULT!H61</f>
        <v>0</v>
      </c>
      <c r="I24" s="43"/>
      <c r="J24" s="12">
        <f>+BHdRÉSULT!J61</f>
        <v>0</v>
      </c>
      <c r="K24" s="43">
        <v>0</v>
      </c>
      <c r="L24" s="12">
        <f>+BHdRÉSULT!L61</f>
        <v>0</v>
      </c>
      <c r="M24" s="43"/>
      <c r="N24" s="12">
        <f>+BHdRÉSULT!N61</f>
        <v>0</v>
      </c>
      <c r="O24" s="43">
        <v>0</v>
      </c>
      <c r="P24" s="12">
        <f>+BHdRÉSULT!P61</f>
        <v>0</v>
      </c>
      <c r="Q24" s="43"/>
      <c r="R24" s="12">
        <f>+BHdRÉSULT!R61</f>
        <v>0.2</v>
      </c>
      <c r="S24" s="89">
        <v>0</v>
      </c>
      <c r="T24" s="12">
        <f>+BHdRÉSULT!T61</f>
        <v>0</v>
      </c>
      <c r="U24" s="43"/>
      <c r="V24" s="43"/>
      <c r="W24" s="43"/>
      <c r="X24" s="43"/>
      <c r="Y24" s="43"/>
      <c r="Z24" s="43"/>
      <c r="AA24" s="43"/>
    </row>
    <row r="25" spans="1:27">
      <c r="A25" t="s">
        <v>447</v>
      </c>
      <c r="B25" s="12">
        <f>+BHdRÉSULT!B65</f>
        <v>143.80000000000001</v>
      </c>
      <c r="C25" s="43">
        <v>0</v>
      </c>
      <c r="D25" s="12">
        <f>+BHdRÉSULT!D65</f>
        <v>0</v>
      </c>
      <c r="E25" s="43"/>
      <c r="F25" s="12">
        <f>+BHdRÉSULT!F65</f>
        <v>0</v>
      </c>
      <c r="G25" s="43">
        <v>0</v>
      </c>
      <c r="H25" s="12">
        <f>+BHdRÉSULT!H65</f>
        <v>0</v>
      </c>
      <c r="I25" s="43"/>
      <c r="J25" s="12">
        <f>+BHdRÉSULT!J65</f>
        <v>0</v>
      </c>
      <c r="K25" s="43">
        <v>0</v>
      </c>
      <c r="L25" s="12">
        <f>+BHdRÉSULT!L65</f>
        <v>0</v>
      </c>
      <c r="M25" s="43"/>
      <c r="N25" s="12">
        <f>+BHdRÉSULT!N65</f>
        <v>0</v>
      </c>
      <c r="O25" s="43">
        <v>0</v>
      </c>
      <c r="P25" s="12">
        <f>+BHdRÉSULT!P65</f>
        <v>0</v>
      </c>
      <c r="Q25" s="43"/>
      <c r="R25" s="12">
        <f>+BHdRÉSULT!R65</f>
        <v>143.80000000000001</v>
      </c>
      <c r="S25" s="43">
        <v>0</v>
      </c>
      <c r="T25" s="12">
        <f>+BHdRÉSULT!T65</f>
        <v>0</v>
      </c>
      <c r="U25" s="43"/>
      <c r="V25" s="43"/>
      <c r="W25" s="43"/>
      <c r="X25" s="43"/>
      <c r="Y25" s="43"/>
      <c r="Z25" s="43"/>
      <c r="AA25" s="43"/>
    </row>
    <row r="26" spans="1:27">
      <c r="A26" t="s">
        <v>204</v>
      </c>
      <c r="B26" s="12">
        <f>+BHdRÉSULT!B75</f>
        <v>1119</v>
      </c>
      <c r="C26" s="43">
        <v>0</v>
      </c>
      <c r="D26" s="12">
        <f>+BHdRÉSULT!D75</f>
        <v>0</v>
      </c>
      <c r="E26" s="43"/>
      <c r="F26" s="12">
        <f>+BHdRÉSULT!F75</f>
        <v>0</v>
      </c>
      <c r="G26" s="43">
        <v>0</v>
      </c>
      <c r="H26" s="12">
        <f>+BHdRÉSULT!H75</f>
        <v>0</v>
      </c>
      <c r="I26" s="43"/>
      <c r="J26" s="12">
        <f>+BHdRÉSULT!J75</f>
        <v>0</v>
      </c>
      <c r="K26" s="43">
        <v>0</v>
      </c>
      <c r="L26" s="12">
        <f>+BHdRÉSULT!L75</f>
        <v>0</v>
      </c>
      <c r="M26" s="43"/>
      <c r="N26" s="12">
        <f>+BHdRÉSULT!N75</f>
        <v>0</v>
      </c>
      <c r="O26" s="43">
        <v>0</v>
      </c>
      <c r="P26" s="12">
        <f>+BHdRÉSULT!P75</f>
        <v>0</v>
      </c>
      <c r="Q26" s="43"/>
      <c r="R26" s="12">
        <f>+BHdRÉSULT!R75</f>
        <v>1119</v>
      </c>
      <c r="S26" s="43">
        <v>0</v>
      </c>
      <c r="T26" s="12">
        <f>+BHdRÉSULT!T75</f>
        <v>0</v>
      </c>
      <c r="U26" s="43"/>
      <c r="V26" s="43"/>
      <c r="W26" s="43"/>
      <c r="X26" s="43"/>
      <c r="Y26" s="43"/>
      <c r="Z26" s="43"/>
      <c r="AA26" s="43"/>
    </row>
    <row r="27" spans="1:27">
      <c r="A27" t="s">
        <v>448</v>
      </c>
      <c r="B27" s="12">
        <f>+BHdRÉSULT!B81</f>
        <v>-1196.9000000000001</v>
      </c>
      <c r="C27" s="43">
        <v>0</v>
      </c>
      <c r="D27" s="12">
        <f>+BHdRÉSULT!D81</f>
        <v>0</v>
      </c>
      <c r="E27" s="43"/>
      <c r="F27" s="12">
        <f>+BHdRÉSULT!F81</f>
        <v>0</v>
      </c>
      <c r="G27" s="43">
        <v>0</v>
      </c>
      <c r="H27" s="12">
        <f>+BHdRÉSULT!H81</f>
        <v>0</v>
      </c>
      <c r="I27" s="43"/>
      <c r="J27" s="12">
        <f>+BHdRÉSULT!J81</f>
        <v>0</v>
      </c>
      <c r="K27" s="43">
        <v>0</v>
      </c>
      <c r="L27" s="12">
        <f>+BHdRÉSULT!L81</f>
        <v>0</v>
      </c>
      <c r="M27" s="43"/>
      <c r="N27" s="12">
        <f>+BMHRÉSULT!N81</f>
        <v>0</v>
      </c>
      <c r="O27" s="43">
        <v>0</v>
      </c>
      <c r="P27" s="12">
        <f>+BHdRÉSULT!P81</f>
        <v>0</v>
      </c>
      <c r="Q27" s="43"/>
      <c r="R27" s="12">
        <f>+BHdRÉSULT!R81</f>
        <v>-1196.9000000000001</v>
      </c>
      <c r="S27" s="43">
        <v>0</v>
      </c>
      <c r="T27" s="12">
        <f>+BHdRÉSULT!T81</f>
        <v>0</v>
      </c>
      <c r="U27" s="43"/>
      <c r="V27" s="43"/>
      <c r="W27" s="43"/>
      <c r="X27" s="43"/>
      <c r="Y27" s="43"/>
      <c r="Z27" s="43"/>
      <c r="AA27" s="43"/>
    </row>
    <row r="28" spans="1:27">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row>
    <row r="30" spans="1:27" ht="16.5" thickBot="1">
      <c r="B30" s="187"/>
      <c r="C30" s="187"/>
      <c r="D30" s="187"/>
      <c r="E30" s="187"/>
      <c r="F30" s="187"/>
      <c r="G30" s="187"/>
      <c r="H30" s="187"/>
      <c r="I30" s="187"/>
      <c r="J30" s="187"/>
      <c r="K30" s="187"/>
      <c r="L30" s="187"/>
      <c r="M30" s="187"/>
      <c r="N30" s="187"/>
      <c r="O30" s="187"/>
      <c r="P30" s="187"/>
      <c r="Q30" s="187"/>
      <c r="R30" s="187"/>
      <c r="S30" s="187"/>
      <c r="T30" s="187"/>
      <c r="U30" s="43"/>
      <c r="V30" s="43"/>
      <c r="W30" s="43"/>
      <c r="X30" s="43"/>
      <c r="Y30" s="43"/>
      <c r="Z30" s="43"/>
      <c r="AA30" s="43"/>
    </row>
    <row r="31" spans="1:27">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row>
    <row r="32" spans="1:27">
      <c r="B32" s="51" t="s">
        <v>174</v>
      </c>
      <c r="C32" s="51" t="s">
        <v>175</v>
      </c>
      <c r="D32" s="43"/>
      <c r="E32" s="51" t="s">
        <v>174</v>
      </c>
      <c r="F32" s="51" t="s">
        <v>175</v>
      </c>
      <c r="G32" s="43"/>
      <c r="H32" s="51" t="s">
        <v>174</v>
      </c>
      <c r="I32" s="51" t="s">
        <v>175</v>
      </c>
      <c r="J32" s="43"/>
      <c r="K32" s="51" t="s">
        <v>174</v>
      </c>
      <c r="L32" s="51" t="s">
        <v>175</v>
      </c>
      <c r="M32" s="43"/>
      <c r="N32" s="51" t="s">
        <v>174</v>
      </c>
      <c r="O32" s="51" t="s">
        <v>175</v>
      </c>
      <c r="P32" s="43"/>
      <c r="U32" s="43"/>
      <c r="V32" s="43"/>
      <c r="W32" s="43"/>
      <c r="X32" s="43"/>
      <c r="Y32" s="43"/>
      <c r="Z32" s="43"/>
      <c r="AA32" s="43"/>
    </row>
    <row r="33" spans="1:27" ht="16.5" thickBot="1">
      <c r="B33" s="50" t="s">
        <v>186</v>
      </c>
      <c r="C33" s="50" t="s">
        <v>186</v>
      </c>
      <c r="D33" s="43"/>
      <c r="E33" s="50" t="s">
        <v>187</v>
      </c>
      <c r="F33" s="50" t="s">
        <v>187</v>
      </c>
      <c r="G33" s="43"/>
      <c r="H33" s="50" t="s">
        <v>188</v>
      </c>
      <c r="I33" s="50" t="s">
        <v>188</v>
      </c>
      <c r="J33" s="43"/>
      <c r="K33" s="50" t="s">
        <v>189</v>
      </c>
      <c r="L33" s="50" t="s">
        <v>189</v>
      </c>
      <c r="M33" s="43"/>
      <c r="N33" s="50" t="s">
        <v>190</v>
      </c>
      <c r="O33" s="50" t="s">
        <v>190</v>
      </c>
      <c r="P33" s="43"/>
      <c r="Q33" s="114" t="s">
        <v>206</v>
      </c>
      <c r="R33" s="114"/>
      <c r="S33" s="114"/>
      <c r="T33" s="114"/>
      <c r="U33" s="43"/>
      <c r="V33" s="43"/>
      <c r="W33" s="43"/>
      <c r="X33" s="43"/>
      <c r="Y33" s="43"/>
      <c r="Z33" s="43"/>
      <c r="AA33" s="43"/>
    </row>
    <row r="34" spans="1:27" ht="16.5" thickBot="1">
      <c r="B34" s="326" t="s">
        <v>191</v>
      </c>
      <c r="C34" s="326" t="s">
        <v>192</v>
      </c>
      <c r="D34" s="208"/>
      <c r="E34" s="326" t="s">
        <v>544</v>
      </c>
      <c r="F34" s="326" t="s">
        <v>194</v>
      </c>
      <c r="G34" s="208"/>
      <c r="H34" s="326" t="s">
        <v>195</v>
      </c>
      <c r="I34" s="326" t="s">
        <v>196</v>
      </c>
      <c r="J34" s="208"/>
      <c r="K34" s="326" t="s">
        <v>197</v>
      </c>
      <c r="L34" s="326" t="s">
        <v>198</v>
      </c>
      <c r="M34" s="208"/>
      <c r="N34" s="326" t="s">
        <v>545</v>
      </c>
      <c r="O34" s="326" t="s">
        <v>546</v>
      </c>
      <c r="P34" s="43"/>
      <c r="Q34" s="182" t="s">
        <v>174</v>
      </c>
      <c r="R34" s="182" t="s">
        <v>175</v>
      </c>
      <c r="S34" s="182" t="s">
        <v>176</v>
      </c>
      <c r="T34" s="182" t="s">
        <v>177</v>
      </c>
      <c r="U34" s="43"/>
      <c r="V34" s="43"/>
      <c r="W34" s="43"/>
      <c r="X34" s="43"/>
      <c r="Y34" s="43"/>
      <c r="Z34" s="43"/>
      <c r="AA34" s="43"/>
    </row>
    <row r="35" spans="1:27">
      <c r="B35" s="355"/>
      <c r="C35" s="355"/>
      <c r="D35" s="208"/>
      <c r="E35" s="355"/>
      <c r="F35" s="355"/>
      <c r="G35" s="208"/>
      <c r="H35" s="355"/>
      <c r="I35" s="355"/>
      <c r="J35" s="208"/>
      <c r="K35" s="355"/>
      <c r="L35" s="355"/>
      <c r="M35" s="208"/>
      <c r="N35" s="355"/>
      <c r="O35" s="355"/>
      <c r="P35" s="43"/>
      <c r="Q35" s="356"/>
      <c r="R35" s="356"/>
      <c r="S35" s="356"/>
      <c r="T35" s="356"/>
      <c r="U35" s="43"/>
      <c r="V35" s="43"/>
      <c r="W35" s="43"/>
      <c r="X35" s="43"/>
      <c r="Y35" s="43"/>
      <c r="Z35" s="43"/>
      <c r="AA35" s="43"/>
    </row>
    <row r="36" spans="1:27">
      <c r="A36" s="2" t="s">
        <v>207</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183" t="s">
        <v>208</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A38" s="2" t="s">
        <v>209</v>
      </c>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t="s">
        <v>211</v>
      </c>
      <c r="B40" s="57"/>
      <c r="C40" s="57"/>
      <c r="D40" s="57"/>
      <c r="E40" s="57"/>
      <c r="F40" s="57"/>
      <c r="G40" s="57"/>
      <c r="H40" s="57"/>
      <c r="I40" s="57"/>
      <c r="J40" s="57"/>
      <c r="K40" s="57"/>
      <c r="L40" s="57"/>
      <c r="M40" s="57"/>
      <c r="N40" s="57"/>
      <c r="O40" s="57"/>
      <c r="P40" s="57"/>
      <c r="Q40" s="57"/>
      <c r="R40" s="57"/>
      <c r="S40" s="57"/>
      <c r="T40" s="57"/>
      <c r="U40" s="43"/>
      <c r="V40" s="43"/>
      <c r="W40" s="43"/>
      <c r="X40" s="43"/>
      <c r="Y40" s="43"/>
      <c r="Z40" s="43"/>
      <c r="AA40" s="43"/>
    </row>
    <row r="41" spans="1:27">
      <c r="A41" t="s">
        <v>212</v>
      </c>
      <c r="B41" s="58">
        <v>0.441</v>
      </c>
      <c r="C41" s="57">
        <v>0</v>
      </c>
      <c r="D41" s="57"/>
      <c r="E41" s="364">
        <v>0</v>
      </c>
      <c r="F41" s="57">
        <v>0</v>
      </c>
      <c r="G41" s="57"/>
      <c r="H41" s="57">
        <v>0</v>
      </c>
      <c r="I41" s="57">
        <v>0</v>
      </c>
      <c r="J41" s="57"/>
      <c r="K41" s="57">
        <v>0</v>
      </c>
      <c r="L41" s="57">
        <v>0</v>
      </c>
      <c r="M41" s="57"/>
      <c r="N41" s="59">
        <f>+B41</f>
        <v>0.441</v>
      </c>
      <c r="O41" s="57">
        <v>0</v>
      </c>
      <c r="P41" s="57"/>
      <c r="Q41" s="57">
        <v>0</v>
      </c>
      <c r="R41" s="57">
        <v>0</v>
      </c>
      <c r="S41" s="57">
        <v>0</v>
      </c>
      <c r="T41" s="57">
        <v>0</v>
      </c>
      <c r="U41" s="43"/>
      <c r="V41" s="43"/>
      <c r="W41" s="43"/>
      <c r="X41" s="43"/>
      <c r="Y41" s="43"/>
      <c r="Z41" s="43"/>
      <c r="AA41" s="43"/>
    </row>
    <row r="42" spans="1:27">
      <c r="B42" s="364"/>
      <c r="C42" s="57"/>
      <c r="D42" s="57"/>
      <c r="E42" s="57"/>
      <c r="F42" s="57"/>
      <c r="G42" s="57"/>
      <c r="H42" s="57"/>
      <c r="I42" s="57"/>
      <c r="J42" s="57"/>
      <c r="K42" s="57"/>
      <c r="L42" s="57"/>
      <c r="M42" s="57"/>
      <c r="N42" s="59"/>
      <c r="O42" s="57"/>
      <c r="P42" s="57"/>
      <c r="Q42" s="57"/>
      <c r="R42" s="57"/>
      <c r="S42" s="57"/>
      <c r="T42" s="57"/>
      <c r="U42" s="43"/>
      <c r="V42" s="43"/>
      <c r="W42" s="43"/>
      <c r="X42" s="43"/>
      <c r="Y42" s="43"/>
      <c r="Z42" s="43"/>
      <c r="AA42" s="43"/>
    </row>
    <row r="43" spans="1:27">
      <c r="A43" t="s">
        <v>213</v>
      </c>
      <c r="B43" s="58">
        <v>0.15179999999999999</v>
      </c>
      <c r="C43" s="57">
        <v>0</v>
      </c>
      <c r="D43" s="57"/>
      <c r="E43" s="364">
        <v>0</v>
      </c>
      <c r="F43" s="57">
        <v>0</v>
      </c>
      <c r="G43" s="57"/>
      <c r="H43" s="57">
        <v>0</v>
      </c>
      <c r="I43" s="57">
        <v>0</v>
      </c>
      <c r="J43" s="57"/>
      <c r="K43" s="57">
        <v>0</v>
      </c>
      <c r="L43" s="57">
        <v>0</v>
      </c>
      <c r="M43" s="57"/>
      <c r="N43" s="59">
        <f>+B43</f>
        <v>0.15179999999999999</v>
      </c>
      <c r="O43" s="57">
        <v>0</v>
      </c>
      <c r="P43" s="57"/>
      <c r="Q43" s="57">
        <v>0</v>
      </c>
      <c r="R43" s="57">
        <v>0</v>
      </c>
      <c r="S43" s="57">
        <v>0</v>
      </c>
      <c r="T43" s="57">
        <v>0</v>
      </c>
      <c r="U43" s="43"/>
      <c r="V43" s="43"/>
      <c r="W43" s="43"/>
      <c r="X43" s="43"/>
      <c r="Y43" s="43"/>
      <c r="Z43" s="43"/>
      <c r="AA43" s="43"/>
    </row>
    <row r="44" spans="1:27">
      <c r="A44" t="s">
        <v>0</v>
      </c>
      <c r="B44" s="57"/>
      <c r="C44" s="57"/>
      <c r="D44" s="57"/>
      <c r="E44" s="57"/>
      <c r="F44" s="57"/>
      <c r="G44" s="57"/>
      <c r="H44" s="57"/>
      <c r="I44" s="57"/>
      <c r="J44" s="57"/>
      <c r="K44" s="57"/>
      <c r="L44" s="57"/>
      <c r="M44" s="57"/>
      <c r="N44" s="59"/>
      <c r="O44" s="57"/>
      <c r="P44" s="57"/>
      <c r="Q44" s="57"/>
      <c r="R44" s="57"/>
      <c r="S44" s="57"/>
      <c r="T44" s="57"/>
      <c r="U44" s="43"/>
      <c r="V44" s="43"/>
      <c r="W44" s="43"/>
      <c r="X44" s="43"/>
      <c r="Y44" s="43"/>
      <c r="Z44" s="43"/>
      <c r="AA44" s="43"/>
    </row>
    <row r="45" spans="1:27">
      <c r="A45" s="2" t="s">
        <v>214</v>
      </c>
      <c r="B45" s="57"/>
      <c r="C45" s="57"/>
      <c r="D45" s="57"/>
      <c r="E45" s="57"/>
      <c r="F45" s="57"/>
      <c r="G45" s="57"/>
      <c r="H45" s="57"/>
      <c r="I45" s="57"/>
      <c r="J45" s="57"/>
      <c r="K45" s="57"/>
      <c r="L45" s="57"/>
      <c r="M45" s="57"/>
      <c r="N45" s="59"/>
      <c r="O45" s="57"/>
      <c r="P45" s="57"/>
      <c r="Q45" s="57"/>
      <c r="R45" s="57"/>
      <c r="S45" s="57"/>
      <c r="T45" s="57"/>
      <c r="U45" s="43"/>
      <c r="V45" s="43"/>
      <c r="W45" s="43"/>
      <c r="X45" s="43"/>
      <c r="Y45" s="43"/>
      <c r="Z45" s="43"/>
      <c r="AA45" s="43"/>
    </row>
    <row r="46" spans="1:27">
      <c r="A46" s="2"/>
      <c r="B46" s="57"/>
      <c r="C46" s="57"/>
      <c r="D46" s="57"/>
      <c r="E46" s="57"/>
      <c r="F46" s="57"/>
      <c r="G46" s="57"/>
      <c r="H46" s="57"/>
      <c r="I46" s="57"/>
      <c r="J46" s="57"/>
      <c r="K46" s="57"/>
      <c r="L46" s="57"/>
      <c r="M46" s="57"/>
      <c r="N46" s="59"/>
      <c r="O46" s="57"/>
      <c r="P46" s="57"/>
      <c r="Q46" s="57"/>
      <c r="R46" s="57"/>
      <c r="S46" s="57"/>
      <c r="T46" s="57"/>
      <c r="U46" s="43"/>
      <c r="V46" s="43"/>
      <c r="W46" s="43"/>
      <c r="X46" s="43"/>
      <c r="Y46" s="43"/>
      <c r="Z46" s="43"/>
      <c r="AA46" s="43"/>
    </row>
    <row r="47" spans="1:27">
      <c r="A47" t="s">
        <v>215</v>
      </c>
      <c r="B47" s="57"/>
      <c r="C47" s="57"/>
      <c r="D47" s="57"/>
      <c r="E47" s="57"/>
      <c r="F47" s="57"/>
      <c r="G47" s="57"/>
      <c r="H47" s="57"/>
      <c r="I47" s="57"/>
      <c r="J47" s="57"/>
      <c r="K47" s="57"/>
      <c r="L47" s="57"/>
      <c r="M47" s="57"/>
      <c r="N47" s="59"/>
      <c r="O47" s="57"/>
      <c r="P47" s="57"/>
      <c r="Q47" s="57"/>
      <c r="R47" s="57"/>
      <c r="S47" s="57"/>
      <c r="T47" s="57"/>
      <c r="U47" s="43"/>
      <c r="V47" s="43"/>
      <c r="W47" s="43"/>
      <c r="X47" s="43"/>
      <c r="Y47" s="43"/>
      <c r="Z47" s="43"/>
      <c r="AA47" s="43"/>
    </row>
    <row r="48" spans="1:27">
      <c r="A48" t="s">
        <v>216</v>
      </c>
      <c r="B48" s="57">
        <v>0</v>
      </c>
      <c r="C48" s="57">
        <v>0</v>
      </c>
      <c r="D48" s="57"/>
      <c r="E48" s="57">
        <v>0</v>
      </c>
      <c r="F48" s="57">
        <v>0</v>
      </c>
      <c r="G48" s="57"/>
      <c r="H48" s="57">
        <v>0</v>
      </c>
      <c r="I48" s="57">
        <v>0</v>
      </c>
      <c r="J48" s="57"/>
      <c r="K48" s="57">
        <v>0</v>
      </c>
      <c r="L48" s="57">
        <v>0</v>
      </c>
      <c r="M48" s="57"/>
      <c r="N48" s="57">
        <f>+B48</f>
        <v>0</v>
      </c>
      <c r="O48" s="57">
        <f>+I48</f>
        <v>0</v>
      </c>
      <c r="P48" s="57"/>
      <c r="Q48" s="57">
        <v>0</v>
      </c>
      <c r="R48" s="57">
        <v>0</v>
      </c>
      <c r="S48" s="57">
        <v>0</v>
      </c>
      <c r="T48" s="57">
        <v>0</v>
      </c>
      <c r="U48" s="43"/>
      <c r="V48" s="43"/>
      <c r="W48" s="43"/>
      <c r="X48" s="43"/>
      <c r="Y48" s="43"/>
      <c r="Z48" s="43"/>
      <c r="AA48" s="43"/>
    </row>
    <row r="49" spans="1:27">
      <c r="B49" s="57"/>
      <c r="C49" s="57"/>
      <c r="D49" s="57"/>
      <c r="E49" s="57"/>
      <c r="F49" s="57"/>
      <c r="G49" s="57"/>
      <c r="H49" s="57"/>
      <c r="I49" s="57"/>
      <c r="J49" s="57"/>
      <c r="K49" s="57"/>
      <c r="L49" s="57"/>
      <c r="M49" s="57"/>
      <c r="N49" s="57"/>
      <c r="O49" s="57"/>
      <c r="P49" s="57"/>
      <c r="Q49" s="57"/>
      <c r="R49" s="57"/>
      <c r="S49" s="57"/>
      <c r="T49" s="57"/>
      <c r="U49" s="43"/>
      <c r="V49" s="43"/>
      <c r="W49" s="43"/>
      <c r="X49" s="43"/>
      <c r="Y49" s="43"/>
      <c r="Z49" s="43"/>
      <c r="AA49" s="43"/>
    </row>
    <row r="50" spans="1:27">
      <c r="A50" t="s">
        <v>217</v>
      </c>
      <c r="B50" s="57"/>
      <c r="C50" s="57"/>
      <c r="D50" s="57"/>
      <c r="E50" s="57"/>
      <c r="F50" s="57"/>
      <c r="G50" s="57"/>
      <c r="H50" s="57"/>
      <c r="I50" s="57"/>
      <c r="J50" s="57"/>
      <c r="K50" s="57"/>
      <c r="L50" s="57"/>
      <c r="M50" s="57"/>
      <c r="N50" s="57"/>
      <c r="O50" s="57"/>
      <c r="P50" s="57"/>
      <c r="Q50" s="57"/>
      <c r="R50" s="57"/>
      <c r="S50" s="57"/>
      <c r="T50" s="57"/>
      <c r="U50" s="43"/>
      <c r="V50" s="43"/>
      <c r="W50" s="43"/>
      <c r="X50" s="43"/>
      <c r="Y50" s="43"/>
      <c r="Z50" s="43"/>
      <c r="AA50" s="43"/>
    </row>
    <row r="51" spans="1:27">
      <c r="A51" t="s">
        <v>218</v>
      </c>
      <c r="B51" s="57">
        <v>0</v>
      </c>
      <c r="C51" s="57">
        <v>0</v>
      </c>
      <c r="D51" s="57"/>
      <c r="E51" s="57">
        <v>0</v>
      </c>
      <c r="F51" s="57">
        <v>0</v>
      </c>
      <c r="G51" s="57"/>
      <c r="H51" s="57">
        <v>0</v>
      </c>
      <c r="I51" s="57">
        <v>0</v>
      </c>
      <c r="J51" s="57"/>
      <c r="K51" s="57">
        <v>0</v>
      </c>
      <c r="L51" s="57">
        <v>0</v>
      </c>
      <c r="M51" s="57"/>
      <c r="N51" s="994">
        <f>+H51</f>
        <v>0</v>
      </c>
      <c r="O51" s="57">
        <f>+I51</f>
        <v>0</v>
      </c>
      <c r="P51" s="57"/>
      <c r="Q51" s="57">
        <v>0</v>
      </c>
      <c r="R51" s="57">
        <v>0</v>
      </c>
      <c r="S51" s="57">
        <v>0</v>
      </c>
      <c r="T51" s="57">
        <v>0</v>
      </c>
      <c r="U51" s="43"/>
      <c r="V51" s="43"/>
      <c r="W51" s="43"/>
      <c r="X51" s="43"/>
      <c r="Y51" s="43"/>
      <c r="Z51" s="43"/>
      <c r="AA51" s="43"/>
    </row>
    <row r="52" spans="1:27">
      <c r="B52" s="57"/>
      <c r="C52" s="57"/>
      <c r="D52" s="57"/>
      <c r="E52" s="57"/>
      <c r="F52" s="57"/>
      <c r="G52" s="57"/>
      <c r="H52" s="57"/>
      <c r="I52" s="57"/>
      <c r="J52" s="57"/>
      <c r="K52" s="57"/>
      <c r="L52" s="57"/>
      <c r="M52" s="57"/>
      <c r="N52" s="59"/>
      <c r="O52" s="57"/>
      <c r="P52" s="57"/>
      <c r="Q52" s="57"/>
      <c r="R52" s="57"/>
      <c r="S52" s="57"/>
      <c r="T52" s="57"/>
      <c r="U52" s="43"/>
      <c r="V52" s="43"/>
      <c r="W52" s="43"/>
      <c r="X52" s="43"/>
      <c r="Y52" s="43"/>
      <c r="Z52" s="43"/>
      <c r="AA52" s="43"/>
    </row>
    <row r="53" spans="1:27">
      <c r="A53" t="s">
        <v>219</v>
      </c>
      <c r="B53" s="57"/>
      <c r="C53" s="57"/>
      <c r="D53" s="57"/>
      <c r="E53" s="57"/>
      <c r="F53" s="57"/>
      <c r="G53" s="57"/>
      <c r="H53" s="57"/>
      <c r="I53" s="57"/>
      <c r="J53" s="57"/>
      <c r="K53" s="57"/>
      <c r="L53" s="57"/>
      <c r="M53" s="57"/>
      <c r="N53" s="59"/>
      <c r="O53" s="57"/>
      <c r="P53" s="57"/>
      <c r="Q53" s="57"/>
      <c r="R53" s="57"/>
      <c r="S53" s="57"/>
      <c r="T53" s="57"/>
      <c r="U53" s="43"/>
      <c r="V53" s="43"/>
      <c r="W53" s="43"/>
      <c r="X53" s="43"/>
      <c r="Y53" s="43"/>
      <c r="Z53" s="43"/>
      <c r="AA53" s="43"/>
    </row>
    <row r="54" spans="1:27">
      <c r="A54" t="s">
        <v>220</v>
      </c>
      <c r="B54" s="59">
        <v>-6.7000000000000002E-3</v>
      </c>
      <c r="C54" s="57">
        <v>0</v>
      </c>
      <c r="D54" s="57"/>
      <c r="E54" s="57">
        <v>0</v>
      </c>
      <c r="F54" s="57">
        <v>0</v>
      </c>
      <c r="G54" s="57"/>
      <c r="H54" s="57">
        <v>0</v>
      </c>
      <c r="I54" s="57">
        <v>0</v>
      </c>
      <c r="J54" s="57"/>
      <c r="K54" s="57">
        <v>0</v>
      </c>
      <c r="L54" s="57">
        <v>0</v>
      </c>
      <c r="M54" s="57"/>
      <c r="N54" s="59">
        <f>+B54</f>
        <v>-6.7000000000000002E-3</v>
      </c>
      <c r="O54" s="57">
        <f>+I54</f>
        <v>0</v>
      </c>
      <c r="P54" s="57"/>
      <c r="Q54" s="57">
        <v>0</v>
      </c>
      <c r="R54" s="57">
        <v>0</v>
      </c>
      <c r="S54" s="57">
        <v>0</v>
      </c>
      <c r="T54" s="57">
        <v>0</v>
      </c>
      <c r="U54" s="43"/>
      <c r="V54" s="43"/>
      <c r="W54" s="43"/>
      <c r="X54" s="43"/>
      <c r="Y54" s="43"/>
      <c r="Z54" s="43"/>
      <c r="AA54" s="43"/>
    </row>
    <row r="55" spans="1:27">
      <c r="A55" t="s">
        <v>0</v>
      </c>
      <c r="B55" s="57"/>
      <c r="C55" s="57"/>
      <c r="D55" s="57"/>
      <c r="E55" s="57"/>
      <c r="F55" s="57"/>
      <c r="G55" s="57"/>
      <c r="H55" s="57"/>
      <c r="I55" s="57"/>
      <c r="J55" s="57"/>
      <c r="K55" s="57"/>
      <c r="L55" s="57"/>
      <c r="M55" s="57"/>
      <c r="N55" s="57"/>
      <c r="O55" s="57"/>
      <c r="P55" s="57"/>
      <c r="Q55" s="57"/>
      <c r="R55" s="57"/>
      <c r="S55" s="57"/>
      <c r="T55" s="57"/>
      <c r="U55" s="43"/>
      <c r="V55" s="43"/>
      <c r="W55" s="43"/>
      <c r="X55" s="43"/>
      <c r="Y55" s="43"/>
      <c r="Z55" s="43"/>
      <c r="AA55" s="43"/>
    </row>
    <row r="56" spans="1:27">
      <c r="A56" s="2" t="s">
        <v>221</v>
      </c>
      <c r="B56" s="57"/>
      <c r="C56" s="57"/>
      <c r="D56" s="57"/>
      <c r="E56" s="57"/>
      <c r="F56" s="57"/>
      <c r="G56" s="57"/>
      <c r="H56" s="57"/>
      <c r="I56" s="57"/>
      <c r="J56" s="57"/>
      <c r="K56" s="57"/>
      <c r="L56" s="57"/>
      <c r="M56" s="57"/>
      <c r="N56" s="57"/>
      <c r="O56" s="57"/>
      <c r="P56" s="57"/>
      <c r="Q56" s="57"/>
      <c r="R56" s="57"/>
      <c r="S56" s="57"/>
      <c r="T56" s="57"/>
      <c r="U56" s="43"/>
      <c r="V56" s="43"/>
      <c r="W56" s="43"/>
      <c r="X56" s="43"/>
      <c r="Y56" s="43"/>
      <c r="Z56" s="43"/>
      <c r="AA56" s="43"/>
    </row>
    <row r="57" spans="1:27">
      <c r="A57" s="2"/>
      <c r="B57" s="57"/>
      <c r="C57" s="57"/>
      <c r="D57" s="57"/>
      <c r="E57" s="57"/>
      <c r="F57" s="57"/>
      <c r="G57" s="57"/>
      <c r="H57" s="57"/>
      <c r="I57" s="57"/>
      <c r="J57" s="57"/>
      <c r="K57" s="57"/>
      <c r="L57" s="57"/>
      <c r="M57" s="57"/>
      <c r="N57" s="57"/>
      <c r="O57" s="57"/>
      <c r="P57" s="57"/>
      <c r="Q57" s="57"/>
      <c r="R57" s="57"/>
      <c r="S57" s="57"/>
      <c r="T57" s="57"/>
      <c r="U57" s="43"/>
      <c r="V57" s="43"/>
      <c r="W57" s="43"/>
      <c r="X57" s="43"/>
      <c r="Y57" s="43"/>
      <c r="Z57" s="43"/>
      <c r="AA57" s="43"/>
    </row>
    <row r="58" spans="1:27">
      <c r="A58" t="s">
        <v>222</v>
      </c>
      <c r="B58" s="59">
        <v>-0.1187</v>
      </c>
      <c r="C58" s="57">
        <v>0</v>
      </c>
      <c r="D58" s="57"/>
      <c r="E58" s="57">
        <v>0</v>
      </c>
      <c r="F58" s="57">
        <v>0</v>
      </c>
      <c r="G58" s="57"/>
      <c r="H58" s="57">
        <v>0</v>
      </c>
      <c r="I58" s="57">
        <v>0</v>
      </c>
      <c r="J58" s="57"/>
      <c r="K58" s="57">
        <v>0</v>
      </c>
      <c r="L58" s="57">
        <v>0</v>
      </c>
      <c r="M58" s="57"/>
      <c r="N58" s="59">
        <f>+B58</f>
        <v>-0.1187</v>
      </c>
      <c r="O58" s="57">
        <v>0</v>
      </c>
      <c r="P58" s="57"/>
      <c r="Q58" s="57">
        <v>0</v>
      </c>
      <c r="R58" s="57">
        <v>0</v>
      </c>
      <c r="S58" s="57">
        <v>0</v>
      </c>
      <c r="T58" s="57">
        <v>0</v>
      </c>
      <c r="U58" s="43"/>
      <c r="V58" s="43"/>
      <c r="W58" s="43"/>
      <c r="X58" s="43"/>
      <c r="Y58" s="43"/>
      <c r="Z58" s="43"/>
      <c r="AA58" s="43"/>
    </row>
    <row r="59" spans="1:27" ht="7.15" customHeight="1">
      <c r="B59" s="57"/>
      <c r="C59" s="364" t="s">
        <v>0</v>
      </c>
      <c r="D59" s="57"/>
      <c r="E59" s="57"/>
      <c r="F59" s="364" t="s">
        <v>0</v>
      </c>
      <c r="G59" s="57"/>
      <c r="H59" s="57"/>
      <c r="I59" s="57"/>
      <c r="J59" s="57"/>
      <c r="K59" s="57"/>
      <c r="L59" s="57"/>
      <c r="M59" s="57"/>
      <c r="N59" s="364" t="s">
        <v>0</v>
      </c>
      <c r="O59" s="364" t="s">
        <v>0</v>
      </c>
      <c r="P59" s="57"/>
      <c r="Q59" s="57"/>
      <c r="R59" s="57"/>
      <c r="S59" s="57"/>
      <c r="T59" s="57"/>
      <c r="U59" s="43"/>
      <c r="V59" s="43"/>
      <c r="W59" s="43"/>
      <c r="X59" s="43"/>
      <c r="Y59" s="43"/>
      <c r="Z59" s="43"/>
      <c r="AA59" s="43"/>
    </row>
    <row r="60" spans="1:27">
      <c r="A60" t="s">
        <v>547</v>
      </c>
      <c r="B60" s="59">
        <v>-0.24909999999999999</v>
      </c>
      <c r="C60" s="57">
        <v>0</v>
      </c>
      <c r="D60" s="57"/>
      <c r="E60" s="364">
        <v>0</v>
      </c>
      <c r="F60" s="57">
        <v>0</v>
      </c>
      <c r="G60" s="57"/>
      <c r="H60" s="57">
        <v>0</v>
      </c>
      <c r="I60" s="57">
        <v>0</v>
      </c>
      <c r="J60" s="57"/>
      <c r="K60" s="57">
        <v>0</v>
      </c>
      <c r="L60" s="57">
        <v>0</v>
      </c>
      <c r="M60" s="57"/>
      <c r="N60" s="59">
        <f>+B60</f>
        <v>-0.24909999999999999</v>
      </c>
      <c r="O60" s="57">
        <v>0</v>
      </c>
      <c r="P60" s="57"/>
      <c r="Q60" s="57">
        <v>0</v>
      </c>
      <c r="R60" s="57">
        <v>0</v>
      </c>
      <c r="S60" s="57">
        <v>0</v>
      </c>
      <c r="T60" s="57">
        <v>0</v>
      </c>
      <c r="U60" s="43"/>
      <c r="V60" s="43"/>
      <c r="W60" s="43"/>
      <c r="X60" s="43"/>
      <c r="Y60" s="43"/>
      <c r="Z60" s="43"/>
      <c r="AA60" s="43"/>
    </row>
    <row r="61" spans="1:27" ht="7.15" customHeight="1">
      <c r="B61" s="57"/>
      <c r="C61" s="57"/>
      <c r="D61" s="57"/>
      <c r="E61" s="57"/>
      <c r="F61" s="57"/>
      <c r="G61" s="57"/>
      <c r="H61" s="57"/>
      <c r="I61" s="57"/>
      <c r="J61" s="57"/>
      <c r="K61" s="57"/>
      <c r="L61" s="57"/>
      <c r="M61" s="57"/>
      <c r="N61" s="57"/>
      <c r="O61" s="57"/>
      <c r="P61" s="57"/>
      <c r="Q61" s="57"/>
      <c r="R61" s="57"/>
      <c r="S61" s="57"/>
      <c r="T61" s="57"/>
      <c r="U61" s="43"/>
      <c r="V61" s="43"/>
      <c r="W61" s="43"/>
      <c r="X61" s="43"/>
      <c r="Y61" s="43"/>
      <c r="Z61" s="43"/>
      <c r="AA61" s="43"/>
    </row>
    <row r="62" spans="1:27">
      <c r="A62" t="s">
        <v>201</v>
      </c>
      <c r="B62" s="57"/>
      <c r="C62" s="57"/>
      <c r="D62" s="57"/>
      <c r="E62" s="57"/>
      <c r="F62" s="57"/>
      <c r="G62" s="57"/>
      <c r="H62" s="57"/>
      <c r="I62" s="57"/>
      <c r="J62" s="57"/>
      <c r="K62" s="57"/>
      <c r="L62" s="57"/>
      <c r="M62" s="57"/>
      <c r="N62" s="57"/>
      <c r="O62" s="57"/>
      <c r="P62" s="57"/>
      <c r="Q62" s="57"/>
      <c r="R62" s="57"/>
      <c r="S62" s="57"/>
      <c r="T62" s="57"/>
      <c r="U62" s="43"/>
      <c r="V62" s="43"/>
      <c r="W62" s="43"/>
      <c r="X62" s="43"/>
      <c r="Y62" s="43"/>
      <c r="Z62" s="43"/>
      <c r="AA62" s="43"/>
    </row>
    <row r="63" spans="1:27">
      <c r="A63" t="s">
        <v>225</v>
      </c>
      <c r="B63" s="59">
        <v>0.57989999999999997</v>
      </c>
      <c r="C63" s="57">
        <v>0</v>
      </c>
      <c r="D63" s="57"/>
      <c r="E63" s="57">
        <v>0</v>
      </c>
      <c r="F63" s="57">
        <v>0</v>
      </c>
      <c r="G63" s="57"/>
      <c r="H63" s="57">
        <v>0</v>
      </c>
      <c r="I63" s="57">
        <v>0</v>
      </c>
      <c r="J63" s="57"/>
      <c r="K63" s="57">
        <v>0</v>
      </c>
      <c r="L63" s="57">
        <v>0</v>
      </c>
      <c r="M63" s="57"/>
      <c r="N63" s="59">
        <f>+B63</f>
        <v>0.57989999999999997</v>
      </c>
      <c r="O63" s="57">
        <v>0</v>
      </c>
      <c r="P63" s="57"/>
      <c r="Q63" s="57">
        <v>0</v>
      </c>
      <c r="R63" s="57">
        <v>0</v>
      </c>
      <c r="S63" s="434">
        <v>0</v>
      </c>
      <c r="T63" s="57">
        <v>0</v>
      </c>
      <c r="U63" s="43"/>
      <c r="V63" s="43"/>
      <c r="W63" s="43"/>
      <c r="X63" s="43"/>
      <c r="Y63" s="43"/>
      <c r="Z63" s="43"/>
      <c r="AA63" s="43"/>
    </row>
    <row r="64" spans="1:27" ht="7.15" customHeight="1">
      <c r="B64" s="57"/>
      <c r="C64" s="57"/>
      <c r="D64" s="57"/>
      <c r="E64" s="57"/>
      <c r="F64" s="57"/>
      <c r="G64" s="57"/>
      <c r="H64" s="57"/>
      <c r="I64" s="57"/>
      <c r="J64" s="57"/>
      <c r="K64" s="57"/>
      <c r="L64" s="57"/>
      <c r="M64" s="57"/>
      <c r="N64" s="57"/>
      <c r="O64" s="57"/>
      <c r="P64" s="57"/>
      <c r="Q64" s="57"/>
      <c r="R64" s="57"/>
      <c r="S64" s="57"/>
      <c r="T64" s="57"/>
      <c r="U64" s="43"/>
      <c r="V64" s="43"/>
      <c r="W64" s="43"/>
      <c r="X64" s="43"/>
      <c r="Y64" s="43"/>
      <c r="Z64" s="43"/>
      <c r="AA64" s="43"/>
    </row>
    <row r="65" spans="1:20">
      <c r="A65" t="s">
        <v>226</v>
      </c>
      <c r="B65" s="59">
        <v>5.8599999999999999E-2</v>
      </c>
      <c r="C65" s="57">
        <v>0</v>
      </c>
      <c r="D65" s="49"/>
      <c r="E65" s="57">
        <v>0</v>
      </c>
      <c r="F65" s="57">
        <v>0</v>
      </c>
      <c r="G65" s="49"/>
      <c r="H65" s="57">
        <v>0</v>
      </c>
      <c r="I65" s="57">
        <v>0</v>
      </c>
      <c r="J65" s="49"/>
      <c r="K65" s="57">
        <v>0</v>
      </c>
      <c r="L65" s="57">
        <v>0</v>
      </c>
      <c r="M65" s="9"/>
      <c r="N65" s="59">
        <f>+B65</f>
        <v>5.8599999999999999E-2</v>
      </c>
      <c r="O65" s="57">
        <v>0</v>
      </c>
      <c r="P65" s="9"/>
      <c r="Q65" s="57">
        <v>0</v>
      </c>
      <c r="R65" s="57">
        <v>0</v>
      </c>
      <c r="S65" s="57">
        <v>0</v>
      </c>
      <c r="T65" s="57">
        <v>0</v>
      </c>
    </row>
    <row r="66" spans="1:20" ht="7.15" customHeight="1">
      <c r="B66" s="57"/>
      <c r="C66" s="57"/>
      <c r="D66" s="49"/>
      <c r="E66" s="57"/>
      <c r="F66" s="57"/>
      <c r="G66" s="49"/>
      <c r="H66" s="57"/>
      <c r="I66" s="57"/>
      <c r="J66" s="49"/>
      <c r="K66" s="57"/>
      <c r="L66" s="57"/>
      <c r="M66" s="9"/>
      <c r="N66" s="57"/>
      <c r="O66" s="57"/>
      <c r="P66" s="9"/>
      <c r="Q66" s="57"/>
      <c r="R66" s="57"/>
      <c r="S66" s="57"/>
      <c r="T66" s="57"/>
    </row>
    <row r="67" spans="1:20">
      <c r="A67" t="s">
        <v>227</v>
      </c>
      <c r="B67" s="59">
        <v>5.6500000000000002E-2</v>
      </c>
      <c r="C67" s="57">
        <v>0</v>
      </c>
      <c r="D67" s="49"/>
      <c r="E67" s="57">
        <v>0</v>
      </c>
      <c r="F67" s="57">
        <v>0</v>
      </c>
      <c r="G67" s="49"/>
      <c r="H67" s="57">
        <v>0</v>
      </c>
      <c r="I67" s="57">
        <v>0</v>
      </c>
      <c r="J67" s="49"/>
      <c r="K67" s="57">
        <v>0</v>
      </c>
      <c r="L67" s="57">
        <v>0</v>
      </c>
      <c r="M67" s="9"/>
      <c r="N67" s="59">
        <f>+B67</f>
        <v>5.6500000000000002E-2</v>
      </c>
      <c r="O67" s="57">
        <v>0</v>
      </c>
      <c r="P67" s="9"/>
      <c r="Q67" s="57">
        <v>0</v>
      </c>
      <c r="R67" s="57">
        <v>0</v>
      </c>
      <c r="S67" s="57">
        <v>0</v>
      </c>
      <c r="T67" s="57">
        <v>0</v>
      </c>
    </row>
    <row r="68" spans="1:20" ht="6" customHeight="1">
      <c r="B68" s="57"/>
      <c r="C68" s="57"/>
      <c r="D68" s="49"/>
      <c r="E68" s="57"/>
      <c r="F68" s="57"/>
      <c r="G68" s="49"/>
      <c r="H68" s="57"/>
      <c r="I68" s="57"/>
      <c r="J68" s="49"/>
      <c r="K68" s="57"/>
      <c r="L68" s="57"/>
      <c r="M68" s="9"/>
      <c r="N68" s="57"/>
      <c r="O68" s="57"/>
      <c r="P68" s="9"/>
      <c r="Q68" s="57"/>
      <c r="R68" s="57"/>
      <c r="S68" s="57"/>
      <c r="T68" s="57"/>
    </row>
    <row r="69" spans="1:20">
      <c r="A69" t="s">
        <v>204</v>
      </c>
      <c r="B69" s="57"/>
      <c r="C69" s="57"/>
      <c r="D69" s="49"/>
      <c r="E69" s="57"/>
      <c r="F69" s="57"/>
      <c r="G69" s="49"/>
      <c r="H69" s="57"/>
      <c r="I69" s="57"/>
      <c r="J69" s="49"/>
      <c r="K69" s="57"/>
      <c r="L69" s="57"/>
      <c r="M69" s="9"/>
      <c r="N69" s="57"/>
      <c r="O69" s="57"/>
      <c r="P69" s="9"/>
      <c r="Q69" s="57"/>
      <c r="R69" s="57"/>
      <c r="S69" s="57"/>
      <c r="T69" s="57"/>
    </row>
    <row r="70" spans="1:20">
      <c r="A70" t="s">
        <v>228</v>
      </c>
      <c r="B70" s="59">
        <v>16.9803</v>
      </c>
      <c r="C70" s="57">
        <v>0</v>
      </c>
      <c r="D70" s="49"/>
      <c r="E70" s="57">
        <v>0</v>
      </c>
      <c r="F70" s="57">
        <v>0</v>
      </c>
      <c r="G70" s="49"/>
      <c r="H70" s="57">
        <v>0</v>
      </c>
      <c r="I70" s="57">
        <v>0</v>
      </c>
      <c r="J70" s="49"/>
      <c r="K70" s="57">
        <v>0</v>
      </c>
      <c r="L70" s="57">
        <v>0</v>
      </c>
      <c r="M70" s="9"/>
      <c r="N70" s="59">
        <f>+B70</f>
        <v>16.9803</v>
      </c>
      <c r="O70" s="57">
        <v>0</v>
      </c>
      <c r="P70" s="9"/>
      <c r="Q70" s="57">
        <v>0</v>
      </c>
      <c r="R70" s="57">
        <v>0</v>
      </c>
      <c r="S70" s="1105">
        <v>0</v>
      </c>
      <c r="T70" s="57">
        <v>0</v>
      </c>
    </row>
    <row r="71" spans="1:20">
      <c r="A71" t="s">
        <v>452</v>
      </c>
      <c r="B71" s="57"/>
      <c r="C71" s="49"/>
      <c r="D71" s="49"/>
      <c r="E71" s="57"/>
      <c r="F71" s="49"/>
      <c r="G71" s="49"/>
      <c r="H71" s="57"/>
      <c r="I71" s="57"/>
      <c r="J71" s="49"/>
      <c r="K71" s="57"/>
      <c r="L71" s="57"/>
      <c r="M71" s="9"/>
      <c r="N71" s="57"/>
      <c r="O71" s="57"/>
      <c r="P71" s="9"/>
      <c r="Q71" s="57"/>
      <c r="R71" s="57"/>
      <c r="S71" s="57"/>
      <c r="T71" s="9"/>
    </row>
    <row r="72" spans="1:20">
      <c r="B72" s="57"/>
      <c r="C72" s="49"/>
      <c r="D72" s="49"/>
      <c r="E72" s="57"/>
      <c r="F72" s="49"/>
      <c r="G72" s="49"/>
      <c r="H72" s="57"/>
      <c r="I72" s="57"/>
      <c r="J72" s="49"/>
      <c r="K72" s="57"/>
      <c r="L72" s="57"/>
      <c r="M72" s="9"/>
      <c r="N72" s="57"/>
      <c r="O72" s="57"/>
      <c r="P72" s="9"/>
      <c r="Q72" s="57"/>
      <c r="R72" s="57"/>
      <c r="S72" s="57"/>
      <c r="T72" s="9"/>
    </row>
    <row r="73" spans="1:20">
      <c r="A73" t="s">
        <v>453</v>
      </c>
      <c r="B73" s="57">
        <v>292.85000000000002</v>
      </c>
      <c r="C73" s="364">
        <v>0</v>
      </c>
      <c r="D73" s="49"/>
      <c r="E73" s="57">
        <v>0</v>
      </c>
      <c r="F73" s="57">
        <v>0</v>
      </c>
      <c r="G73" s="49"/>
      <c r="H73" s="57">
        <v>0</v>
      </c>
      <c r="I73" s="57">
        <v>0</v>
      </c>
      <c r="J73" s="49"/>
      <c r="K73" s="57">
        <v>0</v>
      </c>
      <c r="L73" s="57">
        <v>0</v>
      </c>
      <c r="M73" s="9"/>
      <c r="N73" s="57">
        <v>0</v>
      </c>
      <c r="O73" s="57">
        <v>0</v>
      </c>
      <c r="P73" s="9"/>
      <c r="Q73" s="57">
        <v>0</v>
      </c>
      <c r="R73" s="57">
        <v>0</v>
      </c>
      <c r="S73" s="57">
        <v>0</v>
      </c>
      <c r="T73" s="9"/>
    </row>
    <row r="74" spans="1:20" ht="16.5" thickBot="1">
      <c r="B74" s="19"/>
      <c r="C74" s="19"/>
      <c r="D74" s="19"/>
      <c r="E74" s="19"/>
      <c r="F74" s="19"/>
      <c r="G74" s="19"/>
      <c r="H74" s="19"/>
      <c r="I74" s="19"/>
      <c r="J74" s="19"/>
      <c r="K74" s="19"/>
      <c r="L74" s="19"/>
      <c r="M74" s="19"/>
      <c r="N74" s="19"/>
      <c r="O74" s="19"/>
      <c r="P74" s="19"/>
      <c r="Q74" s="19"/>
      <c r="R74" s="19"/>
      <c r="S74" s="19"/>
      <c r="T74" s="19"/>
    </row>
    <row r="76" spans="1:20">
      <c r="A76" t="s">
        <v>0</v>
      </c>
    </row>
  </sheetData>
  <pageMargins left="0.2" right="0.2" top="0.55000000000000004" bottom="0.48" header="0.39" footer="0.27"/>
  <pageSetup scale="44" orientation="landscape" r:id="rId1"/>
  <headerFooter alignWithMargins="0">
    <oddFooter>&amp;R&amp;16&amp;P</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69"/>
  <sheetViews>
    <sheetView topLeftCell="A45" workbookViewId="0">
      <selection activeCell="B60" sqref="B60"/>
    </sheetView>
  </sheetViews>
  <sheetFormatPr defaultRowHeight="15.75"/>
  <cols>
    <col min="1" max="1" width="33.25" customWidth="1"/>
    <col min="2" max="2" width="17.37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11.3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8" width="15.75" style="12" customWidth="1"/>
    <col min="19" max="21" width="15.75" customWidth="1"/>
    <col min="22" max="256" width="11" customWidth="1"/>
  </cols>
  <sheetData>
    <row r="1" spans="1:21">
      <c r="A1" s="114" t="s">
        <v>542</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6" spans="1:21" s="2" customFormat="1" ht="16.5" thickBot="1">
      <c r="B6" s="400" t="s">
        <v>0</v>
      </c>
      <c r="C6" s="399"/>
      <c r="D6" s="400"/>
      <c r="E6" s="399"/>
      <c r="F6" s="400"/>
      <c r="G6" s="399"/>
      <c r="H6" s="400"/>
      <c r="I6" s="67" t="s">
        <v>166</v>
      </c>
      <c r="J6" s="123" t="s">
        <v>167</v>
      </c>
      <c r="K6" s="230"/>
      <c r="L6" s="123"/>
      <c r="M6" s="230"/>
      <c r="N6" s="123"/>
      <c r="O6" s="230"/>
      <c r="P6" s="123"/>
      <c r="Q6" s="4"/>
      <c r="R6" s="4"/>
    </row>
    <row r="7" spans="1:21" s="2" customFormat="1" ht="16.5" thickBot="1">
      <c r="B7" s="225" t="s">
        <v>168</v>
      </c>
      <c r="C7" s="224" t="s">
        <v>169</v>
      </c>
      <c r="D7" s="225" t="s">
        <v>170</v>
      </c>
      <c r="E7" s="224" t="s">
        <v>169</v>
      </c>
      <c r="F7" s="225" t="s">
        <v>171</v>
      </c>
      <c r="G7" s="224" t="s">
        <v>169</v>
      </c>
      <c r="H7" s="225" t="s">
        <v>172</v>
      </c>
      <c r="I7" s="445" t="s">
        <v>173</v>
      </c>
      <c r="J7" s="228" t="s">
        <v>174</v>
      </c>
      <c r="K7" s="227" t="s">
        <v>169</v>
      </c>
      <c r="L7" s="228" t="s">
        <v>175</v>
      </c>
      <c r="M7" s="227" t="s">
        <v>169</v>
      </c>
      <c r="N7" s="228" t="s">
        <v>176</v>
      </c>
      <c r="O7" s="227" t="s">
        <v>169</v>
      </c>
      <c r="P7" s="228" t="s">
        <v>177</v>
      </c>
      <c r="Q7" s="80"/>
      <c r="R7" s="80"/>
      <c r="S7" s="18"/>
      <c r="T7" s="18"/>
      <c r="U7" s="18"/>
    </row>
    <row r="8" spans="1:21">
      <c r="A8" s="87" t="s">
        <v>243</v>
      </c>
      <c r="B8" s="125"/>
      <c r="C8" s="124"/>
      <c r="D8" s="125"/>
      <c r="E8" s="124"/>
      <c r="F8" s="125"/>
      <c r="G8" s="124"/>
      <c r="H8" s="125"/>
      <c r="I8" s="386"/>
      <c r="J8" s="219"/>
      <c r="K8" s="124"/>
      <c r="L8" s="219"/>
      <c r="M8" s="124"/>
      <c r="N8" s="219"/>
      <c r="O8" s="124"/>
      <c r="P8" s="219"/>
      <c r="Q8" s="14"/>
      <c r="R8" s="14"/>
      <c r="S8" s="9"/>
      <c r="T8" s="9"/>
      <c r="U8" s="9"/>
    </row>
    <row r="9" spans="1:21">
      <c r="A9" s="1" t="s">
        <v>264</v>
      </c>
      <c r="B9"/>
    </row>
    <row r="10" spans="1:21">
      <c r="A10" s="1" t="s">
        <v>265</v>
      </c>
      <c r="B10" s="12">
        <v>97</v>
      </c>
      <c r="C10" s="44">
        <v>0</v>
      </c>
      <c r="D10" s="12">
        <v>0</v>
      </c>
      <c r="E10" s="44">
        <v>0</v>
      </c>
      <c r="F10" s="12">
        <v>0</v>
      </c>
      <c r="G10" s="44">
        <v>0</v>
      </c>
      <c r="H10" s="12">
        <v>0</v>
      </c>
      <c r="I10" s="44">
        <v>0</v>
      </c>
      <c r="J10" s="12">
        <v>0</v>
      </c>
      <c r="K10" s="12">
        <v>0</v>
      </c>
      <c r="L10" s="12">
        <v>0</v>
      </c>
      <c r="M10" s="44">
        <v>0</v>
      </c>
      <c r="N10" s="12">
        <v>0</v>
      </c>
      <c r="O10" s="44">
        <v>0</v>
      </c>
      <c r="P10" s="12">
        <v>0</v>
      </c>
    </row>
    <row r="11" spans="1:21">
      <c r="A11" s="1" t="s">
        <v>266</v>
      </c>
      <c r="B11" s="12">
        <v>2611.8000000000002</v>
      </c>
      <c r="C11" s="44">
        <v>0</v>
      </c>
      <c r="D11" s="12">
        <v>0</v>
      </c>
      <c r="E11" s="44">
        <v>0</v>
      </c>
      <c r="F11" s="12">
        <v>0</v>
      </c>
      <c r="G11" s="44">
        <v>0</v>
      </c>
      <c r="H11" s="12">
        <v>0</v>
      </c>
      <c r="I11" s="44">
        <v>0</v>
      </c>
      <c r="J11" s="12">
        <v>0</v>
      </c>
      <c r="K11" s="12">
        <v>0</v>
      </c>
      <c r="L11" s="12">
        <v>0</v>
      </c>
      <c r="M11" s="44">
        <v>0</v>
      </c>
      <c r="N11" s="12">
        <v>0</v>
      </c>
      <c r="O11" s="44">
        <v>0</v>
      </c>
      <c r="P11" s="12">
        <v>0</v>
      </c>
    </row>
    <row r="12" spans="1:21">
      <c r="A12" s="1" t="s">
        <v>267</v>
      </c>
      <c r="B12" s="12">
        <v>2091.6</v>
      </c>
      <c r="C12" s="44">
        <v>0</v>
      </c>
      <c r="D12" s="12">
        <v>0</v>
      </c>
      <c r="E12" s="44">
        <v>0</v>
      </c>
      <c r="F12" s="12">
        <v>0</v>
      </c>
      <c r="G12" s="44">
        <v>0</v>
      </c>
      <c r="H12" s="12">
        <v>0</v>
      </c>
      <c r="I12" s="44">
        <v>0</v>
      </c>
      <c r="J12" s="12">
        <v>0</v>
      </c>
      <c r="K12" s="12">
        <v>0</v>
      </c>
      <c r="L12" s="12">
        <v>0</v>
      </c>
      <c r="M12" s="44">
        <v>0</v>
      </c>
      <c r="N12" s="12">
        <v>0</v>
      </c>
      <c r="O12" s="44">
        <v>0</v>
      </c>
      <c r="P12" s="12">
        <v>0</v>
      </c>
    </row>
    <row r="13" spans="1:21">
      <c r="A13" s="1" t="s">
        <v>268</v>
      </c>
      <c r="B13" s="12">
        <v>360.3</v>
      </c>
      <c r="C13" s="44">
        <v>0</v>
      </c>
      <c r="D13" s="12">
        <v>0</v>
      </c>
      <c r="E13" s="44">
        <v>0</v>
      </c>
      <c r="F13" s="12">
        <f>+F75</f>
        <v>0</v>
      </c>
      <c r="G13" s="44">
        <v>0</v>
      </c>
      <c r="H13" s="12">
        <v>0</v>
      </c>
      <c r="I13" s="44">
        <v>0</v>
      </c>
      <c r="J13" s="12">
        <v>0</v>
      </c>
      <c r="K13" s="12">
        <v>0</v>
      </c>
      <c r="L13" s="12">
        <v>0</v>
      </c>
      <c r="M13" s="44">
        <v>0</v>
      </c>
      <c r="N13" s="12">
        <v>0</v>
      </c>
      <c r="O13" s="44">
        <v>0</v>
      </c>
      <c r="P13" s="12">
        <v>0</v>
      </c>
    </row>
    <row r="14" spans="1:21">
      <c r="A14" s="1" t="s">
        <v>269</v>
      </c>
      <c r="B14" s="221">
        <v>0</v>
      </c>
      <c r="C14" s="44">
        <v>0</v>
      </c>
      <c r="D14" s="221">
        <v>0</v>
      </c>
      <c r="E14" s="44">
        <v>0</v>
      </c>
      <c r="F14" s="221">
        <v>0</v>
      </c>
      <c r="G14" s="44">
        <v>0</v>
      </c>
      <c r="H14" s="221">
        <v>0</v>
      </c>
      <c r="I14" s="44">
        <v>0</v>
      </c>
      <c r="J14" s="221">
        <v>0</v>
      </c>
      <c r="K14" s="221">
        <v>0</v>
      </c>
      <c r="L14" s="221">
        <v>0</v>
      </c>
      <c r="M14" s="44">
        <v>0</v>
      </c>
      <c r="N14" s="221">
        <v>0</v>
      </c>
      <c r="O14" s="44">
        <v>0</v>
      </c>
      <c r="P14" s="221">
        <v>0</v>
      </c>
    </row>
    <row r="15" spans="1:21" ht="15.6" customHeight="1">
      <c r="A15" s="1"/>
      <c r="B15" s="12">
        <f>SUM(B10:B14)</f>
        <v>5160.7</v>
      </c>
      <c r="C15" s="44">
        <v>0</v>
      </c>
      <c r="D15" s="12">
        <f>SUM(D10:D14)</f>
        <v>0</v>
      </c>
      <c r="E15" s="44">
        <v>0</v>
      </c>
      <c r="F15" s="12">
        <f>SUM(F10:F14)</f>
        <v>0</v>
      </c>
      <c r="G15" s="44">
        <v>0</v>
      </c>
      <c r="H15" s="12">
        <f>SUM(H10:H14)</f>
        <v>0</v>
      </c>
      <c r="I15" s="44">
        <v>0</v>
      </c>
      <c r="J15" s="12">
        <f>SUM(J10:J14)</f>
        <v>0</v>
      </c>
      <c r="K15" s="12">
        <f>SUM(K10:K14)</f>
        <v>0</v>
      </c>
      <c r="L15" s="12">
        <f>SUM(L10:L14)</f>
        <v>0</v>
      </c>
      <c r="M15" s="44">
        <v>0</v>
      </c>
      <c r="N15" s="12">
        <f>SUM(N10:N14)</f>
        <v>0</v>
      </c>
      <c r="O15" s="44">
        <v>0</v>
      </c>
      <c r="P15" s="12">
        <f>SUM(P10:P14)</f>
        <v>0</v>
      </c>
    </row>
    <row r="16" spans="1:21" ht="7.9" customHeight="1">
      <c r="A16" s="1"/>
      <c r="C16" s="44" t="s">
        <v>0</v>
      </c>
      <c r="E16" s="44" t="s">
        <v>0</v>
      </c>
      <c r="G16" s="44" t="s">
        <v>0</v>
      </c>
      <c r="I16" s="44" t="s">
        <v>0</v>
      </c>
      <c r="K16" s="12"/>
      <c r="M16" s="44" t="s">
        <v>0</v>
      </c>
      <c r="O16" s="44" t="s">
        <v>0</v>
      </c>
    </row>
    <row r="17" spans="1:16" ht="15.6" customHeight="1">
      <c r="A17" s="1" t="s">
        <v>270</v>
      </c>
      <c r="B17" s="12">
        <v>0</v>
      </c>
      <c r="C17" s="44">
        <v>0</v>
      </c>
      <c r="D17" s="12">
        <v>0</v>
      </c>
      <c r="E17" s="44">
        <v>0</v>
      </c>
      <c r="F17" s="12">
        <v>0</v>
      </c>
      <c r="G17" s="44">
        <v>0</v>
      </c>
      <c r="H17" s="12">
        <v>0</v>
      </c>
      <c r="I17" s="44">
        <v>0</v>
      </c>
      <c r="J17" s="12">
        <v>0</v>
      </c>
      <c r="K17" s="12">
        <v>0</v>
      </c>
      <c r="L17" s="12">
        <v>0</v>
      </c>
      <c r="M17" s="44">
        <v>0</v>
      </c>
      <c r="N17" s="12">
        <v>0</v>
      </c>
      <c r="O17" s="44">
        <v>0</v>
      </c>
      <c r="P17" s="12">
        <v>0</v>
      </c>
    </row>
    <row r="18" spans="1:16">
      <c r="A18" s="1" t="s">
        <v>271</v>
      </c>
      <c r="B18" s="12">
        <v>2973.6</v>
      </c>
      <c r="C18" s="44">
        <v>0</v>
      </c>
      <c r="D18" s="12">
        <f>+D80</f>
        <v>0</v>
      </c>
      <c r="E18" s="44">
        <v>0</v>
      </c>
      <c r="F18" s="12">
        <f>+F80</f>
        <v>0</v>
      </c>
      <c r="G18" s="44">
        <v>0</v>
      </c>
      <c r="H18" s="12">
        <f>+H80</f>
        <v>0</v>
      </c>
      <c r="I18" s="44">
        <v>0</v>
      </c>
      <c r="J18" s="12">
        <f>+J80</f>
        <v>0</v>
      </c>
      <c r="K18" s="12">
        <v>0</v>
      </c>
      <c r="L18" s="12">
        <f>+L80</f>
        <v>0</v>
      </c>
      <c r="M18" s="44">
        <v>0</v>
      </c>
      <c r="N18" s="12">
        <v>0</v>
      </c>
      <c r="O18" s="44">
        <v>0</v>
      </c>
      <c r="P18" s="12">
        <v>0</v>
      </c>
    </row>
    <row r="19" spans="1:16">
      <c r="A19" s="1" t="s">
        <v>272</v>
      </c>
      <c r="B19" s="12">
        <v>5467.1</v>
      </c>
      <c r="C19" s="44">
        <v>0</v>
      </c>
      <c r="D19" s="12">
        <v>0</v>
      </c>
      <c r="E19" s="44">
        <v>0</v>
      </c>
      <c r="F19" s="12">
        <v>0</v>
      </c>
      <c r="G19" s="44">
        <v>0</v>
      </c>
      <c r="H19" s="12">
        <v>0</v>
      </c>
      <c r="I19" s="44">
        <v>0</v>
      </c>
      <c r="J19" s="12">
        <v>0</v>
      </c>
      <c r="K19" s="12">
        <v>0</v>
      </c>
      <c r="L19" s="12">
        <v>0</v>
      </c>
      <c r="M19" s="44">
        <v>0</v>
      </c>
      <c r="N19" s="12">
        <v>0</v>
      </c>
      <c r="O19" s="44">
        <v>0</v>
      </c>
      <c r="P19" s="12">
        <v>0</v>
      </c>
    </row>
    <row r="20" spans="1:16">
      <c r="A20" s="1" t="s">
        <v>273</v>
      </c>
      <c r="B20" s="12">
        <v>14449.5</v>
      </c>
      <c r="C20" s="44">
        <v>0</v>
      </c>
      <c r="D20" s="12">
        <v>0</v>
      </c>
      <c r="E20" s="44">
        <v>0</v>
      </c>
      <c r="F20" s="12">
        <v>0</v>
      </c>
      <c r="G20" s="44">
        <v>0</v>
      </c>
      <c r="H20" s="12">
        <v>0</v>
      </c>
      <c r="I20" s="44">
        <v>0</v>
      </c>
      <c r="J20" s="12">
        <v>0</v>
      </c>
      <c r="K20" s="12">
        <v>0</v>
      </c>
      <c r="L20" s="12">
        <v>0</v>
      </c>
      <c r="M20" s="44">
        <v>0</v>
      </c>
      <c r="N20" s="12">
        <v>0</v>
      </c>
      <c r="O20" s="44">
        <v>0</v>
      </c>
      <c r="P20" s="12">
        <v>0</v>
      </c>
    </row>
    <row r="21" spans="1:16" ht="16.5" thickBot="1">
      <c r="A21" s="1" t="s">
        <v>274</v>
      </c>
      <c r="B21" s="99">
        <v>110.7</v>
      </c>
      <c r="C21" s="44">
        <v>0</v>
      </c>
      <c r="D21" s="99">
        <v>0</v>
      </c>
      <c r="E21" s="44">
        <v>0</v>
      </c>
      <c r="F21" s="99">
        <v>0</v>
      </c>
      <c r="G21" s="44">
        <v>0</v>
      </c>
      <c r="H21" s="99">
        <v>0</v>
      </c>
      <c r="I21" s="44">
        <v>0</v>
      </c>
      <c r="J21" s="99">
        <v>0</v>
      </c>
      <c r="K21" s="99">
        <v>0</v>
      </c>
      <c r="L21" s="99">
        <v>0</v>
      </c>
      <c r="M21" s="44">
        <v>0</v>
      </c>
      <c r="N21" s="99">
        <v>0</v>
      </c>
      <c r="O21" s="44">
        <v>0</v>
      </c>
      <c r="P21" s="99">
        <v>0</v>
      </c>
    </row>
    <row r="22" spans="1:16">
      <c r="A22" s="1" t="s">
        <v>275</v>
      </c>
      <c r="B22" s="4">
        <f>SUM(B15:B21)</f>
        <v>28161.600000000002</v>
      </c>
      <c r="C22" s="44">
        <v>0</v>
      </c>
      <c r="D22" s="4">
        <f>SUM(D15:D21)</f>
        <v>0</v>
      </c>
      <c r="E22" s="42">
        <v>0</v>
      </c>
      <c r="F22" s="4">
        <f>SUM(F15:F21)</f>
        <v>0</v>
      </c>
      <c r="G22" s="42">
        <v>0</v>
      </c>
      <c r="H22" s="4">
        <f>SUM(H15:H21)</f>
        <v>0</v>
      </c>
      <c r="I22" s="44">
        <v>0</v>
      </c>
      <c r="J22" s="4">
        <f>SUM(J15:J21)</f>
        <v>0</v>
      </c>
      <c r="K22" s="4">
        <f>SUM(K15:K21)</f>
        <v>0</v>
      </c>
      <c r="L22" s="4">
        <f>SUM(L15:L21)</f>
        <v>0</v>
      </c>
      <c r="M22" s="44">
        <v>0</v>
      </c>
      <c r="N22" s="4">
        <f>SUM(N15:N21)</f>
        <v>0</v>
      </c>
      <c r="O22" s="44">
        <v>0</v>
      </c>
      <c r="P22" s="4">
        <f>SUM(P15:P21)</f>
        <v>0</v>
      </c>
    </row>
    <row r="23" spans="1:16" ht="7.9" customHeight="1">
      <c r="A23" s="1"/>
      <c r="C23" s="44" t="s">
        <v>0</v>
      </c>
      <c r="E23" s="44" t="s">
        <v>0</v>
      </c>
      <c r="G23" s="44" t="s">
        <v>0</v>
      </c>
      <c r="I23" s="44" t="s">
        <v>0</v>
      </c>
      <c r="K23" s="12"/>
      <c r="M23" s="44" t="s">
        <v>0</v>
      </c>
      <c r="O23" s="44" t="s">
        <v>0</v>
      </c>
    </row>
    <row r="24" spans="1:16">
      <c r="A24" s="87" t="s">
        <v>276</v>
      </c>
      <c r="C24" s="44" t="s">
        <v>0</v>
      </c>
      <c r="E24" s="44" t="s">
        <v>0</v>
      </c>
      <c r="G24" s="44" t="s">
        <v>0</v>
      </c>
      <c r="I24" s="44" t="s">
        <v>0</v>
      </c>
      <c r="K24" s="12"/>
      <c r="M24" s="44" t="s">
        <v>0</v>
      </c>
      <c r="O24" s="44" t="s">
        <v>0</v>
      </c>
    </row>
    <row r="25" spans="1:16">
      <c r="A25" s="1" t="s">
        <v>277</v>
      </c>
      <c r="C25" s="44" t="s">
        <v>0</v>
      </c>
      <c r="E25" s="44" t="s">
        <v>0</v>
      </c>
      <c r="G25" s="44" t="s">
        <v>0</v>
      </c>
      <c r="I25" s="44" t="s">
        <v>0</v>
      </c>
      <c r="K25" s="12"/>
      <c r="M25" s="44" t="s">
        <v>0</v>
      </c>
      <c r="O25" s="44" t="s">
        <v>0</v>
      </c>
    </row>
    <row r="26" spans="1:16">
      <c r="A26" s="1" t="s">
        <v>278</v>
      </c>
      <c r="B26" s="12">
        <v>550.20000000000005</v>
      </c>
      <c r="C26" s="44">
        <v>0</v>
      </c>
      <c r="D26" s="12">
        <v>0</v>
      </c>
      <c r="E26" s="44">
        <v>0</v>
      </c>
      <c r="F26" s="12">
        <v>0</v>
      </c>
      <c r="G26" s="44">
        <v>0</v>
      </c>
      <c r="H26" s="12">
        <v>0</v>
      </c>
      <c r="I26" s="44">
        <v>0</v>
      </c>
      <c r="J26" s="12">
        <v>0</v>
      </c>
      <c r="K26" s="12">
        <v>0</v>
      </c>
      <c r="L26" s="12">
        <v>0</v>
      </c>
      <c r="M26" s="44">
        <v>0</v>
      </c>
      <c r="N26" s="12">
        <v>0</v>
      </c>
      <c r="O26" s="44">
        <v>0</v>
      </c>
      <c r="P26" s="12">
        <v>0</v>
      </c>
    </row>
    <row r="27" spans="1:16">
      <c r="A27" s="1" t="s">
        <v>279</v>
      </c>
      <c r="B27" s="12">
        <v>3725.8</v>
      </c>
      <c r="C27" s="44">
        <v>0</v>
      </c>
      <c r="D27" s="12">
        <v>0</v>
      </c>
      <c r="E27" s="44">
        <v>0</v>
      </c>
      <c r="F27" s="12">
        <v>0</v>
      </c>
      <c r="G27" s="44">
        <v>0</v>
      </c>
      <c r="H27" s="12">
        <v>0</v>
      </c>
      <c r="I27" s="44">
        <v>0</v>
      </c>
      <c r="J27" s="12">
        <v>0</v>
      </c>
      <c r="K27" s="12">
        <v>0</v>
      </c>
      <c r="L27" s="12">
        <v>0</v>
      </c>
      <c r="M27" s="44">
        <v>0</v>
      </c>
      <c r="N27" s="12">
        <v>0</v>
      </c>
      <c r="O27" s="44">
        <v>0</v>
      </c>
      <c r="P27" s="12">
        <v>0</v>
      </c>
    </row>
    <row r="28" spans="1:16">
      <c r="A28" s="1" t="s">
        <v>280</v>
      </c>
      <c r="B28" s="221">
        <v>0</v>
      </c>
      <c r="C28" s="44">
        <v>0</v>
      </c>
      <c r="D28" s="221">
        <v>0</v>
      </c>
      <c r="E28" s="44">
        <v>0</v>
      </c>
      <c r="F28" s="221">
        <v>0</v>
      </c>
      <c r="G28" s="44">
        <v>0</v>
      </c>
      <c r="H28" s="221">
        <v>0</v>
      </c>
      <c r="I28" s="44">
        <v>0</v>
      </c>
      <c r="J28" s="221">
        <v>0</v>
      </c>
      <c r="K28" s="221">
        <v>0</v>
      </c>
      <c r="L28" s="221">
        <v>0</v>
      </c>
      <c r="M28" s="44">
        <v>0</v>
      </c>
      <c r="N28" s="221">
        <v>0</v>
      </c>
      <c r="O28" s="44">
        <v>0</v>
      </c>
      <c r="P28" s="221">
        <v>0</v>
      </c>
    </row>
    <row r="29" spans="1:16">
      <c r="A29" s="1"/>
      <c r="B29" s="12">
        <f>SUM(B26:B28)</f>
        <v>4276</v>
      </c>
      <c r="C29" s="44">
        <v>0</v>
      </c>
      <c r="D29" s="12">
        <f>SUM(D26:D28)</f>
        <v>0</v>
      </c>
      <c r="E29" s="44">
        <v>0</v>
      </c>
      <c r="F29" s="12">
        <f>SUM(F26:F28)</f>
        <v>0</v>
      </c>
      <c r="G29" s="44">
        <v>0</v>
      </c>
      <c r="H29" s="12">
        <f>SUM(H26:H28)</f>
        <v>0</v>
      </c>
      <c r="I29" s="44">
        <v>0</v>
      </c>
      <c r="J29" s="12">
        <f>SUM(J26:J28)</f>
        <v>0</v>
      </c>
      <c r="K29" s="12">
        <f>SUM(K26:K28)</f>
        <v>0</v>
      </c>
      <c r="L29" s="12">
        <f>SUM(L26:L28)</f>
        <v>0</v>
      </c>
      <c r="M29" s="44">
        <v>0</v>
      </c>
      <c r="N29" s="12">
        <f>SUM(N26:N28)</f>
        <v>0</v>
      </c>
      <c r="O29" s="44">
        <v>0</v>
      </c>
      <c r="P29" s="12">
        <f>SUM(P26:P28)</f>
        <v>0</v>
      </c>
    </row>
    <row r="30" spans="1:16" ht="7.9" customHeight="1">
      <c r="A30" s="1"/>
      <c r="C30" s="44" t="s">
        <v>0</v>
      </c>
      <c r="E30" s="44" t="s">
        <v>0</v>
      </c>
      <c r="G30" s="44" t="s">
        <v>0</v>
      </c>
      <c r="I30" s="44" t="s">
        <v>0</v>
      </c>
      <c r="K30" s="12"/>
      <c r="M30" s="44" t="s">
        <v>0</v>
      </c>
      <c r="O30" s="44" t="s">
        <v>0</v>
      </c>
    </row>
    <row r="31" spans="1:16">
      <c r="A31" s="1" t="s">
        <v>281</v>
      </c>
      <c r="C31" s="44" t="s">
        <v>0</v>
      </c>
      <c r="E31" s="44" t="s">
        <v>0</v>
      </c>
      <c r="G31" s="44" t="s">
        <v>0</v>
      </c>
      <c r="I31" s="44" t="s">
        <v>0</v>
      </c>
      <c r="K31" s="12"/>
      <c r="M31" s="44" t="s">
        <v>0</v>
      </c>
      <c r="O31" s="44" t="s">
        <v>0</v>
      </c>
    </row>
    <row r="32" spans="1:16">
      <c r="A32" s="1" t="s">
        <v>282</v>
      </c>
      <c r="B32" s="12">
        <f>+B138</f>
        <v>0</v>
      </c>
      <c r="C32" s="44">
        <v>0</v>
      </c>
      <c r="D32" s="12">
        <f>+D138</f>
        <v>0</v>
      </c>
      <c r="E32" s="44">
        <v>0</v>
      </c>
      <c r="F32" s="12">
        <f>+F138</f>
        <v>0</v>
      </c>
      <c r="G32" s="44">
        <v>0</v>
      </c>
      <c r="H32" s="12">
        <f>+H138</f>
        <v>0</v>
      </c>
      <c r="I32" s="44">
        <v>0</v>
      </c>
      <c r="J32" s="12">
        <f>+J138</f>
        <v>0</v>
      </c>
      <c r="K32" s="12">
        <v>0</v>
      </c>
      <c r="L32" s="12">
        <f>+L138</f>
        <v>0</v>
      </c>
      <c r="M32" s="44">
        <v>0</v>
      </c>
      <c r="N32" s="12">
        <v>0</v>
      </c>
      <c r="O32" s="44">
        <v>0</v>
      </c>
      <c r="P32" s="12">
        <v>0</v>
      </c>
    </row>
    <row r="33" spans="1:21">
      <c r="A33" s="1" t="s">
        <v>283</v>
      </c>
      <c r="B33" s="12">
        <f>+B139</f>
        <v>0</v>
      </c>
      <c r="C33" s="44">
        <v>0</v>
      </c>
      <c r="D33" s="12">
        <f>+D139</f>
        <v>0</v>
      </c>
      <c r="E33" s="44">
        <v>0</v>
      </c>
      <c r="F33" s="12">
        <f>+F139</f>
        <v>0</v>
      </c>
      <c r="G33" s="44">
        <v>0</v>
      </c>
      <c r="H33" s="12">
        <f>+H139</f>
        <v>0</v>
      </c>
      <c r="I33" s="44">
        <v>0</v>
      </c>
      <c r="J33" s="12">
        <f>+J139</f>
        <v>0</v>
      </c>
      <c r="K33" s="12">
        <v>0</v>
      </c>
      <c r="L33" s="12">
        <f>+L139</f>
        <v>0</v>
      </c>
      <c r="M33" s="44">
        <v>0</v>
      </c>
      <c r="N33" s="12">
        <v>0</v>
      </c>
      <c r="O33" s="44">
        <v>0</v>
      </c>
      <c r="P33" s="12">
        <v>0</v>
      </c>
    </row>
    <row r="34" spans="1:21" ht="18">
      <c r="A34" s="1" t="s">
        <v>284</v>
      </c>
      <c r="B34" s="221">
        <v>188.5</v>
      </c>
      <c r="C34" s="44">
        <v>0</v>
      </c>
      <c r="D34" s="221">
        <v>0</v>
      </c>
      <c r="E34" s="44">
        <v>0</v>
      </c>
      <c r="F34" s="221">
        <v>0</v>
      </c>
      <c r="G34" s="44">
        <v>0</v>
      </c>
      <c r="H34" s="221">
        <v>0</v>
      </c>
      <c r="I34" s="44">
        <v>0</v>
      </c>
      <c r="J34" s="221">
        <v>0</v>
      </c>
      <c r="K34" s="221">
        <v>0</v>
      </c>
      <c r="L34" s="221">
        <v>0</v>
      </c>
      <c r="M34" s="44">
        <v>0</v>
      </c>
      <c r="N34" s="221">
        <v>0</v>
      </c>
      <c r="O34" s="44">
        <v>0</v>
      </c>
      <c r="P34" s="221">
        <v>0</v>
      </c>
      <c r="Q34" s="6"/>
      <c r="R34" s="6"/>
      <c r="S34" s="7"/>
      <c r="T34" s="7"/>
      <c r="U34" s="7"/>
    </row>
    <row r="35" spans="1:21">
      <c r="A35" s="1"/>
      <c r="B35" s="12">
        <f>SUM(B32:B34)</f>
        <v>188.5</v>
      </c>
      <c r="C35" s="44">
        <v>0</v>
      </c>
      <c r="D35" s="12">
        <f>SUM(D32:D34)</f>
        <v>0</v>
      </c>
      <c r="E35" s="44">
        <v>0</v>
      </c>
      <c r="F35" s="12">
        <f>SUM(F32:F34)</f>
        <v>0</v>
      </c>
      <c r="G35" s="44">
        <v>0</v>
      </c>
      <c r="H35" s="12">
        <f>SUM(H32:H34)</f>
        <v>0</v>
      </c>
      <c r="I35" s="44">
        <v>0</v>
      </c>
      <c r="J35" s="12">
        <f>SUM(J32:J34)</f>
        <v>0</v>
      </c>
      <c r="K35" s="12">
        <f>SUM(K32:K34)</f>
        <v>0</v>
      </c>
      <c r="L35" s="12">
        <f>SUM(L32:L34)</f>
        <v>0</v>
      </c>
      <c r="M35" s="44">
        <v>0</v>
      </c>
      <c r="N35" s="12">
        <f>SUM(N32:N34)</f>
        <v>0</v>
      </c>
      <c r="O35" s="44">
        <v>0</v>
      </c>
      <c r="P35" s="12">
        <f>SUM(P32:P34)</f>
        <v>0</v>
      </c>
    </row>
    <row r="36" spans="1:21" ht="7.15" customHeight="1">
      <c r="A36" s="1"/>
      <c r="C36" s="44" t="s">
        <v>0</v>
      </c>
      <c r="E36" s="44" t="s">
        <v>0</v>
      </c>
      <c r="G36" s="44" t="s">
        <v>0</v>
      </c>
      <c r="I36" s="44" t="s">
        <v>0</v>
      </c>
      <c r="K36" s="12"/>
      <c r="M36" s="44" t="s">
        <v>0</v>
      </c>
      <c r="O36" s="44" t="s">
        <v>0</v>
      </c>
    </row>
    <row r="37" spans="1:21">
      <c r="A37" s="1" t="s">
        <v>285</v>
      </c>
      <c r="C37" s="44" t="s">
        <v>0</v>
      </c>
      <c r="E37" s="44" t="s">
        <v>0</v>
      </c>
      <c r="G37" s="44" t="s">
        <v>0</v>
      </c>
      <c r="I37" s="44" t="s">
        <v>0</v>
      </c>
      <c r="K37" s="12"/>
      <c r="M37" s="44" t="s">
        <v>0</v>
      </c>
      <c r="O37" s="44" t="s">
        <v>0</v>
      </c>
    </row>
    <row r="38" spans="1:21">
      <c r="A38" s="1" t="s">
        <v>282</v>
      </c>
      <c r="B38" s="12">
        <f>+B145</f>
        <v>0</v>
      </c>
      <c r="C38" s="44">
        <v>0</v>
      </c>
      <c r="D38" s="12">
        <f>+D145</f>
        <v>0</v>
      </c>
      <c r="E38" s="44">
        <v>0</v>
      </c>
      <c r="F38" s="12">
        <f>+F145</f>
        <v>0</v>
      </c>
      <c r="G38" s="44">
        <v>0</v>
      </c>
      <c r="H38" s="12">
        <v>0</v>
      </c>
      <c r="I38" s="44">
        <v>0</v>
      </c>
      <c r="J38" s="12">
        <v>0</v>
      </c>
      <c r="K38" s="12">
        <v>0</v>
      </c>
      <c r="L38" s="12">
        <v>0</v>
      </c>
      <c r="M38" s="44">
        <v>0</v>
      </c>
      <c r="N38" s="12">
        <v>0</v>
      </c>
      <c r="O38" s="44">
        <v>0</v>
      </c>
      <c r="P38" s="12">
        <v>0</v>
      </c>
    </row>
    <row r="39" spans="1:21">
      <c r="A39" s="1" t="s">
        <v>286</v>
      </c>
      <c r="B39" s="12">
        <f>+B146</f>
        <v>0</v>
      </c>
      <c r="C39" s="44">
        <v>0</v>
      </c>
      <c r="D39" s="12">
        <f>+D146</f>
        <v>0</v>
      </c>
      <c r="E39" s="44">
        <v>0</v>
      </c>
      <c r="F39" s="12">
        <f>+F146</f>
        <v>0</v>
      </c>
      <c r="G39" s="44">
        <v>0</v>
      </c>
      <c r="H39" s="12">
        <f>+H146</f>
        <v>0</v>
      </c>
      <c r="I39" s="44">
        <v>0</v>
      </c>
      <c r="J39" s="12">
        <f>+J146</f>
        <v>0</v>
      </c>
      <c r="K39" s="12">
        <v>0</v>
      </c>
      <c r="L39" s="12">
        <f>+L146</f>
        <v>0</v>
      </c>
      <c r="M39" s="44">
        <v>0</v>
      </c>
      <c r="N39" s="12">
        <v>0</v>
      </c>
      <c r="O39" s="44">
        <v>0</v>
      </c>
      <c r="P39" s="12">
        <v>0</v>
      </c>
    </row>
    <row r="40" spans="1:21">
      <c r="A40" s="1" t="s">
        <v>284</v>
      </c>
      <c r="B40" s="221">
        <v>11276.7</v>
      </c>
      <c r="C40" s="44">
        <v>0</v>
      </c>
      <c r="D40" s="221">
        <v>0</v>
      </c>
      <c r="E40" s="44">
        <v>0</v>
      </c>
      <c r="F40" s="221">
        <v>0</v>
      </c>
      <c r="G40" s="44">
        <v>0</v>
      </c>
      <c r="H40" s="221">
        <v>0</v>
      </c>
      <c r="I40" s="44">
        <v>0</v>
      </c>
      <c r="J40" s="221">
        <v>0</v>
      </c>
      <c r="K40" s="221">
        <v>0</v>
      </c>
      <c r="L40" s="221">
        <v>0</v>
      </c>
      <c r="M40" s="44">
        <v>0</v>
      </c>
      <c r="N40" s="221">
        <v>0</v>
      </c>
      <c r="O40" s="44">
        <v>0</v>
      </c>
      <c r="P40" s="221">
        <v>0</v>
      </c>
    </row>
    <row r="41" spans="1:21">
      <c r="A41" s="1"/>
      <c r="B41" s="12">
        <f>SUM(B38:B40)</f>
        <v>11276.7</v>
      </c>
      <c r="C41" s="44">
        <v>0</v>
      </c>
      <c r="D41" s="12">
        <f>SUM(D38:D40)</f>
        <v>0</v>
      </c>
      <c r="E41" s="44">
        <v>0</v>
      </c>
      <c r="F41" s="12">
        <f>SUM(F38:F40)</f>
        <v>0</v>
      </c>
      <c r="G41" s="44">
        <v>0</v>
      </c>
      <c r="H41" s="12">
        <f>SUM(H38:H40)</f>
        <v>0</v>
      </c>
      <c r="I41" s="44">
        <v>0</v>
      </c>
      <c r="J41" s="12">
        <f>SUM(J38:J40)</f>
        <v>0</v>
      </c>
      <c r="K41" s="12">
        <f>SUM(K38:K40)</f>
        <v>0</v>
      </c>
      <c r="L41" s="12">
        <f>SUM(L38:L40)</f>
        <v>0</v>
      </c>
      <c r="M41" s="44">
        <v>0</v>
      </c>
      <c r="N41" s="12">
        <f>SUM(N38:N40)</f>
        <v>0</v>
      </c>
      <c r="O41" s="44">
        <v>0</v>
      </c>
      <c r="P41" s="12">
        <f>SUM(P38:P40)</f>
        <v>0</v>
      </c>
    </row>
    <row r="42" spans="1:21" ht="8.4499999999999993" customHeight="1">
      <c r="A42" s="1"/>
      <c r="C42" s="44" t="s">
        <v>0</v>
      </c>
      <c r="E42" s="44" t="s">
        <v>0</v>
      </c>
      <c r="G42" s="44" t="s">
        <v>0</v>
      </c>
      <c r="I42" s="44" t="s">
        <v>0</v>
      </c>
      <c r="K42" s="12"/>
      <c r="M42" s="44" t="s">
        <v>0</v>
      </c>
      <c r="O42" s="44" t="s">
        <v>0</v>
      </c>
    </row>
    <row r="43" spans="1:21" ht="18">
      <c r="A43" s="1" t="s">
        <v>287</v>
      </c>
      <c r="B43" s="221">
        <v>0</v>
      </c>
      <c r="C43" s="44">
        <v>0</v>
      </c>
      <c r="D43" s="221">
        <v>0</v>
      </c>
      <c r="E43" s="44">
        <v>0</v>
      </c>
      <c r="F43" s="221">
        <f>+F151+F153+F155</f>
        <v>0</v>
      </c>
      <c r="G43" s="44">
        <v>0</v>
      </c>
      <c r="H43" s="221">
        <f>+H151+H153+H155</f>
        <v>0</v>
      </c>
      <c r="I43" s="44">
        <v>0</v>
      </c>
      <c r="J43" s="221">
        <f>+J151+J153+J155</f>
        <v>0</v>
      </c>
      <c r="K43" s="221">
        <v>0</v>
      </c>
      <c r="L43" s="221">
        <f>+L151+L153+L155</f>
        <v>0</v>
      </c>
      <c r="M43" s="44">
        <v>0</v>
      </c>
      <c r="N43" s="221">
        <v>0</v>
      </c>
      <c r="O43" s="44">
        <v>0</v>
      </c>
      <c r="P43" s="221">
        <v>0</v>
      </c>
      <c r="Q43" s="6"/>
      <c r="R43" s="6"/>
    </row>
    <row r="44" spans="1:21">
      <c r="A44" s="1"/>
      <c r="B44" s="12">
        <f>+B29+B35+B41+B43</f>
        <v>15741.2</v>
      </c>
      <c r="C44" s="44">
        <v>0</v>
      </c>
      <c r="D44" s="12">
        <f>+D29+D35+D41+D43</f>
        <v>0</v>
      </c>
      <c r="E44" s="44">
        <v>0</v>
      </c>
      <c r="F44" s="12">
        <f>+F29+F35+F41+F43</f>
        <v>0</v>
      </c>
      <c r="G44" s="44">
        <v>0</v>
      </c>
      <c r="H44" s="12">
        <f>+H29+H35+H41+H43</f>
        <v>0</v>
      </c>
      <c r="I44" s="44">
        <v>0</v>
      </c>
      <c r="J44" s="12">
        <f t="shared" ref="J44:P44" si="0">+J29+J35+J41+J43</f>
        <v>0</v>
      </c>
      <c r="K44" s="12">
        <f t="shared" si="0"/>
        <v>0</v>
      </c>
      <c r="L44" s="12">
        <f t="shared" si="0"/>
        <v>0</v>
      </c>
      <c r="M44" s="12">
        <f t="shared" si="0"/>
        <v>0</v>
      </c>
      <c r="N44" s="12">
        <f t="shared" si="0"/>
        <v>0</v>
      </c>
      <c r="O44" s="12">
        <f t="shared" si="0"/>
        <v>0</v>
      </c>
      <c r="P44" s="12">
        <f t="shared" si="0"/>
        <v>0</v>
      </c>
    </row>
    <row r="45" spans="1:21" ht="8.4499999999999993" customHeight="1">
      <c r="A45" s="1"/>
      <c r="C45" s="44" t="s">
        <v>0</v>
      </c>
      <c r="E45" s="44" t="s">
        <v>0</v>
      </c>
      <c r="G45" s="44" t="s">
        <v>0</v>
      </c>
      <c r="I45" s="44" t="s">
        <v>0</v>
      </c>
      <c r="K45" s="12"/>
      <c r="M45" s="44" t="s">
        <v>0</v>
      </c>
      <c r="O45" s="44" t="s">
        <v>0</v>
      </c>
    </row>
    <row r="46" spans="1:21">
      <c r="A46" s="87" t="s">
        <v>288</v>
      </c>
      <c r="C46" s="44" t="s">
        <v>0</v>
      </c>
      <c r="E46" s="44" t="s">
        <v>0</v>
      </c>
      <c r="G46" s="44" t="s">
        <v>0</v>
      </c>
      <c r="I46" s="44" t="s">
        <v>0</v>
      </c>
      <c r="K46" s="12"/>
      <c r="M46" s="44" t="s">
        <v>0</v>
      </c>
      <c r="O46" s="44" t="s">
        <v>0</v>
      </c>
    </row>
    <row r="47" spans="1:21">
      <c r="A47" s="1" t="s">
        <v>289</v>
      </c>
      <c r="B47" s="12">
        <v>11500</v>
      </c>
      <c r="C47" s="44">
        <v>0</v>
      </c>
      <c r="D47" s="12">
        <v>0</v>
      </c>
      <c r="E47" s="44">
        <v>0</v>
      </c>
      <c r="F47" s="12">
        <v>0</v>
      </c>
      <c r="G47" s="44">
        <v>0</v>
      </c>
      <c r="H47" s="12">
        <v>0</v>
      </c>
      <c r="I47" s="44">
        <v>0</v>
      </c>
      <c r="J47" s="12">
        <v>0</v>
      </c>
      <c r="K47" s="12">
        <v>0</v>
      </c>
      <c r="L47" s="12">
        <v>0</v>
      </c>
      <c r="M47" s="44">
        <v>0</v>
      </c>
      <c r="N47" s="12">
        <v>0</v>
      </c>
      <c r="O47" s="44">
        <v>0</v>
      </c>
      <c r="P47" s="12">
        <v>0</v>
      </c>
    </row>
    <row r="48" spans="1:21">
      <c r="A48" s="1" t="s">
        <v>290</v>
      </c>
      <c r="B48" s="12">
        <f>+B165</f>
        <v>0</v>
      </c>
      <c r="C48" s="44">
        <v>0</v>
      </c>
      <c r="D48" s="12">
        <f>+D165</f>
        <v>0</v>
      </c>
      <c r="E48" s="44">
        <v>0</v>
      </c>
      <c r="F48" s="12">
        <f>+F165</f>
        <v>0</v>
      </c>
      <c r="G48" s="44">
        <v>0</v>
      </c>
      <c r="H48" s="12">
        <f>+H165</f>
        <v>0</v>
      </c>
      <c r="I48" s="44">
        <v>0</v>
      </c>
      <c r="J48" s="12">
        <f>+J165</f>
        <v>0</v>
      </c>
      <c r="K48" s="12">
        <v>0</v>
      </c>
      <c r="L48" s="12">
        <f>+L165</f>
        <v>0</v>
      </c>
      <c r="M48" s="44">
        <v>0</v>
      </c>
      <c r="N48" s="12">
        <v>0</v>
      </c>
      <c r="O48" s="44">
        <v>0</v>
      </c>
      <c r="P48" s="12">
        <v>0</v>
      </c>
    </row>
    <row r="49" spans="1:21">
      <c r="A49" s="1" t="s">
        <v>302</v>
      </c>
      <c r="B49" s="12">
        <v>805</v>
      </c>
      <c r="C49" s="44">
        <v>0</v>
      </c>
      <c r="D49" s="12">
        <f>+D160</f>
        <v>0</v>
      </c>
      <c r="E49" s="44">
        <v>0</v>
      </c>
      <c r="F49" s="12">
        <f>+F160</f>
        <v>0</v>
      </c>
      <c r="G49" s="44">
        <v>0</v>
      </c>
      <c r="H49" s="12">
        <f>+H160</f>
        <v>0</v>
      </c>
      <c r="I49" s="44">
        <v>0</v>
      </c>
      <c r="J49" s="12">
        <f>+J160</f>
        <v>0</v>
      </c>
      <c r="K49" s="12">
        <v>0</v>
      </c>
      <c r="L49" s="12">
        <f>+L160</f>
        <v>0</v>
      </c>
      <c r="M49" s="44">
        <v>0</v>
      </c>
      <c r="N49" s="12">
        <v>0</v>
      </c>
      <c r="O49" s="44">
        <v>0</v>
      </c>
      <c r="P49" s="12">
        <v>0</v>
      </c>
    </row>
    <row r="50" spans="1:21" ht="18">
      <c r="A50" s="1" t="s">
        <v>292</v>
      </c>
      <c r="B50" s="221">
        <v>115.4</v>
      </c>
      <c r="C50" s="44">
        <v>0</v>
      </c>
      <c r="D50" s="221">
        <v>0</v>
      </c>
      <c r="E50" s="44">
        <v>0</v>
      </c>
      <c r="F50" s="221">
        <v>0</v>
      </c>
      <c r="G50" s="44">
        <v>0</v>
      </c>
      <c r="H50" s="221">
        <v>0</v>
      </c>
      <c r="I50" s="44">
        <v>0</v>
      </c>
      <c r="J50" s="221">
        <v>0</v>
      </c>
      <c r="K50" s="221">
        <v>0</v>
      </c>
      <c r="L50" s="221">
        <v>0</v>
      </c>
      <c r="M50" s="44">
        <v>0</v>
      </c>
      <c r="N50" s="221">
        <v>0</v>
      </c>
      <c r="O50" s="44">
        <v>0</v>
      </c>
      <c r="P50" s="221">
        <v>0</v>
      </c>
      <c r="Q50" s="6"/>
      <c r="R50" s="6"/>
      <c r="S50" s="7"/>
      <c r="T50" s="7"/>
      <c r="U50" s="7"/>
    </row>
    <row r="51" spans="1:21" ht="16.5" thickBot="1">
      <c r="A51" s="1" t="s">
        <v>275</v>
      </c>
      <c r="B51" s="76">
        <f>SUM(B47:B50)</f>
        <v>12420.4</v>
      </c>
      <c r="C51" s="44">
        <v>0</v>
      </c>
      <c r="D51" s="76">
        <f>SUM(D47:D50)</f>
        <v>0</v>
      </c>
      <c r="E51" s="44">
        <v>0</v>
      </c>
      <c r="F51" s="76">
        <f>SUM(F47:F50)</f>
        <v>0</v>
      </c>
      <c r="G51" s="44">
        <v>0</v>
      </c>
      <c r="H51" s="76">
        <f>SUM(H47:H50)</f>
        <v>0</v>
      </c>
      <c r="I51" s="44">
        <v>0</v>
      </c>
      <c r="J51" s="76">
        <f>SUM(J47:J50)</f>
        <v>0</v>
      </c>
      <c r="K51" s="76">
        <f>SUM(K47:K50)</f>
        <v>0</v>
      </c>
      <c r="L51" s="76">
        <f>SUM(L47:L50)</f>
        <v>0</v>
      </c>
      <c r="M51" s="44">
        <v>0</v>
      </c>
      <c r="N51" s="76">
        <f>SUM(N47:N50)</f>
        <v>0</v>
      </c>
      <c r="O51" s="44">
        <v>0</v>
      </c>
      <c r="P51" s="76">
        <f>SUM(P47:P50)</f>
        <v>0</v>
      </c>
    </row>
    <row r="52" spans="1:21">
      <c r="A52" s="1" t="s">
        <v>0</v>
      </c>
      <c r="B52" s="4">
        <f>+B29+B35+B41+B43+B51</f>
        <v>28161.599999999999</v>
      </c>
      <c r="C52" s="44">
        <v>0</v>
      </c>
      <c r="D52" s="4">
        <f>+D29+D35+D41+D43+D51</f>
        <v>0</v>
      </c>
      <c r="E52" s="42">
        <v>0</v>
      </c>
      <c r="F52" s="4">
        <f>+F29+F35+F41+F43+F51</f>
        <v>0</v>
      </c>
      <c r="G52" s="42">
        <v>0</v>
      </c>
      <c r="H52" s="4">
        <f>+H29+H35+H41+H43+H51</f>
        <v>0</v>
      </c>
      <c r="I52" s="44">
        <v>0</v>
      </c>
      <c r="J52" s="4">
        <f>+J29+J35+J41+J43+J51</f>
        <v>0</v>
      </c>
      <c r="K52" s="4">
        <f>+K29+K35+K41+K43+K51</f>
        <v>0</v>
      </c>
      <c r="L52" s="4">
        <f>+L29+L35+L41+L43+L51</f>
        <v>0</v>
      </c>
      <c r="M52" s="44">
        <v>0</v>
      </c>
      <c r="N52" s="4">
        <f>+N29+N35+N41+N43+N51</f>
        <v>0</v>
      </c>
      <c r="O52" s="44">
        <v>0</v>
      </c>
      <c r="P52" s="4">
        <f>+P29+P35+P41+P43+P51</f>
        <v>0</v>
      </c>
    </row>
    <row r="53" spans="1:21">
      <c r="I53" s="47" t="s">
        <v>0</v>
      </c>
      <c r="K53" s="12"/>
    </row>
    <row r="54" spans="1:21">
      <c r="K54" s="12"/>
    </row>
    <row r="55" spans="1:21">
      <c r="A55" s="185" t="s">
        <v>293</v>
      </c>
      <c r="K55" s="12"/>
    </row>
    <row r="56" spans="1:21">
      <c r="A56" t="s">
        <v>294</v>
      </c>
      <c r="B56" s="12">
        <v>0</v>
      </c>
      <c r="D56" s="43">
        <v>0</v>
      </c>
      <c r="E56" s="43"/>
      <c r="F56" s="43">
        <v>0</v>
      </c>
      <c r="G56" s="43"/>
      <c r="H56" s="43">
        <v>0</v>
      </c>
      <c r="J56" s="43">
        <v>0</v>
      </c>
      <c r="K56" s="43">
        <v>0</v>
      </c>
      <c r="L56" s="43">
        <v>0</v>
      </c>
      <c r="M56" s="43">
        <v>0</v>
      </c>
      <c r="N56" s="43">
        <v>0</v>
      </c>
      <c r="O56" s="43">
        <v>0</v>
      </c>
      <c r="P56" s="43">
        <v>0</v>
      </c>
    </row>
    <row r="57" spans="1:21">
      <c r="A57" t="s">
        <v>295</v>
      </c>
      <c r="B57" s="12">
        <v>0</v>
      </c>
      <c r="D57" s="43">
        <v>0</v>
      </c>
      <c r="E57" s="43"/>
      <c r="F57" s="43">
        <v>0</v>
      </c>
      <c r="G57" s="43"/>
      <c r="H57" s="43">
        <v>0</v>
      </c>
      <c r="J57" s="43">
        <v>0</v>
      </c>
      <c r="K57" s="43">
        <v>0</v>
      </c>
      <c r="L57" s="43">
        <v>0</v>
      </c>
      <c r="M57" s="43">
        <v>0</v>
      </c>
      <c r="N57" s="43">
        <v>0</v>
      </c>
      <c r="O57" s="43">
        <v>0</v>
      </c>
      <c r="P57" s="43">
        <v>0</v>
      </c>
    </row>
    <row r="58" spans="1:21">
      <c r="A58" t="s">
        <v>284</v>
      </c>
      <c r="B58" s="12">
        <v>0</v>
      </c>
      <c r="D58" s="12">
        <v>0</v>
      </c>
      <c r="E58" s="43"/>
      <c r="F58" s="12">
        <v>0</v>
      </c>
      <c r="G58" s="43"/>
      <c r="H58" s="43">
        <v>0</v>
      </c>
      <c r="J58" s="43">
        <v>0</v>
      </c>
      <c r="K58" s="43">
        <v>0</v>
      </c>
      <c r="L58" s="12">
        <v>0</v>
      </c>
      <c r="M58" s="43">
        <v>0</v>
      </c>
      <c r="N58" s="43">
        <v>0</v>
      </c>
      <c r="O58" s="43">
        <v>0</v>
      </c>
      <c r="P58" s="43">
        <v>0</v>
      </c>
    </row>
    <row r="59" spans="1:21">
      <c r="D59" s="43"/>
      <c r="E59" s="43"/>
      <c r="F59" s="43"/>
      <c r="G59" s="43"/>
      <c r="H59" s="43"/>
      <c r="J59" s="43"/>
      <c r="K59" s="43"/>
      <c r="M59" s="43"/>
      <c r="N59" s="43"/>
      <c r="O59" s="43"/>
      <c r="P59" s="43"/>
    </row>
    <row r="60" spans="1:21" ht="18.75">
      <c r="A60" s="122" t="s">
        <v>303</v>
      </c>
      <c r="B60" s="12">
        <v>5550.3</v>
      </c>
      <c r="D60" s="12">
        <v>0</v>
      </c>
      <c r="E60" s="43"/>
      <c r="F60" s="12">
        <v>0</v>
      </c>
      <c r="G60" s="43"/>
      <c r="H60" s="43">
        <v>0</v>
      </c>
      <c r="J60" s="43">
        <v>0</v>
      </c>
      <c r="K60" s="12">
        <v>0</v>
      </c>
      <c r="L60" s="12">
        <v>0</v>
      </c>
      <c r="M60" s="43">
        <v>0</v>
      </c>
      <c r="N60" s="12">
        <v>0</v>
      </c>
      <c r="O60" s="43">
        <v>0</v>
      </c>
      <c r="P60" s="12">
        <v>0</v>
      </c>
    </row>
    <row r="61" spans="1:21">
      <c r="A61" t="s">
        <v>217</v>
      </c>
      <c r="B61" s="12">
        <v>83.3</v>
      </c>
      <c r="D61" s="12">
        <v>0</v>
      </c>
      <c r="E61" s="43"/>
      <c r="F61" s="43">
        <v>0</v>
      </c>
      <c r="G61" s="43"/>
      <c r="H61" s="43">
        <v>0</v>
      </c>
      <c r="J61" s="43">
        <v>0</v>
      </c>
      <c r="K61" s="12">
        <v>0</v>
      </c>
      <c r="L61" s="43">
        <v>0</v>
      </c>
      <c r="M61" s="43">
        <v>0</v>
      </c>
      <c r="N61" s="12">
        <v>0</v>
      </c>
      <c r="O61" s="43">
        <v>0</v>
      </c>
      <c r="P61" s="12">
        <v>0</v>
      </c>
    </row>
    <row r="62" spans="1:21">
      <c r="A62" t="s">
        <v>297</v>
      </c>
      <c r="B62" s="12">
        <f>+B93</f>
        <v>0</v>
      </c>
      <c r="D62" s="12">
        <v>0</v>
      </c>
      <c r="E62" s="43"/>
      <c r="F62" s="43">
        <v>0</v>
      </c>
      <c r="G62" s="43"/>
      <c r="H62" s="43">
        <v>0</v>
      </c>
      <c r="J62" s="43">
        <v>0</v>
      </c>
      <c r="K62" s="43">
        <v>0</v>
      </c>
      <c r="L62" s="43">
        <v>0</v>
      </c>
      <c r="M62" s="43">
        <v>0</v>
      </c>
      <c r="N62" s="43">
        <v>0</v>
      </c>
      <c r="O62" s="43">
        <v>0</v>
      </c>
      <c r="P62" s="43">
        <v>0</v>
      </c>
    </row>
    <row r="63" spans="1:21">
      <c r="D63" s="16" t="s">
        <v>0</v>
      </c>
    </row>
    <row r="67" spans="1:15">
      <c r="B67" s="17" t="s">
        <v>548</v>
      </c>
      <c r="D67" s="427" t="s">
        <v>549</v>
      </c>
      <c r="F67" s="427" t="s">
        <v>138</v>
      </c>
      <c r="H67" s="427" t="s">
        <v>528</v>
      </c>
    </row>
    <row r="69" spans="1:15">
      <c r="A69" t="s">
        <v>414</v>
      </c>
      <c r="B69" s="4">
        <f>SUM(B70:B78)</f>
        <v>2816.0010000000002</v>
      </c>
      <c r="C69" s="11" t="s">
        <v>0</v>
      </c>
      <c r="D69" s="4">
        <f>SUM(D70:D78)</f>
        <v>0</v>
      </c>
      <c r="E69" s="11" t="s">
        <v>0</v>
      </c>
      <c r="F69" s="4">
        <f t="shared" ref="F69:M69" si="1">SUM(F70:F78)</f>
        <v>0</v>
      </c>
      <c r="G69" s="11">
        <f t="shared" si="1"/>
        <v>0</v>
      </c>
      <c r="H69" s="4">
        <f t="shared" si="1"/>
        <v>0</v>
      </c>
      <c r="I69" s="11">
        <f t="shared" si="1"/>
        <v>0</v>
      </c>
      <c r="J69" s="4">
        <f t="shared" si="1"/>
        <v>0</v>
      </c>
      <c r="K69" s="11">
        <f t="shared" si="1"/>
        <v>0</v>
      </c>
      <c r="L69" s="4">
        <f t="shared" si="1"/>
        <v>0</v>
      </c>
      <c r="M69" s="11">
        <f t="shared" si="1"/>
        <v>0</v>
      </c>
      <c r="O69" s="11">
        <f>SUM(O70:O78)</f>
        <v>0</v>
      </c>
    </row>
    <row r="70" spans="1:15">
      <c r="A70" t="s">
        <v>461</v>
      </c>
      <c r="B70" s="12">
        <v>0</v>
      </c>
      <c r="D70" s="12">
        <v>0</v>
      </c>
    </row>
    <row r="71" spans="1:15">
      <c r="A71" t="s">
        <v>462</v>
      </c>
      <c r="B71" s="12">
        <v>0</v>
      </c>
      <c r="D71" s="12">
        <v>0</v>
      </c>
    </row>
    <row r="72" spans="1:15">
      <c r="A72" t="s">
        <v>463</v>
      </c>
      <c r="B72" s="12">
        <v>0</v>
      </c>
      <c r="D72" s="12">
        <v>0</v>
      </c>
    </row>
    <row r="73" spans="1:15">
      <c r="A73" t="s">
        <v>464</v>
      </c>
      <c r="B73" s="12">
        <f>2816001/1000</f>
        <v>2816.0010000000002</v>
      </c>
      <c r="D73" s="12">
        <v>0</v>
      </c>
    </row>
    <row r="74" spans="1:15">
      <c r="A74" t="s">
        <v>465</v>
      </c>
      <c r="B74" s="12">
        <v>0</v>
      </c>
      <c r="D74" s="12">
        <v>0</v>
      </c>
    </row>
    <row r="75" spans="1:15">
      <c r="A75" t="s">
        <v>466</v>
      </c>
      <c r="B75" s="12">
        <v>0</v>
      </c>
      <c r="D75" s="12">
        <v>0</v>
      </c>
    </row>
    <row r="76" spans="1:15">
      <c r="A76" t="s">
        <v>467</v>
      </c>
      <c r="B76" s="12">
        <v>0</v>
      </c>
      <c r="D76" s="12">
        <v>0</v>
      </c>
    </row>
    <row r="77" spans="1:15">
      <c r="A77" t="s">
        <v>468</v>
      </c>
      <c r="B77" s="12">
        <v>0</v>
      </c>
      <c r="D77" s="12">
        <v>0</v>
      </c>
    </row>
    <row r="78" spans="1:15">
      <c r="A78" t="s">
        <v>469</v>
      </c>
      <c r="B78" s="12">
        <v>0</v>
      </c>
      <c r="D78" s="12">
        <v>0</v>
      </c>
    </row>
    <row r="80" spans="1:15">
      <c r="A80" t="s">
        <v>470</v>
      </c>
      <c r="B80" s="4">
        <f>SUM(B81:B82)</f>
        <v>0</v>
      </c>
      <c r="C80" s="11" t="s">
        <v>0</v>
      </c>
      <c r="D80" s="4">
        <f>SUM(D81:D82)</f>
        <v>0</v>
      </c>
      <c r="E80" s="11" t="s">
        <v>0</v>
      </c>
      <c r="F80" s="4">
        <f t="shared" ref="F80:M80" si="2">SUM(F81:F82)</f>
        <v>0</v>
      </c>
      <c r="G80" s="11">
        <f t="shared" si="2"/>
        <v>0</v>
      </c>
      <c r="H80" s="4">
        <f t="shared" si="2"/>
        <v>0</v>
      </c>
      <c r="I80" s="11">
        <f t="shared" si="2"/>
        <v>0</v>
      </c>
      <c r="J80" s="4">
        <f t="shared" si="2"/>
        <v>0</v>
      </c>
      <c r="K80" s="11">
        <f t="shared" si="2"/>
        <v>0</v>
      </c>
      <c r="L80" s="4">
        <f t="shared" si="2"/>
        <v>0</v>
      </c>
      <c r="M80" s="11">
        <f t="shared" si="2"/>
        <v>0</v>
      </c>
      <c r="O80" s="11">
        <f>SUM(O81:O82)</f>
        <v>0</v>
      </c>
    </row>
    <row r="81" spans="1:15">
      <c r="A81" t="s">
        <v>471</v>
      </c>
      <c r="B81" s="12">
        <v>0</v>
      </c>
    </row>
    <row r="82" spans="1:15">
      <c r="A82" t="s">
        <v>472</v>
      </c>
      <c r="B82" s="12">
        <v>0</v>
      </c>
      <c r="D82" s="12">
        <v>0</v>
      </c>
    </row>
    <row r="84" spans="1:15">
      <c r="A84" t="s">
        <v>473</v>
      </c>
      <c r="B84" s="4">
        <f>SUM(B85:B94)</f>
        <v>0</v>
      </c>
      <c r="C84" s="11" t="s">
        <v>0</v>
      </c>
      <c r="D84" s="4">
        <f>SUM(D85:D94)</f>
        <v>0</v>
      </c>
      <c r="E84" s="11" t="s">
        <v>0</v>
      </c>
      <c r="F84" s="4">
        <f t="shared" ref="F84:M84" si="3">SUM(F85:F94)</f>
        <v>0</v>
      </c>
      <c r="G84" s="11">
        <f t="shared" si="3"/>
        <v>0</v>
      </c>
      <c r="H84" s="4">
        <f t="shared" si="3"/>
        <v>0</v>
      </c>
      <c r="I84" s="11">
        <f t="shared" si="3"/>
        <v>0</v>
      </c>
      <c r="J84" s="4">
        <f t="shared" si="3"/>
        <v>0</v>
      </c>
      <c r="K84" s="11">
        <f t="shared" si="3"/>
        <v>0</v>
      </c>
      <c r="L84" s="4">
        <f t="shared" si="3"/>
        <v>0</v>
      </c>
      <c r="M84" s="11">
        <f t="shared" si="3"/>
        <v>0</v>
      </c>
      <c r="O84" s="11">
        <f>SUM(O85:O94)</f>
        <v>0</v>
      </c>
    </row>
    <row r="85" spans="1:15">
      <c r="A85" t="s">
        <v>474</v>
      </c>
      <c r="B85" s="12">
        <v>0</v>
      </c>
      <c r="D85" s="12">
        <v>0</v>
      </c>
    </row>
    <row r="86" spans="1:15">
      <c r="A86" t="s">
        <v>475</v>
      </c>
      <c r="B86" s="12">
        <v>0</v>
      </c>
      <c r="D86" s="12">
        <v>0</v>
      </c>
    </row>
    <row r="87" spans="1:15">
      <c r="A87" t="s">
        <v>477</v>
      </c>
      <c r="B87" s="12">
        <v>0</v>
      </c>
      <c r="D87" s="12">
        <v>0</v>
      </c>
    </row>
    <row r="88" spans="1:15">
      <c r="A88" t="s">
        <v>478</v>
      </c>
      <c r="B88" s="12">
        <v>0</v>
      </c>
      <c r="D88" s="12">
        <v>0</v>
      </c>
    </row>
    <row r="89" spans="1:15">
      <c r="A89" t="s">
        <v>479</v>
      </c>
      <c r="B89" s="12">
        <v>0</v>
      </c>
      <c r="D89" s="12">
        <v>0</v>
      </c>
    </row>
    <row r="90" spans="1:15">
      <c r="A90" t="s">
        <v>480</v>
      </c>
      <c r="B90" s="12">
        <v>0</v>
      </c>
      <c r="D90" s="12">
        <v>0</v>
      </c>
    </row>
    <row r="91" spans="1:15">
      <c r="A91" t="s">
        <v>481</v>
      </c>
      <c r="B91" s="12">
        <v>0</v>
      </c>
      <c r="D91" s="12">
        <v>0</v>
      </c>
    </row>
    <row r="92" spans="1:15">
      <c r="A92" t="s">
        <v>482</v>
      </c>
      <c r="B92" s="12">
        <v>0</v>
      </c>
      <c r="D92" s="12">
        <v>0</v>
      </c>
    </row>
    <row r="93" spans="1:15">
      <c r="A93" t="s">
        <v>483</v>
      </c>
      <c r="B93" s="12">
        <v>0</v>
      </c>
      <c r="D93" s="12">
        <v>0</v>
      </c>
    </row>
    <row r="94" spans="1:15">
      <c r="A94" t="s">
        <v>484</v>
      </c>
      <c r="B94" s="16">
        <v>0</v>
      </c>
      <c r="D94" s="12">
        <v>0</v>
      </c>
    </row>
    <row r="96" spans="1:15">
      <c r="A96" t="s">
        <v>485</v>
      </c>
      <c r="B96" s="4">
        <f>SUM(B97:B100)</f>
        <v>16194.353999999999</v>
      </c>
      <c r="C96" s="11" t="s">
        <v>0</v>
      </c>
      <c r="D96" s="4">
        <f>SUM(D97:D100)</f>
        <v>0</v>
      </c>
      <c r="E96" s="11" t="s">
        <v>0</v>
      </c>
      <c r="F96" s="4">
        <f t="shared" ref="F96:M96" si="4">SUM(F97:F100)</f>
        <v>0</v>
      </c>
      <c r="G96" s="11">
        <f t="shared" si="4"/>
        <v>0</v>
      </c>
      <c r="H96" s="4">
        <f t="shared" si="4"/>
        <v>0</v>
      </c>
      <c r="I96" s="11">
        <f t="shared" si="4"/>
        <v>0</v>
      </c>
      <c r="J96" s="4">
        <f t="shared" si="4"/>
        <v>0</v>
      </c>
      <c r="K96" s="11">
        <f t="shared" si="4"/>
        <v>0</v>
      </c>
      <c r="L96" s="4">
        <f t="shared" si="4"/>
        <v>0</v>
      </c>
      <c r="M96" s="11">
        <f t="shared" si="4"/>
        <v>0</v>
      </c>
      <c r="O96" s="11">
        <f>SUM(O97:O100)</f>
        <v>0</v>
      </c>
    </row>
    <row r="97" spans="1:15">
      <c r="A97" t="s">
        <v>486</v>
      </c>
      <c r="B97" s="12">
        <f>196354/1000</f>
        <v>196.35400000000001</v>
      </c>
      <c r="D97" s="12">
        <v>0</v>
      </c>
    </row>
    <row r="98" spans="1:15">
      <c r="A98" t="s">
        <v>487</v>
      </c>
      <c r="B98" s="12">
        <v>0</v>
      </c>
      <c r="D98" s="12">
        <v>0</v>
      </c>
    </row>
    <row r="99" spans="1:15">
      <c r="A99" t="s">
        <v>488</v>
      </c>
      <c r="B99" s="12">
        <v>0</v>
      </c>
      <c r="D99" s="12">
        <v>0</v>
      </c>
    </row>
    <row r="100" spans="1:15">
      <c r="A100" t="s">
        <v>489</v>
      </c>
      <c r="B100" s="12">
        <f>15998000/1000</f>
        <v>15998</v>
      </c>
      <c r="D100" s="12">
        <v>0</v>
      </c>
    </row>
    <row r="102" spans="1:15">
      <c r="A102" t="s">
        <v>490</v>
      </c>
      <c r="B102" s="4">
        <f>2253093/1000</f>
        <v>2253.0929999999998</v>
      </c>
      <c r="C102" s="11" t="s">
        <v>0</v>
      </c>
      <c r="D102" s="4">
        <v>0</v>
      </c>
      <c r="E102" s="11" t="s">
        <v>0</v>
      </c>
      <c r="F102" s="4">
        <v>0</v>
      </c>
      <c r="G102" s="11">
        <v>0</v>
      </c>
      <c r="H102" s="4">
        <v>0</v>
      </c>
      <c r="I102" s="11">
        <v>0</v>
      </c>
      <c r="J102" s="4">
        <v>0</v>
      </c>
      <c r="K102" s="11">
        <v>0</v>
      </c>
      <c r="L102" s="4">
        <v>0</v>
      </c>
      <c r="M102" s="11">
        <v>0</v>
      </c>
      <c r="N102" s="12">
        <v>0</v>
      </c>
      <c r="O102" s="11">
        <v>0</v>
      </c>
    </row>
    <row r="103" spans="1:15">
      <c r="B103" s="16" t="s">
        <v>0</v>
      </c>
    </row>
    <row r="104" spans="1:15">
      <c r="A104" t="s">
        <v>491</v>
      </c>
      <c r="B104" s="4">
        <v>0</v>
      </c>
    </row>
    <row r="106" spans="1:15">
      <c r="A106" t="s">
        <v>492</v>
      </c>
      <c r="B106" s="4">
        <f>SUM(B107:B110)</f>
        <v>10165.004000000001</v>
      </c>
      <c r="C106" s="11" t="s">
        <v>0</v>
      </c>
      <c r="D106" s="4">
        <f>SUM(D107:D110)</f>
        <v>0</v>
      </c>
      <c r="E106" s="11" t="s">
        <v>0</v>
      </c>
      <c r="F106" s="4">
        <f t="shared" ref="F106:M106" si="5">SUM(F107:F110)</f>
        <v>0</v>
      </c>
      <c r="G106" s="11">
        <f t="shared" si="5"/>
        <v>0</v>
      </c>
      <c r="H106" s="4">
        <f t="shared" si="5"/>
        <v>0</v>
      </c>
      <c r="I106" s="11">
        <f t="shared" si="5"/>
        <v>0</v>
      </c>
      <c r="J106" s="4">
        <f t="shared" si="5"/>
        <v>0</v>
      </c>
      <c r="K106" s="11">
        <f t="shared" si="5"/>
        <v>0</v>
      </c>
      <c r="L106" s="4">
        <f t="shared" si="5"/>
        <v>0</v>
      </c>
      <c r="M106" s="11">
        <f t="shared" si="5"/>
        <v>0</v>
      </c>
      <c r="O106" s="11">
        <f>SUM(O107:O110)</f>
        <v>0</v>
      </c>
    </row>
    <row r="107" spans="1:15">
      <c r="A107" t="s">
        <v>493</v>
      </c>
      <c r="B107" s="12">
        <f>6204593/1000</f>
        <v>6204.5929999999998</v>
      </c>
      <c r="D107" s="12">
        <v>0</v>
      </c>
    </row>
    <row r="108" spans="1:15">
      <c r="A108" t="s">
        <v>494</v>
      </c>
      <c r="B108" s="12">
        <v>0</v>
      </c>
    </row>
    <row r="109" spans="1:15">
      <c r="A109" t="s">
        <v>495</v>
      </c>
      <c r="B109" s="12">
        <v>0</v>
      </c>
    </row>
    <row r="110" spans="1:15">
      <c r="A110" t="s">
        <v>496</v>
      </c>
      <c r="B110" s="12">
        <f>3960411/1000</f>
        <v>3960.4110000000001</v>
      </c>
      <c r="D110" s="12">
        <v>0</v>
      </c>
    </row>
    <row r="112" spans="1:15">
      <c r="A112" t="s">
        <v>497</v>
      </c>
      <c r="B112" s="12">
        <v>0</v>
      </c>
    </row>
    <row r="114" spans="1:15">
      <c r="A114" s="2" t="s">
        <v>498</v>
      </c>
      <c r="B114" s="4">
        <f>+B69+B80+B84+B96+B102+B104+B106+B112</f>
        <v>31428.452000000001</v>
      </c>
      <c r="C114" s="11" t="s">
        <v>0</v>
      </c>
      <c r="D114" s="4">
        <v>0</v>
      </c>
      <c r="E114" s="11" t="s">
        <v>0</v>
      </c>
      <c r="F114" s="4">
        <f t="shared" ref="F114:M114" si="6">+F69+F80+F84+F96+F102+F104+F106+F112</f>
        <v>0</v>
      </c>
      <c r="G114" s="11">
        <f t="shared" si="6"/>
        <v>0</v>
      </c>
      <c r="H114" s="4">
        <f t="shared" si="6"/>
        <v>0</v>
      </c>
      <c r="I114" s="11">
        <f t="shared" si="6"/>
        <v>0</v>
      </c>
      <c r="J114" s="4">
        <f t="shared" si="6"/>
        <v>0</v>
      </c>
      <c r="K114" s="11">
        <f t="shared" si="6"/>
        <v>0</v>
      </c>
      <c r="L114" s="4">
        <f t="shared" si="6"/>
        <v>0</v>
      </c>
      <c r="M114" s="11">
        <f t="shared" si="6"/>
        <v>0</v>
      </c>
      <c r="O114" s="11">
        <f>+O69+O80+O84+O96+O102+O104+O106+O112</f>
        <v>0</v>
      </c>
    </row>
    <row r="117" spans="1:15">
      <c r="A117" t="s">
        <v>276</v>
      </c>
    </row>
    <row r="119" spans="1:15">
      <c r="A119" t="s">
        <v>499</v>
      </c>
      <c r="B119" s="4">
        <f>SUM(B120:B121)</f>
        <v>0</v>
      </c>
      <c r="C119" s="11"/>
      <c r="D119" s="4">
        <f>SUM(D120:D121)</f>
        <v>0</v>
      </c>
      <c r="E119" s="11"/>
      <c r="F119" s="4"/>
      <c r="G119" s="11"/>
      <c r="H119" s="4"/>
      <c r="I119" s="11"/>
      <c r="J119" s="4"/>
      <c r="K119" s="11"/>
      <c r="L119" s="4"/>
      <c r="M119" s="11"/>
      <c r="O119" s="11"/>
    </row>
    <row r="120" spans="1:15">
      <c r="A120" t="s">
        <v>500</v>
      </c>
      <c r="B120" s="12">
        <v>0</v>
      </c>
      <c r="D120" s="12">
        <v>0</v>
      </c>
    </row>
    <row r="121" spans="1:15">
      <c r="A121" t="s">
        <v>501</v>
      </c>
      <c r="B121" s="12">
        <v>0</v>
      </c>
      <c r="D121" s="12">
        <v>0</v>
      </c>
    </row>
    <row r="122" spans="1:15">
      <c r="A122" t="s">
        <v>0</v>
      </c>
    </row>
    <row r="123" spans="1:15">
      <c r="A123" t="s">
        <v>502</v>
      </c>
      <c r="B123" s="4">
        <v>0</v>
      </c>
      <c r="C123" s="11"/>
      <c r="D123" s="4">
        <v>0</v>
      </c>
      <c r="E123" s="11"/>
      <c r="F123" s="4"/>
      <c r="G123" s="11"/>
      <c r="H123" s="4"/>
      <c r="I123" s="11"/>
      <c r="J123" s="4"/>
      <c r="K123" s="11"/>
      <c r="L123" s="4"/>
      <c r="M123" s="11"/>
      <c r="O123" s="11"/>
    </row>
    <row r="125" spans="1:15">
      <c r="A125" t="s">
        <v>503</v>
      </c>
      <c r="B125" s="4">
        <f>2091509/1000</f>
        <v>2091.509</v>
      </c>
      <c r="C125" s="11"/>
      <c r="D125" s="4">
        <v>0</v>
      </c>
      <c r="E125" s="11"/>
      <c r="F125" s="4"/>
      <c r="G125" s="11"/>
      <c r="H125" s="4"/>
      <c r="I125" s="11"/>
      <c r="J125" s="4"/>
      <c r="K125" s="11"/>
      <c r="L125" s="4"/>
      <c r="M125" s="11"/>
      <c r="O125" s="11"/>
    </row>
    <row r="127" spans="1:15">
      <c r="A127" t="s">
        <v>504</v>
      </c>
      <c r="B127" s="4">
        <f>SUM(B128:B140)</f>
        <v>19352.785</v>
      </c>
      <c r="C127" s="11"/>
      <c r="D127" s="4">
        <f>SUM(D128:D140)</f>
        <v>0</v>
      </c>
      <c r="E127" s="11"/>
      <c r="F127" s="4"/>
      <c r="G127" s="11"/>
      <c r="H127" s="4"/>
      <c r="I127" s="11"/>
      <c r="J127" s="4"/>
      <c r="K127" s="11"/>
      <c r="L127" s="4"/>
      <c r="M127" s="11"/>
      <c r="O127" s="11"/>
    </row>
    <row r="128" spans="1:15">
      <c r="A128" t="s">
        <v>505</v>
      </c>
      <c r="B128" s="12">
        <v>0</v>
      </c>
      <c r="D128" s="12">
        <v>0</v>
      </c>
    </row>
    <row r="129" spans="1:15">
      <c r="A129" t="s">
        <v>506</v>
      </c>
      <c r="B129" s="12">
        <v>0</v>
      </c>
      <c r="D129" s="12">
        <v>0</v>
      </c>
    </row>
    <row r="130" spans="1:15">
      <c r="A130" t="s">
        <v>507</v>
      </c>
      <c r="B130" s="12">
        <v>0</v>
      </c>
      <c r="D130" s="12">
        <v>0</v>
      </c>
    </row>
    <row r="131" spans="1:15">
      <c r="A131" t="s">
        <v>508</v>
      </c>
      <c r="B131" s="12">
        <v>0</v>
      </c>
      <c r="D131" s="12">
        <v>0</v>
      </c>
    </row>
    <row r="132" spans="1:15">
      <c r="A132" t="s">
        <v>509</v>
      </c>
      <c r="B132" s="12">
        <v>0</v>
      </c>
      <c r="D132" s="12">
        <v>0</v>
      </c>
    </row>
    <row r="133" spans="1:15">
      <c r="A133" t="s">
        <v>510</v>
      </c>
      <c r="B133" s="12">
        <v>0</v>
      </c>
      <c r="D133" s="12">
        <v>0</v>
      </c>
    </row>
    <row r="134" spans="1:15">
      <c r="A134" t="s">
        <v>511</v>
      </c>
      <c r="B134" s="12">
        <v>0</v>
      </c>
      <c r="D134" s="12">
        <v>0</v>
      </c>
    </row>
    <row r="135" spans="1:15">
      <c r="A135" t="s">
        <v>512</v>
      </c>
      <c r="B135" s="12">
        <f>19106932/1000</f>
        <v>19106.932000000001</v>
      </c>
      <c r="D135" s="12">
        <v>0</v>
      </c>
    </row>
    <row r="136" spans="1:15">
      <c r="A136" t="s">
        <v>513</v>
      </c>
      <c r="B136" s="12">
        <f>245853/1000</f>
        <v>245.85300000000001</v>
      </c>
      <c r="D136" s="12">
        <v>0</v>
      </c>
    </row>
    <row r="137" spans="1:15">
      <c r="A137" t="s">
        <v>514</v>
      </c>
      <c r="B137" s="12">
        <v>0</v>
      </c>
      <c r="D137" s="12">
        <v>0</v>
      </c>
    </row>
    <row r="138" spans="1:15">
      <c r="A138" t="s">
        <v>515</v>
      </c>
      <c r="B138" s="12">
        <v>0</v>
      </c>
      <c r="D138" s="12">
        <v>0</v>
      </c>
    </row>
    <row r="139" spans="1:15">
      <c r="A139" t="s">
        <v>516</v>
      </c>
      <c r="B139" s="12">
        <v>0</v>
      </c>
      <c r="D139" s="12">
        <v>0</v>
      </c>
    </row>
    <row r="140" spans="1:15">
      <c r="A140" t="s">
        <v>273</v>
      </c>
      <c r="B140" s="12">
        <v>0</v>
      </c>
      <c r="D140" s="12">
        <v>0</v>
      </c>
    </row>
    <row r="142" spans="1:15">
      <c r="A142" t="s">
        <v>517</v>
      </c>
      <c r="B142" s="4">
        <f>SUM(B143:B149)</f>
        <v>2505.6280000000002</v>
      </c>
      <c r="C142" s="11"/>
      <c r="D142" s="4">
        <f>SUM(D143:D149)</f>
        <v>0</v>
      </c>
      <c r="E142" s="11"/>
      <c r="F142" s="4"/>
      <c r="G142" s="11"/>
      <c r="H142" s="4"/>
      <c r="I142" s="11"/>
      <c r="J142" s="4"/>
      <c r="K142" s="11"/>
      <c r="L142" s="4"/>
      <c r="M142" s="11"/>
      <c r="O142" s="11"/>
    </row>
    <row r="143" spans="1:15">
      <c r="A143" t="s">
        <v>518</v>
      </c>
      <c r="B143" s="12">
        <v>0</v>
      </c>
      <c r="D143" s="12">
        <v>0</v>
      </c>
    </row>
    <row r="144" spans="1:15">
      <c r="A144" t="s">
        <v>519</v>
      </c>
      <c r="B144" s="12">
        <v>0</v>
      </c>
      <c r="D144" s="12">
        <v>0</v>
      </c>
    </row>
    <row r="145" spans="1:15">
      <c r="A145" t="s">
        <v>520</v>
      </c>
      <c r="B145" s="12">
        <v>0</v>
      </c>
      <c r="D145" s="12">
        <v>0</v>
      </c>
    </row>
    <row r="146" spans="1:15">
      <c r="A146" t="s">
        <v>521</v>
      </c>
      <c r="B146" s="12">
        <v>0</v>
      </c>
      <c r="D146" s="12">
        <v>0</v>
      </c>
    </row>
    <row r="147" spans="1:15">
      <c r="A147" t="s">
        <v>522</v>
      </c>
      <c r="B147" s="12">
        <v>0</v>
      </c>
      <c r="D147" s="12">
        <v>0</v>
      </c>
    </row>
    <row r="148" spans="1:15">
      <c r="A148" t="s">
        <v>523</v>
      </c>
      <c r="B148" s="12">
        <v>0</v>
      </c>
      <c r="D148" s="12">
        <v>0</v>
      </c>
    </row>
    <row r="149" spans="1:15">
      <c r="A149" t="s">
        <v>524</v>
      </c>
      <c r="B149" s="12">
        <f>2505628/1000</f>
        <v>2505.6280000000002</v>
      </c>
      <c r="D149" s="12">
        <v>0</v>
      </c>
    </row>
    <row r="151" spans="1:15">
      <c r="A151" t="s">
        <v>525</v>
      </c>
      <c r="B151" s="4">
        <v>0</v>
      </c>
      <c r="C151" s="11"/>
      <c r="D151" s="4"/>
      <c r="E151" s="11"/>
      <c r="F151" s="4"/>
      <c r="G151" s="11"/>
      <c r="H151" s="4"/>
      <c r="I151" s="11"/>
      <c r="J151" s="4"/>
      <c r="K151" s="11"/>
      <c r="L151" s="4"/>
      <c r="M151" s="11"/>
      <c r="O151" s="11"/>
    </row>
    <row r="153" spans="1:15">
      <c r="A153" t="s">
        <v>374</v>
      </c>
      <c r="B153" s="4">
        <v>0</v>
      </c>
      <c r="C153" s="11"/>
      <c r="D153" s="4">
        <v>0</v>
      </c>
      <c r="E153" s="11"/>
      <c r="F153" s="4"/>
      <c r="G153" s="11"/>
      <c r="H153" s="4"/>
      <c r="I153" s="11"/>
      <c r="J153" s="4"/>
      <c r="K153" s="11"/>
      <c r="L153" s="4"/>
      <c r="M153" s="11"/>
      <c r="O153" s="11"/>
    </row>
    <row r="155" spans="1:15">
      <c r="A155" t="s">
        <v>375</v>
      </c>
      <c r="B155" s="4">
        <v>0</v>
      </c>
      <c r="C155" s="11"/>
      <c r="D155" s="4"/>
      <c r="E155" s="11"/>
      <c r="F155" s="4"/>
      <c r="G155" s="11"/>
      <c r="H155" s="4"/>
      <c r="I155" s="11"/>
      <c r="J155" s="4"/>
      <c r="K155" s="11"/>
      <c r="L155" s="4"/>
      <c r="M155" s="11"/>
      <c r="O155" s="11"/>
    </row>
    <row r="157" spans="1:15">
      <c r="A157" t="s">
        <v>376</v>
      </c>
      <c r="B157" s="4">
        <f>+B161+B162+B163</f>
        <v>7478.5290000000005</v>
      </c>
      <c r="C157" s="11"/>
      <c r="D157" s="4">
        <f>+D160+D161+D162+D163</f>
        <v>0</v>
      </c>
      <c r="E157" s="11"/>
      <c r="F157" s="4"/>
      <c r="G157" s="11"/>
      <c r="H157" s="4"/>
      <c r="I157" s="11"/>
      <c r="J157" s="4"/>
      <c r="K157" s="11"/>
      <c r="L157" s="4"/>
      <c r="M157" s="11"/>
      <c r="O157" s="11"/>
    </row>
    <row r="158" spans="1:15">
      <c r="A158" t="s">
        <v>377</v>
      </c>
      <c r="B158" s="12">
        <f>11170000/1000</f>
        <v>11170</v>
      </c>
      <c r="D158" s="12">
        <v>0</v>
      </c>
    </row>
    <row r="159" spans="1:15">
      <c r="A159" t="s">
        <v>378</v>
      </c>
      <c r="B159" s="12">
        <v>0</v>
      </c>
      <c r="D159" s="12">
        <v>0</v>
      </c>
    </row>
    <row r="160" spans="1:15">
      <c r="A160" t="s">
        <v>302</v>
      </c>
      <c r="B160" s="12">
        <v>0</v>
      </c>
      <c r="D160" s="12">
        <v>0</v>
      </c>
    </row>
    <row r="161" spans="1:15">
      <c r="A161" t="s">
        <v>289</v>
      </c>
      <c r="B161" s="4">
        <f>+B158+B159</f>
        <v>11170</v>
      </c>
      <c r="D161" s="4">
        <f>+D158+D159</f>
        <v>0</v>
      </c>
    </row>
    <row r="162" spans="1:15">
      <c r="A162" t="s">
        <v>379</v>
      </c>
      <c r="B162" s="12">
        <v>0</v>
      </c>
      <c r="D162" s="12">
        <v>0</v>
      </c>
    </row>
    <row r="163" spans="1:15">
      <c r="A163" t="s">
        <v>380</v>
      </c>
      <c r="B163" s="12">
        <f>-3691471/1000</f>
        <v>-3691.471</v>
      </c>
      <c r="D163" s="12">
        <v>0</v>
      </c>
    </row>
    <row r="165" spans="1:15">
      <c r="A165" t="s">
        <v>381</v>
      </c>
      <c r="B165" s="4">
        <f>SUM(B166:B167)</f>
        <v>0</v>
      </c>
      <c r="C165" s="11"/>
      <c r="D165" s="4">
        <f>SUM(D166:D167)</f>
        <v>0</v>
      </c>
      <c r="E165" s="11"/>
      <c r="F165" s="4"/>
      <c r="G165" s="11"/>
      <c r="H165" s="4"/>
      <c r="I165" s="11"/>
      <c r="J165" s="4"/>
      <c r="K165" s="11"/>
      <c r="L165" s="4"/>
      <c r="M165" s="11"/>
      <c r="O165" s="11"/>
    </row>
    <row r="166" spans="1:15">
      <c r="A166" t="s">
        <v>382</v>
      </c>
      <c r="B166" s="12">
        <v>0</v>
      </c>
      <c r="D166" s="12">
        <v>0</v>
      </c>
    </row>
    <row r="167" spans="1:15">
      <c r="A167" t="s">
        <v>383</v>
      </c>
      <c r="B167" s="12">
        <v>0</v>
      </c>
      <c r="D167" s="12">
        <v>0</v>
      </c>
    </row>
    <row r="169" spans="1:15">
      <c r="A169" t="s">
        <v>384</v>
      </c>
      <c r="B169" s="4">
        <f>+B119+B123+B125+B127+B142+B151+B153+B155+B157+B165</f>
        <v>31428.451000000001</v>
      </c>
      <c r="C169" s="11" t="s">
        <v>0</v>
      </c>
      <c r="D169" s="4">
        <f>+D119+D123+D125+D127+D142+D151+D153+D155+D157+D165</f>
        <v>0</v>
      </c>
      <c r="E169" s="11" t="s">
        <v>0</v>
      </c>
      <c r="F169" s="4">
        <f t="shared" ref="F169:M169" si="7">+F119+F123+F125+F127+F142+F151+F153+F155+F157+F165</f>
        <v>0</v>
      </c>
      <c r="G169" s="11">
        <f t="shared" si="7"/>
        <v>0</v>
      </c>
      <c r="H169" s="4">
        <f t="shared" si="7"/>
        <v>0</v>
      </c>
      <c r="I169" s="11">
        <f t="shared" si="7"/>
        <v>0</v>
      </c>
      <c r="J169" s="4">
        <f t="shared" si="7"/>
        <v>0</v>
      </c>
      <c r="K169" s="11">
        <f t="shared" si="7"/>
        <v>0</v>
      </c>
      <c r="L169" s="4">
        <f t="shared" si="7"/>
        <v>0</v>
      </c>
      <c r="M169" s="11">
        <f t="shared" si="7"/>
        <v>0</v>
      </c>
      <c r="O169" s="11">
        <f>+O119+O123+O125+O127+O142+O151+O153+O155+O157+O165</f>
        <v>0</v>
      </c>
    </row>
  </sheetData>
  <pageMargins left="0.2" right="0.21" top="0.55000000000000004" bottom="0.52" header="0.36" footer="0.3"/>
  <pageSetup scale="54" orientation="landscape" r:id="rId1"/>
  <headerFooter alignWithMargins="0">
    <oddFooter>&amp;R&amp;P</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7"/>
  <sheetViews>
    <sheetView workbookViewId="0"/>
  </sheetViews>
  <sheetFormatPr defaultRowHeight="15.75"/>
  <cols>
    <col min="1" max="1" width="33.25" customWidth="1"/>
    <col min="2" max="2" width="17.62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9.75" style="13" customWidth="1"/>
    <col min="18" max="18" width="15.75" style="12" customWidth="1"/>
    <col min="19" max="21" width="15.75" customWidth="1"/>
    <col min="22" max="256" width="11" customWidth="1"/>
  </cols>
  <sheetData>
    <row r="1" spans="1:21">
      <c r="A1" s="114" t="s">
        <v>542</v>
      </c>
      <c r="B1" s="37"/>
      <c r="C1" s="38"/>
      <c r="D1" s="37"/>
      <c r="E1" s="38"/>
      <c r="F1" s="37"/>
      <c r="G1" s="38"/>
      <c r="H1" s="37"/>
      <c r="I1" s="38"/>
      <c r="J1" s="37"/>
      <c r="K1" s="38"/>
      <c r="L1" s="37"/>
      <c r="M1" s="38"/>
      <c r="N1" s="37"/>
      <c r="O1" s="38"/>
      <c r="P1" s="37"/>
      <c r="Q1" s="38"/>
    </row>
    <row r="2" spans="1:21">
      <c r="A2" s="114" t="s">
        <v>305</v>
      </c>
      <c r="B2" s="37"/>
      <c r="C2" s="38"/>
      <c r="D2" s="37"/>
      <c r="E2" s="38"/>
      <c r="F2" s="37"/>
      <c r="G2" s="38"/>
      <c r="H2" s="37"/>
      <c r="I2" s="38"/>
      <c r="J2" s="37"/>
      <c r="K2" s="38"/>
      <c r="L2" s="37"/>
      <c r="M2" s="38"/>
      <c r="N2" s="37"/>
      <c r="O2" s="38"/>
      <c r="P2" s="37"/>
      <c r="Q2" s="38"/>
    </row>
    <row r="3" spans="1:21">
      <c r="A3" s="114" t="s">
        <v>526</v>
      </c>
      <c r="B3" s="37"/>
      <c r="C3" s="38"/>
      <c r="D3" s="37"/>
      <c r="E3" s="38"/>
      <c r="F3" s="37"/>
      <c r="G3" s="38"/>
      <c r="H3" s="37"/>
      <c r="I3" s="38"/>
      <c r="J3" s="37"/>
      <c r="K3" s="38"/>
      <c r="L3" s="37"/>
      <c r="M3" s="38"/>
      <c r="N3" s="37"/>
      <c r="O3" s="38"/>
      <c r="P3" s="37"/>
      <c r="Q3" s="38"/>
    </row>
    <row r="4" spans="1:21">
      <c r="A4" s="114" t="s">
        <v>179</v>
      </c>
      <c r="B4" s="37"/>
      <c r="C4" s="38"/>
      <c r="D4" s="37"/>
      <c r="E4" s="38"/>
      <c r="F4" s="37"/>
      <c r="G4" s="38"/>
      <c r="H4" s="37"/>
      <c r="I4" s="38"/>
      <c r="J4" s="37"/>
      <c r="K4" s="38"/>
      <c r="L4" s="37"/>
      <c r="M4" s="38"/>
      <c r="N4" s="37"/>
      <c r="O4" s="38"/>
      <c r="P4" s="37"/>
      <c r="Q4" s="38"/>
    </row>
    <row r="6" spans="1:21" s="2" customFormat="1" ht="16.5" thickBot="1">
      <c r="B6" s="400" t="s">
        <v>0</v>
      </c>
      <c r="C6" s="399"/>
      <c r="D6" s="400"/>
      <c r="E6" s="399"/>
      <c r="F6" s="400"/>
      <c r="G6" s="399"/>
      <c r="H6" s="400"/>
      <c r="I6" s="11"/>
      <c r="J6" s="123" t="s">
        <v>167</v>
      </c>
      <c r="K6" s="230"/>
      <c r="L6" s="123"/>
      <c r="M6" s="230"/>
      <c r="N6" s="123"/>
      <c r="O6" s="230"/>
      <c r="P6" s="123"/>
      <c r="Q6" s="230"/>
      <c r="R6" s="4"/>
    </row>
    <row r="7" spans="1:21" s="2" customFormat="1" ht="16.5" thickBot="1">
      <c r="B7" s="223" t="s">
        <v>168</v>
      </c>
      <c r="C7" s="224" t="s">
        <v>301</v>
      </c>
      <c r="D7" s="225" t="s">
        <v>170</v>
      </c>
      <c r="E7" s="224" t="s">
        <v>301</v>
      </c>
      <c r="F7" s="225" t="s">
        <v>171</v>
      </c>
      <c r="G7" s="224" t="s">
        <v>301</v>
      </c>
      <c r="H7" s="225" t="s">
        <v>172</v>
      </c>
      <c r="I7" s="224" t="s">
        <v>301</v>
      </c>
      <c r="J7" s="228" t="s">
        <v>174</v>
      </c>
      <c r="K7" s="227" t="s">
        <v>301</v>
      </c>
      <c r="L7" s="228" t="s">
        <v>175</v>
      </c>
      <c r="M7" s="227" t="s">
        <v>301</v>
      </c>
      <c r="N7" s="228" t="s">
        <v>176</v>
      </c>
      <c r="O7" s="227" t="s">
        <v>301</v>
      </c>
      <c r="P7" s="228" t="s">
        <v>177</v>
      </c>
      <c r="Q7" s="227" t="s">
        <v>301</v>
      </c>
      <c r="R7" s="80"/>
      <c r="S7" s="18"/>
      <c r="T7" s="18"/>
      <c r="U7" s="18"/>
    </row>
    <row r="8" spans="1:21">
      <c r="A8" s="87" t="s">
        <v>243</v>
      </c>
      <c r="B8" s="125"/>
      <c r="C8" s="124"/>
      <c r="D8" s="125"/>
      <c r="E8" s="124"/>
      <c r="F8" s="125"/>
      <c r="G8" s="124"/>
      <c r="H8" s="125"/>
      <c r="I8" s="124"/>
      <c r="J8" s="219"/>
      <c r="K8" s="124"/>
      <c r="L8" s="219"/>
      <c r="M8" s="124"/>
      <c r="N8" s="219"/>
      <c r="O8" s="124"/>
      <c r="P8" s="219"/>
      <c r="Q8" s="124"/>
      <c r="R8" s="14"/>
      <c r="S8" s="9"/>
      <c r="T8" s="9"/>
      <c r="U8" s="9"/>
    </row>
    <row r="9" spans="1:21">
      <c r="A9" s="1" t="s">
        <v>264</v>
      </c>
      <c r="B9"/>
      <c r="O9" s="43"/>
    </row>
    <row r="10" spans="1:21">
      <c r="A10" s="1" t="s">
        <v>265</v>
      </c>
      <c r="B10" s="12">
        <f>+'bhdvar  '!B10</f>
        <v>97</v>
      </c>
      <c r="C10" s="47">
        <f t="shared" ref="C10:C15" si="0">+B10/$B$22</f>
        <v>3.444406567808647E-3</v>
      </c>
      <c r="D10" s="12">
        <f>+'bhdvar  '!D10</f>
        <v>0</v>
      </c>
      <c r="E10" s="44">
        <v>0</v>
      </c>
      <c r="F10" s="12">
        <f>+'bhdvar  '!F10</f>
        <v>0</v>
      </c>
      <c r="G10" s="44">
        <v>0</v>
      </c>
      <c r="H10" s="12">
        <f>+'bhdvar  '!H10</f>
        <v>0</v>
      </c>
      <c r="I10" s="44">
        <v>0</v>
      </c>
      <c r="J10" s="16">
        <f>+'bmhvar '!J10</f>
        <v>0</v>
      </c>
      <c r="K10" s="44">
        <v>0</v>
      </c>
      <c r="L10" s="16">
        <f>+'bhdvar  '!L10</f>
        <v>0</v>
      </c>
      <c r="M10" s="44">
        <v>0</v>
      </c>
      <c r="N10" s="16">
        <f>+'bmhvar '!N10</f>
        <v>0</v>
      </c>
      <c r="O10" s="44">
        <v>0</v>
      </c>
      <c r="P10" s="16">
        <f>+'bhdvar  '!P10</f>
        <v>0</v>
      </c>
      <c r="Q10" s="44">
        <v>0</v>
      </c>
    </row>
    <row r="11" spans="1:21">
      <c r="A11" s="1" t="s">
        <v>266</v>
      </c>
      <c r="B11" s="12">
        <f>+'bhdvar  '!B11</f>
        <v>2611.8000000000002</v>
      </c>
      <c r="C11" s="47">
        <f t="shared" si="0"/>
        <v>9.2743310039202317E-2</v>
      </c>
      <c r="D11" s="12">
        <f>+'bhdvar  '!D11</f>
        <v>0</v>
      </c>
      <c r="E11" s="44">
        <v>0</v>
      </c>
      <c r="F11" s="12">
        <f>+'bhdvar  '!F11</f>
        <v>0</v>
      </c>
      <c r="G11" s="44">
        <v>0</v>
      </c>
      <c r="H11" s="12">
        <f>+'bhdvar  '!H11</f>
        <v>0</v>
      </c>
      <c r="I11" s="44">
        <v>0</v>
      </c>
      <c r="J11" s="16">
        <f>+'bmhvar '!J11</f>
        <v>0</v>
      </c>
      <c r="K11" s="44">
        <v>0</v>
      </c>
      <c r="L11" s="16">
        <f>+'bhdvar  '!L11</f>
        <v>0</v>
      </c>
      <c r="M11" s="44">
        <v>0</v>
      </c>
      <c r="N11" s="16">
        <f>+'bmhvar '!N11</f>
        <v>0</v>
      </c>
      <c r="O11" s="44">
        <v>0</v>
      </c>
      <c r="P11" s="16">
        <f>+'bhdvar  '!P11</f>
        <v>0</v>
      </c>
      <c r="Q11" s="44">
        <v>0</v>
      </c>
    </row>
    <row r="12" spans="1:21">
      <c r="A12" s="1" t="s">
        <v>267</v>
      </c>
      <c r="B12" s="12">
        <f>+'bhdvar  '!B12</f>
        <v>2091.6</v>
      </c>
      <c r="C12" s="47">
        <f t="shared" si="0"/>
        <v>7.4271348218851188E-2</v>
      </c>
      <c r="D12" s="12">
        <f>+'bhdvar  '!D12</f>
        <v>0</v>
      </c>
      <c r="E12" s="44">
        <v>0</v>
      </c>
      <c r="F12" s="12">
        <f>+'bhdvar  '!F12</f>
        <v>0</v>
      </c>
      <c r="G12" s="44">
        <v>0</v>
      </c>
      <c r="H12" s="12">
        <f>+'bhdvar  '!H12</f>
        <v>0</v>
      </c>
      <c r="I12" s="44">
        <v>0</v>
      </c>
      <c r="J12" s="16">
        <f>+'bmhvar '!J12</f>
        <v>0</v>
      </c>
      <c r="K12" s="44">
        <v>0</v>
      </c>
      <c r="L12" s="16">
        <f>+'bhdvar  '!L12</f>
        <v>0</v>
      </c>
      <c r="M12" s="44">
        <v>0</v>
      </c>
      <c r="N12" s="16">
        <f>+'bmhvar '!N12</f>
        <v>0</v>
      </c>
      <c r="O12" s="44">
        <v>0</v>
      </c>
      <c r="P12" s="16">
        <f>+'bhdvar  '!P12</f>
        <v>0</v>
      </c>
      <c r="Q12" s="44">
        <v>0</v>
      </c>
    </row>
    <row r="13" spans="1:21">
      <c r="A13" s="1" t="s">
        <v>268</v>
      </c>
      <c r="B13" s="12">
        <f>+'bhdvar  '!B13</f>
        <v>360.3</v>
      </c>
      <c r="C13" s="47">
        <f t="shared" si="0"/>
        <v>1.279401738537583E-2</v>
      </c>
      <c r="D13" s="12">
        <f>+'bhdvar  '!D13</f>
        <v>0</v>
      </c>
      <c r="E13" s="44">
        <v>0</v>
      </c>
      <c r="F13" s="12">
        <f>+'bhdvar  '!F13</f>
        <v>0</v>
      </c>
      <c r="G13" s="44">
        <v>0</v>
      </c>
      <c r="H13" s="12">
        <f>+'bhdvar  '!H13</f>
        <v>0</v>
      </c>
      <c r="I13" s="44">
        <v>0</v>
      </c>
      <c r="J13" s="16">
        <f>+'bmhvar '!J13</f>
        <v>0</v>
      </c>
      <c r="K13" s="44">
        <v>0</v>
      </c>
      <c r="L13" s="16">
        <f>+'bhdvar  '!L13</f>
        <v>0</v>
      </c>
      <c r="M13" s="44">
        <v>0</v>
      </c>
      <c r="N13" s="16">
        <f>+'bmhvar '!N13</f>
        <v>0</v>
      </c>
      <c r="O13" s="44">
        <v>0</v>
      </c>
      <c r="P13" s="16">
        <f>+'bhdvar  '!P13</f>
        <v>0</v>
      </c>
      <c r="Q13" s="44">
        <v>0</v>
      </c>
    </row>
    <row r="14" spans="1:21">
      <c r="A14" s="1" t="s">
        <v>269</v>
      </c>
      <c r="B14" s="240">
        <f>+'bhdvar  '!B14</f>
        <v>0</v>
      </c>
      <c r="C14" s="236">
        <f t="shared" si="0"/>
        <v>0</v>
      </c>
      <c r="D14" s="240">
        <f>+'bhdvar  '!D14</f>
        <v>0</v>
      </c>
      <c r="E14" s="545">
        <v>0</v>
      </c>
      <c r="F14" s="240">
        <f>+'bhdvar  '!F14</f>
        <v>0</v>
      </c>
      <c r="G14" s="545">
        <v>0</v>
      </c>
      <c r="H14" s="240">
        <f>+'bhdvar  '!H14</f>
        <v>0</v>
      </c>
      <c r="I14" s="545">
        <v>0</v>
      </c>
      <c r="J14" s="248">
        <f>+'bmhvar '!J14</f>
        <v>0</v>
      </c>
      <c r="K14" s="545">
        <v>0</v>
      </c>
      <c r="L14" s="248">
        <f>+'bhdvar  '!L14</f>
        <v>0</v>
      </c>
      <c r="M14" s="545">
        <v>0</v>
      </c>
      <c r="N14" s="248">
        <f>+'bmhvar '!N14</f>
        <v>0</v>
      </c>
      <c r="O14" s="545">
        <v>0</v>
      </c>
      <c r="P14" s="248">
        <f>+'bhdvar  '!P14</f>
        <v>0</v>
      </c>
      <c r="Q14" s="545">
        <v>0</v>
      </c>
    </row>
    <row r="15" spans="1:21" ht="15.6" customHeight="1">
      <c r="A15" s="1"/>
      <c r="B15" s="12">
        <f>SUM(B10:B14)</f>
        <v>5160.7</v>
      </c>
      <c r="C15" s="47">
        <f t="shared" si="0"/>
        <v>0.18325308221123798</v>
      </c>
      <c r="D15" s="12">
        <f>SUM(D10:D14)</f>
        <v>0</v>
      </c>
      <c r="E15" s="44">
        <v>0</v>
      </c>
      <c r="F15" s="12">
        <f>SUM(F10:F14)</f>
        <v>0</v>
      </c>
      <c r="G15" s="44">
        <v>0</v>
      </c>
      <c r="H15" s="12">
        <f>SUM(H10:H14)</f>
        <v>0</v>
      </c>
      <c r="I15" s="44">
        <v>0</v>
      </c>
      <c r="J15" s="12">
        <f>SUM(J10:J14)</f>
        <v>0</v>
      </c>
      <c r="K15" s="44">
        <v>0</v>
      </c>
      <c r="L15" s="12">
        <f>SUM(L10:L14)</f>
        <v>0</v>
      </c>
      <c r="M15" s="44">
        <v>0</v>
      </c>
      <c r="N15" s="12">
        <f>SUM(N10:N14)</f>
        <v>0</v>
      </c>
      <c r="O15" s="44">
        <v>0</v>
      </c>
      <c r="P15" s="12">
        <f>SUM(P10:P14)</f>
        <v>0</v>
      </c>
      <c r="Q15" s="44">
        <v>0</v>
      </c>
    </row>
    <row r="16" spans="1:21" ht="7.9" customHeight="1">
      <c r="A16" s="1"/>
      <c r="C16" s="44" t="s">
        <v>0</v>
      </c>
      <c r="D16" s="44" t="s">
        <v>0</v>
      </c>
      <c r="E16" s="44" t="s">
        <v>0</v>
      </c>
      <c r="F16" s="44" t="s">
        <v>0</v>
      </c>
      <c r="G16" s="44" t="s">
        <v>0</v>
      </c>
      <c r="H16" s="44" t="s">
        <v>0</v>
      </c>
      <c r="I16" s="44" t="s">
        <v>0</v>
      </c>
      <c r="J16" s="44" t="s">
        <v>0</v>
      </c>
      <c r="K16" s="44" t="s">
        <v>0</v>
      </c>
      <c r="L16" s="44" t="s">
        <v>0</v>
      </c>
      <c r="M16" s="44" t="s">
        <v>0</v>
      </c>
      <c r="N16" s="44" t="s">
        <v>0</v>
      </c>
      <c r="O16" s="44" t="s">
        <v>0</v>
      </c>
      <c r="P16" s="44" t="s">
        <v>0</v>
      </c>
      <c r="Q16" s="44" t="s">
        <v>0</v>
      </c>
    </row>
    <row r="17" spans="1:17" ht="15.6" customHeight="1">
      <c r="A17" s="1" t="s">
        <v>270</v>
      </c>
      <c r="B17" s="12">
        <f>+'bhdvar  '!B17</f>
        <v>0</v>
      </c>
      <c r="C17" s="47">
        <f t="shared" ref="C17:C22" si="1">+B17/$B$22</f>
        <v>0</v>
      </c>
      <c r="D17" s="12">
        <f>+'bhdvar  '!D17</f>
        <v>0</v>
      </c>
      <c r="E17" s="44">
        <v>0</v>
      </c>
      <c r="F17" s="12">
        <f>+'bhdvar  '!F17</f>
        <v>0</v>
      </c>
      <c r="G17" s="44">
        <v>0</v>
      </c>
      <c r="H17" s="12">
        <f>+'bhdvar  '!H17</f>
        <v>0</v>
      </c>
      <c r="I17" s="44">
        <v>0</v>
      </c>
      <c r="J17" s="16">
        <f>+'bmhvar '!J17</f>
        <v>0</v>
      </c>
      <c r="K17" s="44">
        <v>0</v>
      </c>
      <c r="L17" s="16">
        <f>+'bhdvar  '!L17</f>
        <v>0</v>
      </c>
      <c r="M17" s="44">
        <v>0</v>
      </c>
      <c r="N17" s="16">
        <f>+'bmhvar '!N17</f>
        <v>0</v>
      </c>
      <c r="O17" s="44">
        <v>0</v>
      </c>
      <c r="P17" s="16">
        <f>+'bhdvar  '!P17</f>
        <v>0</v>
      </c>
      <c r="Q17" s="44">
        <v>0</v>
      </c>
    </row>
    <row r="18" spans="1:17">
      <c r="A18" s="1" t="s">
        <v>271</v>
      </c>
      <c r="B18" s="12">
        <f>+'bhdvar  '!B18</f>
        <v>2973.6</v>
      </c>
      <c r="C18" s="47">
        <f t="shared" si="1"/>
        <v>0.10559059144366796</v>
      </c>
      <c r="D18" s="12">
        <f>+'bhdvar  '!D18</f>
        <v>0</v>
      </c>
      <c r="E18" s="44">
        <v>0</v>
      </c>
      <c r="F18" s="12">
        <f>+'bhdvar  '!F18</f>
        <v>0</v>
      </c>
      <c r="G18" s="44">
        <v>0</v>
      </c>
      <c r="H18" s="12">
        <f>+'bhdvar  '!H18</f>
        <v>0</v>
      </c>
      <c r="I18" s="44">
        <v>0</v>
      </c>
      <c r="J18" s="16">
        <f>+'bmhvar '!J18</f>
        <v>0</v>
      </c>
      <c r="K18" s="44">
        <v>0</v>
      </c>
      <c r="L18" s="16">
        <f>+'bhdvar  '!L18</f>
        <v>0</v>
      </c>
      <c r="M18" s="44">
        <v>0</v>
      </c>
      <c r="N18" s="16">
        <f>+'bmhvar '!N18</f>
        <v>0</v>
      </c>
      <c r="O18" s="44">
        <v>0</v>
      </c>
      <c r="P18" s="16">
        <f>+'bhdvar  '!P18</f>
        <v>0</v>
      </c>
      <c r="Q18" s="44">
        <v>0</v>
      </c>
    </row>
    <row r="19" spans="1:17">
      <c r="A19" s="1" t="s">
        <v>272</v>
      </c>
      <c r="B19" s="12">
        <f>+'bhdvar  '!B19</f>
        <v>5467.1</v>
      </c>
      <c r="C19" s="47">
        <f t="shared" si="1"/>
        <v>0.19413314584398614</v>
      </c>
      <c r="D19" s="12">
        <f>+'bhdvar  '!D19</f>
        <v>0</v>
      </c>
      <c r="E19" s="44">
        <v>0</v>
      </c>
      <c r="F19" s="12">
        <f>+'bhdvar  '!F19</f>
        <v>0</v>
      </c>
      <c r="G19" s="44">
        <v>0</v>
      </c>
      <c r="H19" s="12">
        <f>+'bhdvar  '!H19</f>
        <v>0</v>
      </c>
      <c r="I19" s="44">
        <v>0</v>
      </c>
      <c r="J19" s="16">
        <f>+'bmhvar '!J19</f>
        <v>0</v>
      </c>
      <c r="K19" s="44">
        <v>0</v>
      </c>
      <c r="L19" s="16">
        <f>+'bhdvar  '!L19</f>
        <v>0</v>
      </c>
      <c r="M19" s="44">
        <v>0</v>
      </c>
      <c r="N19" s="16">
        <f>+'bmhvar '!N19</f>
        <v>0</v>
      </c>
      <c r="O19" s="44">
        <v>0</v>
      </c>
      <c r="P19" s="16">
        <f>+'bhdvar  '!P19</f>
        <v>0</v>
      </c>
      <c r="Q19" s="44">
        <v>0</v>
      </c>
    </row>
    <row r="20" spans="1:17">
      <c r="A20" s="1" t="s">
        <v>273</v>
      </c>
      <c r="B20" s="12">
        <f>+'bhdvar  '!B20</f>
        <v>14449.5</v>
      </c>
      <c r="C20" s="47">
        <f t="shared" si="1"/>
        <v>0.51309229589227878</v>
      </c>
      <c r="D20" s="12">
        <f>+'bhdvar  '!D20</f>
        <v>0</v>
      </c>
      <c r="E20" s="44">
        <v>0</v>
      </c>
      <c r="F20" s="12">
        <f>+'bhdvar  '!F20</f>
        <v>0</v>
      </c>
      <c r="G20" s="44">
        <v>0</v>
      </c>
      <c r="H20" s="12">
        <f>+'bhdvar  '!H20</f>
        <v>0</v>
      </c>
      <c r="I20" s="44">
        <v>0</v>
      </c>
      <c r="J20" s="16">
        <f>+'bmhvar '!J20</f>
        <v>0</v>
      </c>
      <c r="K20" s="44">
        <v>0</v>
      </c>
      <c r="L20" s="16">
        <f>+'bhdvar  '!L20</f>
        <v>0</v>
      </c>
      <c r="M20" s="44">
        <v>0</v>
      </c>
      <c r="N20" s="16">
        <f>+'bmhvar '!N20</f>
        <v>0</v>
      </c>
      <c r="O20" s="44">
        <v>0</v>
      </c>
      <c r="P20" s="16">
        <f>+'bhdvar  '!P20</f>
        <v>0</v>
      </c>
      <c r="Q20" s="44">
        <v>0</v>
      </c>
    </row>
    <row r="21" spans="1:17" ht="16.5" thickBot="1">
      <c r="A21" s="1" t="s">
        <v>274</v>
      </c>
      <c r="B21" s="76">
        <f>+'bhdvar  '!B21</f>
        <v>110.7</v>
      </c>
      <c r="C21" s="231">
        <f t="shared" si="1"/>
        <v>3.9308846088290435E-3</v>
      </c>
      <c r="D21" s="76">
        <f>+'bhdvar  '!D21</f>
        <v>0</v>
      </c>
      <c r="E21" s="232">
        <v>0</v>
      </c>
      <c r="F21" s="76">
        <f>+'bhdvar  '!F21</f>
        <v>0</v>
      </c>
      <c r="G21" s="232">
        <v>0</v>
      </c>
      <c r="H21" s="76">
        <f>+'bhdvar  '!H21</f>
        <v>0</v>
      </c>
      <c r="I21" s="232">
        <v>0</v>
      </c>
      <c r="J21" s="77">
        <f>+'bmhvar '!J21</f>
        <v>0</v>
      </c>
      <c r="K21" s="232">
        <v>0</v>
      </c>
      <c r="L21" s="77">
        <f>+'bhdvar  '!L21</f>
        <v>0</v>
      </c>
      <c r="M21" s="232">
        <v>0</v>
      </c>
      <c r="N21" s="77">
        <f>+'bmhvar '!N21</f>
        <v>0</v>
      </c>
      <c r="O21" s="232">
        <v>0</v>
      </c>
      <c r="P21" s="77">
        <f>+'bhdvar  '!P21</f>
        <v>0</v>
      </c>
      <c r="Q21" s="232">
        <v>0</v>
      </c>
    </row>
    <row r="22" spans="1:17">
      <c r="A22" s="1" t="s">
        <v>275</v>
      </c>
      <c r="B22" s="4">
        <f>SUM(B15:B21)</f>
        <v>28161.600000000002</v>
      </c>
      <c r="C22" s="106">
        <f t="shared" si="1"/>
        <v>1</v>
      </c>
      <c r="D22" s="4">
        <f>SUM(D15:D21)</f>
        <v>0</v>
      </c>
      <c r="E22" s="42">
        <v>0</v>
      </c>
      <c r="F22" s="4">
        <f>SUM(F15:F21)</f>
        <v>0</v>
      </c>
      <c r="G22" s="44">
        <v>0</v>
      </c>
      <c r="H22" s="4">
        <f>SUM(H15:H21)</f>
        <v>0</v>
      </c>
      <c r="I22" s="42">
        <v>0</v>
      </c>
      <c r="J22" s="4">
        <f>SUM(J15:J21)</f>
        <v>0</v>
      </c>
      <c r="K22" s="42">
        <v>0</v>
      </c>
      <c r="L22" s="4">
        <f>SUM(L15:L21)</f>
        <v>0</v>
      </c>
      <c r="M22" s="1103">
        <v>0</v>
      </c>
      <c r="N22" s="4">
        <f>SUM(N15:N21)</f>
        <v>0</v>
      </c>
      <c r="O22" s="42">
        <v>0</v>
      </c>
      <c r="P22" s="4">
        <f>SUM(P15:P21)</f>
        <v>0</v>
      </c>
      <c r="Q22" s="1103">
        <v>0</v>
      </c>
    </row>
    <row r="23" spans="1:17" ht="7.9" customHeight="1">
      <c r="A23" s="1"/>
      <c r="C23" s="44" t="s">
        <v>0</v>
      </c>
      <c r="D23" s="44" t="s">
        <v>0</v>
      </c>
      <c r="E23" s="44" t="s">
        <v>0</v>
      </c>
      <c r="F23" s="44" t="s">
        <v>0</v>
      </c>
      <c r="G23" s="44" t="s">
        <v>0</v>
      </c>
      <c r="H23" s="44" t="s">
        <v>0</v>
      </c>
      <c r="I23" s="44" t="s">
        <v>0</v>
      </c>
      <c r="J23" s="44" t="s">
        <v>0</v>
      </c>
      <c r="K23" s="44" t="s">
        <v>0</v>
      </c>
      <c r="L23" s="44" t="s">
        <v>0</v>
      </c>
      <c r="M23" s="44" t="s">
        <v>0</v>
      </c>
      <c r="N23" s="44" t="s">
        <v>0</v>
      </c>
      <c r="O23" s="44" t="s">
        <v>0</v>
      </c>
      <c r="P23" s="44" t="s">
        <v>0</v>
      </c>
      <c r="Q23" s="44" t="s">
        <v>0</v>
      </c>
    </row>
    <row r="24" spans="1:17">
      <c r="A24" s="87" t="s">
        <v>276</v>
      </c>
      <c r="C24" s="44" t="s">
        <v>0</v>
      </c>
      <c r="D24" s="44" t="s">
        <v>0</v>
      </c>
      <c r="E24" s="44" t="s">
        <v>0</v>
      </c>
      <c r="F24" s="44" t="s">
        <v>0</v>
      </c>
      <c r="G24" s="44" t="s">
        <v>0</v>
      </c>
      <c r="H24" s="44" t="s">
        <v>0</v>
      </c>
      <c r="I24" s="44" t="s">
        <v>0</v>
      </c>
      <c r="J24" s="44" t="s">
        <v>0</v>
      </c>
      <c r="K24" s="44" t="s">
        <v>0</v>
      </c>
      <c r="L24" s="44" t="s">
        <v>0</v>
      </c>
      <c r="M24" s="44" t="s">
        <v>0</v>
      </c>
      <c r="N24" s="44" t="s">
        <v>0</v>
      </c>
      <c r="O24" s="44" t="s">
        <v>0</v>
      </c>
      <c r="P24" s="44" t="s">
        <v>0</v>
      </c>
      <c r="Q24" s="44" t="s">
        <v>0</v>
      </c>
    </row>
    <row r="25" spans="1:17">
      <c r="A25" s="1" t="s">
        <v>277</v>
      </c>
      <c r="C25" s="44" t="s">
        <v>0</v>
      </c>
      <c r="D25" s="44" t="s">
        <v>0</v>
      </c>
      <c r="E25" s="44" t="s">
        <v>0</v>
      </c>
      <c r="F25" s="44" t="s">
        <v>0</v>
      </c>
      <c r="G25" s="44" t="s">
        <v>0</v>
      </c>
      <c r="H25" s="44" t="s">
        <v>0</v>
      </c>
      <c r="I25" s="44" t="s">
        <v>0</v>
      </c>
      <c r="J25" s="44" t="s">
        <v>0</v>
      </c>
      <c r="K25" s="44" t="s">
        <v>0</v>
      </c>
      <c r="L25" s="44" t="s">
        <v>0</v>
      </c>
      <c r="M25" s="44" t="s">
        <v>0</v>
      </c>
      <c r="N25" s="44" t="s">
        <v>0</v>
      </c>
      <c r="O25" s="44" t="s">
        <v>0</v>
      </c>
      <c r="P25" s="44" t="s">
        <v>0</v>
      </c>
      <c r="Q25" s="44" t="s">
        <v>0</v>
      </c>
    </row>
    <row r="26" spans="1:17">
      <c r="A26" s="1" t="s">
        <v>278</v>
      </c>
      <c r="B26" s="12">
        <f>+'bhdvar  '!B26</f>
        <v>550.20000000000005</v>
      </c>
      <c r="C26" s="47">
        <f>+B26/$B$22</f>
        <v>1.9537242202147604E-2</v>
      </c>
      <c r="D26" s="12">
        <f>+'bhdvar  '!D26</f>
        <v>0</v>
      </c>
      <c r="E26" s="44">
        <v>0</v>
      </c>
      <c r="F26" s="12">
        <f>+'bhdvar  '!F26</f>
        <v>0</v>
      </c>
      <c r="G26" s="44">
        <v>0</v>
      </c>
      <c r="H26" s="12">
        <f>+'bhdvar  '!H26</f>
        <v>0</v>
      </c>
      <c r="I26" s="44">
        <v>0</v>
      </c>
      <c r="J26" s="16">
        <f>+'bmhvar '!J26</f>
        <v>0</v>
      </c>
      <c r="K26" s="44">
        <v>0</v>
      </c>
      <c r="L26" s="16">
        <f>+'bhdvar  '!L26</f>
        <v>0</v>
      </c>
      <c r="M26" s="44">
        <v>0</v>
      </c>
      <c r="N26" s="16">
        <f>+'bmhvar '!N26</f>
        <v>0</v>
      </c>
      <c r="O26" s="44">
        <v>0</v>
      </c>
      <c r="P26" s="16">
        <f>+'bhdvar  '!P26</f>
        <v>0</v>
      </c>
      <c r="Q26" s="44">
        <v>0</v>
      </c>
    </row>
    <row r="27" spans="1:17">
      <c r="A27" s="1" t="s">
        <v>279</v>
      </c>
      <c r="B27" s="12">
        <f>+'bhdvar  '!B27</f>
        <v>3725.8</v>
      </c>
      <c r="C27" s="47">
        <f>+B27/$B$22</f>
        <v>0.13230072154991193</v>
      </c>
      <c r="D27" s="12">
        <f>+'bhdvar  '!D27</f>
        <v>0</v>
      </c>
      <c r="E27" s="44">
        <v>0</v>
      </c>
      <c r="F27" s="12">
        <f>+'bhdvar  '!F27</f>
        <v>0</v>
      </c>
      <c r="G27" s="44">
        <v>0</v>
      </c>
      <c r="H27" s="12">
        <f>+'bhdvar  '!H27</f>
        <v>0</v>
      </c>
      <c r="I27" s="44">
        <v>0</v>
      </c>
      <c r="J27" s="16">
        <f>+'bmhvar '!J27</f>
        <v>0</v>
      </c>
      <c r="K27" s="44">
        <v>0</v>
      </c>
      <c r="L27" s="16">
        <f>+'bhdvar  '!L27</f>
        <v>0</v>
      </c>
      <c r="M27" s="44">
        <v>0</v>
      </c>
      <c r="N27" s="16">
        <f>+'bmhvar '!N27</f>
        <v>0</v>
      </c>
      <c r="O27" s="44">
        <v>0</v>
      </c>
      <c r="P27" s="16">
        <f>+'bhdvar  '!P27</f>
        <v>0</v>
      </c>
      <c r="Q27" s="44">
        <v>0</v>
      </c>
    </row>
    <row r="28" spans="1:17">
      <c r="A28" s="1" t="s">
        <v>280</v>
      </c>
      <c r="B28" s="240">
        <f>+'bhdvar  '!B28</f>
        <v>0</v>
      </c>
      <c r="C28" s="236">
        <f>+B28/$B$22</f>
        <v>0</v>
      </c>
      <c r="D28" s="240">
        <f>+'bhdvar  '!D28</f>
        <v>0</v>
      </c>
      <c r="E28" s="545">
        <v>0</v>
      </c>
      <c r="F28" s="240">
        <f>+'bhdvar  '!F28</f>
        <v>0</v>
      </c>
      <c r="G28" s="545">
        <v>0</v>
      </c>
      <c r="H28" s="240">
        <f>+'bhdvar  '!H28</f>
        <v>0</v>
      </c>
      <c r="I28" s="545">
        <v>0</v>
      </c>
      <c r="J28" s="248">
        <f>+'bmhvar '!J28</f>
        <v>0</v>
      </c>
      <c r="K28" s="545">
        <v>0</v>
      </c>
      <c r="L28" s="248">
        <f>+'bhdvar  '!L28</f>
        <v>0</v>
      </c>
      <c r="M28" s="545">
        <v>0</v>
      </c>
      <c r="N28" s="248">
        <f>+'bmhvar '!N28</f>
        <v>0</v>
      </c>
      <c r="O28" s="545">
        <v>0</v>
      </c>
      <c r="P28" s="248">
        <f>+'bhdvar  '!P28</f>
        <v>0</v>
      </c>
      <c r="Q28" s="545">
        <v>0</v>
      </c>
    </row>
    <row r="29" spans="1:17">
      <c r="A29" s="1"/>
      <c r="B29" s="12">
        <f>SUM(B26:B28)</f>
        <v>4276</v>
      </c>
      <c r="C29" s="47">
        <f>+B29/$B$22</f>
        <v>0.15183796375205952</v>
      </c>
      <c r="D29" s="12">
        <f>SUM(D26:D28)</f>
        <v>0</v>
      </c>
      <c r="E29" s="44">
        <v>0</v>
      </c>
      <c r="F29" s="12">
        <f>SUM(F26:F28)</f>
        <v>0</v>
      </c>
      <c r="G29" s="44">
        <v>0</v>
      </c>
      <c r="H29" s="12">
        <f>SUM(H26:H28)</f>
        <v>0</v>
      </c>
      <c r="I29" s="44">
        <v>0</v>
      </c>
      <c r="J29" s="12">
        <f>SUM(J26:J28)</f>
        <v>0</v>
      </c>
      <c r="K29" s="44">
        <v>0</v>
      </c>
      <c r="L29" s="12">
        <f>SUM(L26:L28)</f>
        <v>0</v>
      </c>
      <c r="M29" s="44">
        <v>0</v>
      </c>
      <c r="N29" s="12">
        <f>SUM(N26:N28)</f>
        <v>0</v>
      </c>
      <c r="O29" s="44">
        <v>0</v>
      </c>
      <c r="P29" s="12">
        <f>SUM(P26:P28)</f>
        <v>0</v>
      </c>
      <c r="Q29" s="44">
        <v>0</v>
      </c>
    </row>
    <row r="30" spans="1:17" ht="7.9" customHeight="1">
      <c r="A30" s="1"/>
      <c r="C30" s="44" t="s">
        <v>0</v>
      </c>
      <c r="D30" s="44" t="s">
        <v>0</v>
      </c>
      <c r="E30" s="44" t="s">
        <v>0</v>
      </c>
      <c r="F30" s="44" t="s">
        <v>0</v>
      </c>
      <c r="G30" s="44" t="s">
        <v>0</v>
      </c>
      <c r="H30" s="44" t="s">
        <v>0</v>
      </c>
      <c r="I30" s="44" t="s">
        <v>0</v>
      </c>
      <c r="J30" s="44" t="s">
        <v>0</v>
      </c>
      <c r="K30" s="44" t="s">
        <v>0</v>
      </c>
      <c r="L30" s="44" t="s">
        <v>0</v>
      </c>
      <c r="M30" s="44" t="s">
        <v>0</v>
      </c>
      <c r="N30" s="44" t="s">
        <v>0</v>
      </c>
      <c r="O30" s="44" t="s">
        <v>0</v>
      </c>
      <c r="P30" s="44" t="s">
        <v>0</v>
      </c>
      <c r="Q30" s="44" t="s">
        <v>0</v>
      </c>
    </row>
    <row r="31" spans="1:17">
      <c r="A31" s="1" t="s">
        <v>281</v>
      </c>
      <c r="C31" s="44" t="s">
        <v>0</v>
      </c>
      <c r="D31" s="44" t="s">
        <v>0</v>
      </c>
      <c r="E31" s="44" t="s">
        <v>0</v>
      </c>
      <c r="F31" s="44" t="s">
        <v>0</v>
      </c>
      <c r="G31" s="44" t="s">
        <v>0</v>
      </c>
      <c r="H31" s="44" t="s">
        <v>0</v>
      </c>
      <c r="I31" s="44" t="s">
        <v>0</v>
      </c>
      <c r="J31" s="44" t="s">
        <v>0</v>
      </c>
      <c r="K31" s="44" t="s">
        <v>0</v>
      </c>
      <c r="L31" s="44" t="s">
        <v>0</v>
      </c>
      <c r="M31" s="44" t="s">
        <v>0</v>
      </c>
      <c r="N31" s="44" t="s">
        <v>0</v>
      </c>
      <c r="O31" s="44" t="s">
        <v>0</v>
      </c>
      <c r="P31" s="44" t="s">
        <v>0</v>
      </c>
      <c r="Q31" s="44" t="s">
        <v>0</v>
      </c>
    </row>
    <row r="32" spans="1:17">
      <c r="A32" s="1" t="s">
        <v>282</v>
      </c>
      <c r="B32" s="12">
        <f>+'bhdvar  '!B32</f>
        <v>0</v>
      </c>
      <c r="C32" s="47">
        <f>+B32/$B$22</f>
        <v>0</v>
      </c>
      <c r="D32" s="12">
        <f>+'bhdvar  '!D32</f>
        <v>0</v>
      </c>
      <c r="E32" s="44">
        <v>0</v>
      </c>
      <c r="F32" s="12">
        <f>+'bhdvar  '!F32</f>
        <v>0</v>
      </c>
      <c r="G32" s="44">
        <v>0</v>
      </c>
      <c r="H32" s="12">
        <f>+'bhdvar  '!H32</f>
        <v>0</v>
      </c>
      <c r="I32" s="44">
        <v>0</v>
      </c>
      <c r="J32" s="16">
        <f>+'bmhvar '!J32</f>
        <v>0</v>
      </c>
      <c r="K32" s="44">
        <v>0</v>
      </c>
      <c r="L32" s="16">
        <f>+'bhdvar  '!L32</f>
        <v>0</v>
      </c>
      <c r="M32" s="44">
        <v>0</v>
      </c>
      <c r="N32" s="16">
        <f>+'bmhvar '!N32</f>
        <v>0</v>
      </c>
      <c r="O32" s="44">
        <v>0</v>
      </c>
      <c r="P32" s="16">
        <f>+'bhdvar  '!P32</f>
        <v>0</v>
      </c>
      <c r="Q32" s="44">
        <v>0</v>
      </c>
    </row>
    <row r="33" spans="1:21">
      <c r="A33" s="1" t="s">
        <v>283</v>
      </c>
      <c r="B33" s="12">
        <f>+'bhdvar  '!B33</f>
        <v>0</v>
      </c>
      <c r="C33" s="47">
        <f>+B33/$B$22</f>
        <v>0</v>
      </c>
      <c r="D33" s="12">
        <f>+'bhdvar  '!D33</f>
        <v>0</v>
      </c>
      <c r="E33" s="44">
        <v>0</v>
      </c>
      <c r="F33" s="12">
        <f>+'bhdvar  '!F33</f>
        <v>0</v>
      </c>
      <c r="G33" s="44">
        <v>0</v>
      </c>
      <c r="H33" s="12">
        <f>+'bhdvar  '!H33</f>
        <v>0</v>
      </c>
      <c r="I33" s="44">
        <v>0</v>
      </c>
      <c r="J33" s="16">
        <f>+'bmhvar '!J33</f>
        <v>0</v>
      </c>
      <c r="K33" s="44">
        <v>0</v>
      </c>
      <c r="L33" s="16">
        <f>+'bhdvar  '!L33</f>
        <v>0</v>
      </c>
      <c r="M33" s="44">
        <v>0</v>
      </c>
      <c r="N33" s="16">
        <f>+'bmhvar '!N33</f>
        <v>0</v>
      </c>
      <c r="O33" s="44">
        <v>0</v>
      </c>
      <c r="P33" s="16">
        <f>+'bhdvar  '!P33</f>
        <v>0</v>
      </c>
      <c r="Q33" s="44">
        <v>0</v>
      </c>
    </row>
    <row r="34" spans="1:21" ht="18">
      <c r="A34" s="1" t="s">
        <v>284</v>
      </c>
      <c r="B34" s="240">
        <f>+'bhdvar  '!B34</f>
        <v>188.5</v>
      </c>
      <c r="C34" s="236">
        <f>+B34/$B$22</f>
        <v>6.6935117322879378E-3</v>
      </c>
      <c r="D34" s="240">
        <f>+'bhdvar  '!D34</f>
        <v>0</v>
      </c>
      <c r="E34" s="545">
        <v>0</v>
      </c>
      <c r="F34" s="240">
        <f>+'bhdvar  '!F34</f>
        <v>0</v>
      </c>
      <c r="G34" s="545">
        <v>0</v>
      </c>
      <c r="H34" s="240">
        <f>+'bhdvar  '!H34</f>
        <v>0</v>
      </c>
      <c r="I34" s="545">
        <v>0</v>
      </c>
      <c r="J34" s="248">
        <f>+'bmhvar '!J34</f>
        <v>0</v>
      </c>
      <c r="K34" s="545">
        <v>0</v>
      </c>
      <c r="L34" s="248">
        <f>+'bhdvar  '!L34</f>
        <v>0</v>
      </c>
      <c r="M34" s="545">
        <v>0</v>
      </c>
      <c r="N34" s="248">
        <f>+'bmhvar '!N34</f>
        <v>0</v>
      </c>
      <c r="O34" s="545">
        <v>0</v>
      </c>
      <c r="P34" s="248">
        <f>+'bhdvar  '!P34</f>
        <v>0</v>
      </c>
      <c r="Q34" s="545">
        <v>0</v>
      </c>
      <c r="R34" s="6"/>
      <c r="S34" s="7"/>
      <c r="T34" s="7"/>
      <c r="U34" s="7"/>
    </row>
    <row r="35" spans="1:21">
      <c r="A35" s="1"/>
      <c r="B35" s="12">
        <f>SUM(B32:B34)</f>
        <v>188.5</v>
      </c>
      <c r="C35" s="47">
        <f>+B35/$B$22</f>
        <v>6.6935117322879378E-3</v>
      </c>
      <c r="D35" s="12">
        <f>SUM(D32:D34)</f>
        <v>0</v>
      </c>
      <c r="E35" s="44">
        <v>0</v>
      </c>
      <c r="F35" s="12">
        <f>SUM(F32:F34)</f>
        <v>0</v>
      </c>
      <c r="G35" s="44">
        <v>0</v>
      </c>
      <c r="H35" s="12">
        <f>SUM(H32:H34)</f>
        <v>0</v>
      </c>
      <c r="I35" s="44">
        <v>0</v>
      </c>
      <c r="J35" s="12">
        <f>SUM(J32:J34)</f>
        <v>0</v>
      </c>
      <c r="K35" s="44">
        <v>0</v>
      </c>
      <c r="L35" s="12">
        <f>SUM(L32:L34)</f>
        <v>0</v>
      </c>
      <c r="M35" s="44">
        <v>0</v>
      </c>
      <c r="N35" s="12">
        <f>SUM(N32:N34)</f>
        <v>0</v>
      </c>
      <c r="O35" s="44">
        <v>0</v>
      </c>
      <c r="P35" s="12">
        <f>SUM(P32:P34)</f>
        <v>0</v>
      </c>
      <c r="Q35" s="44">
        <v>0</v>
      </c>
    </row>
    <row r="36" spans="1:21" ht="7.15" customHeight="1">
      <c r="A36" s="1"/>
      <c r="C36" s="44" t="s">
        <v>0</v>
      </c>
      <c r="D36" s="44" t="s">
        <v>0</v>
      </c>
      <c r="E36" s="44" t="s">
        <v>0</v>
      </c>
      <c r="F36" s="44" t="s">
        <v>0</v>
      </c>
      <c r="G36" s="44" t="s">
        <v>0</v>
      </c>
      <c r="H36" s="44" t="s">
        <v>0</v>
      </c>
      <c r="I36" s="44" t="s">
        <v>0</v>
      </c>
      <c r="J36" s="44" t="s">
        <v>0</v>
      </c>
      <c r="K36" s="44" t="s">
        <v>0</v>
      </c>
      <c r="L36" s="44" t="s">
        <v>0</v>
      </c>
      <c r="M36" s="44" t="s">
        <v>0</v>
      </c>
      <c r="N36" s="44" t="s">
        <v>0</v>
      </c>
      <c r="O36" s="44" t="s">
        <v>0</v>
      </c>
      <c r="P36" s="44" t="s">
        <v>0</v>
      </c>
      <c r="Q36" s="44" t="s">
        <v>0</v>
      </c>
    </row>
    <row r="37" spans="1:21">
      <c r="A37" s="1" t="s">
        <v>285</v>
      </c>
      <c r="C37" s="44" t="s">
        <v>0</v>
      </c>
      <c r="D37" s="44" t="s">
        <v>0</v>
      </c>
      <c r="E37" s="44" t="s">
        <v>0</v>
      </c>
      <c r="F37" s="44" t="s">
        <v>0</v>
      </c>
      <c r="G37" s="44" t="s">
        <v>0</v>
      </c>
      <c r="H37" s="44" t="s">
        <v>0</v>
      </c>
      <c r="I37" s="44" t="s">
        <v>0</v>
      </c>
      <c r="J37" s="44" t="s">
        <v>0</v>
      </c>
      <c r="K37" s="44" t="s">
        <v>0</v>
      </c>
      <c r="L37" s="44" t="s">
        <v>0</v>
      </c>
      <c r="M37" s="44" t="s">
        <v>0</v>
      </c>
      <c r="N37" s="44" t="s">
        <v>0</v>
      </c>
      <c r="O37" s="44" t="s">
        <v>0</v>
      </c>
      <c r="P37" s="44" t="s">
        <v>0</v>
      </c>
      <c r="Q37" s="44" t="s">
        <v>0</v>
      </c>
    </row>
    <row r="38" spans="1:21">
      <c r="A38" s="1" t="s">
        <v>282</v>
      </c>
      <c r="B38" s="12">
        <f>+'bhdvar  '!B38</f>
        <v>0</v>
      </c>
      <c r="C38" s="47">
        <f>+B38/$B$22</f>
        <v>0</v>
      </c>
      <c r="D38" s="12">
        <f>+'bhdvar  '!D38</f>
        <v>0</v>
      </c>
      <c r="E38" s="44">
        <v>0</v>
      </c>
      <c r="F38" s="12">
        <f>+'bhdvar  '!F38</f>
        <v>0</v>
      </c>
      <c r="G38" s="44">
        <v>0</v>
      </c>
      <c r="H38" s="12">
        <f>+'bhdvar  '!H38</f>
        <v>0</v>
      </c>
      <c r="I38" s="44">
        <v>0</v>
      </c>
      <c r="J38" s="16">
        <f>+'bmhvar '!J38</f>
        <v>0</v>
      </c>
      <c r="K38" s="44">
        <v>0</v>
      </c>
      <c r="L38" s="16">
        <f>+'bhdvar  '!L38</f>
        <v>0</v>
      </c>
      <c r="M38" s="44">
        <v>0</v>
      </c>
      <c r="N38" s="16">
        <f>+'bmhvar '!N38</f>
        <v>0</v>
      </c>
      <c r="O38" s="44">
        <v>0</v>
      </c>
      <c r="P38" s="16">
        <f>+'bhdvar  '!P38</f>
        <v>0</v>
      </c>
      <c r="Q38" s="44">
        <v>0</v>
      </c>
    </row>
    <row r="39" spans="1:21">
      <c r="A39" s="1" t="s">
        <v>286</v>
      </c>
      <c r="B39" s="12">
        <f>+'bhdvar  '!B39</f>
        <v>0</v>
      </c>
      <c r="C39" s="47">
        <f>+B39/$B$22</f>
        <v>0</v>
      </c>
      <c r="D39" s="12">
        <f>+'bhdvar  '!D39</f>
        <v>0</v>
      </c>
      <c r="E39" s="44">
        <v>0</v>
      </c>
      <c r="F39" s="12">
        <f>+'bhdvar  '!F39</f>
        <v>0</v>
      </c>
      <c r="G39" s="44">
        <v>0</v>
      </c>
      <c r="H39" s="12">
        <f>+'bhdvar  '!H39</f>
        <v>0</v>
      </c>
      <c r="I39" s="44">
        <v>0</v>
      </c>
      <c r="J39" s="16">
        <f>+'bmhvar '!J39</f>
        <v>0</v>
      </c>
      <c r="K39" s="44">
        <v>0</v>
      </c>
      <c r="L39" s="16">
        <f>+'bhdvar  '!L39</f>
        <v>0</v>
      </c>
      <c r="M39" s="44">
        <v>0</v>
      </c>
      <c r="N39" s="16">
        <f>+'bmhvar '!N39</f>
        <v>0</v>
      </c>
      <c r="O39" s="44">
        <v>0</v>
      </c>
      <c r="P39" s="16">
        <f>+'bhdvar  '!P39</f>
        <v>0</v>
      </c>
      <c r="Q39" s="44">
        <v>0</v>
      </c>
    </row>
    <row r="40" spans="1:21">
      <c r="A40" s="1" t="s">
        <v>284</v>
      </c>
      <c r="B40" s="240">
        <f>+'bhdvar  '!B40</f>
        <v>11276.7</v>
      </c>
      <c r="C40" s="236">
        <f>+B40/$B$22</f>
        <v>0.40042824271348221</v>
      </c>
      <c r="D40" s="240">
        <f>+'bhdvar  '!D40</f>
        <v>0</v>
      </c>
      <c r="E40" s="545">
        <v>0</v>
      </c>
      <c r="F40" s="240">
        <f>+'bhdvar  '!F40</f>
        <v>0</v>
      </c>
      <c r="G40" s="545">
        <v>0</v>
      </c>
      <c r="H40" s="240">
        <f>+'bhdvar  '!H40</f>
        <v>0</v>
      </c>
      <c r="I40" s="545">
        <v>0</v>
      </c>
      <c r="J40" s="248">
        <f>+'bmhvar '!J40</f>
        <v>0</v>
      </c>
      <c r="K40" s="545">
        <v>0</v>
      </c>
      <c r="L40" s="248">
        <f>+'bhdvar  '!L40</f>
        <v>0</v>
      </c>
      <c r="M40" s="545">
        <v>0</v>
      </c>
      <c r="N40" s="248">
        <f>+'bmhvar '!N40</f>
        <v>0</v>
      </c>
      <c r="O40" s="545">
        <v>0</v>
      </c>
      <c r="P40" s="248">
        <f>+'bhdvar  '!P40</f>
        <v>0</v>
      </c>
      <c r="Q40" s="545">
        <v>0</v>
      </c>
    </row>
    <row r="41" spans="1:21">
      <c r="A41" s="1"/>
      <c r="B41" s="12">
        <f>SUM(B38:B40)</f>
        <v>11276.7</v>
      </c>
      <c r="C41" s="47">
        <f>+B41/$B$22</f>
        <v>0.40042824271348221</v>
      </c>
      <c r="D41" s="12">
        <f>SUM(D38:D40)</f>
        <v>0</v>
      </c>
      <c r="E41" s="44">
        <v>0</v>
      </c>
      <c r="F41" s="12">
        <f>SUM(F38:F40)</f>
        <v>0</v>
      </c>
      <c r="G41" s="44">
        <v>0</v>
      </c>
      <c r="H41" s="12">
        <f>SUM(H38:H40)</f>
        <v>0</v>
      </c>
      <c r="I41" s="44">
        <v>0</v>
      </c>
      <c r="J41" s="12">
        <f>SUM(J38:J40)</f>
        <v>0</v>
      </c>
      <c r="K41" s="44">
        <v>0</v>
      </c>
      <c r="L41" s="12">
        <f>SUM(L38:L40)</f>
        <v>0</v>
      </c>
      <c r="M41" s="44">
        <v>0</v>
      </c>
      <c r="N41" s="12">
        <f>SUM(N38:N40)</f>
        <v>0</v>
      </c>
      <c r="O41" s="44">
        <v>0</v>
      </c>
      <c r="P41" s="12">
        <f>SUM(P38:P40)</f>
        <v>0</v>
      </c>
      <c r="Q41" s="44">
        <v>0</v>
      </c>
    </row>
    <row r="42" spans="1:21" ht="8.4499999999999993" customHeight="1">
      <c r="A42" s="1"/>
      <c r="C42" s="44" t="s">
        <v>0</v>
      </c>
      <c r="D42" s="44" t="s">
        <v>0</v>
      </c>
      <c r="E42" s="44" t="s">
        <v>0</v>
      </c>
      <c r="F42" s="44" t="s">
        <v>0</v>
      </c>
      <c r="G42" s="44" t="s">
        <v>0</v>
      </c>
      <c r="H42" s="44" t="s">
        <v>0</v>
      </c>
      <c r="I42" s="44" t="s">
        <v>0</v>
      </c>
      <c r="J42" s="44" t="s">
        <v>0</v>
      </c>
      <c r="K42" s="44" t="s">
        <v>0</v>
      </c>
      <c r="L42" s="44" t="s">
        <v>0</v>
      </c>
      <c r="M42" s="44" t="s">
        <v>0</v>
      </c>
      <c r="N42" s="44" t="s">
        <v>0</v>
      </c>
      <c r="O42" s="44" t="s">
        <v>0</v>
      </c>
      <c r="P42" s="44" t="s">
        <v>0</v>
      </c>
      <c r="Q42" s="44" t="s">
        <v>0</v>
      </c>
    </row>
    <row r="43" spans="1:21" ht="18">
      <c r="A43" s="1" t="s">
        <v>287</v>
      </c>
      <c r="B43" s="240">
        <f>+'bhdvar  '!B43</f>
        <v>0</v>
      </c>
      <c r="C43" s="236">
        <f>+B43/$B$22</f>
        <v>0</v>
      </c>
      <c r="D43" s="240">
        <f>+'bhdvar  '!D43</f>
        <v>0</v>
      </c>
      <c r="E43" s="545">
        <v>0</v>
      </c>
      <c r="F43" s="240">
        <f>+'bhdvar  '!F43</f>
        <v>0</v>
      </c>
      <c r="G43" s="545">
        <v>0</v>
      </c>
      <c r="H43" s="240">
        <f>+'bhdvar  '!H43</f>
        <v>0</v>
      </c>
      <c r="I43" s="545">
        <v>0</v>
      </c>
      <c r="J43" s="248">
        <f>+'bmhvar '!J43</f>
        <v>0</v>
      </c>
      <c r="K43" s="545">
        <v>0</v>
      </c>
      <c r="L43" s="248">
        <f>+'bhdvar  '!L43</f>
        <v>0</v>
      </c>
      <c r="M43" s="545">
        <v>0</v>
      </c>
      <c r="N43" s="248">
        <f>+'bmhvar '!N43</f>
        <v>0</v>
      </c>
      <c r="O43" s="545">
        <v>0</v>
      </c>
      <c r="P43" s="248">
        <f>+'bhdvar  '!P43</f>
        <v>0</v>
      </c>
      <c r="Q43" s="545">
        <v>0</v>
      </c>
      <c r="R43" s="6"/>
    </row>
    <row r="44" spans="1:21">
      <c r="A44" s="1"/>
      <c r="B44" s="12">
        <f>+B29+B35+B41+B43</f>
        <v>15741.2</v>
      </c>
      <c r="C44" s="47">
        <f>+B44/$B$22</f>
        <v>0.55895971819782964</v>
      </c>
      <c r="D44" s="12">
        <f>+D29+D35+D41+D43</f>
        <v>0</v>
      </c>
      <c r="E44" s="44">
        <v>0</v>
      </c>
      <c r="F44" s="12">
        <f>+F29+F35+F41+F43</f>
        <v>0</v>
      </c>
      <c r="G44" s="44">
        <v>0</v>
      </c>
      <c r="H44" s="12">
        <f>+H29+H35+H41+H43</f>
        <v>0</v>
      </c>
      <c r="I44" s="44">
        <v>0</v>
      </c>
      <c r="J44" s="12">
        <f>+J29+J35+J41+J43</f>
        <v>0</v>
      </c>
      <c r="K44" s="44">
        <v>0</v>
      </c>
      <c r="L44" s="12">
        <f>+L29+L35+L41+L43</f>
        <v>0</v>
      </c>
      <c r="M44" s="44">
        <v>0</v>
      </c>
      <c r="N44" s="12">
        <f>+N29+N35+N41+N43</f>
        <v>0</v>
      </c>
      <c r="O44" s="44">
        <v>0</v>
      </c>
      <c r="P44" s="12">
        <f>+P29+P35+P41+P43</f>
        <v>0</v>
      </c>
      <c r="Q44" s="44">
        <v>0</v>
      </c>
    </row>
    <row r="45" spans="1:21" ht="8.4499999999999993" customHeight="1">
      <c r="A45" s="1"/>
      <c r="C45" s="44" t="s">
        <v>0</v>
      </c>
      <c r="D45" s="44" t="s">
        <v>0</v>
      </c>
      <c r="E45" s="44" t="s">
        <v>0</v>
      </c>
      <c r="F45" s="44" t="s">
        <v>0</v>
      </c>
      <c r="G45" s="44" t="s">
        <v>0</v>
      </c>
      <c r="H45" s="44" t="s">
        <v>0</v>
      </c>
      <c r="I45" s="44" t="s">
        <v>0</v>
      </c>
      <c r="J45" s="44" t="s">
        <v>0</v>
      </c>
      <c r="K45" s="44" t="s">
        <v>0</v>
      </c>
      <c r="L45" s="44" t="s">
        <v>0</v>
      </c>
      <c r="M45" s="44" t="s">
        <v>0</v>
      </c>
      <c r="N45" s="44" t="s">
        <v>0</v>
      </c>
      <c r="O45" s="44" t="s">
        <v>0</v>
      </c>
      <c r="P45" s="44" t="s">
        <v>0</v>
      </c>
      <c r="Q45" s="44" t="s">
        <v>0</v>
      </c>
    </row>
    <row r="46" spans="1:21">
      <c r="A46" s="87" t="s">
        <v>288</v>
      </c>
      <c r="C46" s="44" t="s">
        <v>0</v>
      </c>
      <c r="D46" s="44" t="s">
        <v>0</v>
      </c>
      <c r="E46" s="44" t="s">
        <v>0</v>
      </c>
      <c r="F46" s="44" t="s">
        <v>0</v>
      </c>
      <c r="G46" s="44" t="s">
        <v>0</v>
      </c>
      <c r="H46" s="44" t="s">
        <v>0</v>
      </c>
      <c r="I46" s="44" t="s">
        <v>0</v>
      </c>
      <c r="J46" s="44" t="s">
        <v>0</v>
      </c>
      <c r="K46" s="44" t="s">
        <v>0</v>
      </c>
      <c r="L46" s="44" t="s">
        <v>0</v>
      </c>
      <c r="M46" s="44" t="s">
        <v>0</v>
      </c>
      <c r="N46" s="44" t="s">
        <v>0</v>
      </c>
      <c r="O46" s="44" t="s">
        <v>0</v>
      </c>
      <c r="P46" s="44" t="s">
        <v>0</v>
      </c>
      <c r="Q46" s="44" t="s">
        <v>0</v>
      </c>
    </row>
    <row r="47" spans="1:21">
      <c r="A47" s="1" t="s">
        <v>289</v>
      </c>
      <c r="B47" s="12">
        <f>+'bhdvar  '!B47</f>
        <v>11500</v>
      </c>
      <c r="C47" s="47">
        <f t="shared" ref="C47:C52" si="2">+B47/$B$22</f>
        <v>0.40835747968865405</v>
      </c>
      <c r="D47" s="12">
        <f>+'bhdvar  '!D47</f>
        <v>0</v>
      </c>
      <c r="E47" s="44">
        <v>0</v>
      </c>
      <c r="F47" s="12">
        <f>+'bhdvar  '!F47</f>
        <v>0</v>
      </c>
      <c r="G47" s="44">
        <v>0</v>
      </c>
      <c r="H47" s="12">
        <f>+'bhdvar  '!H47</f>
        <v>0</v>
      </c>
      <c r="I47" s="44">
        <v>0</v>
      </c>
      <c r="J47" s="16">
        <f>+'bmhvar '!J47</f>
        <v>0</v>
      </c>
      <c r="K47" s="44">
        <v>0</v>
      </c>
      <c r="L47" s="16">
        <f>+'bhdvar  '!L47</f>
        <v>0</v>
      </c>
      <c r="M47" s="44">
        <v>0</v>
      </c>
      <c r="N47" s="16">
        <f>+'bmhvar '!N47</f>
        <v>0</v>
      </c>
      <c r="O47" s="44">
        <v>0</v>
      </c>
      <c r="P47" s="16">
        <f>+'bhdvar  '!P47</f>
        <v>0</v>
      </c>
      <c r="Q47" s="44">
        <v>0</v>
      </c>
    </row>
    <row r="48" spans="1:21">
      <c r="A48" s="1" t="s">
        <v>290</v>
      </c>
      <c r="B48" s="12">
        <f>+'bhdvar  '!B48</f>
        <v>0</v>
      </c>
      <c r="C48" s="47">
        <f t="shared" si="2"/>
        <v>0</v>
      </c>
      <c r="D48" s="12">
        <f>+'bhdvar  '!D48</f>
        <v>0</v>
      </c>
      <c r="E48" s="44">
        <v>0</v>
      </c>
      <c r="F48" s="12">
        <f>+'bhdvar  '!F48</f>
        <v>0</v>
      </c>
      <c r="G48" s="44">
        <v>0</v>
      </c>
      <c r="H48" s="12">
        <f>+'bhdvar  '!H48</f>
        <v>0</v>
      </c>
      <c r="I48" s="44">
        <v>0</v>
      </c>
      <c r="J48" s="16">
        <f>+'bmhvar '!J48</f>
        <v>0</v>
      </c>
      <c r="K48" s="44">
        <v>0</v>
      </c>
      <c r="L48" s="16">
        <f>+'bhdvar  '!L48</f>
        <v>0</v>
      </c>
      <c r="M48" s="44">
        <v>0</v>
      </c>
      <c r="N48" s="16">
        <f>+'bmhvar '!N48</f>
        <v>0</v>
      </c>
      <c r="O48" s="44">
        <v>0</v>
      </c>
      <c r="P48" s="16">
        <f>+'bhdvar  '!P48</f>
        <v>0</v>
      </c>
      <c r="Q48" s="44">
        <v>0</v>
      </c>
    </row>
    <row r="49" spans="1:21">
      <c r="A49" s="1" t="s">
        <v>302</v>
      </c>
      <c r="B49" s="12">
        <f>+'bhdvar  '!B49</f>
        <v>805</v>
      </c>
      <c r="C49" s="47">
        <f t="shared" si="2"/>
        <v>2.8585023578205783E-2</v>
      </c>
      <c r="D49" s="12">
        <f>+'bhdvar  '!D49</f>
        <v>0</v>
      </c>
      <c r="E49" s="44">
        <v>0</v>
      </c>
      <c r="F49" s="12">
        <f>+'bhdvar  '!F49</f>
        <v>0</v>
      </c>
      <c r="G49" s="44">
        <v>0</v>
      </c>
      <c r="H49" s="12">
        <f>+'bhdvar  '!H49</f>
        <v>0</v>
      </c>
      <c r="I49" s="44">
        <v>0</v>
      </c>
      <c r="J49" s="16">
        <f>+'bmhvar '!J49</f>
        <v>0</v>
      </c>
      <c r="K49" s="44">
        <v>0</v>
      </c>
      <c r="L49" s="16">
        <f>+'bhdvar  '!L49</f>
        <v>0</v>
      </c>
      <c r="M49" s="44">
        <v>0</v>
      </c>
      <c r="N49" s="16">
        <f>+'bmhvar '!N49</f>
        <v>0</v>
      </c>
      <c r="O49" s="44">
        <v>0</v>
      </c>
      <c r="P49" s="16">
        <f>+'bhdvar  '!P49</f>
        <v>0</v>
      </c>
      <c r="Q49" s="44">
        <v>0</v>
      </c>
    </row>
    <row r="50" spans="1:21" ht="18">
      <c r="A50" s="1" t="s">
        <v>292</v>
      </c>
      <c r="B50" s="240">
        <f>+'bhdvar  '!B50</f>
        <v>115.4</v>
      </c>
      <c r="C50" s="236">
        <f t="shared" si="2"/>
        <v>4.0977785353104937E-3</v>
      </c>
      <c r="D50" s="240">
        <f>+'bhdvar  '!D50</f>
        <v>0</v>
      </c>
      <c r="E50" s="545">
        <v>0</v>
      </c>
      <c r="F50" s="240">
        <f>+'bhdvar  '!F50</f>
        <v>0</v>
      </c>
      <c r="G50" s="545">
        <v>0</v>
      </c>
      <c r="H50" s="240">
        <f>+'bhdvar  '!H50</f>
        <v>0</v>
      </c>
      <c r="I50" s="545">
        <v>0</v>
      </c>
      <c r="J50" s="248">
        <f>+'bmhvar '!J50</f>
        <v>0</v>
      </c>
      <c r="K50" s="545">
        <v>0</v>
      </c>
      <c r="L50" s="248">
        <f>+'bhdvar  '!L50</f>
        <v>0</v>
      </c>
      <c r="M50" s="545">
        <v>0</v>
      </c>
      <c r="N50" s="248">
        <f>+'bmhvar '!N50</f>
        <v>0</v>
      </c>
      <c r="O50" s="545">
        <v>0</v>
      </c>
      <c r="P50" s="248">
        <f>+'bhdvar  '!P50</f>
        <v>0</v>
      </c>
      <c r="Q50" s="545">
        <v>0</v>
      </c>
      <c r="R50" s="6"/>
      <c r="S50" s="7"/>
      <c r="T50" s="7"/>
      <c r="U50" s="7"/>
    </row>
    <row r="51" spans="1:21" ht="16.5" thickBot="1">
      <c r="A51" s="1" t="s">
        <v>275</v>
      </c>
      <c r="B51" s="76">
        <f>SUM(B47:B50)</f>
        <v>12420.4</v>
      </c>
      <c r="C51" s="231">
        <f t="shared" si="2"/>
        <v>0.44104028180217031</v>
      </c>
      <c r="D51" s="76">
        <f>SUM(D47:D50)</f>
        <v>0</v>
      </c>
      <c r="E51" s="232">
        <v>0</v>
      </c>
      <c r="F51" s="76">
        <f>SUM(F47:F50)</f>
        <v>0</v>
      </c>
      <c r="G51" s="232">
        <v>0</v>
      </c>
      <c r="H51" s="76">
        <f>SUM(H47:H50)</f>
        <v>0</v>
      </c>
      <c r="I51" s="232">
        <v>0</v>
      </c>
      <c r="J51" s="76">
        <f>SUM(J47:J50)</f>
        <v>0</v>
      </c>
      <c r="K51" s="232">
        <v>0</v>
      </c>
      <c r="L51" s="76">
        <f>SUM(L47:L50)</f>
        <v>0</v>
      </c>
      <c r="M51" s="1104">
        <v>0</v>
      </c>
      <c r="N51" s="76">
        <f>SUM(N47:N50)</f>
        <v>0</v>
      </c>
      <c r="O51" s="232">
        <v>0</v>
      </c>
      <c r="P51" s="76">
        <f>SUM(P47:P50)</f>
        <v>0</v>
      </c>
      <c r="Q51" s="1104">
        <v>0</v>
      </c>
    </row>
    <row r="52" spans="1:21">
      <c r="A52" s="1" t="s">
        <v>0</v>
      </c>
      <c r="B52" s="4">
        <f>+B29+B35+B41+B43+B51</f>
        <v>28161.599999999999</v>
      </c>
      <c r="C52" s="106">
        <f t="shared" si="2"/>
        <v>0.99999999999999989</v>
      </c>
      <c r="D52" s="4">
        <f>+D29+D35+D41+D43+D51</f>
        <v>0</v>
      </c>
      <c r="E52" s="42">
        <v>0</v>
      </c>
      <c r="F52" s="4">
        <f>+F29+F35+F41+F43+F51</f>
        <v>0</v>
      </c>
      <c r="G52" s="42">
        <v>0</v>
      </c>
      <c r="H52" s="4">
        <f>+H29+H35+H41+H43+H51</f>
        <v>0</v>
      </c>
      <c r="I52" s="42">
        <v>0</v>
      </c>
      <c r="J52" s="4">
        <f>+J29+J35+J41+J43+J51</f>
        <v>0</v>
      </c>
      <c r="K52" s="42">
        <v>0</v>
      </c>
      <c r="L52" s="4">
        <f>+L29+L35+L41+L43+L51</f>
        <v>0</v>
      </c>
      <c r="M52" s="1103">
        <v>0</v>
      </c>
      <c r="N52" s="4">
        <f>+N29+N35+N41+N43+N51</f>
        <v>0</v>
      </c>
      <c r="O52" s="42">
        <v>0</v>
      </c>
      <c r="P52" s="4">
        <f>+P29+P35+P41+P43+P51</f>
        <v>0</v>
      </c>
      <c r="Q52" s="1103">
        <v>0</v>
      </c>
    </row>
    <row r="54" spans="1:21">
      <c r="B54"/>
      <c r="C54"/>
      <c r="D54"/>
      <c r="E54"/>
      <c r="F54"/>
      <c r="G54"/>
      <c r="H54"/>
      <c r="I54"/>
      <c r="J54"/>
      <c r="K54"/>
      <c r="L54"/>
      <c r="M54"/>
      <c r="N54"/>
      <c r="O54"/>
      <c r="P54"/>
      <c r="Q54"/>
      <c r="R54"/>
    </row>
    <row r="55" spans="1:21">
      <c r="A55" s="185" t="s">
        <v>293</v>
      </c>
      <c r="B55"/>
      <c r="C55"/>
      <c r="D55"/>
      <c r="E55"/>
      <c r="F55"/>
      <c r="G55"/>
      <c r="H55"/>
      <c r="I55"/>
      <c r="J55"/>
      <c r="K55"/>
      <c r="L55"/>
      <c r="M55"/>
      <c r="N55"/>
      <c r="O55"/>
      <c r="P55"/>
      <c r="Q55"/>
      <c r="R55"/>
    </row>
    <row r="56" spans="1:21">
      <c r="A56" t="s">
        <v>294</v>
      </c>
      <c r="B56" s="12">
        <f>+'bhdvar  '!B56</f>
        <v>0</v>
      </c>
      <c r="C56"/>
      <c r="D56" s="12">
        <f>+'bhdvar  '!D57</f>
        <v>0</v>
      </c>
      <c r="E56"/>
      <c r="F56" s="12">
        <f>+'bhdvar  '!F57</f>
        <v>0</v>
      </c>
      <c r="G56"/>
      <c r="H56" s="12">
        <f>+'bhdvar  '!H57</f>
        <v>0</v>
      </c>
      <c r="I56"/>
      <c r="J56" s="43">
        <v>0</v>
      </c>
      <c r="K56"/>
      <c r="L56" s="16">
        <f>+'bhdvar  '!L57</f>
        <v>0</v>
      </c>
      <c r="M56"/>
      <c r="N56" s="43">
        <v>0</v>
      </c>
      <c r="O56"/>
      <c r="P56" s="43">
        <v>0</v>
      </c>
      <c r="Q56"/>
      <c r="R56"/>
    </row>
    <row r="57" spans="1:21">
      <c r="A57" t="s">
        <v>295</v>
      </c>
      <c r="B57" s="12">
        <f>+'bhdvar  '!B57</f>
        <v>0</v>
      </c>
      <c r="C57"/>
      <c r="D57" s="12">
        <f>+'bhdvar  '!D58</f>
        <v>0</v>
      </c>
      <c r="E57"/>
      <c r="F57" s="12">
        <f>+'bhdvar  '!F58</f>
        <v>0</v>
      </c>
      <c r="G57"/>
      <c r="H57" s="12">
        <f>+'bhdvar  '!H58</f>
        <v>0</v>
      </c>
      <c r="I57"/>
      <c r="J57" s="43">
        <v>0</v>
      </c>
      <c r="K57"/>
      <c r="L57" s="16">
        <f>+'bhdvar  '!L58</f>
        <v>0</v>
      </c>
      <c r="M57"/>
      <c r="N57" s="43">
        <v>0</v>
      </c>
      <c r="O57"/>
      <c r="P57" s="43">
        <v>0</v>
      </c>
      <c r="Q57"/>
      <c r="R57"/>
    </row>
    <row r="58" spans="1:21">
      <c r="A58" t="s">
        <v>284</v>
      </c>
      <c r="B58" s="12">
        <f>+'bhdvar  '!B58</f>
        <v>0</v>
      </c>
      <c r="C58"/>
      <c r="D58" s="12">
        <f>+'bhdvar  '!D59</f>
        <v>0</v>
      </c>
      <c r="E58"/>
      <c r="F58" s="12">
        <f>+'bhdvar  '!F59</f>
        <v>0</v>
      </c>
      <c r="G58"/>
      <c r="H58" s="12">
        <f>+'bhdvar  '!H59</f>
        <v>0</v>
      </c>
      <c r="I58"/>
      <c r="J58" s="43">
        <v>0</v>
      </c>
      <c r="K58"/>
      <c r="L58" s="16">
        <f>+'bhdvar  '!L59</f>
        <v>0</v>
      </c>
      <c r="M58"/>
      <c r="N58" s="43">
        <v>0</v>
      </c>
      <c r="O58"/>
      <c r="P58" s="43">
        <v>0</v>
      </c>
      <c r="Q58"/>
      <c r="R58"/>
    </row>
    <row r="59" spans="1:21">
      <c r="C59"/>
      <c r="D59" s="43"/>
      <c r="E59"/>
      <c r="F59" s="43"/>
      <c r="G59"/>
      <c r="H59" s="43"/>
      <c r="I59"/>
      <c r="J59" s="43"/>
      <c r="K59"/>
      <c r="L59" s="43"/>
      <c r="M59"/>
      <c r="N59" s="43"/>
      <c r="O59"/>
      <c r="P59" s="43"/>
      <c r="Q59"/>
      <c r="R59"/>
    </row>
    <row r="60" spans="1:21" ht="18.75">
      <c r="A60" s="122" t="s">
        <v>303</v>
      </c>
      <c r="B60" s="12">
        <f>+'bhdvar  '!B60</f>
        <v>5550.3</v>
      </c>
      <c r="C60"/>
      <c r="D60" s="12">
        <f>+'bhdvar  '!D61</f>
        <v>0</v>
      </c>
      <c r="E60"/>
      <c r="F60" s="12">
        <f>+'bhdvar  '!F61</f>
        <v>0</v>
      </c>
      <c r="G60"/>
      <c r="H60" s="12">
        <f>+'bhdvar  '!H61</f>
        <v>0</v>
      </c>
      <c r="I60"/>
      <c r="J60" s="43">
        <v>0</v>
      </c>
      <c r="K60"/>
      <c r="L60" s="16">
        <f>+'bhdvar  '!L61</f>
        <v>0</v>
      </c>
      <c r="M60"/>
      <c r="N60" s="43">
        <v>0</v>
      </c>
      <c r="O60"/>
      <c r="P60" s="43">
        <v>0</v>
      </c>
      <c r="Q60"/>
      <c r="R60"/>
    </row>
    <row r="61" spans="1:21">
      <c r="A61" t="s">
        <v>217</v>
      </c>
      <c r="B61" s="12">
        <f>+'bhdvar  '!B61</f>
        <v>83.3</v>
      </c>
      <c r="C61"/>
      <c r="D61" s="12">
        <f>+'bhdvar  '!D62</f>
        <v>0</v>
      </c>
      <c r="E61"/>
      <c r="F61" s="12">
        <f>+'bhdvar  '!F62</f>
        <v>0</v>
      </c>
      <c r="G61"/>
      <c r="H61" s="12">
        <f>+'bhdvar  '!H62</f>
        <v>0</v>
      </c>
      <c r="I61"/>
      <c r="J61" s="43">
        <v>0</v>
      </c>
      <c r="K61"/>
      <c r="L61" s="16">
        <f>+'bhdvar  '!L62</f>
        <v>0</v>
      </c>
      <c r="M61"/>
      <c r="N61" s="43">
        <v>0</v>
      </c>
      <c r="O61"/>
      <c r="P61" s="43">
        <v>0</v>
      </c>
      <c r="Q61"/>
      <c r="R61"/>
    </row>
    <row r="62" spans="1:21">
      <c r="A62" t="s">
        <v>297</v>
      </c>
      <c r="B62" s="12">
        <f>+'bhdvar  '!B62</f>
        <v>0</v>
      </c>
      <c r="C62"/>
      <c r="D62" s="12" t="str">
        <f>+'bhdvar  '!D63</f>
        <v xml:space="preserve"> </v>
      </c>
      <c r="E62"/>
      <c r="F62" s="12">
        <f>+'bhdvar  '!F63</f>
        <v>0</v>
      </c>
      <c r="G62"/>
      <c r="H62" s="12">
        <f>+'bhdvar  '!H63</f>
        <v>0</v>
      </c>
      <c r="I62"/>
      <c r="J62" s="43">
        <v>0</v>
      </c>
      <c r="K62"/>
      <c r="L62" s="16">
        <f>+'bhdvar  '!L63</f>
        <v>0</v>
      </c>
      <c r="M62"/>
      <c r="N62" s="43">
        <v>0</v>
      </c>
      <c r="O62"/>
      <c r="P62" s="43">
        <v>0</v>
      </c>
      <c r="Q62"/>
      <c r="R62"/>
    </row>
    <row r="63" spans="1:21">
      <c r="B63"/>
      <c r="C63"/>
      <c r="D63"/>
      <c r="E63"/>
      <c r="F63"/>
      <c r="G63"/>
      <c r="H63"/>
      <c r="I63"/>
      <c r="J63"/>
      <c r="K63"/>
      <c r="L63"/>
      <c r="M63"/>
      <c r="N63"/>
      <c r="O63"/>
      <c r="P63"/>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row r="156" spans="2:18">
      <c r="B156"/>
      <c r="C156"/>
      <c r="D156"/>
      <c r="E156"/>
      <c r="F156"/>
      <c r="G156"/>
      <c r="H156"/>
      <c r="I156"/>
      <c r="J156"/>
      <c r="K156"/>
      <c r="L156"/>
      <c r="M156"/>
      <c r="N156"/>
      <c r="O156"/>
      <c r="P156"/>
      <c r="Q156"/>
      <c r="R156"/>
    </row>
    <row r="157" spans="2:18">
      <c r="B157"/>
      <c r="C157"/>
      <c r="D157"/>
      <c r="E157"/>
      <c r="F157"/>
      <c r="G157"/>
      <c r="H157"/>
      <c r="I157"/>
      <c r="J157"/>
      <c r="K157"/>
      <c r="L157"/>
      <c r="M157"/>
      <c r="N157"/>
      <c r="O157"/>
      <c r="P157"/>
      <c r="Q157"/>
      <c r="R157"/>
    </row>
  </sheetData>
  <pageMargins left="0.2" right="0.23" top="0.55000000000000004" bottom="0.5" header="0.34" footer="0.25"/>
  <pageSetup scale="52" orientation="landscape" r:id="rId1"/>
  <headerFooter alignWithMargins="0">
    <oddFooter>&amp;R&amp;P</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0"/>
  <sheetViews>
    <sheetView workbookViewId="0"/>
  </sheetViews>
  <sheetFormatPr defaultRowHeight="15.75"/>
  <cols>
    <col min="1" max="1" width="33.25" customWidth="1"/>
    <col min="2" max="2" width="16.25" style="12" customWidth="1"/>
    <col min="3" max="3" width="15.75" style="13" customWidth="1"/>
    <col min="4" max="4" width="15.75" style="12" customWidth="1"/>
    <col min="5" max="5" width="14.75" style="13" customWidth="1"/>
    <col min="6" max="6" width="10.25" style="12" customWidth="1"/>
    <col min="7" max="7" width="8.5" style="13" customWidth="1"/>
    <col min="8" max="8" width="16.875"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542</v>
      </c>
      <c r="B1" s="37"/>
      <c r="C1" s="38"/>
      <c r="D1" s="37"/>
      <c r="E1" s="38"/>
      <c r="F1" s="37"/>
      <c r="G1" s="38"/>
      <c r="H1" s="37"/>
      <c r="I1" s="37"/>
      <c r="J1" s="38"/>
    </row>
    <row r="2" spans="1:15">
      <c r="A2" s="114" t="s">
        <v>305</v>
      </c>
      <c r="B2" s="37"/>
      <c r="C2" s="38"/>
      <c r="D2" s="37"/>
      <c r="E2" s="38"/>
      <c r="F2" s="37"/>
      <c r="G2" s="38"/>
      <c r="H2" s="37"/>
      <c r="I2" s="37"/>
      <c r="J2" s="38"/>
    </row>
    <row r="3" spans="1:15">
      <c r="A3" s="114" t="s">
        <v>306</v>
      </c>
      <c r="B3" s="37"/>
      <c r="C3" s="38"/>
      <c r="D3" s="37"/>
      <c r="E3" s="38"/>
      <c r="F3" s="37"/>
      <c r="G3" s="38"/>
      <c r="H3" s="37"/>
      <c r="I3" s="37"/>
      <c r="J3" s="38"/>
    </row>
    <row r="4" spans="1:15">
      <c r="A4" s="114" t="s">
        <v>179</v>
      </c>
      <c r="B4" s="37"/>
      <c r="C4" s="38"/>
      <c r="D4" s="37"/>
      <c r="E4" s="38"/>
      <c r="F4" s="37"/>
      <c r="G4" s="38"/>
      <c r="H4" s="37"/>
      <c r="I4" s="37"/>
      <c r="J4" s="38"/>
    </row>
    <row r="5" spans="1:15">
      <c r="A5" s="34"/>
      <c r="B5" s="37"/>
      <c r="C5" s="38"/>
      <c r="D5" s="37"/>
      <c r="E5" s="38"/>
      <c r="F5" s="37"/>
      <c r="G5" s="38"/>
      <c r="H5" s="37"/>
      <c r="I5" s="37"/>
      <c r="J5" s="38"/>
    </row>
    <row r="6" spans="1:15">
      <c r="B6" s="238" t="s">
        <v>0</v>
      </c>
      <c r="C6" s="215"/>
      <c r="D6" s="216"/>
    </row>
    <row r="7" spans="1:15" ht="16.5" thickBot="1">
      <c r="B7" s="123" t="s">
        <v>307</v>
      </c>
      <c r="C7" s="38"/>
      <c r="D7" s="37"/>
      <c r="E7" s="38"/>
      <c r="H7" s="377" t="s">
        <v>308</v>
      </c>
      <c r="I7" s="215"/>
      <c r="J7" s="216"/>
      <c r="K7" s="37"/>
    </row>
    <row r="8" spans="1:15" ht="16.5" thickTop="1">
      <c r="A8" s="87" t="s">
        <v>243</v>
      </c>
      <c r="B8" s="402" t="s">
        <v>550</v>
      </c>
      <c r="C8" s="403" t="s">
        <v>310</v>
      </c>
      <c r="D8" s="408" t="s">
        <v>311</v>
      </c>
      <c r="E8" s="407" t="s">
        <v>312</v>
      </c>
      <c r="F8" s="125" t="s">
        <v>0</v>
      </c>
      <c r="G8" s="124" t="s">
        <v>0</v>
      </c>
      <c r="H8" s="402" t="s">
        <v>550</v>
      </c>
      <c r="I8" s="404" t="s">
        <v>310</v>
      </c>
      <c r="J8" s="406" t="s">
        <v>311</v>
      </c>
      <c r="K8" s="407" t="s">
        <v>312</v>
      </c>
      <c r="L8" s="14"/>
      <c r="M8" s="9"/>
      <c r="N8" s="9"/>
      <c r="O8" s="9"/>
    </row>
    <row r="9" spans="1:15">
      <c r="A9" s="1" t="s">
        <v>264</v>
      </c>
      <c r="B9" s="126" t="s">
        <v>0</v>
      </c>
      <c r="C9" s="127"/>
      <c r="D9" s="365"/>
      <c r="E9" s="372" t="s">
        <v>0</v>
      </c>
      <c r="H9" s="135"/>
      <c r="I9" s="78"/>
      <c r="J9" s="370" t="s">
        <v>0</v>
      </c>
      <c r="K9" s="372" t="s">
        <v>0</v>
      </c>
    </row>
    <row r="10" spans="1:15">
      <c r="A10" s="1" t="s">
        <v>265</v>
      </c>
      <c r="B10" s="129">
        <v>44.8</v>
      </c>
      <c r="C10" s="92">
        <v>52.2</v>
      </c>
      <c r="D10" s="366">
        <f t="shared" ref="D10:D15" si="0">SUM(B10:C10)</f>
        <v>97</v>
      </c>
      <c r="E10" s="373">
        <f>+B10/D10</f>
        <v>0.46185567010309275</v>
      </c>
      <c r="F10" s="88" t="s">
        <v>0</v>
      </c>
      <c r="G10" s="100" t="s">
        <v>0</v>
      </c>
      <c r="H10" s="129">
        <v>0</v>
      </c>
      <c r="I10" s="92">
        <v>0</v>
      </c>
      <c r="J10" s="366">
        <f t="shared" ref="J10:J15" si="1">SUM(H10:I10)</f>
        <v>0</v>
      </c>
      <c r="K10" s="136">
        <v>0</v>
      </c>
    </row>
    <row r="11" spans="1:15">
      <c r="A11" s="1" t="s">
        <v>266</v>
      </c>
      <c r="B11" s="129">
        <v>1991.3</v>
      </c>
      <c r="C11" s="92">
        <v>620.5</v>
      </c>
      <c r="D11" s="366">
        <f t="shared" si="0"/>
        <v>2611.8000000000002</v>
      </c>
      <c r="E11" s="373">
        <f>+B11/D11</f>
        <v>0.76242438165250015</v>
      </c>
      <c r="F11" s="88" t="s">
        <v>0</v>
      </c>
      <c r="G11" s="100" t="s">
        <v>0</v>
      </c>
      <c r="H11" s="129">
        <v>0</v>
      </c>
      <c r="I11" s="92">
        <v>0</v>
      </c>
      <c r="J11" s="366">
        <f t="shared" si="1"/>
        <v>0</v>
      </c>
      <c r="K11" s="136">
        <v>0</v>
      </c>
    </row>
    <row r="12" spans="1:15">
      <c r="A12" s="1" t="s">
        <v>267</v>
      </c>
      <c r="B12" s="129">
        <v>2091.6</v>
      </c>
      <c r="C12" s="92">
        <v>0</v>
      </c>
      <c r="D12" s="366">
        <f t="shared" si="0"/>
        <v>2091.6</v>
      </c>
      <c r="E12" s="373">
        <f>+B12/D12</f>
        <v>1</v>
      </c>
      <c r="F12" s="88" t="s">
        <v>0</v>
      </c>
      <c r="G12" s="100" t="s">
        <v>0</v>
      </c>
      <c r="H12" s="129">
        <v>0</v>
      </c>
      <c r="I12" s="92">
        <v>0</v>
      </c>
      <c r="J12" s="366">
        <f t="shared" si="1"/>
        <v>0</v>
      </c>
      <c r="K12" s="136">
        <v>0</v>
      </c>
    </row>
    <row r="13" spans="1:15">
      <c r="A13" s="1" t="s">
        <v>268</v>
      </c>
      <c r="B13" s="129">
        <v>0.6</v>
      </c>
      <c r="C13" s="92">
        <v>359.7</v>
      </c>
      <c r="D13" s="366">
        <f t="shared" si="0"/>
        <v>360.3</v>
      </c>
      <c r="E13" s="373">
        <f>+B13/D13</f>
        <v>1.6652789342214819E-3</v>
      </c>
      <c r="F13" s="88" t="s">
        <v>0</v>
      </c>
      <c r="G13" s="100" t="s">
        <v>0</v>
      </c>
      <c r="H13" s="129">
        <v>0</v>
      </c>
      <c r="I13" s="92">
        <v>0</v>
      </c>
      <c r="J13" s="366">
        <f t="shared" si="1"/>
        <v>0</v>
      </c>
      <c r="K13" s="136">
        <v>0</v>
      </c>
    </row>
    <row r="14" spans="1:15" ht="18">
      <c r="A14" s="1" t="s">
        <v>269</v>
      </c>
      <c r="B14" s="130">
        <v>0</v>
      </c>
      <c r="C14" s="137">
        <v>0</v>
      </c>
      <c r="D14" s="367">
        <f t="shared" si="0"/>
        <v>0</v>
      </c>
      <c r="E14" s="136">
        <v>0</v>
      </c>
      <c r="F14" s="88" t="s">
        <v>0</v>
      </c>
      <c r="G14" s="100" t="s">
        <v>0</v>
      </c>
      <c r="H14" s="130">
        <v>0</v>
      </c>
      <c r="I14" s="137">
        <v>0</v>
      </c>
      <c r="J14" s="367">
        <f t="shared" si="1"/>
        <v>0</v>
      </c>
      <c r="K14" s="136">
        <v>0</v>
      </c>
    </row>
    <row r="15" spans="1:15" ht="15.6" customHeight="1">
      <c r="A15" s="1"/>
      <c r="B15" s="129">
        <f>SUM(B10:B14)</f>
        <v>4128.3</v>
      </c>
      <c r="C15" s="92">
        <f>SUM(C10:C14)</f>
        <v>1032.4000000000001</v>
      </c>
      <c r="D15" s="366">
        <f t="shared" si="0"/>
        <v>5160.7000000000007</v>
      </c>
      <c r="E15" s="373">
        <f>+B15/D15</f>
        <v>0.79994961923770025</v>
      </c>
      <c r="F15" s="88" t="s">
        <v>0</v>
      </c>
      <c r="G15" s="100" t="s">
        <v>0</v>
      </c>
      <c r="H15" s="129">
        <f>SUM(H10:H14)</f>
        <v>0</v>
      </c>
      <c r="I15" s="92">
        <f>SUM(I10:I14)</f>
        <v>0</v>
      </c>
      <c r="J15" s="366">
        <f t="shared" si="1"/>
        <v>0</v>
      </c>
      <c r="K15" s="136">
        <v>0</v>
      </c>
    </row>
    <row r="16" spans="1:15" ht="7.9" customHeight="1">
      <c r="A16" s="1"/>
      <c r="B16" s="129"/>
      <c r="C16" s="92" t="s">
        <v>0</v>
      </c>
      <c r="D16" s="366"/>
      <c r="E16" s="136" t="s">
        <v>0</v>
      </c>
      <c r="F16" s="88"/>
      <c r="G16" s="100" t="s">
        <v>0</v>
      </c>
      <c r="H16" s="129"/>
      <c r="I16" s="92" t="s">
        <v>0</v>
      </c>
      <c r="J16" s="366" t="s">
        <v>0</v>
      </c>
      <c r="K16" s="136" t="s">
        <v>0</v>
      </c>
    </row>
    <row r="17" spans="1:11" ht="15.6" customHeight="1">
      <c r="A17" s="1" t="s">
        <v>270</v>
      </c>
      <c r="B17" s="129">
        <v>0</v>
      </c>
      <c r="C17" s="92">
        <v>0</v>
      </c>
      <c r="D17" s="366">
        <f t="shared" ref="D17:D22" si="2">SUM(B17:C17)</f>
        <v>0</v>
      </c>
      <c r="E17" s="136">
        <v>0</v>
      </c>
      <c r="F17"/>
      <c r="G17"/>
      <c r="H17" s="129">
        <v>0</v>
      </c>
      <c r="I17" s="92">
        <v>0</v>
      </c>
      <c r="J17" s="366">
        <f t="shared" ref="J17:J22" si="3">SUM(H17:I17)</f>
        <v>0</v>
      </c>
      <c r="K17" s="136">
        <v>0</v>
      </c>
    </row>
    <row r="18" spans="1:11">
      <c r="A18" s="1" t="s">
        <v>271</v>
      </c>
      <c r="B18" s="129">
        <v>819.8</v>
      </c>
      <c r="C18" s="92">
        <v>2153.8000000000002</v>
      </c>
      <c r="D18" s="366">
        <f t="shared" si="2"/>
        <v>2973.6000000000004</v>
      </c>
      <c r="E18" s="373">
        <f>+B18/D18</f>
        <v>0.27569276298089851</v>
      </c>
      <c r="F18"/>
      <c r="G18"/>
      <c r="H18" s="129">
        <v>0</v>
      </c>
      <c r="I18" s="92">
        <v>0</v>
      </c>
      <c r="J18" s="366">
        <f t="shared" si="3"/>
        <v>0</v>
      </c>
      <c r="K18" s="136">
        <v>0</v>
      </c>
    </row>
    <row r="19" spans="1:11">
      <c r="A19" s="1" t="s">
        <v>314</v>
      </c>
      <c r="B19" s="129">
        <v>0</v>
      </c>
      <c r="C19" s="92">
        <v>5467.1</v>
      </c>
      <c r="D19" s="366">
        <f t="shared" si="2"/>
        <v>5467.1</v>
      </c>
      <c r="E19" s="136">
        <v>0</v>
      </c>
      <c r="F19"/>
      <c r="G19"/>
      <c r="H19" s="129">
        <v>0</v>
      </c>
      <c r="I19" s="92">
        <v>0</v>
      </c>
      <c r="J19" s="366">
        <f t="shared" si="3"/>
        <v>0</v>
      </c>
      <c r="K19" s="136">
        <v>0</v>
      </c>
    </row>
    <row r="20" spans="1:11">
      <c r="A20" s="1" t="s">
        <v>273</v>
      </c>
      <c r="B20" s="129">
        <v>0</v>
      </c>
      <c r="C20" s="92">
        <v>14449.5</v>
      </c>
      <c r="D20" s="366">
        <f t="shared" si="2"/>
        <v>14449.5</v>
      </c>
      <c r="E20" s="136">
        <v>0</v>
      </c>
      <c r="F20"/>
      <c r="G20"/>
      <c r="H20" s="129">
        <v>0</v>
      </c>
      <c r="I20" s="92">
        <v>0</v>
      </c>
      <c r="J20" s="366">
        <f t="shared" si="3"/>
        <v>0</v>
      </c>
      <c r="K20" s="136">
        <v>0</v>
      </c>
    </row>
    <row r="21" spans="1:11" ht="18">
      <c r="A21" s="1" t="s">
        <v>274</v>
      </c>
      <c r="B21" s="130">
        <v>0</v>
      </c>
      <c r="C21" s="137">
        <v>110.7</v>
      </c>
      <c r="D21" s="367">
        <f t="shared" si="2"/>
        <v>110.7</v>
      </c>
      <c r="E21" s="136">
        <v>0</v>
      </c>
      <c r="F21"/>
      <c r="G21"/>
      <c r="H21" s="130">
        <v>0</v>
      </c>
      <c r="I21" s="137">
        <v>0</v>
      </c>
      <c r="J21" s="367">
        <f t="shared" si="3"/>
        <v>0</v>
      </c>
      <c r="K21" s="136">
        <v>0</v>
      </c>
    </row>
    <row r="22" spans="1:11">
      <c r="A22" s="1" t="s">
        <v>275</v>
      </c>
      <c r="B22" s="132">
        <f>SUM(B15:B21)</f>
        <v>4948.1000000000004</v>
      </c>
      <c r="C22" s="95">
        <f>SUM(C15:C21)</f>
        <v>23213.500000000004</v>
      </c>
      <c r="D22" s="368">
        <f t="shared" si="2"/>
        <v>28161.600000000006</v>
      </c>
      <c r="E22" s="1201">
        <f>+B22/D22</f>
        <v>0.17570379523890686</v>
      </c>
      <c r="F22"/>
      <c r="G22"/>
      <c r="H22" s="132">
        <f>SUM(H15:H21)</f>
        <v>0</v>
      </c>
      <c r="I22" s="95">
        <f>SUM(I15:I21)</f>
        <v>0</v>
      </c>
      <c r="J22" s="368">
        <f t="shared" si="3"/>
        <v>0</v>
      </c>
      <c r="K22" s="1043">
        <v>0</v>
      </c>
    </row>
    <row r="23" spans="1:11" ht="7.9" customHeight="1">
      <c r="A23" s="1"/>
      <c r="B23" s="129"/>
      <c r="C23" s="93" t="s">
        <v>0</v>
      </c>
      <c r="D23" s="366"/>
      <c r="E23" s="136" t="s">
        <v>0</v>
      </c>
      <c r="F23"/>
      <c r="G23"/>
      <c r="H23" s="129"/>
      <c r="I23" s="93" t="s">
        <v>0</v>
      </c>
      <c r="J23" s="371" t="s">
        <v>0</v>
      </c>
      <c r="K23" s="136" t="s">
        <v>0</v>
      </c>
    </row>
    <row r="24" spans="1:11">
      <c r="A24" s="87" t="s">
        <v>276</v>
      </c>
      <c r="B24" s="129"/>
      <c r="C24" s="93" t="s">
        <v>0</v>
      </c>
      <c r="D24" s="366"/>
      <c r="E24" s="136" t="s">
        <v>0</v>
      </c>
      <c r="F24"/>
      <c r="G24"/>
      <c r="H24" s="129"/>
      <c r="I24" s="93" t="s">
        <v>0</v>
      </c>
      <c r="J24" s="371" t="s">
        <v>0</v>
      </c>
      <c r="K24" s="136" t="s">
        <v>0</v>
      </c>
    </row>
    <row r="25" spans="1:11">
      <c r="A25" s="1" t="s">
        <v>277</v>
      </c>
      <c r="B25" s="129"/>
      <c r="C25" s="93" t="s">
        <v>0</v>
      </c>
      <c r="D25" s="366"/>
      <c r="E25" s="136" t="s">
        <v>0</v>
      </c>
      <c r="F25"/>
      <c r="G25"/>
      <c r="H25" s="129"/>
      <c r="I25" s="93" t="s">
        <v>0</v>
      </c>
      <c r="J25" s="371" t="s">
        <v>0</v>
      </c>
      <c r="K25" s="136" t="s">
        <v>0</v>
      </c>
    </row>
    <row r="26" spans="1:11">
      <c r="A26" s="1" t="s">
        <v>278</v>
      </c>
      <c r="B26" s="129">
        <v>46.7</v>
      </c>
      <c r="C26" s="92">
        <v>503.5</v>
      </c>
      <c r="D26" s="366">
        <f>SUM(B26:C26)</f>
        <v>550.20000000000005</v>
      </c>
      <c r="E26" s="373">
        <f>+B26/D26</f>
        <v>8.4878226099600149E-2</v>
      </c>
      <c r="F26"/>
      <c r="G26"/>
      <c r="H26" s="129">
        <v>0</v>
      </c>
      <c r="I26" s="92">
        <v>0</v>
      </c>
      <c r="J26" s="366">
        <f>SUM(H26:I26)</f>
        <v>0</v>
      </c>
      <c r="K26" s="136">
        <v>0</v>
      </c>
    </row>
    <row r="27" spans="1:11">
      <c r="A27" s="1" t="s">
        <v>279</v>
      </c>
      <c r="B27" s="129">
        <v>2722</v>
      </c>
      <c r="C27" s="92">
        <v>1003.8</v>
      </c>
      <c r="D27" s="366">
        <f>SUM(B27:C27)</f>
        <v>3725.8</v>
      </c>
      <c r="E27" s="373">
        <f>+B27/D27</f>
        <v>0.73058135165602012</v>
      </c>
      <c r="F27"/>
      <c r="G27"/>
      <c r="H27" s="129">
        <v>0</v>
      </c>
      <c r="I27" s="92">
        <v>0</v>
      </c>
      <c r="J27" s="366">
        <f>SUM(H27:I27)</f>
        <v>0</v>
      </c>
      <c r="K27" s="136">
        <v>0</v>
      </c>
    </row>
    <row r="28" spans="1:11" ht="18">
      <c r="A28" s="1" t="s">
        <v>280</v>
      </c>
      <c r="B28" s="130">
        <v>0</v>
      </c>
      <c r="C28" s="137">
        <v>0</v>
      </c>
      <c r="D28" s="367">
        <f>SUM(B28:C28)</f>
        <v>0</v>
      </c>
      <c r="E28" s="136">
        <v>0</v>
      </c>
      <c r="F28"/>
      <c r="G28"/>
      <c r="H28" s="130">
        <v>0</v>
      </c>
      <c r="I28" s="137">
        <v>0</v>
      </c>
      <c r="J28" s="367">
        <f>SUM(H28:I28)</f>
        <v>0</v>
      </c>
      <c r="K28" s="136">
        <v>0</v>
      </c>
    </row>
    <row r="29" spans="1:11">
      <c r="A29" s="1"/>
      <c r="B29" s="129">
        <f>SUM(B26:B28)</f>
        <v>2768.7</v>
      </c>
      <c r="C29" s="92">
        <f>SUM(C26:C28)</f>
        <v>1507.3</v>
      </c>
      <c r="D29" s="366">
        <f>SUM(B29:C29)</f>
        <v>4276</v>
      </c>
      <c r="E29" s="373">
        <f>+B29/D29</f>
        <v>0.64749766136576237</v>
      </c>
      <c r="F29"/>
      <c r="G29"/>
      <c r="H29" s="129">
        <f>SUM(H26:H28)</f>
        <v>0</v>
      </c>
      <c r="I29" s="92">
        <f>SUM(I26:I28)</f>
        <v>0</v>
      </c>
      <c r="J29" s="371">
        <f>SUM(H29:I29)</f>
        <v>0</v>
      </c>
      <c r="K29" s="136">
        <v>0</v>
      </c>
    </row>
    <row r="30" spans="1:11" ht="7.9" customHeight="1">
      <c r="A30" s="1"/>
      <c r="B30" s="129"/>
      <c r="C30" s="93" t="s">
        <v>0</v>
      </c>
      <c r="D30" s="366"/>
      <c r="E30" s="136" t="s">
        <v>0</v>
      </c>
      <c r="F30"/>
      <c r="G30"/>
      <c r="H30" s="129"/>
      <c r="I30" s="93" t="s">
        <v>0</v>
      </c>
      <c r="J30" s="371" t="s">
        <v>0</v>
      </c>
      <c r="K30" s="136" t="s">
        <v>0</v>
      </c>
    </row>
    <row r="31" spans="1:11">
      <c r="A31" s="1" t="s">
        <v>281</v>
      </c>
      <c r="B31" s="129"/>
      <c r="C31" s="93" t="s">
        <v>0</v>
      </c>
      <c r="D31" s="366"/>
      <c r="E31" s="136" t="s">
        <v>0</v>
      </c>
      <c r="F31"/>
      <c r="G31"/>
      <c r="H31" s="129"/>
      <c r="I31" s="93" t="s">
        <v>0</v>
      </c>
      <c r="J31" s="371" t="s">
        <v>0</v>
      </c>
      <c r="K31" s="136" t="s">
        <v>0</v>
      </c>
    </row>
    <row r="32" spans="1:11">
      <c r="A32" s="1" t="s">
        <v>282</v>
      </c>
      <c r="B32" s="129">
        <v>0</v>
      </c>
      <c r="C32" s="92">
        <v>0</v>
      </c>
      <c r="D32" s="366">
        <f>SUM(B32:C32)</f>
        <v>0</v>
      </c>
      <c r="E32" s="136">
        <v>0</v>
      </c>
      <c r="F32"/>
      <c r="G32"/>
      <c r="H32" s="129">
        <v>0</v>
      </c>
      <c r="I32" s="92">
        <v>0</v>
      </c>
      <c r="J32" s="366">
        <f>SUM(H32:I32)</f>
        <v>0</v>
      </c>
      <c r="K32" s="136">
        <v>0</v>
      </c>
    </row>
    <row r="33" spans="1:15">
      <c r="A33" s="1" t="s">
        <v>283</v>
      </c>
      <c r="B33" s="129">
        <v>0</v>
      </c>
      <c r="C33" s="92">
        <v>0</v>
      </c>
      <c r="D33" s="366">
        <f>SUM(B33:C33)</f>
        <v>0</v>
      </c>
      <c r="E33" s="136">
        <v>0</v>
      </c>
      <c r="F33"/>
      <c r="G33"/>
      <c r="H33" s="129">
        <v>0</v>
      </c>
      <c r="I33" s="92">
        <v>0</v>
      </c>
      <c r="J33" s="366">
        <f>SUM(H33:I33)</f>
        <v>0</v>
      </c>
      <c r="K33" s="136">
        <v>0</v>
      </c>
    </row>
    <row r="34" spans="1:15" ht="18">
      <c r="A34" s="1" t="s">
        <v>284</v>
      </c>
      <c r="B34" s="130">
        <v>168.7</v>
      </c>
      <c r="C34" s="137">
        <v>19.8</v>
      </c>
      <c r="D34" s="367">
        <f>SUM(B34:C34)</f>
        <v>188.5</v>
      </c>
      <c r="E34" s="373">
        <f>+B34/D34</f>
        <v>0.8949602122015915</v>
      </c>
      <c r="F34"/>
      <c r="G34"/>
      <c r="H34" s="130">
        <v>0</v>
      </c>
      <c r="I34" s="137">
        <v>0</v>
      </c>
      <c r="J34" s="367">
        <f>SUM(H34:I34)</f>
        <v>0</v>
      </c>
      <c r="K34" s="136">
        <v>0</v>
      </c>
      <c r="L34" s="6"/>
      <c r="M34" s="7"/>
      <c r="N34" s="7"/>
      <c r="O34" s="7"/>
    </row>
    <row r="35" spans="1:15">
      <c r="A35" s="1"/>
      <c r="B35" s="129">
        <f>SUM(B32:B34)</f>
        <v>168.7</v>
      </c>
      <c r="C35" s="92">
        <f>SUM(C32:C34)</f>
        <v>19.8</v>
      </c>
      <c r="D35" s="366">
        <f>SUM(B35:C35)</f>
        <v>188.5</v>
      </c>
      <c r="E35" s="373">
        <f>+B35/D35</f>
        <v>0.8949602122015915</v>
      </c>
      <c r="F35"/>
      <c r="G35"/>
      <c r="H35" s="129">
        <f>SUM(H32:H34)</f>
        <v>0</v>
      </c>
      <c r="I35" s="92">
        <f>SUM(I32:I34)</f>
        <v>0</v>
      </c>
      <c r="J35" s="366">
        <f>SUM(H35:I35)</f>
        <v>0</v>
      </c>
      <c r="K35" s="136">
        <v>0</v>
      </c>
    </row>
    <row r="36" spans="1:15" ht="7.15" customHeight="1">
      <c r="A36" s="1"/>
      <c r="B36" s="129"/>
      <c r="C36" s="93" t="s">
        <v>0</v>
      </c>
      <c r="D36" s="366"/>
      <c r="E36" s="136" t="s">
        <v>275</v>
      </c>
      <c r="F36"/>
      <c r="G36"/>
      <c r="H36" s="129"/>
      <c r="I36" s="93" t="s">
        <v>0</v>
      </c>
      <c r="J36" s="371" t="s">
        <v>0</v>
      </c>
      <c r="K36" s="136" t="s">
        <v>275</v>
      </c>
    </row>
    <row r="37" spans="1:15">
      <c r="A37" s="1" t="s">
        <v>285</v>
      </c>
      <c r="B37" s="129"/>
      <c r="C37" s="93" t="s">
        <v>0</v>
      </c>
      <c r="D37" s="366"/>
      <c r="E37" s="136" t="s">
        <v>0</v>
      </c>
      <c r="F37"/>
      <c r="G37"/>
      <c r="H37" s="129"/>
      <c r="I37" s="93" t="s">
        <v>0</v>
      </c>
      <c r="J37" s="371" t="s">
        <v>0</v>
      </c>
      <c r="K37" s="136" t="s">
        <v>0</v>
      </c>
    </row>
    <row r="38" spans="1:15">
      <c r="A38" s="1" t="s">
        <v>282</v>
      </c>
      <c r="B38" s="129">
        <v>0</v>
      </c>
      <c r="C38" s="92">
        <v>0</v>
      </c>
      <c r="D38" s="366">
        <f>SUM(B38:C38)</f>
        <v>0</v>
      </c>
      <c r="E38" s="136">
        <v>0</v>
      </c>
      <c r="F38"/>
      <c r="G38"/>
      <c r="H38" s="129">
        <v>0</v>
      </c>
      <c r="I38" s="92">
        <v>0</v>
      </c>
      <c r="J38" s="366">
        <f>SUM(H38:I38)</f>
        <v>0</v>
      </c>
      <c r="K38" s="136">
        <v>0</v>
      </c>
    </row>
    <row r="39" spans="1:15">
      <c r="A39" s="1" t="s">
        <v>286</v>
      </c>
      <c r="B39" s="129">
        <v>0</v>
      </c>
      <c r="C39" s="92">
        <v>0</v>
      </c>
      <c r="D39" s="366">
        <f>SUM(B39:C39)</f>
        <v>0</v>
      </c>
      <c r="E39" s="136">
        <v>0</v>
      </c>
      <c r="F39"/>
      <c r="G39"/>
      <c r="H39" s="129">
        <v>0</v>
      </c>
      <c r="I39" s="92">
        <v>0</v>
      </c>
      <c r="J39" s="366">
        <f>SUM(H39:I39)</f>
        <v>0</v>
      </c>
      <c r="K39" s="136">
        <v>0</v>
      </c>
    </row>
    <row r="40" spans="1:15" ht="18">
      <c r="A40" s="1" t="s">
        <v>284</v>
      </c>
      <c r="B40" s="130">
        <v>0</v>
      </c>
      <c r="C40" s="137">
        <v>11276.7</v>
      </c>
      <c r="D40" s="367">
        <f>SUM(B40:C40)</f>
        <v>11276.7</v>
      </c>
      <c r="E40" s="136">
        <v>0</v>
      </c>
      <c r="F40"/>
      <c r="G40"/>
      <c r="H40" s="130">
        <v>0</v>
      </c>
      <c r="I40" s="137">
        <v>0</v>
      </c>
      <c r="J40" s="940">
        <f>SUM(H40:I40)</f>
        <v>0</v>
      </c>
      <c r="K40" s="136">
        <v>0</v>
      </c>
    </row>
    <row r="41" spans="1:15">
      <c r="A41" s="1"/>
      <c r="B41" s="129">
        <f>SUM(B38:B40)</f>
        <v>0</v>
      </c>
      <c r="C41" s="92">
        <f>SUM(C38:C40)</f>
        <v>11276.7</v>
      </c>
      <c r="D41" s="366">
        <f>SUM(B41:C41)</f>
        <v>11276.7</v>
      </c>
      <c r="E41" s="136">
        <v>0</v>
      </c>
      <c r="F41"/>
      <c r="G41"/>
      <c r="H41" s="129">
        <f>SUM(H38:H40)</f>
        <v>0</v>
      </c>
      <c r="I41" s="92">
        <f>SUM(I38:I40)</f>
        <v>0</v>
      </c>
      <c r="J41" s="366">
        <f>SUM(H41:I41)</f>
        <v>0</v>
      </c>
      <c r="K41" s="136">
        <v>0</v>
      </c>
    </row>
    <row r="42" spans="1:15" ht="8.4499999999999993" customHeight="1">
      <c r="A42" s="1"/>
      <c r="B42" s="129"/>
      <c r="C42" s="93" t="s">
        <v>0</v>
      </c>
      <c r="D42" s="366"/>
      <c r="E42" s="136" t="s">
        <v>0</v>
      </c>
      <c r="F42"/>
      <c r="G42"/>
      <c r="H42" s="129"/>
      <c r="I42" s="93" t="s">
        <v>0</v>
      </c>
      <c r="J42" s="371" t="s">
        <v>0</v>
      </c>
      <c r="K42" s="136" t="s">
        <v>0</v>
      </c>
    </row>
    <row r="43" spans="1:15" ht="18">
      <c r="A43" s="1" t="s">
        <v>287</v>
      </c>
      <c r="B43" s="130">
        <v>0</v>
      </c>
      <c r="C43" s="137">
        <v>0</v>
      </c>
      <c r="D43" s="367">
        <f>SUM(B43:C43)</f>
        <v>0</v>
      </c>
      <c r="E43" s="136">
        <v>0</v>
      </c>
      <c r="F43"/>
      <c r="G43"/>
      <c r="H43" s="130">
        <v>0</v>
      </c>
      <c r="I43" s="137">
        <v>0</v>
      </c>
      <c r="J43" s="394">
        <f>SUM(H43:I43)</f>
        <v>0</v>
      </c>
      <c r="K43" s="136">
        <v>0</v>
      </c>
      <c r="L43" s="6"/>
    </row>
    <row r="44" spans="1:15">
      <c r="A44" s="1"/>
      <c r="B44" s="129">
        <f>+B29+B35+B41+B43</f>
        <v>2937.3999999999996</v>
      </c>
      <c r="C44" s="92">
        <f>+C29+C35+C41+C43</f>
        <v>12803.800000000001</v>
      </c>
      <c r="D44" s="366">
        <f>+D29+D35+D41+D43</f>
        <v>15741.2</v>
      </c>
      <c r="E44" s="373">
        <f>+B44/D44</f>
        <v>0.18660584961756407</v>
      </c>
      <c r="F44"/>
      <c r="G44"/>
      <c r="H44" s="129">
        <f>+H29+H35+H41+H43</f>
        <v>0</v>
      </c>
      <c r="I44" s="92">
        <f>+I29+I35+I41+I43</f>
        <v>0</v>
      </c>
      <c r="J44" s="366">
        <f>SUM(H44:I44)</f>
        <v>0</v>
      </c>
      <c r="K44" s="136">
        <v>0</v>
      </c>
    </row>
    <row r="45" spans="1:15" ht="8.4499999999999993" customHeight="1">
      <c r="A45" s="1"/>
      <c r="B45" s="129"/>
      <c r="C45" s="93" t="s">
        <v>0</v>
      </c>
      <c r="D45" s="366"/>
      <c r="E45" s="136" t="s">
        <v>0</v>
      </c>
      <c r="F45"/>
      <c r="G45"/>
      <c r="H45" s="129"/>
      <c r="I45" s="93" t="s">
        <v>0</v>
      </c>
      <c r="J45" s="371" t="s">
        <v>0</v>
      </c>
      <c r="K45" s="136" t="s">
        <v>0</v>
      </c>
    </row>
    <row r="46" spans="1:15">
      <c r="A46" s="87" t="s">
        <v>288</v>
      </c>
      <c r="B46" s="129"/>
      <c r="C46" s="93" t="s">
        <v>0</v>
      </c>
      <c r="D46" s="366"/>
      <c r="E46" s="136" t="s">
        <v>0</v>
      </c>
      <c r="F46"/>
      <c r="G46"/>
      <c r="H46" s="129"/>
      <c r="I46" s="93" t="s">
        <v>0</v>
      </c>
      <c r="J46" s="371" t="s">
        <v>0</v>
      </c>
      <c r="K46" s="136" t="s">
        <v>0</v>
      </c>
    </row>
    <row r="47" spans="1:15">
      <c r="A47" s="1" t="s">
        <v>289</v>
      </c>
      <c r="B47" s="129">
        <v>0</v>
      </c>
      <c r="C47" s="92">
        <v>11500</v>
      </c>
      <c r="D47" s="366">
        <f>SUM(B47:C47)</f>
        <v>11500</v>
      </c>
      <c r="E47" s="136">
        <v>0</v>
      </c>
      <c r="F47"/>
      <c r="G47"/>
      <c r="H47" s="129">
        <v>0</v>
      </c>
      <c r="I47" s="92">
        <v>0</v>
      </c>
      <c r="J47" s="366">
        <f>SUM(H47:I47)</f>
        <v>0</v>
      </c>
      <c r="K47" s="136">
        <v>0</v>
      </c>
    </row>
    <row r="48" spans="1:15">
      <c r="A48" s="1" t="s">
        <v>290</v>
      </c>
      <c r="B48" s="129">
        <v>0</v>
      </c>
      <c r="C48" s="92">
        <v>0</v>
      </c>
      <c r="D48" s="393">
        <f>SUM(B48:C48)</f>
        <v>0</v>
      </c>
      <c r="E48" s="136">
        <v>0</v>
      </c>
      <c r="F48"/>
      <c r="G48"/>
      <c r="H48" s="129">
        <v>0</v>
      </c>
      <c r="I48" s="92">
        <v>0</v>
      </c>
      <c r="J48" s="366">
        <f>SUM(H48:I48)</f>
        <v>0</v>
      </c>
      <c r="K48" s="136">
        <v>0</v>
      </c>
    </row>
    <row r="49" spans="1:15">
      <c r="A49" s="1" t="s">
        <v>302</v>
      </c>
      <c r="B49" s="129">
        <v>0</v>
      </c>
      <c r="C49" s="92">
        <v>805</v>
      </c>
      <c r="D49" s="366">
        <f>SUM(B49:C49)</f>
        <v>805</v>
      </c>
      <c r="E49" s="136">
        <v>0</v>
      </c>
      <c r="F49"/>
      <c r="G49"/>
      <c r="H49" s="129">
        <v>0</v>
      </c>
      <c r="I49" s="92">
        <v>0</v>
      </c>
      <c r="J49" s="366">
        <f>SUM(H49:I49)</f>
        <v>0</v>
      </c>
      <c r="K49" s="136">
        <v>0</v>
      </c>
    </row>
    <row r="50" spans="1:15" ht="18">
      <c r="A50" s="1" t="s">
        <v>292</v>
      </c>
      <c r="B50" s="130">
        <v>0</v>
      </c>
      <c r="C50" s="137">
        <v>115.4</v>
      </c>
      <c r="D50" s="367">
        <f>SUM(B50:C50)</f>
        <v>115.4</v>
      </c>
      <c r="E50" s="136">
        <v>0</v>
      </c>
      <c r="F50"/>
      <c r="G50"/>
      <c r="H50" s="130">
        <v>0</v>
      </c>
      <c r="I50" s="137">
        <v>0</v>
      </c>
      <c r="J50" s="367">
        <f>SUM(H50:I50)</f>
        <v>0</v>
      </c>
      <c r="K50" s="136">
        <v>0</v>
      </c>
      <c r="L50" s="6"/>
      <c r="M50" s="7"/>
      <c r="N50" s="7"/>
      <c r="O50" s="7"/>
    </row>
    <row r="51" spans="1:15">
      <c r="A51" s="1" t="s">
        <v>275</v>
      </c>
      <c r="B51" s="129">
        <f>SUM(B47:B50)</f>
        <v>0</v>
      </c>
      <c r="C51" s="92">
        <f>SUM(C47:C50)</f>
        <v>12420.4</v>
      </c>
      <c r="D51" s="366">
        <f>SUM(B51:C51)</f>
        <v>12420.4</v>
      </c>
      <c r="E51" s="136">
        <v>0</v>
      </c>
      <c r="F51"/>
      <c r="G51"/>
      <c r="H51" s="129">
        <f>SUM(H47:H50)</f>
        <v>0</v>
      </c>
      <c r="I51" s="92">
        <f>SUM(I47:I50)</f>
        <v>0</v>
      </c>
      <c r="J51" s="366">
        <f>SUM(H51:I51)</f>
        <v>0</v>
      </c>
      <c r="K51" s="136">
        <v>0</v>
      </c>
    </row>
    <row r="52" spans="1:15">
      <c r="A52" s="1" t="s">
        <v>0</v>
      </c>
      <c r="B52" s="129"/>
      <c r="C52" s="93" t="s">
        <v>0</v>
      </c>
      <c r="D52" s="366"/>
      <c r="E52" s="136" t="s">
        <v>0</v>
      </c>
      <c r="F52"/>
      <c r="G52"/>
      <c r="H52" s="129"/>
      <c r="I52" s="93" t="s">
        <v>0</v>
      </c>
      <c r="J52" s="371" t="s">
        <v>0</v>
      </c>
      <c r="K52" s="136" t="s">
        <v>0</v>
      </c>
    </row>
    <row r="53" spans="1:15" ht="16.5" thickBot="1">
      <c r="A53" s="1" t="s">
        <v>0</v>
      </c>
      <c r="B53" s="133">
        <f>+B29+B35+B41+B43+B51</f>
        <v>2937.3999999999996</v>
      </c>
      <c r="C53" s="134">
        <f>+C29+C35+C41+C43+C51</f>
        <v>25224.2</v>
      </c>
      <c r="D53" s="369">
        <f>SUM(B53:C53)</f>
        <v>28161.599999999999</v>
      </c>
      <c r="E53" s="430">
        <f>+B53/D53</f>
        <v>0.1043051531163002</v>
      </c>
      <c r="F53"/>
      <c r="G53"/>
      <c r="H53" s="133">
        <f>+H29+H35+H41+H43+H51</f>
        <v>0</v>
      </c>
      <c r="I53" s="134">
        <f>+I29+I35+I41+I43+I51</f>
        <v>0</v>
      </c>
      <c r="J53" s="369">
        <f>SUM(H53:I53)</f>
        <v>0</v>
      </c>
      <c r="K53" s="1057">
        <v>0</v>
      </c>
    </row>
    <row r="54" spans="1:15" ht="16.5" thickTop="1">
      <c r="A54" s="1"/>
      <c r="B54" s="91"/>
      <c r="C54" s="89" t="s">
        <v>0</v>
      </c>
      <c r="D54" s="91"/>
      <c r="E54" s="100" t="s">
        <v>0</v>
      </c>
      <c r="F54"/>
      <c r="G54"/>
      <c r="H54" s="91"/>
      <c r="I54" s="89" t="s">
        <v>0</v>
      </c>
      <c r="J54" s="89" t="s">
        <v>0</v>
      </c>
    </row>
    <row r="55" spans="1:15">
      <c r="B55" s="91" t="s">
        <v>551</v>
      </c>
      <c r="C55" s="43"/>
      <c r="E55" s="115" t="s">
        <v>0</v>
      </c>
      <c r="F55"/>
      <c r="G55"/>
      <c r="H55" s="91" t="s">
        <v>0</v>
      </c>
      <c r="I55" s="43"/>
      <c r="J55" s="43"/>
    </row>
    <row r="56" spans="1:15">
      <c r="A56" s="18" t="s">
        <v>319</v>
      </c>
      <c r="C56" s="43"/>
      <c r="E56" s="115" t="s">
        <v>0</v>
      </c>
      <c r="F56"/>
      <c r="G56"/>
      <c r="H56"/>
      <c r="J56" s="43"/>
    </row>
    <row r="57" spans="1:15">
      <c r="A57" t="s">
        <v>294</v>
      </c>
      <c r="B57" s="12" t="e">
        <f>+#REF!</f>
        <v>#REF!</v>
      </c>
      <c r="C57" s="43"/>
      <c r="E57" s="115" t="s">
        <v>0</v>
      </c>
      <c r="F57"/>
      <c r="G57"/>
      <c r="H57"/>
      <c r="J57" s="43"/>
    </row>
    <row r="58" spans="1:15">
      <c r="A58" t="s">
        <v>295</v>
      </c>
      <c r="B58" s="12" t="e">
        <f>+#REF!</f>
        <v>#REF!</v>
      </c>
      <c r="C58" s="43"/>
      <c r="E58" s="115" t="s">
        <v>0</v>
      </c>
      <c r="F58"/>
      <c r="G58"/>
      <c r="H58"/>
      <c r="J58" s="43"/>
    </row>
    <row r="59" spans="1:15">
      <c r="A59" t="s">
        <v>284</v>
      </c>
      <c r="B59" s="12" t="e">
        <f>+#REF!</f>
        <v>#REF!</v>
      </c>
      <c r="C59" s="43"/>
      <c r="E59" s="115" t="s">
        <v>0</v>
      </c>
      <c r="F59"/>
      <c r="G59"/>
      <c r="H59"/>
      <c r="J59" s="43"/>
    </row>
    <row r="60" spans="1:15">
      <c r="C60" s="43"/>
      <c r="E60" s="115" t="s">
        <v>0</v>
      </c>
      <c r="F60"/>
      <c r="G60"/>
      <c r="H60"/>
      <c r="J60" s="43"/>
    </row>
    <row r="61" spans="1:15" ht="18.75">
      <c r="A61" s="122" t="s">
        <v>303</v>
      </c>
      <c r="B61" s="12" t="e">
        <f>+#REF!</f>
        <v>#REF!</v>
      </c>
      <c r="C61" s="43"/>
      <c r="E61" s="115" t="s">
        <v>0</v>
      </c>
      <c r="F61"/>
      <c r="G61"/>
      <c r="H61" s="43">
        <v>0</v>
      </c>
      <c r="I61" s="43">
        <v>0</v>
      </c>
      <c r="J61" s="12">
        <f>+J19</f>
        <v>0</v>
      </c>
    </row>
    <row r="62" spans="1:15">
      <c r="A62" t="s">
        <v>217</v>
      </c>
      <c r="B62" s="12" t="e">
        <f>+#REF!</f>
        <v>#REF!</v>
      </c>
      <c r="C62" s="43"/>
      <c r="E62" s="115" t="s">
        <v>0</v>
      </c>
      <c r="F62"/>
      <c r="G62"/>
      <c r="H62" s="43">
        <v>0</v>
      </c>
      <c r="I62" s="43">
        <v>0</v>
      </c>
      <c r="J62" s="43">
        <v>0</v>
      </c>
    </row>
    <row r="63" spans="1:15">
      <c r="A63" t="s">
        <v>320</v>
      </c>
      <c r="B63" s="12" t="e">
        <f>+#REF!</f>
        <v>#REF!</v>
      </c>
      <c r="C63" s="43"/>
      <c r="E63" s="115" t="s">
        <v>0</v>
      </c>
      <c r="F63"/>
      <c r="G63"/>
      <c r="H63" s="43">
        <v>0</v>
      </c>
      <c r="I63" s="43">
        <v>0</v>
      </c>
      <c r="J63" s="43">
        <v>0</v>
      </c>
    </row>
    <row r="68" spans="2:12">
      <c r="B68"/>
      <c r="C68"/>
      <c r="D68"/>
      <c r="E68"/>
      <c r="F68"/>
      <c r="G68"/>
      <c r="H68"/>
      <c r="I68"/>
      <c r="J68"/>
      <c r="K68"/>
      <c r="L68"/>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sheetData>
  <pageMargins left="0.7" right="0.28999999999999998" top="0.52" bottom="0.54" header="0.34" footer="0.23"/>
  <pageSetup scale="64" orientation="landscape" r:id="rId1"/>
  <headerFooter alignWithMargins="0">
    <oddFooter>&amp;R&amp;P</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121"/>
  <sheetViews>
    <sheetView workbookViewId="0"/>
  </sheetViews>
  <sheetFormatPr defaultRowHeight="15.75"/>
  <cols>
    <col min="1" max="1" width="50" customWidth="1"/>
    <col min="2" max="2" width="15.75" style="27" customWidth="1"/>
    <col min="3" max="3" width="9.12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 style="27" customWidth="1"/>
    <col min="14" max="14" width="15.75" style="27" customWidth="1"/>
    <col min="15" max="15" width="11" style="27" customWidth="1"/>
    <col min="16" max="16" width="15.75" style="27" customWidth="1"/>
    <col min="17" max="17" width="11" style="27" customWidth="1"/>
    <col min="18" max="18" width="15.75" style="27" customWidth="1"/>
    <col min="19" max="19" width="9.625" style="27" customWidth="1"/>
    <col min="20" max="20" width="16.5" style="27" customWidth="1"/>
    <col min="21" max="21" width="12.25" style="27" customWidth="1"/>
    <col min="22" max="256" width="11" customWidth="1"/>
  </cols>
  <sheetData>
    <row r="1" spans="1:22">
      <c r="A1" s="114" t="s">
        <v>542</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6" spans="1:22" s="2" customFormat="1" ht="16.5" thickBot="1">
      <c r="B6" s="377" t="s">
        <v>185</v>
      </c>
      <c r="C6" s="399"/>
      <c r="D6" s="400"/>
      <c r="E6" s="399"/>
      <c r="F6" s="400"/>
      <c r="G6" s="399"/>
      <c r="H6" s="400"/>
      <c r="I6" s="401"/>
      <c r="J6" s="377" t="s">
        <v>174</v>
      </c>
      <c r="K6" s="399"/>
      <c r="L6" s="400"/>
      <c r="M6" s="399"/>
      <c r="N6" s="400"/>
      <c r="O6" s="399"/>
      <c r="P6" s="400"/>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7" t="s">
        <v>0</v>
      </c>
      <c r="D9" s="29" t="s">
        <v>0</v>
      </c>
      <c r="E9" s="29" t="s">
        <v>0</v>
      </c>
      <c r="F9" s="29" t="s">
        <v>0</v>
      </c>
      <c r="G9" s="29" t="s">
        <v>0</v>
      </c>
      <c r="H9" s="29" t="s">
        <v>0</v>
      </c>
      <c r="I9" s="29" t="s">
        <v>0</v>
      </c>
      <c r="J9" s="29" t="s">
        <v>0</v>
      </c>
      <c r="K9" s="29" t="s">
        <v>0</v>
      </c>
      <c r="L9" s="29" t="s">
        <v>0</v>
      </c>
      <c r="M9" s="29" t="s">
        <v>0</v>
      </c>
      <c r="N9" s="29" t="s">
        <v>0</v>
      </c>
      <c r="O9" s="29" t="s">
        <v>0</v>
      </c>
      <c r="P9" s="16" t="s">
        <v>0</v>
      </c>
    </row>
    <row r="10" spans="1:22">
      <c r="A10" t="s">
        <v>552</v>
      </c>
      <c r="B10" s="92">
        <f>+B50</f>
        <v>113.3</v>
      </c>
      <c r="C10" s="44">
        <v>0</v>
      </c>
      <c r="D10" s="92">
        <f>+F50</f>
        <v>0</v>
      </c>
      <c r="E10" s="44">
        <v>0</v>
      </c>
      <c r="F10" s="92">
        <f>+J50</f>
        <v>0</v>
      </c>
      <c r="G10" s="44">
        <v>0</v>
      </c>
      <c r="H10" s="92">
        <f>+N50</f>
        <v>0</v>
      </c>
      <c r="I10" s="29"/>
      <c r="J10" s="78">
        <f>+D50</f>
        <v>0</v>
      </c>
      <c r="K10" s="44">
        <v>0</v>
      </c>
      <c r="L10" s="92">
        <f>+H50</f>
        <v>0</v>
      </c>
      <c r="M10" s="44">
        <v>0</v>
      </c>
      <c r="N10" s="92">
        <f>+L50</f>
        <v>0</v>
      </c>
      <c r="O10" s="44">
        <v>0</v>
      </c>
      <c r="P10" s="92">
        <f>+P50</f>
        <v>0</v>
      </c>
    </row>
    <row r="11" spans="1:22">
      <c r="A11" t="s">
        <v>553</v>
      </c>
      <c r="B11" s="92">
        <f>+B51</f>
        <v>0</v>
      </c>
      <c r="C11" s="44">
        <v>0</v>
      </c>
      <c r="D11" s="92">
        <f>+F51</f>
        <v>0</v>
      </c>
      <c r="E11" s="44">
        <v>0</v>
      </c>
      <c r="F11" s="92">
        <f>+J51</f>
        <v>0</v>
      </c>
      <c r="G11" s="44">
        <v>0</v>
      </c>
      <c r="H11" s="92">
        <f>+N51</f>
        <v>0</v>
      </c>
      <c r="I11" s="29"/>
      <c r="J11" s="78">
        <v>0</v>
      </c>
      <c r="K11" s="43">
        <v>0</v>
      </c>
      <c r="L11" s="92">
        <v>0</v>
      </c>
      <c r="M11" s="44">
        <v>0</v>
      </c>
      <c r="N11" s="92">
        <f>+L51</f>
        <v>0</v>
      </c>
      <c r="O11" s="44">
        <v>0</v>
      </c>
      <c r="P11" s="92">
        <f>+P51</f>
        <v>0</v>
      </c>
    </row>
    <row r="12" spans="1:22">
      <c r="A12" t="s">
        <v>332</v>
      </c>
      <c r="B12" s="221">
        <f>+B52</f>
        <v>0</v>
      </c>
      <c r="C12" s="44">
        <v>0</v>
      </c>
      <c r="D12" s="221">
        <f>+F52</f>
        <v>0</v>
      </c>
      <c r="E12" s="44">
        <v>0</v>
      </c>
      <c r="F12" s="221">
        <f>+J52</f>
        <v>0</v>
      </c>
      <c r="G12" s="44">
        <v>0</v>
      </c>
      <c r="H12" s="221">
        <f>+N52</f>
        <v>0</v>
      </c>
      <c r="J12" s="379">
        <f>+D52</f>
        <v>0</v>
      </c>
      <c r="K12" s="44">
        <v>0</v>
      </c>
      <c r="L12" s="221">
        <f>+H52</f>
        <v>0</v>
      </c>
      <c r="M12" s="44">
        <v>0</v>
      </c>
      <c r="N12" s="221">
        <f>+L52</f>
        <v>0</v>
      </c>
      <c r="O12" s="44">
        <v>0</v>
      </c>
      <c r="P12" s="221">
        <f>+P52</f>
        <v>0</v>
      </c>
    </row>
    <row r="13" spans="1:22">
      <c r="B13" s="12">
        <f>SUM(B10:B12)</f>
        <v>113.3</v>
      </c>
      <c r="C13" s="44">
        <v>0</v>
      </c>
      <c r="D13" s="12">
        <f>SUM(D10:D12)</f>
        <v>0</v>
      </c>
      <c r="E13" s="44">
        <v>0</v>
      </c>
      <c r="F13" s="12">
        <f>SUM(F10:F12)</f>
        <v>0</v>
      </c>
      <c r="G13" s="44">
        <v>0</v>
      </c>
      <c r="H13" s="12">
        <f>SUM(H10:H12)</f>
        <v>0</v>
      </c>
      <c r="J13" s="12">
        <f>SUM(J10:J12)</f>
        <v>0</v>
      </c>
      <c r="K13" s="44">
        <v>0</v>
      </c>
      <c r="L13" s="12">
        <f>SUM(L10:L12)</f>
        <v>0</v>
      </c>
      <c r="M13" s="44">
        <v>0</v>
      </c>
      <c r="N13" s="12">
        <f>SUM(N10:N12)</f>
        <v>0</v>
      </c>
      <c r="O13" s="44">
        <v>0</v>
      </c>
      <c r="P13" s="12">
        <f>SUM(P10:P12)</f>
        <v>0</v>
      </c>
    </row>
    <row r="14" spans="1:22">
      <c r="A14" t="s">
        <v>333</v>
      </c>
      <c r="B14" s="221">
        <f>+B54</f>
        <v>47.6</v>
      </c>
      <c r="C14" s="44">
        <v>0</v>
      </c>
      <c r="D14" s="221">
        <f>+F54</f>
        <v>0</v>
      </c>
      <c r="E14" s="44">
        <v>0</v>
      </c>
      <c r="F14" s="221">
        <f>+J54</f>
        <v>0</v>
      </c>
      <c r="G14" s="44">
        <v>0</v>
      </c>
      <c r="H14" s="221">
        <f>+N54</f>
        <v>0</v>
      </c>
      <c r="J14" s="240">
        <f>+D54</f>
        <v>0</v>
      </c>
      <c r="K14" s="44">
        <v>0</v>
      </c>
      <c r="L14" s="240">
        <f>+H54</f>
        <v>0</v>
      </c>
      <c r="M14" s="44">
        <v>0</v>
      </c>
      <c r="N14" s="221">
        <f>+L54</f>
        <v>0</v>
      </c>
      <c r="O14" s="44">
        <v>0</v>
      </c>
      <c r="P14" s="221">
        <f>+P54</f>
        <v>0</v>
      </c>
    </row>
    <row r="15" spans="1:22">
      <c r="B15" s="12">
        <f>+B13-B14</f>
        <v>65.699999999999989</v>
      </c>
      <c r="C15" s="44">
        <v>0</v>
      </c>
      <c r="D15" s="12">
        <f>+D13-D14</f>
        <v>0</v>
      </c>
      <c r="E15" s="44">
        <v>0</v>
      </c>
      <c r="F15" s="12">
        <f>+F13-F14</f>
        <v>0</v>
      </c>
      <c r="G15" s="44">
        <v>0</v>
      </c>
      <c r="H15" s="12">
        <f>+H13-H14</f>
        <v>0</v>
      </c>
      <c r="J15" s="12">
        <f>+J13-J14</f>
        <v>0</v>
      </c>
      <c r="K15" s="44">
        <v>0</v>
      </c>
      <c r="L15" s="12">
        <f>+L13-L14</f>
        <v>0</v>
      </c>
      <c r="M15" s="44">
        <v>0</v>
      </c>
      <c r="N15" s="12">
        <f>+N13-N14</f>
        <v>0</v>
      </c>
      <c r="O15" s="44">
        <v>0</v>
      </c>
      <c r="P15" s="12">
        <f>+P13-P14</f>
        <v>0</v>
      </c>
    </row>
    <row r="16" spans="1:22" ht="9" customHeight="1">
      <c r="B16" s="12"/>
      <c r="C16" s="44" t="s">
        <v>0</v>
      </c>
      <c r="D16" s="12"/>
      <c r="E16" s="44" t="s">
        <v>0</v>
      </c>
      <c r="G16" s="44" t="s">
        <v>0</v>
      </c>
      <c r="K16" s="44" t="s">
        <v>0</v>
      </c>
      <c r="M16" s="44" t="s">
        <v>0</v>
      </c>
      <c r="O16" s="44" t="s">
        <v>0</v>
      </c>
      <c r="P16" s="12"/>
    </row>
    <row r="17" spans="1:16">
      <c r="A17" t="s">
        <v>334</v>
      </c>
      <c r="B17" s="12"/>
      <c r="C17" s="44" t="s">
        <v>0</v>
      </c>
      <c r="D17" s="12"/>
      <c r="E17" s="44" t="s">
        <v>0</v>
      </c>
      <c r="G17" s="44" t="s">
        <v>0</v>
      </c>
      <c r="K17" s="44" t="s">
        <v>0</v>
      </c>
      <c r="M17" s="44" t="s">
        <v>0</v>
      </c>
      <c r="O17" s="44" t="s">
        <v>0</v>
      </c>
      <c r="P17" s="12"/>
    </row>
    <row r="18" spans="1:16">
      <c r="A18" t="s">
        <v>335</v>
      </c>
      <c r="B18" s="92">
        <f>+B58</f>
        <v>0</v>
      </c>
      <c r="C18" s="44">
        <v>0</v>
      </c>
      <c r="D18" s="92">
        <f>+F58</f>
        <v>0</v>
      </c>
      <c r="E18" s="44">
        <v>0</v>
      </c>
      <c r="F18" s="92">
        <f>+J58</f>
        <v>0</v>
      </c>
      <c r="G18" s="44">
        <v>0</v>
      </c>
      <c r="H18" s="92">
        <f>+N58</f>
        <v>0</v>
      </c>
      <c r="J18" s="12">
        <f>+D58</f>
        <v>0</v>
      </c>
      <c r="K18" s="44">
        <v>0</v>
      </c>
      <c r="L18" s="12">
        <f>+H58</f>
        <v>0</v>
      </c>
      <c r="M18" s="44">
        <v>0</v>
      </c>
      <c r="N18" s="12">
        <f>+L58</f>
        <v>0</v>
      </c>
      <c r="O18" s="44">
        <v>0</v>
      </c>
      <c r="P18" s="92">
        <f>+P58</f>
        <v>0</v>
      </c>
    </row>
    <row r="19" spans="1:16">
      <c r="A19" t="s">
        <v>336</v>
      </c>
      <c r="B19" s="92">
        <f>+B59</f>
        <v>0</v>
      </c>
      <c r="C19" s="44">
        <v>0</v>
      </c>
      <c r="D19" s="92">
        <f>+F59</f>
        <v>0</v>
      </c>
      <c r="E19" s="44">
        <v>0</v>
      </c>
      <c r="F19" s="92">
        <f>+J59</f>
        <v>0</v>
      </c>
      <c r="G19" s="44">
        <v>0</v>
      </c>
      <c r="H19" s="92">
        <f>+N59</f>
        <v>0</v>
      </c>
      <c r="J19" s="12">
        <f>+D59</f>
        <v>0</v>
      </c>
      <c r="K19" s="44">
        <v>0</v>
      </c>
      <c r="L19" s="27">
        <f>+H59</f>
        <v>0</v>
      </c>
      <c r="M19" s="44">
        <v>0</v>
      </c>
      <c r="N19" s="12">
        <f>+L59</f>
        <v>0</v>
      </c>
      <c r="O19" s="44">
        <v>0</v>
      </c>
      <c r="P19" s="92">
        <f>+P59</f>
        <v>0</v>
      </c>
    </row>
    <row r="20" spans="1:16">
      <c r="A20" t="s">
        <v>284</v>
      </c>
      <c r="B20" s="221">
        <f>+B60</f>
        <v>0.2</v>
      </c>
      <c r="C20" s="44">
        <v>0</v>
      </c>
      <c r="D20" s="221">
        <f>+F60</f>
        <v>0</v>
      </c>
      <c r="E20" s="44">
        <v>0</v>
      </c>
      <c r="F20" s="221">
        <f>+J60</f>
        <v>0</v>
      </c>
      <c r="G20" s="44">
        <v>0</v>
      </c>
      <c r="H20" s="221">
        <f>+N60</f>
        <v>0</v>
      </c>
      <c r="J20" s="240">
        <f>+D60</f>
        <v>0</v>
      </c>
      <c r="K20" s="44">
        <v>0</v>
      </c>
      <c r="L20" s="240">
        <f>+H60</f>
        <v>0</v>
      </c>
      <c r="M20" s="44">
        <v>0</v>
      </c>
      <c r="N20" s="240">
        <f>+L60</f>
        <v>0</v>
      </c>
      <c r="O20" s="44">
        <v>0</v>
      </c>
      <c r="P20" s="221">
        <f>+P60</f>
        <v>0</v>
      </c>
    </row>
    <row r="21" spans="1:16">
      <c r="B21" s="12">
        <f>SUM(B18:B20)</f>
        <v>0.2</v>
      </c>
      <c r="C21" s="44">
        <v>0</v>
      </c>
      <c r="D21" s="12">
        <f>SUM(D18:D20)</f>
        <v>0</v>
      </c>
      <c r="E21" s="44">
        <v>0</v>
      </c>
      <c r="F21" s="12">
        <f>SUM(F18:F20)</f>
        <v>0</v>
      </c>
      <c r="G21" s="44">
        <v>0</v>
      </c>
      <c r="H21" s="12">
        <f>SUM(H18:H20)</f>
        <v>0</v>
      </c>
      <c r="J21" s="12">
        <f>SUM(J18:J20)</f>
        <v>0</v>
      </c>
      <c r="K21" s="44">
        <v>0</v>
      </c>
      <c r="L21" s="12">
        <f>SUM(L18:L20)</f>
        <v>0</v>
      </c>
      <c r="M21" s="44">
        <v>0</v>
      </c>
      <c r="N21" s="12">
        <f>SUM(N18:N20)</f>
        <v>0</v>
      </c>
      <c r="O21" s="44">
        <v>0</v>
      </c>
      <c r="P21" s="12">
        <f>SUM(P18:P20)</f>
        <v>0</v>
      </c>
    </row>
    <row r="22" spans="1:16">
      <c r="B22" s="240"/>
      <c r="C22" s="44" t="s">
        <v>0</v>
      </c>
      <c r="D22" s="240"/>
      <c r="E22" s="44" t="s">
        <v>0</v>
      </c>
      <c r="F22" s="379"/>
      <c r="G22" s="44" t="s">
        <v>0</v>
      </c>
      <c r="H22" s="240"/>
      <c r="J22" s="379"/>
      <c r="K22" s="44" t="s">
        <v>0</v>
      </c>
      <c r="L22" s="379"/>
      <c r="M22" s="44" t="s">
        <v>0</v>
      </c>
      <c r="N22" s="379"/>
      <c r="O22" s="44" t="s">
        <v>0</v>
      </c>
      <c r="P22" s="240"/>
    </row>
    <row r="23" spans="1:16">
      <c r="A23" t="s">
        <v>337</v>
      </c>
      <c r="B23" s="12">
        <f>+B15+B21</f>
        <v>65.899999999999991</v>
      </c>
      <c r="C23" s="44">
        <v>0</v>
      </c>
      <c r="D23" s="12">
        <f>+D15+D21</f>
        <v>0</v>
      </c>
      <c r="E23" s="44">
        <v>0</v>
      </c>
      <c r="F23" s="12">
        <f>+F15+F21</f>
        <v>0</v>
      </c>
      <c r="G23" s="44">
        <v>0</v>
      </c>
      <c r="H23" s="12">
        <f>+H15+H21</f>
        <v>0</v>
      </c>
      <c r="J23" s="12">
        <f>+J15+J21</f>
        <v>0</v>
      </c>
      <c r="K23" s="44">
        <v>0</v>
      </c>
      <c r="L23" s="12">
        <f>+L15+L21</f>
        <v>0</v>
      </c>
      <c r="M23" s="44">
        <v>0</v>
      </c>
      <c r="N23" s="12">
        <f>+N15+N21</f>
        <v>0</v>
      </c>
      <c r="O23" s="44">
        <v>0</v>
      </c>
      <c r="P23" s="12">
        <f>+P15+P21</f>
        <v>0</v>
      </c>
    </row>
    <row r="24" spans="1:16">
      <c r="B24" s="12"/>
      <c r="C24" s="44" t="s">
        <v>0</v>
      </c>
      <c r="D24" s="12"/>
      <c r="E24" s="44" t="s">
        <v>0</v>
      </c>
      <c r="G24" s="44" t="s">
        <v>0</v>
      </c>
      <c r="K24" s="44" t="s">
        <v>0</v>
      </c>
      <c r="M24" s="44" t="s">
        <v>0</v>
      </c>
      <c r="O24" s="44" t="s">
        <v>0</v>
      </c>
      <c r="P24" s="12"/>
    </row>
    <row r="25" spans="1:16">
      <c r="A25" t="s">
        <v>338</v>
      </c>
      <c r="B25" s="92">
        <f>+B65</f>
        <v>143.80000000000001</v>
      </c>
      <c r="C25" s="44">
        <v>0</v>
      </c>
      <c r="D25" s="92">
        <f>+F65</f>
        <v>0</v>
      </c>
      <c r="E25" s="43">
        <v>0</v>
      </c>
      <c r="F25" s="547">
        <f>+J65</f>
        <v>0</v>
      </c>
      <c r="G25" s="43">
        <v>0</v>
      </c>
      <c r="H25" s="547">
        <f>+N65</f>
        <v>0</v>
      </c>
      <c r="J25" s="27">
        <f>+D65</f>
        <v>0</v>
      </c>
      <c r="K25" s="43">
        <v>0</v>
      </c>
      <c r="L25" s="27">
        <f>+H65</f>
        <v>0</v>
      </c>
      <c r="M25" s="43">
        <v>0</v>
      </c>
      <c r="N25" s="27">
        <f>+L65</f>
        <v>0</v>
      </c>
      <c r="O25" s="43">
        <v>0</v>
      </c>
      <c r="P25" s="92">
        <f>+P65</f>
        <v>0</v>
      </c>
    </row>
    <row r="26" spans="1:16">
      <c r="B26" s="12"/>
      <c r="C26" s="44" t="s">
        <v>0</v>
      </c>
      <c r="D26" s="12"/>
      <c r="E26" s="44" t="s">
        <v>0</v>
      </c>
      <c r="G26" s="44" t="s">
        <v>0</v>
      </c>
      <c r="K26" s="44" t="s">
        <v>0</v>
      </c>
      <c r="M26" s="44" t="s">
        <v>0</v>
      </c>
      <c r="O26" s="44" t="s">
        <v>0</v>
      </c>
      <c r="P26" s="12"/>
    </row>
    <row r="27" spans="1:16">
      <c r="A27" t="s">
        <v>339</v>
      </c>
      <c r="B27" s="240"/>
      <c r="C27" s="44" t="s">
        <v>0</v>
      </c>
      <c r="D27" s="240"/>
      <c r="E27" s="44" t="s">
        <v>0</v>
      </c>
      <c r="F27" s="379"/>
      <c r="G27" s="44" t="s">
        <v>0</v>
      </c>
      <c r="H27" s="379"/>
      <c r="J27" s="379"/>
      <c r="K27" s="44" t="s">
        <v>0</v>
      </c>
      <c r="L27" s="379"/>
      <c r="M27" s="44" t="s">
        <v>0</v>
      </c>
      <c r="N27" s="379"/>
      <c r="O27" s="44" t="s">
        <v>0</v>
      </c>
      <c r="P27" s="240"/>
    </row>
    <row r="28" spans="1:16">
      <c r="A28" t="s">
        <v>340</v>
      </c>
      <c r="B28" s="12">
        <f>+B23-B25</f>
        <v>-77.90000000000002</v>
      </c>
      <c r="C28" s="44">
        <v>0</v>
      </c>
      <c r="D28" s="12">
        <f>+D23-D25</f>
        <v>0</v>
      </c>
      <c r="E28" s="44">
        <v>0</v>
      </c>
      <c r="F28" s="12">
        <f>+F23-F25</f>
        <v>0</v>
      </c>
      <c r="G28" s="44">
        <v>0</v>
      </c>
      <c r="H28" s="12">
        <f>+H23-H25</f>
        <v>0</v>
      </c>
      <c r="J28" s="12">
        <f>+J23-J25</f>
        <v>0</v>
      </c>
      <c r="K28" s="44">
        <v>0</v>
      </c>
      <c r="L28" s="12">
        <f>+L23-L25</f>
        <v>0</v>
      </c>
      <c r="M28" s="44">
        <v>0</v>
      </c>
      <c r="N28" s="12">
        <f>+N23-N25</f>
        <v>0</v>
      </c>
      <c r="O28" s="44">
        <v>0</v>
      </c>
      <c r="P28" s="12">
        <f>+P23-P25</f>
        <v>0</v>
      </c>
    </row>
    <row r="29" spans="1:16">
      <c r="B29" s="12"/>
      <c r="C29" s="44" t="s">
        <v>0</v>
      </c>
      <c r="D29" s="12"/>
      <c r="E29" s="44" t="s">
        <v>0</v>
      </c>
      <c r="G29" s="44" t="s">
        <v>0</v>
      </c>
      <c r="H29" s="12"/>
      <c r="K29" s="44" t="s">
        <v>0</v>
      </c>
      <c r="M29" s="44" t="s">
        <v>0</v>
      </c>
      <c r="O29" s="44" t="s">
        <v>0</v>
      </c>
      <c r="P29" s="12"/>
    </row>
    <row r="30" spans="1:16">
      <c r="A30" t="s">
        <v>341</v>
      </c>
      <c r="B30" s="12"/>
      <c r="C30" s="44" t="s">
        <v>0</v>
      </c>
      <c r="D30" s="12"/>
      <c r="E30" s="44" t="s">
        <v>0</v>
      </c>
      <c r="G30" s="44" t="s">
        <v>0</v>
      </c>
      <c r="H30" s="12"/>
      <c r="K30" s="44" t="s">
        <v>0</v>
      </c>
      <c r="M30" s="44" t="s">
        <v>0</v>
      </c>
      <c r="O30" s="44" t="s">
        <v>0</v>
      </c>
      <c r="P30" s="12"/>
    </row>
    <row r="31" spans="1:16">
      <c r="A31" t="s">
        <v>342</v>
      </c>
      <c r="B31" s="92">
        <f>+B71</f>
        <v>506.9</v>
      </c>
      <c r="C31" s="44">
        <v>0</v>
      </c>
      <c r="D31" s="92">
        <f>+F71</f>
        <v>0</v>
      </c>
      <c r="E31" s="44">
        <v>0</v>
      </c>
      <c r="F31" s="92">
        <f>+J71</f>
        <v>0</v>
      </c>
      <c r="G31" s="44">
        <v>0</v>
      </c>
      <c r="H31" s="92">
        <f>+N71</f>
        <v>0</v>
      </c>
      <c r="J31" s="12">
        <f>+D71</f>
        <v>0</v>
      </c>
      <c r="K31" s="44">
        <v>0</v>
      </c>
      <c r="L31" s="12">
        <f>+H71</f>
        <v>0</v>
      </c>
      <c r="M31" s="44">
        <v>0</v>
      </c>
      <c r="N31" s="12">
        <f>+L71</f>
        <v>0</v>
      </c>
      <c r="O31" s="44">
        <v>0</v>
      </c>
      <c r="P31" s="92">
        <f>+P71</f>
        <v>0</v>
      </c>
    </row>
    <row r="32" spans="1:16">
      <c r="A32" t="s">
        <v>343</v>
      </c>
      <c r="B32" s="92">
        <f>+B72</f>
        <v>78.2</v>
      </c>
      <c r="C32" s="44">
        <v>0</v>
      </c>
      <c r="D32" s="92">
        <f>+F72</f>
        <v>0</v>
      </c>
      <c r="E32" s="44">
        <v>0</v>
      </c>
      <c r="F32" s="92">
        <f>+J72</f>
        <v>0</v>
      </c>
      <c r="G32" s="44">
        <v>0</v>
      </c>
      <c r="H32" s="92">
        <f>+N72</f>
        <v>0</v>
      </c>
      <c r="J32" s="12">
        <f>+D72</f>
        <v>0</v>
      </c>
      <c r="K32" s="44">
        <v>0</v>
      </c>
      <c r="L32" s="12">
        <f>+H72</f>
        <v>0</v>
      </c>
      <c r="M32" s="44">
        <v>0</v>
      </c>
      <c r="N32" s="12">
        <f>+L72</f>
        <v>0</v>
      </c>
      <c r="O32" s="44">
        <v>0</v>
      </c>
      <c r="P32" s="92">
        <f>+P72</f>
        <v>0</v>
      </c>
    </row>
    <row r="33" spans="1:22">
      <c r="A33" t="s">
        <v>344</v>
      </c>
      <c r="B33" s="92">
        <f>+B73</f>
        <v>122.1</v>
      </c>
      <c r="C33" s="44">
        <v>0</v>
      </c>
      <c r="D33" s="92">
        <f>+F73</f>
        <v>0</v>
      </c>
      <c r="E33" s="44">
        <v>0</v>
      </c>
      <c r="F33" s="92">
        <f>+J73</f>
        <v>0</v>
      </c>
      <c r="G33" s="44">
        <v>0</v>
      </c>
      <c r="H33" s="92">
        <f>+N73</f>
        <v>0</v>
      </c>
      <c r="J33" s="12">
        <f>+D73</f>
        <v>0</v>
      </c>
      <c r="K33" s="44">
        <v>0</v>
      </c>
      <c r="L33" s="27">
        <f>+H73</f>
        <v>0</v>
      </c>
      <c r="M33" s="44">
        <v>0</v>
      </c>
      <c r="N33" s="12">
        <f>+L73</f>
        <v>0</v>
      </c>
      <c r="O33" s="44">
        <v>0</v>
      </c>
      <c r="P33" s="92">
        <f>+P73</f>
        <v>0</v>
      </c>
    </row>
    <row r="34" spans="1:22">
      <c r="A34" t="s">
        <v>345</v>
      </c>
      <c r="B34" s="221">
        <f>+B74</f>
        <v>411.8</v>
      </c>
      <c r="C34" s="44">
        <v>0</v>
      </c>
      <c r="D34" s="221">
        <f>+F74</f>
        <v>0</v>
      </c>
      <c r="E34" s="44">
        <v>0</v>
      </c>
      <c r="F34" s="221">
        <f>+J74</f>
        <v>0</v>
      </c>
      <c r="G34" s="44">
        <v>0</v>
      </c>
      <c r="H34" s="221">
        <f>+N74</f>
        <v>0</v>
      </c>
      <c r="J34" s="240">
        <f>+D74</f>
        <v>0</v>
      </c>
      <c r="K34" s="89">
        <v>0</v>
      </c>
      <c r="L34" s="240">
        <f>+H74</f>
        <v>0</v>
      </c>
      <c r="M34" s="44">
        <v>0</v>
      </c>
      <c r="N34" s="240">
        <f>+L74</f>
        <v>0</v>
      </c>
      <c r="O34" s="44">
        <v>0</v>
      </c>
      <c r="P34" s="221">
        <f>+P74</f>
        <v>0</v>
      </c>
    </row>
    <row r="35" spans="1:22">
      <c r="B35" s="12">
        <f>SUM(B31:B34)</f>
        <v>1119</v>
      </c>
      <c r="C35" s="44">
        <v>0</v>
      </c>
      <c r="D35" s="12">
        <f>SUM(D31:D34)</f>
        <v>0</v>
      </c>
      <c r="E35" s="44">
        <v>0</v>
      </c>
      <c r="F35" s="12">
        <f>SUM(F31:F34)</f>
        <v>0</v>
      </c>
      <c r="G35" s="44">
        <v>0</v>
      </c>
      <c r="H35" s="12">
        <f>SUM(H31:H34)</f>
        <v>0</v>
      </c>
      <c r="J35" s="12">
        <f>SUM(J31:J34)</f>
        <v>0</v>
      </c>
      <c r="K35" s="44">
        <v>0</v>
      </c>
      <c r="L35" s="12">
        <f>SUM(L31:L34)</f>
        <v>0</v>
      </c>
      <c r="M35" s="44">
        <v>0</v>
      </c>
      <c r="N35" s="12">
        <f>SUM(N31:N34)</f>
        <v>0</v>
      </c>
      <c r="O35" s="44">
        <v>0</v>
      </c>
      <c r="P35" s="12">
        <f>SUM(P31:P34)</f>
        <v>0</v>
      </c>
    </row>
    <row r="36" spans="1:22">
      <c r="B36" s="240"/>
      <c r="C36" s="43"/>
      <c r="D36" s="240"/>
      <c r="E36" s="43"/>
      <c r="F36" s="379"/>
      <c r="G36" s="43"/>
      <c r="H36" s="379"/>
      <c r="J36" s="379"/>
      <c r="K36" s="43"/>
      <c r="L36" s="379"/>
      <c r="M36" s="43"/>
      <c r="N36" s="379"/>
      <c r="O36" s="43"/>
      <c r="P36" s="240"/>
    </row>
    <row r="37" spans="1:22">
      <c r="A37" t="s">
        <v>346</v>
      </c>
      <c r="B37" s="12">
        <f>+B28-B35</f>
        <v>-1196.9000000000001</v>
      </c>
      <c r="C37" s="44">
        <v>0</v>
      </c>
      <c r="D37" s="12">
        <f>+D28-D35</f>
        <v>0</v>
      </c>
      <c r="E37" s="44">
        <v>0</v>
      </c>
      <c r="F37" s="12">
        <f>+F28-F35</f>
        <v>0</v>
      </c>
      <c r="G37" s="44">
        <v>0</v>
      </c>
      <c r="H37" s="12">
        <f>+H28-H35</f>
        <v>0</v>
      </c>
      <c r="J37" s="12">
        <f>+J28-J35</f>
        <v>0</v>
      </c>
      <c r="K37" s="44">
        <v>0</v>
      </c>
      <c r="L37" s="12">
        <f>+L28-L35</f>
        <v>0</v>
      </c>
      <c r="M37" s="44">
        <v>0</v>
      </c>
      <c r="N37" s="12">
        <f>+N28-N35</f>
        <v>0</v>
      </c>
      <c r="O37" s="44">
        <v>0</v>
      </c>
      <c r="P37" s="12">
        <f>+P28-P35</f>
        <v>0</v>
      </c>
    </row>
    <row r="38" spans="1:22">
      <c r="B38" s="12"/>
      <c r="C38" s="44" t="s">
        <v>0</v>
      </c>
      <c r="D38" s="12"/>
      <c r="E38" s="44" t="s">
        <v>0</v>
      </c>
      <c r="G38" s="44" t="s">
        <v>0</v>
      </c>
      <c r="K38" s="44" t="s">
        <v>0</v>
      </c>
      <c r="M38" s="44" t="s">
        <v>0</v>
      </c>
      <c r="O38" s="44" t="s">
        <v>0</v>
      </c>
      <c r="P38" s="12"/>
    </row>
    <row r="39" spans="1:22">
      <c r="A39" t="s">
        <v>347</v>
      </c>
      <c r="B39" s="92">
        <f>+B79</f>
        <v>0</v>
      </c>
      <c r="C39" s="44">
        <v>0</v>
      </c>
      <c r="D39" s="92">
        <f>+F79</f>
        <v>0</v>
      </c>
      <c r="E39" s="43">
        <v>0</v>
      </c>
      <c r="F39" s="547">
        <f>+J79</f>
        <v>0</v>
      </c>
      <c r="G39" s="43">
        <v>0</v>
      </c>
      <c r="H39" s="547">
        <f>+N79</f>
        <v>0</v>
      </c>
      <c r="J39" s="12">
        <f>+D79</f>
        <v>0</v>
      </c>
      <c r="K39" s="294">
        <v>0</v>
      </c>
      <c r="L39" s="12">
        <f>+H79</f>
        <v>0</v>
      </c>
      <c r="M39" s="43">
        <v>0</v>
      </c>
      <c r="N39" s="27">
        <f>+L79</f>
        <v>0</v>
      </c>
      <c r="O39" s="43">
        <v>0</v>
      </c>
      <c r="P39" s="12">
        <v>0</v>
      </c>
    </row>
    <row r="40" spans="1:22" ht="16.5" thickBot="1">
      <c r="A40" t="s">
        <v>0</v>
      </c>
      <c r="B40" s="77" t="s">
        <v>0</v>
      </c>
      <c r="C40" s="44" t="s">
        <v>0</v>
      </c>
      <c r="D40" s="77" t="s">
        <v>0</v>
      </c>
      <c r="E40" s="44" t="s">
        <v>0</v>
      </c>
      <c r="F40" s="31" t="s">
        <v>0</v>
      </c>
      <c r="G40" s="44" t="s">
        <v>0</v>
      </c>
      <c r="H40" s="30"/>
      <c r="J40" s="30"/>
      <c r="K40" s="44" t="s">
        <v>0</v>
      </c>
      <c r="L40" s="30"/>
      <c r="M40" s="44" t="s">
        <v>0</v>
      </c>
      <c r="N40" s="30"/>
      <c r="O40" s="44" t="s">
        <v>0</v>
      </c>
      <c r="P40" s="76"/>
    </row>
    <row r="41" spans="1:22" s="2" customFormat="1">
      <c r="A41" s="2" t="s">
        <v>427</v>
      </c>
      <c r="B41" s="4">
        <f>+B37-B39</f>
        <v>-1196.9000000000001</v>
      </c>
      <c r="C41" s="42">
        <v>0</v>
      </c>
      <c r="D41" s="4">
        <f>+D37-D39</f>
        <v>0</v>
      </c>
      <c r="E41" s="42">
        <v>0</v>
      </c>
      <c r="F41" s="4">
        <f>+F37-F39</f>
        <v>0</v>
      </c>
      <c r="G41" s="42">
        <v>0</v>
      </c>
      <c r="H41" s="4">
        <f>+H37-H39</f>
        <v>0</v>
      </c>
      <c r="I41" s="146"/>
      <c r="J41" s="4">
        <f>+J37-J39</f>
        <v>0</v>
      </c>
      <c r="K41" s="42">
        <v>0</v>
      </c>
      <c r="L41" s="4">
        <f>+L37-L39</f>
        <v>0</v>
      </c>
      <c r="M41" s="42">
        <v>0</v>
      </c>
      <c r="N41" s="4">
        <f>+N37-N39</f>
        <v>0</v>
      </c>
      <c r="O41" s="42">
        <v>0</v>
      </c>
      <c r="P41" s="4">
        <f>+P37-P39</f>
        <v>0</v>
      </c>
      <c r="Q41" s="146"/>
      <c r="R41" s="146"/>
      <c r="S41" s="146"/>
      <c r="T41" s="146"/>
      <c r="U41" s="146"/>
    </row>
    <row r="42" spans="1:22" ht="5.45" customHeight="1">
      <c r="C42" s="29"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s="2" customFormat="1">
      <c r="B46" s="241" t="s">
        <v>349</v>
      </c>
      <c r="C46" s="146" t="s">
        <v>0</v>
      </c>
      <c r="D46" s="241" t="s">
        <v>350</v>
      </c>
      <c r="E46" s="146"/>
      <c r="F46" s="241" t="s">
        <v>349</v>
      </c>
      <c r="G46" s="22" t="s">
        <v>0</v>
      </c>
      <c r="H46" s="241" t="s">
        <v>350</v>
      </c>
      <c r="I46" s="146"/>
      <c r="J46" s="241" t="s">
        <v>349</v>
      </c>
      <c r="K46" s="146" t="s">
        <v>0</v>
      </c>
      <c r="L46" s="241" t="s">
        <v>350</v>
      </c>
      <c r="M46" s="146"/>
      <c r="N46" s="241" t="s">
        <v>349</v>
      </c>
      <c r="O46" s="146" t="s">
        <v>0</v>
      </c>
      <c r="P46" s="241" t="s">
        <v>350</v>
      </c>
      <c r="Q46" s="146"/>
      <c r="R46" s="993" t="s">
        <v>351</v>
      </c>
      <c r="S46" s="146"/>
      <c r="T46" s="993" t="s">
        <v>532</v>
      </c>
      <c r="U46" s="241" t="s">
        <v>263</v>
      </c>
    </row>
    <row r="47" spans="1:22" ht="16.5" thickBot="1">
      <c r="B47" s="243" t="s">
        <v>353</v>
      </c>
      <c r="C47" s="244"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190</v>
      </c>
      <c r="V47" s="18"/>
    </row>
    <row r="48" spans="1:22">
      <c r="A48" t="s">
        <v>328</v>
      </c>
      <c r="B48" s="29" t="s">
        <v>0</v>
      </c>
    </row>
    <row r="49" spans="1:23">
      <c r="A49" t="s">
        <v>329</v>
      </c>
      <c r="B49" s="16" t="s">
        <v>0</v>
      </c>
      <c r="C49" s="47" t="s">
        <v>0</v>
      </c>
      <c r="D49" s="29" t="s">
        <v>0</v>
      </c>
      <c r="E49" s="29" t="s">
        <v>0</v>
      </c>
      <c r="F49" s="29" t="s">
        <v>0</v>
      </c>
      <c r="G49" s="47" t="s">
        <v>0</v>
      </c>
      <c r="H49" s="29" t="s">
        <v>0</v>
      </c>
      <c r="I49" s="29" t="s">
        <v>0</v>
      </c>
      <c r="J49" s="29" t="s">
        <v>0</v>
      </c>
      <c r="K49" s="47" t="s">
        <v>0</v>
      </c>
      <c r="L49" s="29" t="s">
        <v>0</v>
      </c>
      <c r="M49" s="29" t="s">
        <v>0</v>
      </c>
      <c r="N49" s="29" t="s">
        <v>0</v>
      </c>
      <c r="O49" s="47" t="s">
        <v>0</v>
      </c>
      <c r="P49" s="16" t="s">
        <v>0</v>
      </c>
      <c r="Q49" s="29" t="s">
        <v>0</v>
      </c>
      <c r="R49" s="16" t="s">
        <v>0</v>
      </c>
      <c r="S49" s="47" t="s">
        <v>0</v>
      </c>
      <c r="T49" s="16" t="s">
        <v>0</v>
      </c>
      <c r="U49" s="16" t="s">
        <v>0</v>
      </c>
      <c r="V49" t="s">
        <v>0</v>
      </c>
      <c r="W49" t="s">
        <v>0</v>
      </c>
    </row>
    <row r="50" spans="1:23">
      <c r="A50" t="s">
        <v>330</v>
      </c>
      <c r="B50" s="12">
        <v>113.3</v>
      </c>
      <c r="C50" s="43">
        <v>0</v>
      </c>
      <c r="D50" s="12">
        <v>0</v>
      </c>
      <c r="E50" s="29"/>
      <c r="F50" s="12">
        <v>0</v>
      </c>
      <c r="G50" s="43">
        <v>0</v>
      </c>
      <c r="H50" s="12">
        <v>0</v>
      </c>
      <c r="J50" s="12">
        <v>0</v>
      </c>
      <c r="K50" s="43">
        <v>0</v>
      </c>
      <c r="L50" s="12">
        <v>0</v>
      </c>
      <c r="M50" s="29"/>
      <c r="N50" s="12">
        <v>0</v>
      </c>
      <c r="O50" s="43">
        <v>0</v>
      </c>
      <c r="P50" s="12">
        <v>0</v>
      </c>
      <c r="R50" s="12">
        <f>+B50</f>
        <v>113.3</v>
      </c>
      <c r="S50" s="43">
        <v>0</v>
      </c>
      <c r="T50" s="12">
        <f>+D50</f>
        <v>0</v>
      </c>
      <c r="U50" s="12">
        <f>+D50+H50+L50+P50</f>
        <v>0</v>
      </c>
    </row>
    <row r="51" spans="1:23">
      <c r="A51" t="s">
        <v>354</v>
      </c>
      <c r="B51" s="12">
        <v>0</v>
      </c>
      <c r="C51" s="43">
        <v>0</v>
      </c>
      <c r="D51" s="12">
        <v>0</v>
      </c>
      <c r="E51" s="29"/>
      <c r="F51" s="12">
        <v>0</v>
      </c>
      <c r="G51" s="43">
        <v>0</v>
      </c>
      <c r="H51" s="12">
        <v>0</v>
      </c>
      <c r="J51" s="12">
        <v>0</v>
      </c>
      <c r="K51" s="43"/>
      <c r="L51" s="12">
        <v>0</v>
      </c>
      <c r="M51" s="29"/>
      <c r="N51" s="12">
        <v>0</v>
      </c>
      <c r="O51" s="43"/>
      <c r="P51" s="12">
        <v>0</v>
      </c>
      <c r="R51" s="12">
        <f>+B51</f>
        <v>0</v>
      </c>
      <c r="S51" s="43">
        <v>0</v>
      </c>
      <c r="T51" s="12">
        <f>+D51</f>
        <v>0</v>
      </c>
      <c r="U51" s="12">
        <f>+D51+H51+L51+P51</f>
        <v>0</v>
      </c>
    </row>
    <row r="52" spans="1:23">
      <c r="A52" t="s">
        <v>332</v>
      </c>
      <c r="B52" s="221">
        <v>0</v>
      </c>
      <c r="C52" s="43">
        <v>0</v>
      </c>
      <c r="D52" s="221">
        <v>0</v>
      </c>
      <c r="E52" s="29"/>
      <c r="F52" s="221">
        <v>0</v>
      </c>
      <c r="G52" s="43">
        <v>0</v>
      </c>
      <c r="H52" s="221">
        <v>0</v>
      </c>
      <c r="J52" s="221">
        <v>0</v>
      </c>
      <c r="K52" s="43">
        <v>0</v>
      </c>
      <c r="L52" s="221">
        <v>0</v>
      </c>
      <c r="M52" s="29"/>
      <c r="N52" s="221">
        <v>0</v>
      </c>
      <c r="O52" s="43">
        <v>0</v>
      </c>
      <c r="P52" s="221">
        <v>0</v>
      </c>
      <c r="R52" s="240">
        <f>+B52</f>
        <v>0</v>
      </c>
      <c r="S52" s="43">
        <v>0</v>
      </c>
      <c r="T52" s="240">
        <f>+D52</f>
        <v>0</v>
      </c>
      <c r="U52" s="240">
        <f>+D52+H52+L52+P52</f>
        <v>0</v>
      </c>
    </row>
    <row r="53" spans="1:23">
      <c r="B53" s="12">
        <f>SUM(B50:B52)</f>
        <v>113.3</v>
      </c>
      <c r="C53" s="43">
        <v>0</v>
      </c>
      <c r="D53" s="12">
        <f>SUM(D50:D52)</f>
        <v>0</v>
      </c>
      <c r="E53" s="29"/>
      <c r="F53" s="12">
        <f>SUM(F50:F52)</f>
        <v>0</v>
      </c>
      <c r="G53" s="43">
        <v>0</v>
      </c>
      <c r="H53" s="12">
        <f>SUM(H50:H52)</f>
        <v>0</v>
      </c>
      <c r="J53" s="12">
        <f>SUM(J50:J52)</f>
        <v>0</v>
      </c>
      <c r="K53" s="43">
        <v>0</v>
      </c>
      <c r="L53" s="12">
        <f>SUM(L50:L52)</f>
        <v>0</v>
      </c>
      <c r="M53" s="29"/>
      <c r="N53" s="12">
        <f>SUM(N50:N52)</f>
        <v>0</v>
      </c>
      <c r="O53" s="43">
        <v>0</v>
      </c>
      <c r="P53" s="12">
        <f>SUM(P50:P52)</f>
        <v>0</v>
      </c>
      <c r="R53" s="12">
        <f>SUM(R50:R52)</f>
        <v>113.3</v>
      </c>
      <c r="S53" s="43">
        <v>0</v>
      </c>
      <c r="T53" s="12">
        <f>SUM(T50:T52)</f>
        <v>0</v>
      </c>
      <c r="U53" s="12">
        <f>SUM(U50:U52)</f>
        <v>0</v>
      </c>
    </row>
    <row r="54" spans="1:23">
      <c r="A54" t="s">
        <v>333</v>
      </c>
      <c r="B54" s="240">
        <v>47.6</v>
      </c>
      <c r="C54" s="43">
        <v>0</v>
      </c>
      <c r="D54" s="240">
        <v>0</v>
      </c>
      <c r="E54" s="29" t="s">
        <v>0</v>
      </c>
      <c r="F54" s="240">
        <v>0</v>
      </c>
      <c r="G54" s="43">
        <v>0</v>
      </c>
      <c r="H54" s="240">
        <v>0</v>
      </c>
      <c r="J54" s="240">
        <v>0</v>
      </c>
      <c r="K54" s="43">
        <v>0</v>
      </c>
      <c r="L54" s="240">
        <v>0</v>
      </c>
      <c r="M54" s="29" t="s">
        <v>0</v>
      </c>
      <c r="N54" s="240">
        <v>0</v>
      </c>
      <c r="O54" s="43">
        <v>0</v>
      </c>
      <c r="P54" s="240">
        <v>0</v>
      </c>
      <c r="R54" s="240">
        <f>+B54</f>
        <v>47.6</v>
      </c>
      <c r="S54" s="43">
        <v>0</v>
      </c>
      <c r="T54" s="240">
        <f>+D54</f>
        <v>0</v>
      </c>
      <c r="U54" s="240">
        <f>+D54+H54+L54+P54</f>
        <v>0</v>
      </c>
    </row>
    <row r="55" spans="1:23">
      <c r="B55" s="12">
        <f>+B53-B54</f>
        <v>65.699999999999989</v>
      </c>
      <c r="C55" s="43">
        <v>0</v>
      </c>
      <c r="D55" s="12">
        <f>+D53-D54</f>
        <v>0</v>
      </c>
      <c r="E55" s="29" t="s">
        <v>0</v>
      </c>
      <c r="F55" s="12">
        <f>+F53-F54</f>
        <v>0</v>
      </c>
      <c r="G55" s="43">
        <v>0</v>
      </c>
      <c r="H55" s="12">
        <f>+H53-H54</f>
        <v>0</v>
      </c>
      <c r="J55" s="12">
        <f>+J53-J54</f>
        <v>0</v>
      </c>
      <c r="K55" s="43">
        <v>0</v>
      </c>
      <c r="L55" s="12">
        <f>+L53-L54</f>
        <v>0</v>
      </c>
      <c r="M55" s="29" t="s">
        <v>0</v>
      </c>
      <c r="N55" s="12">
        <f>+N53-N54</f>
        <v>0</v>
      </c>
      <c r="O55" s="43">
        <v>0</v>
      </c>
      <c r="P55" s="12">
        <f>+P53-P54</f>
        <v>0</v>
      </c>
      <c r="R55" s="12">
        <f>+R53-R54</f>
        <v>65.699999999999989</v>
      </c>
      <c r="S55" s="208">
        <v>0</v>
      </c>
      <c r="T55" s="12">
        <f>+T53-T54</f>
        <v>0</v>
      </c>
      <c r="U55" s="12">
        <f>+U53-U54</f>
        <v>0</v>
      </c>
    </row>
    <row r="56" spans="1:23">
      <c r="B56" s="12"/>
      <c r="C56" s="44" t="s">
        <v>0</v>
      </c>
      <c r="D56" s="12"/>
      <c r="E56" s="29" t="s">
        <v>0</v>
      </c>
      <c r="G56" s="44" t="s">
        <v>0</v>
      </c>
      <c r="K56" s="44" t="s">
        <v>0</v>
      </c>
      <c r="M56" s="29" t="s">
        <v>0</v>
      </c>
      <c r="O56" s="44" t="s">
        <v>0</v>
      </c>
      <c r="R56" s="12"/>
      <c r="S56" s="43"/>
      <c r="U56" s="12"/>
    </row>
    <row r="57" spans="1:23">
      <c r="A57" t="s">
        <v>334</v>
      </c>
      <c r="B57" s="12"/>
      <c r="C57" s="44" t="s">
        <v>0</v>
      </c>
      <c r="D57" s="12"/>
      <c r="E57" s="29" t="s">
        <v>0</v>
      </c>
      <c r="G57" s="44" t="s">
        <v>0</v>
      </c>
      <c r="K57" s="44" t="s">
        <v>0</v>
      </c>
      <c r="M57" s="29" t="s">
        <v>0</v>
      </c>
      <c r="O57" s="44" t="s">
        <v>0</v>
      </c>
      <c r="R57" s="12"/>
      <c r="S57" s="44" t="s">
        <v>0</v>
      </c>
      <c r="U57" s="12"/>
    </row>
    <row r="58" spans="1:23">
      <c r="A58" t="s">
        <v>335</v>
      </c>
      <c r="B58" s="12">
        <v>0</v>
      </c>
      <c r="C58" s="43">
        <v>0</v>
      </c>
      <c r="D58" s="12">
        <v>0</v>
      </c>
      <c r="E58" s="29" t="s">
        <v>0</v>
      </c>
      <c r="F58" s="12">
        <v>0</v>
      </c>
      <c r="G58" s="43">
        <v>0</v>
      </c>
      <c r="H58" s="12">
        <v>0</v>
      </c>
      <c r="J58" s="12">
        <v>0</v>
      </c>
      <c r="K58" s="43">
        <v>0</v>
      </c>
      <c r="L58" s="12">
        <v>0</v>
      </c>
      <c r="M58" s="29" t="s">
        <v>0</v>
      </c>
      <c r="N58" s="12">
        <v>0</v>
      </c>
      <c r="O58" s="43">
        <v>0</v>
      </c>
      <c r="P58" s="12">
        <v>0</v>
      </c>
      <c r="R58" s="12">
        <f>+B58</f>
        <v>0</v>
      </c>
      <c r="S58" s="43">
        <v>0</v>
      </c>
      <c r="T58" s="12">
        <f>+D58</f>
        <v>0</v>
      </c>
      <c r="U58" s="12">
        <f>+D58+H58+L58+P58</f>
        <v>0</v>
      </c>
    </row>
    <row r="59" spans="1:23">
      <c r="A59" t="s">
        <v>336</v>
      </c>
      <c r="B59" s="12">
        <v>0</v>
      </c>
      <c r="C59" s="43">
        <v>0</v>
      </c>
      <c r="D59" s="12">
        <v>0</v>
      </c>
      <c r="E59" s="29" t="s">
        <v>0</v>
      </c>
      <c r="F59" s="12">
        <v>0</v>
      </c>
      <c r="G59" s="43">
        <v>0</v>
      </c>
      <c r="H59" s="12">
        <v>0</v>
      </c>
      <c r="J59" s="12">
        <v>0</v>
      </c>
      <c r="K59" s="43">
        <v>0</v>
      </c>
      <c r="L59" s="12">
        <v>0</v>
      </c>
      <c r="M59" s="29" t="s">
        <v>0</v>
      </c>
      <c r="N59" s="12">
        <v>0</v>
      </c>
      <c r="O59" s="43">
        <v>0</v>
      </c>
      <c r="P59" s="12">
        <v>0</v>
      </c>
      <c r="R59" s="12">
        <f>+B59</f>
        <v>0</v>
      </c>
      <c r="S59" s="43">
        <v>0</v>
      </c>
      <c r="T59" s="12">
        <f>+D59</f>
        <v>0</v>
      </c>
      <c r="U59" s="12">
        <f>+D59+H59+L59+P59</f>
        <v>0</v>
      </c>
    </row>
    <row r="60" spans="1:23">
      <c r="A60" t="s">
        <v>284</v>
      </c>
      <c r="B60" s="240">
        <v>0.2</v>
      </c>
      <c r="C60" s="43">
        <v>0</v>
      </c>
      <c r="D60" s="240">
        <v>0</v>
      </c>
      <c r="E60" s="29" t="s">
        <v>0</v>
      </c>
      <c r="F60" s="240">
        <v>0</v>
      </c>
      <c r="G60" s="43">
        <v>0</v>
      </c>
      <c r="H60" s="240">
        <v>0</v>
      </c>
      <c r="J60" s="240">
        <v>0</v>
      </c>
      <c r="K60" s="43">
        <v>0</v>
      </c>
      <c r="L60" s="240">
        <v>0</v>
      </c>
      <c r="M60" s="29" t="s">
        <v>0</v>
      </c>
      <c r="N60" s="248">
        <v>0</v>
      </c>
      <c r="O60" s="43">
        <v>0</v>
      </c>
      <c r="P60" s="248">
        <v>0</v>
      </c>
      <c r="R60" s="240">
        <f>+B60</f>
        <v>0.2</v>
      </c>
      <c r="S60" s="43">
        <v>0</v>
      </c>
      <c r="T60" s="240">
        <f>+D60</f>
        <v>0</v>
      </c>
      <c r="U60" s="240">
        <f>+D60+H60+L60+P60</f>
        <v>0</v>
      </c>
    </row>
    <row r="61" spans="1:23">
      <c r="B61" s="12">
        <f>SUM(B58:B60)</f>
        <v>0.2</v>
      </c>
      <c r="C61" s="43">
        <v>0</v>
      </c>
      <c r="D61" s="12">
        <f>SUM(D58:D60)</f>
        <v>0</v>
      </c>
      <c r="E61" s="29" t="s">
        <v>0</v>
      </c>
      <c r="F61" s="12">
        <f>SUM(F58:F60)</f>
        <v>0</v>
      </c>
      <c r="G61" s="43">
        <v>0</v>
      </c>
      <c r="H61" s="12">
        <f>SUM(H58:H60)</f>
        <v>0</v>
      </c>
      <c r="J61" s="12">
        <f>SUM(J58:J60)</f>
        <v>0</v>
      </c>
      <c r="K61" s="43">
        <v>0</v>
      </c>
      <c r="L61" s="12">
        <f>SUM(L58:L60)</f>
        <v>0</v>
      </c>
      <c r="M61" s="29" t="s">
        <v>0</v>
      </c>
      <c r="N61" s="12">
        <f>SUM(N58:N60)</f>
        <v>0</v>
      </c>
      <c r="O61" s="43">
        <v>0</v>
      </c>
      <c r="P61" s="12">
        <f>SUM(P58:P60)</f>
        <v>0</v>
      </c>
      <c r="R61" s="12">
        <f>SUM(R58:R60)</f>
        <v>0.2</v>
      </c>
      <c r="S61" s="208">
        <v>0</v>
      </c>
      <c r="T61" s="12">
        <f>SUM(T58:T60)</f>
        <v>0</v>
      </c>
      <c r="U61" s="12">
        <f>SUM(U58:U60)</f>
        <v>0</v>
      </c>
    </row>
    <row r="62" spans="1:23">
      <c r="B62" s="240"/>
      <c r="C62" s="44" t="s">
        <v>0</v>
      </c>
      <c r="D62" s="240"/>
      <c r="E62" s="29" t="s">
        <v>0</v>
      </c>
      <c r="F62" s="379"/>
      <c r="G62" s="44" t="s">
        <v>0</v>
      </c>
      <c r="H62" s="379"/>
      <c r="J62" s="379"/>
      <c r="K62" s="44" t="s">
        <v>0</v>
      </c>
      <c r="L62" s="379"/>
      <c r="M62" s="29" t="s">
        <v>0</v>
      </c>
      <c r="N62" s="379"/>
      <c r="O62" s="44" t="s">
        <v>0</v>
      </c>
      <c r="P62" s="379"/>
      <c r="R62" s="240"/>
      <c r="S62" s="43"/>
      <c r="T62" s="379"/>
      <c r="U62" s="240"/>
    </row>
    <row r="63" spans="1:23">
      <c r="A63" t="s">
        <v>337</v>
      </c>
      <c r="B63" s="12">
        <f>+B55+B61</f>
        <v>65.899999999999991</v>
      </c>
      <c r="C63" s="43">
        <v>0</v>
      </c>
      <c r="D63" s="12">
        <f>+D55+D61</f>
        <v>0</v>
      </c>
      <c r="E63" s="29" t="s">
        <v>0</v>
      </c>
      <c r="F63" s="12">
        <f>+F55+F61</f>
        <v>0</v>
      </c>
      <c r="G63" s="43">
        <v>0</v>
      </c>
      <c r="H63" s="12">
        <f>+H55+H61</f>
        <v>0</v>
      </c>
      <c r="J63" s="12">
        <f>+J55+J61</f>
        <v>0</v>
      </c>
      <c r="K63" s="43">
        <v>0</v>
      </c>
      <c r="L63" s="12">
        <f>+L55+L61</f>
        <v>0</v>
      </c>
      <c r="M63" s="29" t="s">
        <v>0</v>
      </c>
      <c r="N63" s="12">
        <f>+N55+N61</f>
        <v>0</v>
      </c>
      <c r="O63" s="43">
        <v>0</v>
      </c>
      <c r="P63" s="12">
        <f>+P55+P61</f>
        <v>0</v>
      </c>
      <c r="R63" s="12">
        <f>+R55+R61</f>
        <v>65.899999999999991</v>
      </c>
      <c r="S63" s="43">
        <v>0</v>
      </c>
      <c r="T63" s="12">
        <f>+T55+T61</f>
        <v>0</v>
      </c>
      <c r="U63" s="12">
        <f>+U55+U61</f>
        <v>0</v>
      </c>
    </row>
    <row r="64" spans="1:23">
      <c r="B64" s="12"/>
      <c r="C64" s="44" t="s">
        <v>0</v>
      </c>
      <c r="D64" s="12"/>
      <c r="E64" s="29" t="s">
        <v>0</v>
      </c>
      <c r="G64" s="44" t="s">
        <v>0</v>
      </c>
      <c r="K64" s="44" t="s">
        <v>0</v>
      </c>
      <c r="M64" s="29" t="s">
        <v>0</v>
      </c>
      <c r="O64" s="44" t="s">
        <v>0</v>
      </c>
      <c r="R64" s="12"/>
      <c r="S64" s="43"/>
      <c r="U64" s="12"/>
    </row>
    <row r="65" spans="1:21">
      <c r="A65" t="s">
        <v>338</v>
      </c>
      <c r="B65" s="12">
        <v>143.80000000000001</v>
      </c>
      <c r="C65" s="43">
        <v>0</v>
      </c>
      <c r="D65" s="12">
        <v>0</v>
      </c>
      <c r="E65" s="29" t="s">
        <v>0</v>
      </c>
      <c r="F65" s="12">
        <v>0</v>
      </c>
      <c r="G65" s="43">
        <v>0</v>
      </c>
      <c r="H65" s="12">
        <v>0</v>
      </c>
      <c r="J65" s="27">
        <f>+F102</f>
        <v>0</v>
      </c>
      <c r="K65" s="43">
        <v>0</v>
      </c>
      <c r="L65" s="27">
        <f>+H102</f>
        <v>0</v>
      </c>
      <c r="M65" s="29" t="s">
        <v>0</v>
      </c>
      <c r="N65" s="27">
        <f>+H102</f>
        <v>0</v>
      </c>
      <c r="O65" s="43">
        <v>0</v>
      </c>
      <c r="P65" s="27">
        <f>+J102</f>
        <v>0</v>
      </c>
      <c r="R65" s="12">
        <f>+B65</f>
        <v>143.80000000000001</v>
      </c>
      <c r="S65" s="43">
        <v>0</v>
      </c>
      <c r="T65" s="12">
        <f>+D65</f>
        <v>0</v>
      </c>
      <c r="U65" s="12">
        <f>+D65+H65+L65+P65</f>
        <v>0</v>
      </c>
    </row>
    <row r="66" spans="1:21">
      <c r="B66" s="12"/>
      <c r="C66" s="44" t="s">
        <v>0</v>
      </c>
      <c r="D66" s="12"/>
      <c r="E66" s="29" t="s">
        <v>0</v>
      </c>
      <c r="G66" s="44" t="s">
        <v>0</v>
      </c>
      <c r="K66" s="44" t="s">
        <v>0</v>
      </c>
      <c r="M66" s="29" t="s">
        <v>0</v>
      </c>
      <c r="O66" s="44" t="s">
        <v>0</v>
      </c>
      <c r="R66" s="12"/>
      <c r="S66" s="43"/>
      <c r="U66" s="12"/>
    </row>
    <row r="67" spans="1:21">
      <c r="A67" t="s">
        <v>339</v>
      </c>
      <c r="B67" s="240"/>
      <c r="C67" s="44" t="s">
        <v>0</v>
      </c>
      <c r="D67" s="240"/>
      <c r="E67" s="29" t="s">
        <v>0</v>
      </c>
      <c r="F67" s="379"/>
      <c r="G67" s="44" t="s">
        <v>0</v>
      </c>
      <c r="H67" s="379"/>
      <c r="J67" s="379"/>
      <c r="K67" s="44" t="s">
        <v>0</v>
      </c>
      <c r="L67" s="379"/>
      <c r="M67" s="29" t="s">
        <v>0</v>
      </c>
      <c r="N67" s="379"/>
      <c r="O67" s="44" t="s">
        <v>0</v>
      </c>
      <c r="P67" s="379"/>
      <c r="R67" s="240"/>
      <c r="S67" s="43"/>
      <c r="T67" s="379"/>
      <c r="U67" s="240"/>
    </row>
    <row r="68" spans="1:21">
      <c r="A68" t="s">
        <v>340</v>
      </c>
      <c r="B68" s="12">
        <f>+B63-B65</f>
        <v>-77.90000000000002</v>
      </c>
      <c r="C68" s="43">
        <v>0</v>
      </c>
      <c r="D68" s="12">
        <f>+D63-D65</f>
        <v>0</v>
      </c>
      <c r="E68" s="29" t="s">
        <v>0</v>
      </c>
      <c r="F68" s="12">
        <f>+F63-F65</f>
        <v>0</v>
      </c>
      <c r="G68" s="43">
        <v>0</v>
      </c>
      <c r="H68" s="12">
        <f>+H63-H65</f>
        <v>0</v>
      </c>
      <c r="J68" s="12">
        <f>+J63-J65</f>
        <v>0</v>
      </c>
      <c r="K68" s="43">
        <v>0</v>
      </c>
      <c r="L68" s="12">
        <f>+L63-L65</f>
        <v>0</v>
      </c>
      <c r="M68" s="29" t="s">
        <v>0</v>
      </c>
      <c r="N68" s="12">
        <f>+N63-N65</f>
        <v>0</v>
      </c>
      <c r="O68" s="43">
        <v>0</v>
      </c>
      <c r="P68" s="12">
        <f>+P63-P65</f>
        <v>0</v>
      </c>
      <c r="R68" s="12">
        <f>+R63-R65</f>
        <v>-77.90000000000002</v>
      </c>
      <c r="S68" s="43">
        <v>0</v>
      </c>
      <c r="T68" s="12">
        <f>+T63-T65</f>
        <v>0</v>
      </c>
      <c r="U68" s="12">
        <f>+U63-U65</f>
        <v>0</v>
      </c>
    </row>
    <row r="69" spans="1:21">
      <c r="B69" s="12"/>
      <c r="C69" s="44" t="s">
        <v>0</v>
      </c>
      <c r="D69" s="12"/>
      <c r="E69" s="29" t="s">
        <v>0</v>
      </c>
      <c r="G69" s="44" t="s">
        <v>0</v>
      </c>
      <c r="K69" s="44" t="s">
        <v>0</v>
      </c>
      <c r="M69" s="29" t="s">
        <v>0</v>
      </c>
      <c r="O69" s="44" t="s">
        <v>0</v>
      </c>
      <c r="R69" s="12"/>
      <c r="S69" s="43"/>
      <c r="U69" s="12"/>
    </row>
    <row r="70" spans="1:21">
      <c r="A70" t="s">
        <v>341</v>
      </c>
      <c r="B70" s="12"/>
      <c r="C70" s="44" t="s">
        <v>0</v>
      </c>
      <c r="D70" s="12"/>
      <c r="E70" s="29" t="s">
        <v>0</v>
      </c>
      <c r="G70" s="44" t="s">
        <v>0</v>
      </c>
      <c r="K70" s="44" t="s">
        <v>0</v>
      </c>
      <c r="M70" s="29" t="s">
        <v>0</v>
      </c>
      <c r="O70" s="44" t="s">
        <v>0</v>
      </c>
      <c r="R70" s="12"/>
      <c r="S70" s="43"/>
      <c r="U70" s="12"/>
    </row>
    <row r="71" spans="1:21">
      <c r="A71" t="s">
        <v>342</v>
      </c>
      <c r="B71" s="12">
        <v>506.9</v>
      </c>
      <c r="C71" s="43">
        <v>0</v>
      </c>
      <c r="D71" s="12">
        <v>0</v>
      </c>
      <c r="E71" s="29" t="s">
        <v>0</v>
      </c>
      <c r="F71" s="12">
        <v>0</v>
      </c>
      <c r="G71" s="43">
        <v>0</v>
      </c>
      <c r="H71" s="12">
        <v>0</v>
      </c>
      <c r="J71" s="12">
        <v>0</v>
      </c>
      <c r="K71" s="43">
        <v>0</v>
      </c>
      <c r="L71" s="12">
        <v>0</v>
      </c>
      <c r="M71" s="29" t="s">
        <v>0</v>
      </c>
      <c r="N71" s="12">
        <v>0</v>
      </c>
      <c r="O71" s="43">
        <v>0</v>
      </c>
      <c r="P71" s="12">
        <v>0</v>
      </c>
      <c r="R71" s="12">
        <f>+B71</f>
        <v>506.9</v>
      </c>
      <c r="S71" s="43">
        <v>0</v>
      </c>
      <c r="T71" s="12">
        <f>+D71</f>
        <v>0</v>
      </c>
      <c r="U71" s="12">
        <f>+D71+H71+L71+P71</f>
        <v>0</v>
      </c>
    </row>
    <row r="72" spans="1:21">
      <c r="A72" t="s">
        <v>343</v>
      </c>
      <c r="B72" s="12">
        <v>78.2</v>
      </c>
      <c r="C72" s="43">
        <v>0</v>
      </c>
      <c r="D72" s="12">
        <v>0</v>
      </c>
      <c r="E72" s="29" t="s">
        <v>0</v>
      </c>
      <c r="F72" s="12">
        <v>0</v>
      </c>
      <c r="G72" s="43">
        <v>0</v>
      </c>
      <c r="H72" s="12">
        <v>0</v>
      </c>
      <c r="J72" s="12">
        <v>0</v>
      </c>
      <c r="K72" s="43">
        <v>0</v>
      </c>
      <c r="L72" s="12">
        <v>0</v>
      </c>
      <c r="M72" s="29" t="s">
        <v>0</v>
      </c>
      <c r="N72" s="12">
        <v>0</v>
      </c>
      <c r="O72" s="43">
        <v>0</v>
      </c>
      <c r="P72" s="12">
        <v>0</v>
      </c>
      <c r="R72" s="12">
        <f>+B72</f>
        <v>78.2</v>
      </c>
      <c r="S72" s="43">
        <v>0</v>
      </c>
      <c r="T72" s="12">
        <f>+D72</f>
        <v>0</v>
      </c>
      <c r="U72" s="12">
        <f>+D72+H72+L72+P72</f>
        <v>0</v>
      </c>
    </row>
    <row r="73" spans="1:21">
      <c r="A73" t="s">
        <v>344</v>
      </c>
      <c r="B73" s="12">
        <v>122.1</v>
      </c>
      <c r="C73" s="43">
        <v>0</v>
      </c>
      <c r="D73" s="12">
        <v>0</v>
      </c>
      <c r="E73" s="29" t="s">
        <v>0</v>
      </c>
      <c r="F73" s="12">
        <v>0</v>
      </c>
      <c r="G73" s="43">
        <v>0</v>
      </c>
      <c r="H73" s="12">
        <v>0</v>
      </c>
      <c r="J73" s="12">
        <v>0</v>
      </c>
      <c r="K73" s="43">
        <v>0</v>
      </c>
      <c r="L73" s="12">
        <v>0</v>
      </c>
      <c r="M73" s="29" t="s">
        <v>0</v>
      </c>
      <c r="N73" s="12">
        <v>0</v>
      </c>
      <c r="O73" s="43">
        <v>0</v>
      </c>
      <c r="P73" s="12">
        <v>0</v>
      </c>
      <c r="R73" s="12">
        <f>+B73</f>
        <v>122.1</v>
      </c>
      <c r="S73" s="43">
        <v>0</v>
      </c>
      <c r="T73" s="12">
        <f>+D73</f>
        <v>0</v>
      </c>
      <c r="U73" s="12">
        <f>+D73+H73+L73+P73</f>
        <v>0</v>
      </c>
    </row>
    <row r="74" spans="1:21">
      <c r="A74" t="s">
        <v>345</v>
      </c>
      <c r="B74" s="240">
        <v>411.8</v>
      </c>
      <c r="C74" s="208">
        <v>0</v>
      </c>
      <c r="D74" s="240">
        <v>0</v>
      </c>
      <c r="E74" s="29" t="s">
        <v>0</v>
      </c>
      <c r="F74" s="240">
        <v>0</v>
      </c>
      <c r="G74" s="43">
        <v>0</v>
      </c>
      <c r="H74" s="240">
        <v>0</v>
      </c>
      <c r="J74" s="240">
        <v>0</v>
      </c>
      <c r="K74" s="43">
        <v>0</v>
      </c>
      <c r="L74" s="240">
        <v>0</v>
      </c>
      <c r="M74" s="29" t="s">
        <v>0</v>
      </c>
      <c r="N74" s="240">
        <v>0</v>
      </c>
      <c r="O74" s="43">
        <v>0</v>
      </c>
      <c r="P74" s="240">
        <v>0</v>
      </c>
      <c r="R74" s="240">
        <f>+B74</f>
        <v>411.8</v>
      </c>
      <c r="S74" s="208">
        <v>0</v>
      </c>
      <c r="T74" s="240">
        <f>+D74</f>
        <v>0</v>
      </c>
      <c r="U74" s="240">
        <f>+D74+H74+L74+P74</f>
        <v>0</v>
      </c>
    </row>
    <row r="75" spans="1:21">
      <c r="B75" s="12">
        <f>SUM(B71:B74)</f>
        <v>1119</v>
      </c>
      <c r="C75" s="43">
        <v>0</v>
      </c>
      <c r="D75" s="12">
        <f>SUM(D71:D74)</f>
        <v>0</v>
      </c>
      <c r="E75" s="29" t="s">
        <v>0</v>
      </c>
      <c r="F75" s="12">
        <f>SUM(F71:F74)</f>
        <v>0</v>
      </c>
      <c r="G75" s="43">
        <v>0</v>
      </c>
      <c r="H75" s="12">
        <f>SUM(H71:H74)</f>
        <v>0</v>
      </c>
      <c r="J75" s="12">
        <f>SUM(J71:J74)</f>
        <v>0</v>
      </c>
      <c r="K75" s="43">
        <v>0</v>
      </c>
      <c r="L75" s="12">
        <f>SUM(L71:L74)</f>
        <v>0</v>
      </c>
      <c r="M75" s="29" t="s">
        <v>0</v>
      </c>
      <c r="N75" s="12">
        <f>SUM(N71:N74)</f>
        <v>0</v>
      </c>
      <c r="O75" s="43">
        <v>0</v>
      </c>
      <c r="P75" s="12">
        <f>SUM(P71:P74)</f>
        <v>0</v>
      </c>
      <c r="R75" s="12">
        <f>SUM(R71:R74)</f>
        <v>1119</v>
      </c>
      <c r="S75" s="43">
        <v>0</v>
      </c>
      <c r="T75" s="12">
        <f>SUM(T71:T74)</f>
        <v>0</v>
      </c>
      <c r="U75" s="12">
        <f>SUM(U71:U74)</f>
        <v>0</v>
      </c>
    </row>
    <row r="76" spans="1:21">
      <c r="B76" s="240"/>
      <c r="C76" s="43"/>
      <c r="D76" s="240"/>
      <c r="E76" s="29"/>
      <c r="F76" s="379"/>
      <c r="G76" s="43"/>
      <c r="H76" s="379"/>
      <c r="J76" s="379"/>
      <c r="K76" s="43"/>
      <c r="L76" s="379"/>
      <c r="M76" s="29"/>
      <c r="N76" s="379"/>
      <c r="O76" s="43"/>
      <c r="P76" s="379"/>
      <c r="R76" s="240"/>
      <c r="S76" s="43"/>
      <c r="T76" s="379"/>
      <c r="U76" s="240"/>
    </row>
    <row r="77" spans="1:21">
      <c r="A77" t="s">
        <v>346</v>
      </c>
      <c r="B77" s="12">
        <f>+B68-B75</f>
        <v>-1196.9000000000001</v>
      </c>
      <c r="C77" s="43">
        <v>0</v>
      </c>
      <c r="D77" s="12">
        <f>+D68-D75</f>
        <v>0</v>
      </c>
      <c r="E77" s="29"/>
      <c r="F77" s="12">
        <f>+F68-F75</f>
        <v>0</v>
      </c>
      <c r="G77" s="43">
        <v>0</v>
      </c>
      <c r="H77" s="12">
        <f>+H68-H75</f>
        <v>0</v>
      </c>
      <c r="J77" s="12">
        <f>+J68-J75</f>
        <v>0</v>
      </c>
      <c r="K77" s="43">
        <v>0</v>
      </c>
      <c r="L77" s="12">
        <f>+L68-L75</f>
        <v>0</v>
      </c>
      <c r="M77" s="29"/>
      <c r="N77" s="12">
        <f>+N68-N75</f>
        <v>0</v>
      </c>
      <c r="O77" s="43">
        <v>0</v>
      </c>
      <c r="P77" s="12">
        <f>+P68-P75</f>
        <v>0</v>
      </c>
      <c r="R77" s="12">
        <f>+R68-R75</f>
        <v>-1196.9000000000001</v>
      </c>
      <c r="S77" s="43">
        <v>0</v>
      </c>
      <c r="T77" s="12">
        <f>+T68-T75</f>
        <v>0</v>
      </c>
      <c r="U77" s="12">
        <f>+U68-U75</f>
        <v>0</v>
      </c>
    </row>
    <row r="78" spans="1:21">
      <c r="B78" s="12"/>
      <c r="C78" s="44" t="s">
        <v>0</v>
      </c>
      <c r="D78" s="12"/>
      <c r="E78" s="29"/>
      <c r="G78" s="44" t="s">
        <v>0</v>
      </c>
      <c r="K78" s="44" t="s">
        <v>0</v>
      </c>
      <c r="M78" s="29"/>
      <c r="O78" s="44" t="s">
        <v>0</v>
      </c>
      <c r="R78" s="12"/>
      <c r="S78" s="43"/>
      <c r="U78" s="12"/>
    </row>
    <row r="79" spans="1:21">
      <c r="A79" t="s">
        <v>347</v>
      </c>
      <c r="B79" s="12">
        <v>0</v>
      </c>
      <c r="C79" s="43">
        <v>0</v>
      </c>
      <c r="D79" s="12">
        <v>0</v>
      </c>
      <c r="E79" s="29" t="s">
        <v>0</v>
      </c>
      <c r="F79" s="16">
        <f>+D116</f>
        <v>0</v>
      </c>
      <c r="G79" s="43">
        <v>0</v>
      </c>
      <c r="H79" s="16">
        <f>+F116</f>
        <v>0</v>
      </c>
      <c r="J79" s="27">
        <f>+F116</f>
        <v>0</v>
      </c>
      <c r="K79" s="43">
        <v>0</v>
      </c>
      <c r="L79" s="27">
        <f>+H116</f>
        <v>0</v>
      </c>
      <c r="M79" s="29" t="s">
        <v>0</v>
      </c>
      <c r="N79" s="27">
        <f>+H116</f>
        <v>0</v>
      </c>
      <c r="O79" s="43">
        <v>0</v>
      </c>
      <c r="P79" s="27">
        <f>+J116</f>
        <v>0</v>
      </c>
      <c r="R79" s="12">
        <f>+B79</f>
        <v>0</v>
      </c>
      <c r="S79" s="43">
        <v>0</v>
      </c>
      <c r="T79" s="12">
        <f>+D79</f>
        <v>0</v>
      </c>
      <c r="U79" s="12">
        <f>+D79+H79+L79+P79</f>
        <v>0</v>
      </c>
    </row>
    <row r="80" spans="1:21" ht="16.5" thickBot="1">
      <c r="A80" t="s">
        <v>0</v>
      </c>
      <c r="B80" s="77" t="s">
        <v>0</v>
      </c>
      <c r="C80" s="44" t="s">
        <v>0</v>
      </c>
      <c r="D80" s="77" t="s">
        <v>0</v>
      </c>
      <c r="E80" s="29" t="s">
        <v>0</v>
      </c>
      <c r="F80" s="77" t="s">
        <v>0</v>
      </c>
      <c r="G80" s="44" t="s">
        <v>0</v>
      </c>
      <c r="H80" s="77" t="s">
        <v>0</v>
      </c>
      <c r="J80" s="31" t="s">
        <v>0</v>
      </c>
      <c r="K80" s="44" t="s">
        <v>0</v>
      </c>
      <c r="L80" s="31" t="s">
        <v>0</v>
      </c>
      <c r="M80" s="29" t="s">
        <v>0</v>
      </c>
      <c r="N80" s="31" t="s">
        <v>0</v>
      </c>
      <c r="O80" s="44" t="s">
        <v>0</v>
      </c>
      <c r="P80" s="31" t="s">
        <v>0</v>
      </c>
      <c r="R80" s="77" t="s">
        <v>0</v>
      </c>
      <c r="S80" s="43"/>
      <c r="T80" s="30"/>
      <c r="U80" s="76"/>
    </row>
    <row r="81" spans="1:21" s="2" customFormat="1">
      <c r="A81" s="2" t="s">
        <v>554</v>
      </c>
      <c r="B81" s="4">
        <f>+B77-B79</f>
        <v>-1196.9000000000001</v>
      </c>
      <c r="C81" s="42">
        <v>0</v>
      </c>
      <c r="D81" s="4">
        <f>+D77-D79</f>
        <v>0</v>
      </c>
      <c r="E81" s="146" t="s">
        <v>0</v>
      </c>
      <c r="F81" s="4">
        <f>+F77-F79</f>
        <v>0</v>
      </c>
      <c r="G81" s="42">
        <v>0</v>
      </c>
      <c r="H81" s="4">
        <f>+H77-H79</f>
        <v>0</v>
      </c>
      <c r="I81" s="146"/>
      <c r="J81" s="4">
        <f>+J77-J79</f>
        <v>0</v>
      </c>
      <c r="K81" s="42">
        <v>0</v>
      </c>
      <c r="L81" s="4">
        <f>+L77-L79</f>
        <v>0</v>
      </c>
      <c r="M81" s="146" t="s">
        <v>0</v>
      </c>
      <c r="N81" s="4">
        <f>+N77-N79</f>
        <v>0</v>
      </c>
      <c r="O81" s="42">
        <v>0</v>
      </c>
      <c r="P81" s="4">
        <f>+P77-P79</f>
        <v>0</v>
      </c>
      <c r="Q81" s="146"/>
      <c r="R81" s="4">
        <f>+R77-R79</f>
        <v>-1196.9000000000001</v>
      </c>
      <c r="S81" s="42">
        <v>0</v>
      </c>
      <c r="T81" s="4">
        <f>+T77-T79</f>
        <v>0</v>
      </c>
      <c r="U81" s="4">
        <f>+U77-U79</f>
        <v>0</v>
      </c>
    </row>
    <row r="82" spans="1:21">
      <c r="E82" s="29"/>
      <c r="M82" s="29"/>
    </row>
    <row r="83" spans="1:21">
      <c r="E83" s="29"/>
      <c r="F83" s="29" t="s">
        <v>0</v>
      </c>
      <c r="M83" s="29"/>
    </row>
    <row r="84" spans="1:21">
      <c r="B84" s="565" t="s">
        <v>261</v>
      </c>
      <c r="D84" s="565" t="s">
        <v>261</v>
      </c>
      <c r="E84" s="29" t="s">
        <v>0</v>
      </c>
      <c r="F84" s="565" t="s">
        <v>261</v>
      </c>
      <c r="H84" s="565" t="s">
        <v>261</v>
      </c>
      <c r="M84" s="29" t="s">
        <v>0</v>
      </c>
      <c r="N84" s="29" t="s">
        <v>0</v>
      </c>
    </row>
    <row r="85" spans="1:21">
      <c r="B85" s="26" t="s">
        <v>353</v>
      </c>
      <c r="D85" s="26" t="s">
        <v>533</v>
      </c>
      <c r="F85" s="26" t="s">
        <v>534</v>
      </c>
      <c r="H85" s="26" t="s">
        <v>535</v>
      </c>
      <c r="M85" s="29" t="s">
        <v>0</v>
      </c>
    </row>
    <row r="86" spans="1:21">
      <c r="A86" t="s">
        <v>536</v>
      </c>
      <c r="B86" s="29" t="s">
        <v>0</v>
      </c>
      <c r="D86" s="29" t="s">
        <v>0</v>
      </c>
      <c r="F86" s="29" t="s">
        <v>0</v>
      </c>
      <c r="H86" s="29" t="s">
        <v>0</v>
      </c>
      <c r="J86" s="29" t="s">
        <v>0</v>
      </c>
      <c r="M86" s="29" t="s">
        <v>0</v>
      </c>
    </row>
    <row r="87" spans="1:21">
      <c r="A87" t="s">
        <v>329</v>
      </c>
      <c r="B87" s="16" t="s">
        <v>0</v>
      </c>
    </row>
    <row r="88" spans="1:21">
      <c r="A88" t="s">
        <v>330</v>
      </c>
      <c r="B88" s="12">
        <v>0</v>
      </c>
      <c r="D88" s="12">
        <v>0</v>
      </c>
    </row>
    <row r="89" spans="1:21" ht="18">
      <c r="A89" t="s">
        <v>537</v>
      </c>
      <c r="B89" s="6">
        <v>0</v>
      </c>
      <c r="D89" s="12">
        <v>0</v>
      </c>
    </row>
    <row r="90" spans="1:21">
      <c r="B90" s="12">
        <f>SUM(B88:B89)</f>
        <v>0</v>
      </c>
      <c r="D90" s="12">
        <f>SUM(D88:D89)</f>
        <v>0</v>
      </c>
    </row>
    <row r="91" spans="1:21">
      <c r="A91" t="s">
        <v>333</v>
      </c>
      <c r="B91" s="12">
        <f>+(19980+19336)/1000</f>
        <v>39.316000000000003</v>
      </c>
      <c r="D91" s="12">
        <v>0</v>
      </c>
    </row>
    <row r="92" spans="1:21">
      <c r="B92" s="12">
        <f>+B90-B91</f>
        <v>-39.316000000000003</v>
      </c>
      <c r="D92" s="12">
        <f>+D90-D91</f>
        <v>0</v>
      </c>
      <c r="F92" s="27">
        <f>+F87+F91</f>
        <v>0</v>
      </c>
      <c r="H92" s="27">
        <f>+H87+H91</f>
        <v>0</v>
      </c>
    </row>
    <row r="93" spans="1:21">
      <c r="B93" s="12"/>
    </row>
    <row r="94" spans="1:21">
      <c r="A94" t="s">
        <v>334</v>
      </c>
      <c r="B94" s="12"/>
    </row>
    <row r="95" spans="1:21">
      <c r="A95" t="s">
        <v>335</v>
      </c>
      <c r="B95" s="16">
        <v>0</v>
      </c>
      <c r="D95" s="12">
        <v>0</v>
      </c>
    </row>
    <row r="96" spans="1:21">
      <c r="A96" t="s">
        <v>336</v>
      </c>
      <c r="B96" s="12">
        <f>+(-5918+18129)/1000</f>
        <v>12.211</v>
      </c>
      <c r="D96" s="12">
        <v>0</v>
      </c>
    </row>
    <row r="97" spans="1:8">
      <c r="A97" t="s">
        <v>284</v>
      </c>
      <c r="B97" s="12">
        <v>0</v>
      </c>
      <c r="D97" s="12">
        <v>0</v>
      </c>
    </row>
    <row r="98" spans="1:8">
      <c r="B98" s="12">
        <f>SUM(B95:B97)</f>
        <v>12.211</v>
      </c>
      <c r="D98" s="12">
        <f>SUM(D95:D97)</f>
        <v>0</v>
      </c>
      <c r="F98" s="27">
        <f>SUM(F95:F97)</f>
        <v>0</v>
      </c>
      <c r="H98" s="27">
        <f>SUM(H95:H97)</f>
        <v>0</v>
      </c>
    </row>
    <row r="99" spans="1:8">
      <c r="B99" s="12"/>
      <c r="D99" s="12"/>
    </row>
    <row r="100" spans="1:8">
      <c r="A100" t="s">
        <v>337</v>
      </c>
      <c r="B100" s="12">
        <f>+B92+B98</f>
        <v>-27.105000000000004</v>
      </c>
      <c r="D100" s="12">
        <f>+D92+D98</f>
        <v>0</v>
      </c>
      <c r="F100" s="27">
        <f>+F92+F98</f>
        <v>0</v>
      </c>
      <c r="H100" s="27">
        <f>+H92+H98</f>
        <v>0</v>
      </c>
    </row>
    <row r="101" spans="1:8">
      <c r="B101" s="12"/>
      <c r="D101" s="12"/>
    </row>
    <row r="102" spans="1:8">
      <c r="A102" t="s">
        <v>538</v>
      </c>
      <c r="B102" s="12">
        <v>0</v>
      </c>
      <c r="D102" s="12">
        <v>0</v>
      </c>
    </row>
    <row r="103" spans="1:8">
      <c r="B103" s="12"/>
      <c r="D103" s="12"/>
    </row>
    <row r="104" spans="1:8">
      <c r="A104" t="s">
        <v>339</v>
      </c>
      <c r="B104" s="12"/>
      <c r="D104" s="12"/>
    </row>
    <row r="105" spans="1:8">
      <c r="A105" t="s">
        <v>340</v>
      </c>
      <c r="B105" s="12">
        <f>+B100-B102</f>
        <v>-27.105000000000004</v>
      </c>
      <c r="D105" s="12">
        <f>+D100-D102</f>
        <v>0</v>
      </c>
      <c r="F105" s="27">
        <f>+F100-F102</f>
        <v>0</v>
      </c>
      <c r="H105" s="27">
        <f>+H100-H102</f>
        <v>0</v>
      </c>
    </row>
    <row r="106" spans="1:8">
      <c r="B106" s="12"/>
      <c r="D106" s="12"/>
    </row>
    <row r="107" spans="1:8">
      <c r="A107" t="s">
        <v>341</v>
      </c>
      <c r="B107" s="12"/>
      <c r="D107" s="12"/>
    </row>
    <row r="108" spans="1:8">
      <c r="A108" t="s">
        <v>342</v>
      </c>
      <c r="B108" s="12">
        <f>+(121283+85597)/1000</f>
        <v>206.88</v>
      </c>
      <c r="D108" s="12">
        <v>0</v>
      </c>
    </row>
    <row r="109" spans="1:8">
      <c r="A109" t="s">
        <v>343</v>
      </c>
      <c r="B109" s="12">
        <v>0</v>
      </c>
      <c r="D109" s="12">
        <v>0</v>
      </c>
    </row>
    <row r="110" spans="1:8">
      <c r="A110" t="s">
        <v>344</v>
      </c>
      <c r="B110" s="12">
        <f>+(33281+34728)/1000</f>
        <v>68.009</v>
      </c>
      <c r="D110" s="12">
        <v>0</v>
      </c>
    </row>
    <row r="111" spans="1:8">
      <c r="A111" t="s">
        <v>345</v>
      </c>
      <c r="B111" s="12">
        <f>+(6+4285)/1000</f>
        <v>4.2910000000000004</v>
      </c>
      <c r="D111" s="16">
        <v>0</v>
      </c>
    </row>
    <row r="112" spans="1:8">
      <c r="B112" s="12">
        <f>SUM(B108:B111)</f>
        <v>279.18</v>
      </c>
      <c r="D112" s="12">
        <f>SUM(D108:D111)</f>
        <v>0</v>
      </c>
      <c r="F112" s="12">
        <f>SUM(F108:F111)</f>
        <v>0</v>
      </c>
      <c r="H112" s="12">
        <f>SUM(H108:H111)</f>
        <v>0</v>
      </c>
    </row>
    <row r="113" spans="1:8">
      <c r="B113" s="12"/>
      <c r="D113" s="12"/>
    </row>
    <row r="114" spans="1:8">
      <c r="A114" t="s">
        <v>346</v>
      </c>
      <c r="B114" s="12">
        <f>+B105-B112</f>
        <v>-306.28500000000003</v>
      </c>
      <c r="D114" s="12">
        <f>+D105-D112</f>
        <v>0</v>
      </c>
      <c r="F114" s="12">
        <f>+F105-F112</f>
        <v>0</v>
      </c>
      <c r="H114" s="12">
        <f>+H105-H112</f>
        <v>0</v>
      </c>
    </row>
    <row r="115" spans="1:8">
      <c r="B115" s="12"/>
      <c r="D115" s="12"/>
    </row>
    <row r="116" spans="1:8">
      <c r="A116" t="s">
        <v>347</v>
      </c>
      <c r="B116" s="12">
        <v>0</v>
      </c>
      <c r="D116" s="12">
        <v>0</v>
      </c>
    </row>
    <row r="117" spans="1:8">
      <c r="A117" t="s">
        <v>555</v>
      </c>
      <c r="B117" s="12"/>
      <c r="D117" s="16" t="s">
        <v>0</v>
      </c>
    </row>
    <row r="118" spans="1:8">
      <c r="A118" t="s">
        <v>539</v>
      </c>
      <c r="B118" s="12">
        <f>+B114-B116</f>
        <v>-306.28500000000003</v>
      </c>
      <c r="D118" s="12">
        <f>+D114-D116</f>
        <v>0</v>
      </c>
      <c r="F118" s="27">
        <f>+F114-F116</f>
        <v>0</v>
      </c>
      <c r="H118" s="27">
        <f>+H114-H116</f>
        <v>0</v>
      </c>
    </row>
    <row r="121" spans="1:8">
      <c r="B121" s="29" t="s">
        <v>0</v>
      </c>
    </row>
  </sheetData>
  <pageMargins left="0.2" right="0.2" top="0.41" bottom="0.38" header="0.31" footer="0.2"/>
  <pageSetup scale="44" orientation="landscape" r:id="rId1"/>
  <headerFooter alignWithMargins="0">
    <oddFooter>&amp;R&amp;16&amp;P</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58"/>
  <sheetViews>
    <sheetView workbookViewId="0"/>
  </sheetViews>
  <sheetFormatPr defaultRowHeight="15.75"/>
  <cols>
    <col min="1" max="1" width="50" customWidth="1"/>
    <col min="2" max="2" width="15.75" customWidth="1"/>
    <col min="3" max="3" width="11" customWidth="1"/>
    <col min="4" max="4" width="15.75" customWidth="1"/>
    <col min="5" max="5" width="8.875" customWidth="1"/>
    <col min="6" max="6" width="16" customWidth="1"/>
    <col min="7" max="7" width="11"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542</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556</v>
      </c>
      <c r="C8" s="34"/>
      <c r="D8" s="34"/>
      <c r="E8" s="2"/>
      <c r="F8" s="114" t="s">
        <v>206</v>
      </c>
      <c r="G8" s="114"/>
      <c r="H8" s="114"/>
      <c r="I8" s="114"/>
      <c r="J8" s="114"/>
      <c r="K8" s="114"/>
      <c r="L8" s="114"/>
    </row>
    <row r="9" spans="1:14" ht="16.5" thickBot="1">
      <c r="B9" s="247" t="s">
        <v>185</v>
      </c>
      <c r="C9" s="226" t="s">
        <v>169</v>
      </c>
      <c r="D9" s="247" t="s">
        <v>174</v>
      </c>
      <c r="E9" s="2"/>
      <c r="F9" s="226">
        <v>1999</v>
      </c>
      <c r="G9" s="226" t="s">
        <v>169</v>
      </c>
      <c r="H9" s="226">
        <v>1998</v>
      </c>
      <c r="I9" s="226" t="s">
        <v>169</v>
      </c>
      <c r="J9" s="226">
        <v>1997</v>
      </c>
      <c r="K9" s="226" t="s">
        <v>169</v>
      </c>
      <c r="L9" s="226">
        <v>1996</v>
      </c>
    </row>
    <row r="10" spans="1:14">
      <c r="A10" t="s">
        <v>328</v>
      </c>
    </row>
    <row r="11" spans="1:14">
      <c r="A11" t="s">
        <v>329</v>
      </c>
      <c r="B11" s="16" t="s">
        <v>0</v>
      </c>
      <c r="C11" s="47" t="s">
        <v>0</v>
      </c>
      <c r="D11" s="16" t="s">
        <v>0</v>
      </c>
      <c r="E11" s="44" t="s">
        <v>0</v>
      </c>
      <c r="F11" s="16" t="s">
        <v>0</v>
      </c>
      <c r="G11" s="44" t="s">
        <v>0</v>
      </c>
      <c r="H11" s="43"/>
      <c r="I11" s="44" t="s">
        <v>0</v>
      </c>
      <c r="J11" s="43"/>
      <c r="K11" s="44" t="s">
        <v>0</v>
      </c>
      <c r="L11" s="43"/>
      <c r="M11" s="43"/>
      <c r="N11" s="43"/>
    </row>
    <row r="12" spans="1:14">
      <c r="A12" t="s">
        <v>330</v>
      </c>
      <c r="B12" s="12">
        <f>+BHdRÉSULT!R50</f>
        <v>113.3</v>
      </c>
      <c r="C12" s="43">
        <v>0</v>
      </c>
      <c r="D12" s="12">
        <f>+BHdRÉSULT!T50</f>
        <v>0</v>
      </c>
      <c r="E12" s="44"/>
      <c r="F12" s="12">
        <f>+BHdRÉSULT!U50</f>
        <v>0</v>
      </c>
      <c r="G12" s="43">
        <v>0</v>
      </c>
      <c r="H12" s="12">
        <v>0</v>
      </c>
      <c r="I12" s="43">
        <v>0</v>
      </c>
      <c r="J12" s="12">
        <v>0</v>
      </c>
      <c r="K12" s="43">
        <v>0</v>
      </c>
      <c r="L12" s="43">
        <v>0</v>
      </c>
      <c r="M12" s="43"/>
      <c r="N12" s="43"/>
    </row>
    <row r="13" spans="1:14">
      <c r="A13" t="s">
        <v>354</v>
      </c>
      <c r="B13" s="12">
        <f>+BHdRÉSULT!R51</f>
        <v>0</v>
      </c>
      <c r="C13" s="43">
        <v>0</v>
      </c>
      <c r="D13" s="12">
        <f>+BHdRÉSULT!T51</f>
        <v>0</v>
      </c>
      <c r="E13" s="44"/>
      <c r="F13" s="12">
        <f>+BHdRÉSULT!U51</f>
        <v>0</v>
      </c>
      <c r="G13" s="43">
        <v>0</v>
      </c>
      <c r="H13" s="12">
        <v>0</v>
      </c>
      <c r="I13" s="43">
        <v>0</v>
      </c>
      <c r="J13" s="16">
        <v>0</v>
      </c>
      <c r="K13" s="43"/>
      <c r="L13" s="43">
        <v>0</v>
      </c>
      <c r="M13" s="43"/>
      <c r="N13" s="43"/>
    </row>
    <row r="14" spans="1:14">
      <c r="A14" t="s">
        <v>332</v>
      </c>
      <c r="B14" s="240">
        <f>+BHdRÉSULT!R52</f>
        <v>0</v>
      </c>
      <c r="C14" s="43">
        <v>0</v>
      </c>
      <c r="D14" s="240">
        <f>+BHdRÉSULT!T52</f>
        <v>0</v>
      </c>
      <c r="E14" s="44"/>
      <c r="F14" s="240">
        <f>+BHdRÉSULT!U52</f>
        <v>0</v>
      </c>
      <c r="G14" s="43">
        <v>0</v>
      </c>
      <c r="H14" s="240">
        <v>0</v>
      </c>
      <c r="I14" s="389">
        <v>0</v>
      </c>
      <c r="J14" s="389">
        <v>0</v>
      </c>
      <c r="K14" s="43">
        <v>0</v>
      </c>
      <c r="L14" s="389">
        <v>0</v>
      </c>
      <c r="M14" s="43"/>
      <c r="N14" s="43"/>
    </row>
    <row r="15" spans="1:14">
      <c r="B15" s="12">
        <f>SUM(B12:B14)</f>
        <v>113.3</v>
      </c>
      <c r="C15" s="43">
        <v>0</v>
      </c>
      <c r="D15" s="12">
        <f>SUM(D12:D14)</f>
        <v>0</v>
      </c>
      <c r="E15" s="44"/>
      <c r="F15" s="12">
        <f>SUM(F12:F14)</f>
        <v>0</v>
      </c>
      <c r="G15" s="43">
        <v>0</v>
      </c>
      <c r="H15" s="12">
        <f>SUM(H12:H14)</f>
        <v>0</v>
      </c>
      <c r="I15" s="43">
        <v>0</v>
      </c>
      <c r="J15" s="12">
        <f>SUM(J12:J14)</f>
        <v>0</v>
      </c>
      <c r="K15" s="43">
        <v>0</v>
      </c>
      <c r="L15" s="43">
        <v>0</v>
      </c>
      <c r="M15" s="43"/>
      <c r="N15" s="43"/>
    </row>
    <row r="16" spans="1:14">
      <c r="A16" t="s">
        <v>333</v>
      </c>
      <c r="B16" s="240">
        <f>+BHdRÉSULT!R54</f>
        <v>47.6</v>
      </c>
      <c r="C16" s="43">
        <v>0</v>
      </c>
      <c r="D16" s="240">
        <f>+BHdRÉSULT!T54</f>
        <v>0</v>
      </c>
      <c r="E16" s="44" t="s">
        <v>0</v>
      </c>
      <c r="F16" s="240">
        <f>+BHdRÉSULT!U54</f>
        <v>0</v>
      </c>
      <c r="G16" s="43">
        <v>0</v>
      </c>
      <c r="H16" s="240">
        <v>0</v>
      </c>
      <c r="I16" s="43">
        <v>0</v>
      </c>
      <c r="J16" s="240">
        <v>0</v>
      </c>
      <c r="K16" s="43">
        <v>0</v>
      </c>
      <c r="L16" s="389">
        <v>0</v>
      </c>
      <c r="M16" s="43"/>
      <c r="N16" s="43"/>
    </row>
    <row r="17" spans="1:14" s="209" customFormat="1">
      <c r="B17" s="16">
        <f>+B15-B16</f>
        <v>65.699999999999989</v>
      </c>
      <c r="C17" s="43">
        <v>0</v>
      </c>
      <c r="D17" s="16">
        <f>+D15-D16</f>
        <v>0</v>
      </c>
      <c r="E17" s="44" t="s">
        <v>0</v>
      </c>
      <c r="F17" s="16">
        <f>+F15-F16</f>
        <v>0</v>
      </c>
      <c r="G17" s="43">
        <v>0</v>
      </c>
      <c r="H17" s="16">
        <f>+H15-H16</f>
        <v>0</v>
      </c>
      <c r="I17" s="43">
        <v>0</v>
      </c>
      <c r="J17" s="16">
        <f>+J15-J16</f>
        <v>0</v>
      </c>
      <c r="K17" s="44">
        <v>0</v>
      </c>
      <c r="L17" s="44">
        <f>+L11-L16</f>
        <v>0</v>
      </c>
      <c r="M17" s="44"/>
      <c r="N17" s="44"/>
    </row>
    <row r="18" spans="1:14">
      <c r="B18" s="12"/>
      <c r="C18" s="43"/>
      <c r="D18" s="12"/>
      <c r="E18" s="44"/>
      <c r="F18" s="12"/>
      <c r="G18" s="43"/>
      <c r="H18" s="43"/>
      <c r="I18" s="43"/>
      <c r="J18" s="43"/>
      <c r="K18" s="43"/>
      <c r="L18" s="43"/>
      <c r="M18" s="43"/>
      <c r="N18" s="43"/>
    </row>
    <row r="19" spans="1:14">
      <c r="A19" t="s">
        <v>334</v>
      </c>
      <c r="B19" s="12"/>
      <c r="C19" s="43"/>
      <c r="D19" s="12"/>
      <c r="E19" s="44" t="s">
        <v>0</v>
      </c>
      <c r="F19" s="12"/>
      <c r="G19" s="43"/>
      <c r="H19" s="43"/>
      <c r="I19" s="43"/>
      <c r="J19" s="43"/>
      <c r="K19" s="43"/>
      <c r="L19" s="43"/>
      <c r="M19" s="43"/>
      <c r="N19" s="43"/>
    </row>
    <row r="20" spans="1:14">
      <c r="A20" t="s">
        <v>335</v>
      </c>
      <c r="B20" s="12">
        <f>+BHdRÉSULT!R58</f>
        <v>0</v>
      </c>
      <c r="C20" s="43">
        <v>0</v>
      </c>
      <c r="D20" s="12">
        <f>+BHdRÉSULT!T58</f>
        <v>0</v>
      </c>
      <c r="E20" s="44" t="s">
        <v>0</v>
      </c>
      <c r="F20" s="12">
        <f>+BHdRÉSULT!U58</f>
        <v>0</v>
      </c>
      <c r="G20" s="43">
        <v>0</v>
      </c>
      <c r="H20" s="12">
        <v>0</v>
      </c>
      <c r="I20" s="43">
        <v>0</v>
      </c>
      <c r="J20" s="12">
        <v>0</v>
      </c>
      <c r="K20" s="43">
        <v>0</v>
      </c>
      <c r="L20" s="43">
        <v>0</v>
      </c>
      <c r="M20" s="43"/>
      <c r="N20" s="43"/>
    </row>
    <row r="21" spans="1:14">
      <c r="A21" t="s">
        <v>336</v>
      </c>
      <c r="B21" s="12">
        <f>+BHdRÉSULT!R59</f>
        <v>0</v>
      </c>
      <c r="C21" s="43">
        <v>0</v>
      </c>
      <c r="D21" s="12">
        <f>+BHdRÉSULT!T59</f>
        <v>0</v>
      </c>
      <c r="E21" s="44" t="s">
        <v>0</v>
      </c>
      <c r="F21" s="12">
        <f>+BHdRÉSULT!U59</f>
        <v>0</v>
      </c>
      <c r="G21" s="43">
        <v>0</v>
      </c>
      <c r="H21" s="12">
        <v>0</v>
      </c>
      <c r="I21" s="43">
        <v>0</v>
      </c>
      <c r="J21" s="12">
        <v>0</v>
      </c>
      <c r="K21" s="43">
        <v>0</v>
      </c>
      <c r="L21" s="43">
        <v>0</v>
      </c>
      <c r="M21" s="43"/>
      <c r="N21" s="43"/>
    </row>
    <row r="22" spans="1:14">
      <c r="A22" t="s">
        <v>284</v>
      </c>
      <c r="B22" s="240">
        <f>+BHdRÉSULT!R60</f>
        <v>0.2</v>
      </c>
      <c r="C22" s="43">
        <v>0</v>
      </c>
      <c r="D22" s="240">
        <f>+BHdRÉSULT!T60</f>
        <v>0</v>
      </c>
      <c r="E22" s="44" t="s">
        <v>0</v>
      </c>
      <c r="F22" s="240">
        <f>+BHdRÉSULT!U60</f>
        <v>0</v>
      </c>
      <c r="G22" s="43">
        <v>0</v>
      </c>
      <c r="H22" s="240">
        <v>0</v>
      </c>
      <c r="I22" s="43">
        <v>0</v>
      </c>
      <c r="J22" s="240">
        <v>0</v>
      </c>
      <c r="K22" s="43">
        <v>0</v>
      </c>
      <c r="L22" s="389">
        <v>0</v>
      </c>
      <c r="M22" s="43"/>
      <c r="N22" s="43"/>
    </row>
    <row r="23" spans="1:14" s="209" customFormat="1">
      <c r="B23" s="16">
        <f>SUM(B20:B22)</f>
        <v>0.2</v>
      </c>
      <c r="C23" s="43">
        <v>0</v>
      </c>
      <c r="D23" s="16">
        <f>SUM(D20:D22)</f>
        <v>0</v>
      </c>
      <c r="E23" s="44" t="s">
        <v>0</v>
      </c>
      <c r="F23" s="16">
        <f>SUM(F20:F22)</f>
        <v>0</v>
      </c>
      <c r="G23" s="43">
        <v>0</v>
      </c>
      <c r="H23" s="16">
        <f>SUM(H20:H22)</f>
        <v>0</v>
      </c>
      <c r="I23" s="43">
        <v>0</v>
      </c>
      <c r="J23" s="16">
        <f>SUM(J20:J22)</f>
        <v>0</v>
      </c>
      <c r="K23" s="44">
        <v>0</v>
      </c>
      <c r="L23" s="44">
        <v>0</v>
      </c>
      <c r="M23" s="44"/>
      <c r="N23" s="44"/>
    </row>
    <row r="24" spans="1:14">
      <c r="B24" s="240"/>
      <c r="C24" s="43"/>
      <c r="D24" s="240"/>
      <c r="E24" s="44"/>
      <c r="F24" s="240"/>
      <c r="G24" s="43"/>
      <c r="H24" s="389"/>
      <c r="I24" s="43"/>
      <c r="J24" s="389"/>
      <c r="K24" s="43"/>
      <c r="L24" s="389"/>
      <c r="M24" s="43"/>
      <c r="N24" s="43"/>
    </row>
    <row r="25" spans="1:14" s="209" customFormat="1">
      <c r="A25" s="209" t="s">
        <v>337</v>
      </c>
      <c r="B25" s="16">
        <f>+B17+B23</f>
        <v>65.899999999999991</v>
      </c>
      <c r="C25" s="43">
        <v>0</v>
      </c>
      <c r="D25" s="16">
        <f>+D17+D23</f>
        <v>0</v>
      </c>
      <c r="E25" s="44" t="s">
        <v>0</v>
      </c>
      <c r="F25" s="16">
        <f>+F17+F23</f>
        <v>0</v>
      </c>
      <c r="G25" s="43">
        <v>0</v>
      </c>
      <c r="H25" s="16">
        <f>+H17+H23</f>
        <v>0</v>
      </c>
      <c r="I25" s="43">
        <v>0</v>
      </c>
      <c r="J25" s="16">
        <f>+J17+J23</f>
        <v>0</v>
      </c>
      <c r="K25" s="44">
        <v>0</v>
      </c>
      <c r="L25" s="44">
        <f>+L17+L23</f>
        <v>0</v>
      </c>
      <c r="M25" s="44"/>
      <c r="N25" s="44"/>
    </row>
    <row r="26" spans="1:14">
      <c r="B26" s="12"/>
      <c r="C26" s="43"/>
      <c r="D26" s="12"/>
      <c r="E26" s="44" t="s">
        <v>0</v>
      </c>
      <c r="F26" s="12"/>
      <c r="G26" s="43"/>
      <c r="H26" s="43"/>
      <c r="I26" s="43"/>
      <c r="J26" s="43"/>
      <c r="K26" s="43"/>
      <c r="L26" s="43"/>
      <c r="M26" s="43"/>
      <c r="N26" s="43"/>
    </row>
    <row r="27" spans="1:14">
      <c r="A27" t="s">
        <v>338</v>
      </c>
      <c r="B27" s="12">
        <f>+BHdRÉSULT!R65</f>
        <v>143.80000000000001</v>
      </c>
      <c r="C27" s="43">
        <v>0</v>
      </c>
      <c r="D27" s="12">
        <f>+BMHRÉSULT!T65</f>
        <v>0</v>
      </c>
      <c r="E27" s="44" t="s">
        <v>0</v>
      </c>
      <c r="F27" s="12">
        <f>+BHdRÉSULT!U65</f>
        <v>0</v>
      </c>
      <c r="G27" s="43">
        <v>0</v>
      </c>
      <c r="H27" s="43">
        <v>0</v>
      </c>
      <c r="I27" s="43">
        <v>0</v>
      </c>
      <c r="J27" s="43">
        <v>0</v>
      </c>
      <c r="K27" s="43">
        <v>0</v>
      </c>
      <c r="L27" s="43">
        <v>0</v>
      </c>
      <c r="M27" s="43"/>
      <c r="N27" s="43"/>
    </row>
    <row r="28" spans="1:14">
      <c r="B28" s="12"/>
      <c r="C28" s="43"/>
      <c r="D28" s="12"/>
      <c r="E28" s="44" t="s">
        <v>0</v>
      </c>
      <c r="F28" s="12"/>
      <c r="G28" s="43"/>
      <c r="H28" s="43"/>
      <c r="I28" s="43"/>
      <c r="J28" s="43"/>
      <c r="K28" s="43"/>
      <c r="L28" s="43"/>
      <c r="M28" s="43"/>
      <c r="N28" s="43"/>
    </row>
    <row r="29" spans="1:14">
      <c r="A29" t="s">
        <v>339</v>
      </c>
      <c r="B29" s="240"/>
      <c r="C29" s="43"/>
      <c r="D29" s="240"/>
      <c r="E29" s="44" t="s">
        <v>0</v>
      </c>
      <c r="F29" s="240"/>
      <c r="G29" s="43"/>
      <c r="H29" s="389"/>
      <c r="I29" s="43"/>
      <c r="J29" s="389"/>
      <c r="K29" s="43"/>
      <c r="L29" s="389"/>
      <c r="M29" s="43"/>
      <c r="N29" s="43"/>
    </row>
    <row r="30" spans="1:14" s="209" customFormat="1">
      <c r="A30" s="209" t="s">
        <v>340</v>
      </c>
      <c r="B30" s="16">
        <f>+B25-B27</f>
        <v>-77.90000000000002</v>
      </c>
      <c r="C30" s="43">
        <v>0</v>
      </c>
      <c r="D30" s="16">
        <f>+D25-D27</f>
        <v>0</v>
      </c>
      <c r="E30" s="44" t="s">
        <v>0</v>
      </c>
      <c r="F30" s="16">
        <f>+F25-F27</f>
        <v>0</v>
      </c>
      <c r="G30" s="43">
        <v>0</v>
      </c>
      <c r="H30" s="16">
        <f>+H25-H27</f>
        <v>0</v>
      </c>
      <c r="I30" s="43">
        <v>0</v>
      </c>
      <c r="J30" s="16">
        <f>+J25-J27</f>
        <v>0</v>
      </c>
      <c r="K30" s="44">
        <v>0</v>
      </c>
      <c r="L30" s="44">
        <f>+L25-L27</f>
        <v>0</v>
      </c>
      <c r="M30" s="44"/>
      <c r="N30" s="44"/>
    </row>
    <row r="31" spans="1:14">
      <c r="B31" s="12"/>
      <c r="C31" s="43"/>
      <c r="D31" s="12"/>
      <c r="E31" s="44" t="s">
        <v>0</v>
      </c>
      <c r="F31" s="12"/>
      <c r="G31" s="43"/>
      <c r="H31" s="43"/>
      <c r="I31" s="43"/>
      <c r="J31" s="43"/>
      <c r="K31" s="43"/>
      <c r="L31" s="43"/>
      <c r="M31" s="43"/>
      <c r="N31" s="43"/>
    </row>
    <row r="32" spans="1:14">
      <c r="A32" t="s">
        <v>341</v>
      </c>
      <c r="B32" s="12"/>
      <c r="C32" s="43"/>
      <c r="D32" s="12"/>
      <c r="E32" s="44" t="s">
        <v>0</v>
      </c>
      <c r="F32" s="12"/>
      <c r="G32" s="43"/>
      <c r="H32" s="43"/>
      <c r="I32" s="43"/>
      <c r="J32" s="43"/>
      <c r="K32" s="43"/>
      <c r="L32" s="43"/>
      <c r="M32" s="43"/>
      <c r="N32" s="43"/>
    </row>
    <row r="33" spans="1:14">
      <c r="A33" t="s">
        <v>342</v>
      </c>
      <c r="B33" s="12">
        <f>+BHdRÉSULT!R71</f>
        <v>506.9</v>
      </c>
      <c r="C33" s="43">
        <v>0</v>
      </c>
      <c r="D33" s="12">
        <f>+BHdRÉSULT!T71</f>
        <v>0</v>
      </c>
      <c r="E33" s="44" t="s">
        <v>0</v>
      </c>
      <c r="F33" s="12">
        <f>+BHdRÉSULT!U71</f>
        <v>0</v>
      </c>
      <c r="G33" s="43">
        <v>0</v>
      </c>
      <c r="H33" s="12">
        <v>0</v>
      </c>
      <c r="I33" s="43">
        <v>0</v>
      </c>
      <c r="J33" s="12">
        <v>0</v>
      </c>
      <c r="K33" s="43">
        <v>0</v>
      </c>
      <c r="L33" s="43">
        <v>0</v>
      </c>
      <c r="M33" s="43"/>
      <c r="N33" s="43"/>
    </row>
    <row r="34" spans="1:14">
      <c r="A34" t="s">
        <v>343</v>
      </c>
      <c r="B34" s="12">
        <f>+BHdRÉSULT!R72</f>
        <v>78.2</v>
      </c>
      <c r="C34" s="43">
        <v>0</v>
      </c>
      <c r="D34" s="12">
        <f>+BHdRÉSULT!T72</f>
        <v>0</v>
      </c>
      <c r="E34" s="44" t="s">
        <v>0</v>
      </c>
      <c r="F34" s="12">
        <f>+BHdRÉSULT!U72</f>
        <v>0</v>
      </c>
      <c r="G34" s="43">
        <v>0</v>
      </c>
      <c r="H34" s="12">
        <v>0</v>
      </c>
      <c r="I34" s="43">
        <v>0</v>
      </c>
      <c r="J34" s="12">
        <v>0</v>
      </c>
      <c r="K34" s="43">
        <v>0</v>
      </c>
      <c r="L34" s="43">
        <v>0</v>
      </c>
      <c r="M34" s="43"/>
      <c r="N34" s="43"/>
    </row>
    <row r="35" spans="1:14">
      <c r="A35" t="s">
        <v>344</v>
      </c>
      <c r="B35" s="12">
        <f>+BHdRÉSULT!R73</f>
        <v>122.1</v>
      </c>
      <c r="C35" s="43">
        <v>0</v>
      </c>
      <c r="D35" s="12">
        <f>+BHdRÉSULT!T73</f>
        <v>0</v>
      </c>
      <c r="E35" s="44" t="s">
        <v>0</v>
      </c>
      <c r="F35" s="12">
        <f>+BHdRÉSULT!U73</f>
        <v>0</v>
      </c>
      <c r="G35" s="43">
        <v>0</v>
      </c>
      <c r="H35" s="12">
        <v>0</v>
      </c>
      <c r="I35" s="43">
        <v>0</v>
      </c>
      <c r="J35" s="12">
        <v>0</v>
      </c>
      <c r="K35" s="43">
        <v>0</v>
      </c>
      <c r="L35" s="43">
        <v>0</v>
      </c>
      <c r="M35" s="43"/>
      <c r="N35" s="43"/>
    </row>
    <row r="36" spans="1:14">
      <c r="A36" s="964" t="s">
        <v>557</v>
      </c>
      <c r="B36" s="240">
        <f>+BHdRÉSULT!R74</f>
        <v>411.8</v>
      </c>
      <c r="C36" s="208">
        <v>0</v>
      </c>
      <c r="D36" s="240">
        <f>+BHdRÉSULT!T74</f>
        <v>0</v>
      </c>
      <c r="E36" s="44" t="s">
        <v>0</v>
      </c>
      <c r="F36" s="240">
        <f>+BHdRÉSULT!U74</f>
        <v>0</v>
      </c>
      <c r="G36" s="43">
        <v>0</v>
      </c>
      <c r="H36" s="240">
        <v>0</v>
      </c>
      <c r="I36" s="43">
        <v>0</v>
      </c>
      <c r="J36" s="240">
        <v>0</v>
      </c>
      <c r="K36" s="43">
        <v>0</v>
      </c>
      <c r="L36" s="389">
        <v>0</v>
      </c>
      <c r="M36" s="43"/>
      <c r="N36" s="43"/>
    </row>
    <row r="37" spans="1:14" s="209" customFormat="1">
      <c r="B37" s="141">
        <f>SUM(B33:B36)</f>
        <v>1119</v>
      </c>
      <c r="C37" s="43">
        <v>0</v>
      </c>
      <c r="D37" s="141">
        <f>SUM(D33:D36)</f>
        <v>0</v>
      </c>
      <c r="E37" s="44" t="s">
        <v>0</v>
      </c>
      <c r="F37" s="16">
        <f>SUM(F33:F36)</f>
        <v>0</v>
      </c>
      <c r="G37" s="43">
        <v>0</v>
      </c>
      <c r="H37" s="16">
        <f>SUM(H33:H36)</f>
        <v>0</v>
      </c>
      <c r="I37" s="43">
        <v>0</v>
      </c>
      <c r="J37" s="16">
        <f>SUM(J33:J36)</f>
        <v>0</v>
      </c>
      <c r="K37" s="44">
        <v>0</v>
      </c>
      <c r="L37" s="44">
        <v>0</v>
      </c>
      <c r="M37" s="44"/>
      <c r="N37" s="44"/>
    </row>
    <row r="38" spans="1:14">
      <c r="B38" s="249"/>
      <c r="C38" s="42"/>
      <c r="D38" s="249"/>
      <c r="E38" s="42"/>
      <c r="F38" s="249"/>
      <c r="G38" s="42"/>
      <c r="H38" s="392"/>
      <c r="I38" s="42"/>
      <c r="J38" s="392"/>
      <c r="K38" s="42"/>
      <c r="L38" s="392"/>
      <c r="M38" s="43"/>
      <c r="N38" s="43"/>
    </row>
    <row r="39" spans="1:14" s="209" customFormat="1">
      <c r="A39" s="209" t="s">
        <v>346</v>
      </c>
      <c r="B39" s="16">
        <f>+B30-B37</f>
        <v>-1196.9000000000001</v>
      </c>
      <c r="C39" s="43">
        <v>0</v>
      </c>
      <c r="D39" s="16">
        <f>+D30-D37</f>
        <v>0</v>
      </c>
      <c r="E39" s="44" t="s">
        <v>0</v>
      </c>
      <c r="F39" s="16">
        <f>+F30-F37</f>
        <v>0</v>
      </c>
      <c r="G39" s="43">
        <v>0</v>
      </c>
      <c r="H39" s="16">
        <f>+H30-H37</f>
        <v>0</v>
      </c>
      <c r="I39" s="43">
        <v>0</v>
      </c>
      <c r="J39" s="16">
        <f>+J30-J37</f>
        <v>0</v>
      </c>
      <c r="K39" s="44">
        <v>0</v>
      </c>
      <c r="L39" s="44">
        <f>+L30-L37</f>
        <v>0</v>
      </c>
      <c r="M39" s="44"/>
      <c r="N39" s="44"/>
    </row>
    <row r="40" spans="1:14">
      <c r="B40" s="12"/>
      <c r="C40" s="43"/>
      <c r="D40" s="12"/>
      <c r="E40" s="44" t="s">
        <v>0</v>
      </c>
      <c r="F40" s="12"/>
      <c r="G40" s="43"/>
      <c r="H40" s="43"/>
      <c r="I40" s="43"/>
      <c r="J40" s="43"/>
      <c r="K40" s="43"/>
      <c r="L40" s="43"/>
      <c r="M40" s="43"/>
      <c r="N40" s="43"/>
    </row>
    <row r="41" spans="1:14">
      <c r="A41" t="s">
        <v>347</v>
      </c>
      <c r="B41" s="12">
        <f>+BHdRÉSULT!R79</f>
        <v>0</v>
      </c>
      <c r="C41" s="43">
        <v>0</v>
      </c>
      <c r="D41" s="12">
        <f>+BHdRÉSULT!T79</f>
        <v>0</v>
      </c>
      <c r="E41" s="44" t="s">
        <v>0</v>
      </c>
      <c r="F41" s="12">
        <f>+BHdRÉSULT!U79</f>
        <v>0</v>
      </c>
      <c r="G41" s="294">
        <v>0</v>
      </c>
      <c r="H41" s="12">
        <v>0</v>
      </c>
      <c r="I41" s="89">
        <v>0</v>
      </c>
      <c r="J41" s="12">
        <v>0</v>
      </c>
      <c r="K41" s="43">
        <v>0</v>
      </c>
      <c r="L41" s="43">
        <v>0</v>
      </c>
      <c r="M41" s="43"/>
      <c r="N41" s="43"/>
    </row>
    <row r="42" spans="1:14" ht="16.5" thickBot="1">
      <c r="A42" t="s">
        <v>0</v>
      </c>
      <c r="B42" s="77" t="s">
        <v>0</v>
      </c>
      <c r="C42" s="43"/>
      <c r="D42" s="232" t="s">
        <v>0</v>
      </c>
      <c r="E42" s="44" t="s">
        <v>0</v>
      </c>
      <c r="F42" s="76"/>
      <c r="G42" s="43"/>
      <c r="H42" s="187"/>
      <c r="I42" s="43"/>
      <c r="J42" s="187"/>
      <c r="K42" s="43"/>
      <c r="L42" s="187"/>
      <c r="M42" s="43"/>
      <c r="N42" s="43"/>
    </row>
    <row r="43" spans="1:14" s="2" customFormat="1">
      <c r="A43" s="2" t="s">
        <v>427</v>
      </c>
      <c r="B43" s="4">
        <f>+B39-B41</f>
        <v>-1196.9000000000001</v>
      </c>
      <c r="C43" s="42">
        <v>0</v>
      </c>
      <c r="D43" s="4">
        <f>+D39-D41</f>
        <v>0</v>
      </c>
      <c r="E43" s="42" t="s">
        <v>0</v>
      </c>
      <c r="F43" s="4">
        <f>+F39-F41</f>
        <v>0</v>
      </c>
      <c r="G43" s="42">
        <v>0</v>
      </c>
      <c r="H43" s="4">
        <f>+H39-H41</f>
        <v>0</v>
      </c>
      <c r="I43" s="42">
        <v>0</v>
      </c>
      <c r="J43" s="4">
        <f>+J39-J41</f>
        <v>0</v>
      </c>
      <c r="K43" s="42">
        <v>0</v>
      </c>
      <c r="L43" s="42">
        <f>+L39-L41</f>
        <v>0</v>
      </c>
      <c r="M43" s="42"/>
      <c r="N43" s="42"/>
    </row>
    <row r="44" spans="1:14">
      <c r="E44" t="s">
        <v>0</v>
      </c>
    </row>
    <row r="45" spans="1:14">
      <c r="E45" t="s">
        <v>0</v>
      </c>
    </row>
    <row r="47" spans="1:14">
      <c r="A47" s="1209" t="s">
        <v>558</v>
      </c>
    </row>
    <row r="52" spans="2:7">
      <c r="B52" s="43">
        <v>0</v>
      </c>
    </row>
    <row r="53" spans="2:7">
      <c r="D53" s="43">
        <v>0</v>
      </c>
    </row>
    <row r="56" spans="2:7">
      <c r="B56" s="43">
        <v>0</v>
      </c>
    </row>
    <row r="58" spans="2:7">
      <c r="G58" s="43">
        <v>0</v>
      </c>
    </row>
  </sheetData>
  <pageMargins left="0.49" right="0.49" top="0.75" bottom="0.94" header="0.52" footer="0.62"/>
  <pageSetup scale="54" orientation="landscape" r:id="rId1"/>
  <headerFooter alignWithMargins="0">
    <oddFooter>&amp;R&amp;P</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8"/>
  <sheetViews>
    <sheetView workbookViewId="0">
      <selection activeCell="C23" sqref="C23"/>
    </sheetView>
  </sheetViews>
  <sheetFormatPr defaultRowHeight="15.75"/>
  <cols>
    <col min="1" max="1" width="33.5" customWidth="1"/>
    <col min="2" max="2" width="14.875" customWidth="1"/>
    <col min="3" max="3" width="12.75" customWidth="1"/>
    <col min="4" max="4" width="13.875" customWidth="1"/>
    <col min="5" max="6" width="14.625" customWidth="1"/>
    <col min="7" max="7" width="11" customWidth="1"/>
    <col min="8" max="8" width="14.5" customWidth="1"/>
    <col min="9" max="9" width="12.75" customWidth="1"/>
    <col min="10" max="10" width="13.75" customWidth="1"/>
    <col min="11" max="11" width="13.25" customWidth="1"/>
    <col min="12" max="12" width="14.5" customWidth="1"/>
    <col min="13" max="13" width="11" customWidth="1"/>
    <col min="14" max="14" width="14.75" customWidth="1"/>
    <col min="15" max="15" width="13.375" customWidth="1"/>
    <col min="16" max="16" width="15.125" customWidth="1"/>
    <col min="17" max="17" width="11" customWidth="1"/>
    <col min="18" max="18" width="15.875" customWidth="1"/>
    <col min="19" max="19" width="11" customWidth="1"/>
    <col min="20" max="20" width="15.875" customWidth="1"/>
    <col min="21" max="256" width="11" customWidth="1"/>
  </cols>
  <sheetData>
    <row r="1" spans="1:27">
      <c r="A1" s="114" t="s">
        <v>559</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560</v>
      </c>
      <c r="J4" s="175" t="s">
        <v>167</v>
      </c>
      <c r="K4" s="176"/>
      <c r="L4" s="176"/>
      <c r="M4" s="176"/>
      <c r="N4" s="176"/>
      <c r="O4" s="176"/>
      <c r="P4" s="176"/>
    </row>
    <row r="5" spans="1:27" ht="16.5" thickBot="1">
      <c r="B5" s="174" t="s">
        <v>168</v>
      </c>
      <c r="C5" s="174" t="s">
        <v>169</v>
      </c>
      <c r="D5" s="173" t="s">
        <v>170</v>
      </c>
      <c r="E5" s="174" t="s">
        <v>169</v>
      </c>
      <c r="F5" s="173" t="s">
        <v>171</v>
      </c>
      <c r="G5" s="174" t="s">
        <v>169</v>
      </c>
      <c r="H5" s="174" t="s">
        <v>172</v>
      </c>
      <c r="I5" s="173" t="s">
        <v>173</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+bidcvar!B22</f>
        <v>0</v>
      </c>
      <c r="C11" s="57">
        <v>0</v>
      </c>
      <c r="D11" s="12">
        <f>+bidcvar!D22</f>
        <v>0</v>
      </c>
      <c r="E11" s="57">
        <v>0</v>
      </c>
      <c r="F11" s="43">
        <f>+bidcvar!F22</f>
        <v>0</v>
      </c>
      <c r="G11" s="57">
        <v>0</v>
      </c>
      <c r="H11" s="43">
        <f>+bidcvar!H22</f>
        <v>0</v>
      </c>
      <c r="I11" s="43">
        <v>0</v>
      </c>
      <c r="J11" s="12">
        <f>+bidcvar!J22</f>
        <v>0</v>
      </c>
      <c r="K11" s="43">
        <v>0</v>
      </c>
      <c r="L11" s="12">
        <f>+bidcvar!L22</f>
        <v>1313005.7000000002</v>
      </c>
      <c r="M11" s="46">
        <f>+(-N11+L11)/ABS(N11)</f>
        <v>-6.4613084545715349E-2</v>
      </c>
      <c r="N11" s="12">
        <f>+bidcvar!N22</f>
        <v>1403703.2999999998</v>
      </c>
      <c r="O11" s="46">
        <f>+(-P11+N11)/ABS(P11)</f>
        <v>0.47676008642126566</v>
      </c>
      <c r="P11" s="12">
        <f>+bidcvar!P22</f>
        <v>950529.00799999991</v>
      </c>
      <c r="Q11" s="43"/>
      <c r="R11" s="43"/>
      <c r="S11" s="43"/>
      <c r="T11" s="43"/>
      <c r="U11" s="43"/>
      <c r="V11" s="43"/>
      <c r="W11" s="43"/>
      <c r="X11" s="43"/>
      <c r="Y11" s="43"/>
      <c r="Z11" s="43"/>
      <c r="AA11" s="43"/>
    </row>
    <row r="12" spans="1:27">
      <c r="A12" t="s">
        <v>181</v>
      </c>
      <c r="B12" s="12">
        <f>+bidcvar!B17</f>
        <v>0</v>
      </c>
      <c r="C12" s="57">
        <v>0</v>
      </c>
      <c r="D12" s="12">
        <f>+bidcvar!D17</f>
        <v>0</v>
      </c>
      <c r="E12" s="43">
        <v>0</v>
      </c>
      <c r="F12" s="12">
        <f>+bidcvar!F17</f>
        <v>0</v>
      </c>
      <c r="G12" s="57">
        <v>0</v>
      </c>
      <c r="H12" s="12">
        <f>+bidcvar!H17</f>
        <v>0</v>
      </c>
      <c r="I12" s="43">
        <v>0</v>
      </c>
      <c r="J12" s="12">
        <f>+bidcvar!J17</f>
        <v>0</v>
      </c>
      <c r="K12" s="43">
        <v>0</v>
      </c>
      <c r="L12" s="12">
        <v>0</v>
      </c>
      <c r="M12" s="43">
        <v>0</v>
      </c>
      <c r="N12" s="12">
        <v>0</v>
      </c>
      <c r="O12" s="43">
        <v>0</v>
      </c>
      <c r="P12" s="12">
        <v>0</v>
      </c>
      <c r="Q12" s="43"/>
      <c r="R12" s="43"/>
      <c r="S12" s="43"/>
      <c r="T12" s="43"/>
      <c r="U12" s="43"/>
      <c r="V12" s="43"/>
      <c r="W12" s="43"/>
      <c r="X12" s="43"/>
      <c r="Y12" s="43"/>
      <c r="Z12" s="43"/>
      <c r="AA12" s="43"/>
    </row>
    <row r="13" spans="1:27">
      <c r="A13" t="s">
        <v>182</v>
      </c>
      <c r="B13" s="12">
        <f>+bidcvar!B19</f>
        <v>0</v>
      </c>
      <c r="C13" s="57">
        <v>0</v>
      </c>
      <c r="D13" s="12">
        <f>+bidcvar!D19</f>
        <v>0</v>
      </c>
      <c r="E13" s="57">
        <v>0</v>
      </c>
      <c r="F13" s="43">
        <f>+bidcvar!F19</f>
        <v>0</v>
      </c>
      <c r="G13" s="57">
        <v>0</v>
      </c>
      <c r="H13" s="43">
        <f>+bidcvar!H19</f>
        <v>0</v>
      </c>
      <c r="I13" s="43">
        <v>0</v>
      </c>
      <c r="J13" s="12">
        <f>+bidcvar!J19</f>
        <v>0</v>
      </c>
      <c r="K13" s="43">
        <v>0</v>
      </c>
      <c r="L13" s="12">
        <f>+bidcvar!L19</f>
        <v>610786</v>
      </c>
      <c r="M13" s="46">
        <f>+(-N13+L13)/ABS(N13)</f>
        <v>-0.17294330604940569</v>
      </c>
      <c r="N13" s="12">
        <f>+bidcvar!N19</f>
        <v>738505.6</v>
      </c>
      <c r="O13" s="46">
        <f>+(-P13+N13)/ABS(P13)</f>
        <v>0.71118554162107039</v>
      </c>
      <c r="P13" s="12">
        <f>+bidcvar!P19</f>
        <v>431575.40899999999</v>
      </c>
      <c r="Q13" s="43"/>
      <c r="R13" s="43"/>
      <c r="S13" s="43"/>
      <c r="T13" s="43"/>
      <c r="U13" s="43"/>
      <c r="V13" s="43"/>
      <c r="W13" s="43"/>
      <c r="X13" s="43"/>
      <c r="Y13" s="43"/>
      <c r="Z13" s="43"/>
      <c r="AA13" s="43"/>
    </row>
    <row r="14" spans="1:27">
      <c r="A14" t="s">
        <v>183</v>
      </c>
      <c r="B14" s="12">
        <f>+bidcvar!B29</f>
        <v>0</v>
      </c>
      <c r="C14" s="57">
        <v>0</v>
      </c>
      <c r="D14" s="12">
        <f>+bidcvar!D29</f>
        <v>0</v>
      </c>
      <c r="E14" s="57">
        <v>0</v>
      </c>
      <c r="F14" s="43">
        <f>+bidcvar!F29</f>
        <v>0</v>
      </c>
      <c r="G14" s="57">
        <v>0</v>
      </c>
      <c r="H14" s="43">
        <f>+bidcvar!H29</f>
        <v>0</v>
      </c>
      <c r="I14" s="43">
        <v>0</v>
      </c>
      <c r="J14" s="12">
        <f>+bidcvar!J29</f>
        <v>0</v>
      </c>
      <c r="K14" s="43">
        <v>0</v>
      </c>
      <c r="L14" s="12">
        <f>+bidcvar!L29</f>
        <v>1053355.7</v>
      </c>
      <c r="M14" s="46">
        <f>+(-N14+L14)/ABS(N14)</f>
        <v>-3.2610941709373356E-2</v>
      </c>
      <c r="N14" s="12">
        <f>+bidcvar!N29</f>
        <v>1088864.6000000001</v>
      </c>
      <c r="O14" s="46">
        <f>+(-P14+N14)/ABS(P14)</f>
        <v>0.22195624591628316</v>
      </c>
      <c r="P14" s="12">
        <f>+bidcvar!P29</f>
        <v>891083.13300000003</v>
      </c>
      <c r="Q14" s="43"/>
      <c r="R14" s="43"/>
      <c r="S14" s="43"/>
      <c r="T14" s="43"/>
      <c r="U14" s="43"/>
      <c r="V14" s="43"/>
      <c r="W14" s="43"/>
      <c r="X14" s="43"/>
      <c r="Y14" s="43"/>
      <c r="Z14" s="43"/>
      <c r="AA14" s="43"/>
    </row>
    <row r="15" spans="1:27">
      <c r="A15" t="s">
        <v>184</v>
      </c>
      <c r="B15" s="12">
        <f>+bidcvar!B51</f>
        <v>0</v>
      </c>
      <c r="C15" s="57">
        <v>0</v>
      </c>
      <c r="D15" s="12">
        <f>+bidcvar!D51</f>
        <v>0</v>
      </c>
      <c r="E15" s="57">
        <v>0</v>
      </c>
      <c r="F15" s="43">
        <f>+bidcvar!F51</f>
        <v>0</v>
      </c>
      <c r="G15" s="57">
        <v>0</v>
      </c>
      <c r="H15" s="43">
        <f>+bidcvar!H51</f>
        <v>0</v>
      </c>
      <c r="I15" s="43">
        <v>0</v>
      </c>
      <c r="J15" s="12">
        <f>+bidcvar!J51</f>
        <v>0</v>
      </c>
      <c r="K15" s="43">
        <v>0</v>
      </c>
      <c r="L15" s="12">
        <f>+bidcvar!L51</f>
        <v>81184.099999999991</v>
      </c>
      <c r="M15" s="46">
        <f>+(-N15+L15)/ABS(N15)</f>
        <v>-1.3846508915990582E-2</v>
      </c>
      <c r="N15" s="12">
        <f>+bidcvar!N51</f>
        <v>82324</v>
      </c>
      <c r="O15" s="46">
        <f>+(-P15+N15)/ABS(P15)</f>
        <v>9.9745037817672912</v>
      </c>
      <c r="P15" s="12">
        <f>+bidcvar!P51</f>
        <v>7501.3869999999997</v>
      </c>
      <c r="Q15" s="43"/>
      <c r="R15" s="43"/>
      <c r="S15" s="43"/>
      <c r="T15" s="43"/>
      <c r="U15" s="43"/>
      <c r="V15" s="43"/>
      <c r="W15" s="43"/>
      <c r="X15" s="43"/>
      <c r="Y15" s="43"/>
      <c r="Z15" s="43"/>
      <c r="AA15" s="43"/>
    </row>
    <row r="16" spans="1:27">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row>
    <row r="17" spans="1:27" ht="16.5" thickBot="1">
      <c r="B17" s="187"/>
      <c r="C17" s="187"/>
      <c r="D17" s="187"/>
      <c r="E17" s="187"/>
      <c r="F17" s="187"/>
      <c r="G17" s="187"/>
      <c r="H17" s="187"/>
      <c r="I17" s="187"/>
      <c r="J17" s="187"/>
      <c r="K17" s="187"/>
      <c r="L17" s="187"/>
      <c r="M17" s="187"/>
      <c r="N17" s="187"/>
      <c r="O17" s="187"/>
      <c r="P17" s="187"/>
      <c r="Q17" s="43"/>
      <c r="R17" s="43"/>
      <c r="S17" s="43"/>
      <c r="T17" s="43"/>
      <c r="U17" s="43"/>
      <c r="V17" s="43"/>
      <c r="W17" s="43"/>
      <c r="X17" s="43"/>
      <c r="Y17" s="43"/>
      <c r="Z17" s="43"/>
      <c r="AA17" s="43"/>
    </row>
    <row r="18" spans="1:27">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row>
    <row r="19" spans="1:27">
      <c r="B19" s="51" t="s">
        <v>185</v>
      </c>
      <c r="C19" s="43"/>
      <c r="D19" s="51" t="s">
        <v>174</v>
      </c>
      <c r="E19" s="43"/>
      <c r="F19" s="51" t="s">
        <v>185</v>
      </c>
      <c r="G19" s="43"/>
      <c r="H19" s="51" t="s">
        <v>174</v>
      </c>
      <c r="I19" s="43"/>
      <c r="J19" s="51" t="s">
        <v>185</v>
      </c>
      <c r="K19" s="43"/>
      <c r="L19" s="51" t="s">
        <v>174</v>
      </c>
      <c r="M19" s="43"/>
      <c r="N19" s="51" t="s">
        <v>185</v>
      </c>
      <c r="O19" s="43"/>
      <c r="P19" s="51" t="s">
        <v>174</v>
      </c>
      <c r="Q19" s="43"/>
      <c r="R19" s="51" t="s">
        <v>185</v>
      </c>
      <c r="S19" s="43"/>
      <c r="T19" s="51" t="s">
        <v>174</v>
      </c>
      <c r="U19" s="43"/>
      <c r="V19" s="43"/>
      <c r="W19" s="43"/>
      <c r="X19" s="43"/>
      <c r="Y19" s="43"/>
      <c r="Z19" s="43"/>
      <c r="AA19" s="43"/>
    </row>
    <row r="20" spans="1:27">
      <c r="B20" s="50" t="s">
        <v>186</v>
      </c>
      <c r="C20" s="50" t="s">
        <v>169</v>
      </c>
      <c r="D20" s="50" t="s">
        <v>186</v>
      </c>
      <c r="E20" s="43"/>
      <c r="F20" s="50" t="s">
        <v>187</v>
      </c>
      <c r="G20" s="50" t="s">
        <v>169</v>
      </c>
      <c r="H20" s="50" t="s">
        <v>187</v>
      </c>
      <c r="I20" s="43"/>
      <c r="J20" s="50" t="s">
        <v>188</v>
      </c>
      <c r="K20" s="50" t="s">
        <v>169</v>
      </c>
      <c r="L20" s="50" t="s">
        <v>188</v>
      </c>
      <c r="M20" s="43"/>
      <c r="N20" s="50" t="s">
        <v>189</v>
      </c>
      <c r="O20" s="50" t="s">
        <v>169</v>
      </c>
      <c r="P20" s="50" t="s">
        <v>189</v>
      </c>
      <c r="Q20" s="43"/>
      <c r="R20" s="50" t="s">
        <v>190</v>
      </c>
      <c r="S20" s="50" t="s">
        <v>169</v>
      </c>
      <c r="T20" s="50" t="s">
        <v>190</v>
      </c>
      <c r="U20" s="43"/>
      <c r="V20" s="43"/>
      <c r="W20" s="43"/>
      <c r="X20" s="43"/>
      <c r="Y20" s="43"/>
      <c r="Z20" s="43"/>
      <c r="AA20" s="43"/>
    </row>
    <row r="21" spans="1:27" ht="16.5" thickBot="1">
      <c r="B21" s="326" t="s">
        <v>191</v>
      </c>
      <c r="C21" s="326"/>
      <c r="D21" s="326" t="s">
        <v>192</v>
      </c>
      <c r="E21" s="208"/>
      <c r="F21" s="326" t="s">
        <v>193</v>
      </c>
      <c r="G21" s="326"/>
      <c r="H21" s="326" t="s">
        <v>194</v>
      </c>
      <c r="I21" s="208"/>
      <c r="J21" s="326" t="s">
        <v>195</v>
      </c>
      <c r="K21" s="326"/>
      <c r="L21" s="326" t="s">
        <v>196</v>
      </c>
      <c r="M21" s="208"/>
      <c r="N21" s="326" t="s">
        <v>197</v>
      </c>
      <c r="O21" s="326"/>
      <c r="P21" s="326" t="s">
        <v>198</v>
      </c>
      <c r="Q21" s="208"/>
      <c r="R21" s="326" t="s">
        <v>561</v>
      </c>
      <c r="S21" s="326"/>
      <c r="T21" s="326" t="s">
        <v>200</v>
      </c>
      <c r="U21" s="43"/>
      <c r="V21" s="43"/>
      <c r="W21" s="43"/>
      <c r="X21" s="43"/>
      <c r="Y21" s="43"/>
      <c r="Z21" s="43"/>
      <c r="AA21" s="43"/>
    </row>
    <row r="22" spans="1:27">
      <c r="A22" s="2" t="s">
        <v>52</v>
      </c>
      <c r="B22" s="43"/>
      <c r="C22" s="43"/>
      <c r="D22" s="43"/>
      <c r="E22" s="43"/>
      <c r="F22" s="43"/>
      <c r="G22" s="43"/>
      <c r="H22" s="43"/>
      <c r="I22" s="43"/>
      <c r="J22" s="43"/>
      <c r="K22" s="43"/>
      <c r="L22" s="43"/>
      <c r="M22" s="43"/>
      <c r="N22" s="43"/>
      <c r="O22" s="43"/>
      <c r="P22" s="43"/>
      <c r="Q22" s="43"/>
      <c r="R22" s="43"/>
      <c r="S22" s="47" t="s">
        <v>0</v>
      </c>
      <c r="T22" s="43"/>
      <c r="U22" s="43"/>
      <c r="V22" s="43"/>
      <c r="W22" s="43"/>
      <c r="X22" s="43"/>
      <c r="Y22" s="43"/>
      <c r="Z22" s="43"/>
      <c r="AA22" s="43"/>
    </row>
    <row r="23" spans="1:27">
      <c r="A23" t="s">
        <v>201</v>
      </c>
      <c r="B23" s="12">
        <f>+'BIDCRÉSULT '!B15</f>
        <v>0</v>
      </c>
      <c r="C23" s="43">
        <v>0</v>
      </c>
      <c r="D23" s="12">
        <f>+'BIDCRÉSULT '!D55</f>
        <v>20175.599999999999</v>
      </c>
      <c r="E23" s="43"/>
      <c r="F23" s="12">
        <f>+'BIDCRÉSULT '!D15</f>
        <v>0</v>
      </c>
      <c r="G23" s="43">
        <v>0</v>
      </c>
      <c r="H23" s="12">
        <f>+'BIDCRÉSULT '!H55</f>
        <v>18943.900000000001</v>
      </c>
      <c r="I23" s="43"/>
      <c r="J23" s="43">
        <f>+'BIDCRÉSULT '!F15</f>
        <v>0</v>
      </c>
      <c r="K23" s="43">
        <v>0</v>
      </c>
      <c r="L23" s="12">
        <f>+'BIDCRÉSULT '!L55</f>
        <v>0</v>
      </c>
      <c r="M23" s="43"/>
      <c r="N23" s="43">
        <f>+'BIDCRÉSULT '!H15</f>
        <v>0</v>
      </c>
      <c r="O23" s="43">
        <v>0</v>
      </c>
      <c r="P23" s="12">
        <f>+'BIDCRÉSULT '!P55</f>
        <v>0</v>
      </c>
      <c r="Q23" s="43"/>
      <c r="R23" s="12">
        <f>+'BIDCRÉSULT '!R55</f>
        <v>0</v>
      </c>
      <c r="S23" s="43">
        <v>0</v>
      </c>
      <c r="T23" s="12">
        <f>+'BIDCRÉSULT '!T55</f>
        <v>20175.599999999999</v>
      </c>
      <c r="U23" s="43"/>
      <c r="V23" s="43"/>
      <c r="W23" s="43"/>
      <c r="X23" s="43"/>
      <c r="Y23" s="43"/>
      <c r="Z23" s="43"/>
      <c r="AA23" s="43"/>
    </row>
    <row r="24" spans="1:27">
      <c r="A24" t="s">
        <v>202</v>
      </c>
      <c r="B24" s="12">
        <f>+'BIDCRÉSULT '!B21</f>
        <v>0</v>
      </c>
      <c r="C24" s="43">
        <v>0</v>
      </c>
      <c r="D24" s="12">
        <f>+'BIDCRÉSULT '!D61</f>
        <v>4152.5</v>
      </c>
      <c r="E24" s="43"/>
      <c r="F24" s="12">
        <f>+'BIDCRÉSULT '!D21</f>
        <v>0</v>
      </c>
      <c r="G24" s="43">
        <v>0</v>
      </c>
      <c r="H24" s="12">
        <f>+'BIDCRÉSULT '!H61</f>
        <v>4695.2</v>
      </c>
      <c r="I24" s="43"/>
      <c r="J24" s="43">
        <f>+'BIDCRÉSULT '!F21</f>
        <v>0</v>
      </c>
      <c r="K24" s="43">
        <v>0</v>
      </c>
      <c r="L24" s="12">
        <f>+'BIDCRÉSULT '!L61</f>
        <v>0</v>
      </c>
      <c r="M24" s="43"/>
      <c r="N24" s="43">
        <f>+'BIDCRÉSULT '!H21</f>
        <v>0</v>
      </c>
      <c r="O24" s="43">
        <v>0</v>
      </c>
      <c r="P24" s="12">
        <f>+'BIDCRÉSULT '!P61</f>
        <v>0</v>
      </c>
      <c r="Q24" s="43"/>
      <c r="R24" s="12">
        <f>+'BIDCRÉSULT '!R61</f>
        <v>0</v>
      </c>
      <c r="S24" s="43">
        <v>0</v>
      </c>
      <c r="T24" s="12">
        <f>+'BIDCRÉSULT '!T61</f>
        <v>4152.5</v>
      </c>
      <c r="U24" s="43"/>
      <c r="V24" s="43"/>
      <c r="W24" s="43"/>
      <c r="X24" s="43"/>
      <c r="Y24" s="43"/>
      <c r="Z24" s="43"/>
      <c r="AA24" s="43"/>
    </row>
    <row r="25" spans="1:27">
      <c r="A25" t="s">
        <v>447</v>
      </c>
      <c r="B25" s="12">
        <f>+'BIDCRÉSULT '!B25</f>
        <v>0</v>
      </c>
      <c r="C25" s="43">
        <v>0</v>
      </c>
      <c r="D25" s="12">
        <f>+'BIDCRÉSULT '!D65</f>
        <v>2211.8000000000002</v>
      </c>
      <c r="E25" s="43"/>
      <c r="F25" s="12">
        <f>+'BIDCRÉSULT '!D25</f>
        <v>0</v>
      </c>
      <c r="G25" s="43">
        <v>0</v>
      </c>
      <c r="H25" s="12">
        <f>+'BIDCRÉSULT '!H65</f>
        <v>609.70000000000005</v>
      </c>
      <c r="I25" s="43"/>
      <c r="J25" s="43">
        <f>+'BIDCRÉSULT '!F25</f>
        <v>0</v>
      </c>
      <c r="K25" s="43">
        <v>0</v>
      </c>
      <c r="L25" s="12">
        <f>+'BIDCRÉSULT '!L65</f>
        <v>0</v>
      </c>
      <c r="M25" s="43"/>
      <c r="N25" s="43">
        <f>+'BIDCRÉSULT '!H25</f>
        <v>0</v>
      </c>
      <c r="O25" s="43">
        <v>0</v>
      </c>
      <c r="P25" s="12">
        <f>+'BIDCRÉSULT '!P65</f>
        <v>0</v>
      </c>
      <c r="Q25" s="43"/>
      <c r="R25" s="12">
        <f>+'BIDCRÉSULT '!R65</f>
        <v>0</v>
      </c>
      <c r="S25" s="43">
        <v>0</v>
      </c>
      <c r="T25" s="12">
        <f>+'BIDCRÉSULT '!T65</f>
        <v>2211.8000000000002</v>
      </c>
      <c r="U25" s="43"/>
      <c r="V25" s="43"/>
      <c r="W25" s="43"/>
      <c r="X25" s="43"/>
      <c r="Y25" s="43"/>
      <c r="Z25" s="43"/>
      <c r="AA25" s="43"/>
    </row>
    <row r="26" spans="1:27">
      <c r="A26" t="s">
        <v>204</v>
      </c>
      <c r="B26" s="12">
        <f>+'BIDCRÉSULT '!B35</f>
        <v>0</v>
      </c>
      <c r="C26" s="43">
        <v>0</v>
      </c>
      <c r="D26" s="12">
        <f>+'BIDCRÉSULT '!D75</f>
        <v>26547.7</v>
      </c>
      <c r="E26" s="43"/>
      <c r="F26" s="12">
        <f>+'BIDCRÉSULT '!D35</f>
        <v>0</v>
      </c>
      <c r="G26" s="43">
        <v>0</v>
      </c>
      <c r="H26" s="12">
        <f>+'BIDCRÉSULT '!H75</f>
        <v>21385.599999999999</v>
      </c>
      <c r="I26" s="43"/>
      <c r="J26" s="43">
        <f>+'BIDCRÉSULT '!F35</f>
        <v>0</v>
      </c>
      <c r="K26" s="43">
        <v>0</v>
      </c>
      <c r="L26" s="12">
        <f>+'BIDCRÉSULT '!L75</f>
        <v>0</v>
      </c>
      <c r="M26" s="43"/>
      <c r="N26" s="43">
        <f>+'BIDCRÉSULT '!H35</f>
        <v>0</v>
      </c>
      <c r="O26" s="43">
        <v>0</v>
      </c>
      <c r="P26" s="12">
        <f>+'BIDCRÉSULT '!P75</f>
        <v>0</v>
      </c>
      <c r="Q26" s="43"/>
      <c r="R26" s="12">
        <f>+'BIDCRÉSULT '!R75</f>
        <v>0</v>
      </c>
      <c r="S26" s="43">
        <v>0</v>
      </c>
      <c r="T26" s="12">
        <f>+'BIDCRÉSULT '!T75</f>
        <v>26547.7</v>
      </c>
      <c r="U26" s="43"/>
      <c r="V26" s="43"/>
      <c r="W26" s="43"/>
      <c r="X26" s="43"/>
      <c r="Y26" s="43"/>
      <c r="Z26" s="43"/>
      <c r="AA26" s="43"/>
    </row>
    <row r="27" spans="1:27">
      <c r="A27" t="s">
        <v>448</v>
      </c>
      <c r="B27" s="12">
        <f>+'BIDCRÉSULT '!B41</f>
        <v>0</v>
      </c>
      <c r="C27" s="43">
        <v>0</v>
      </c>
      <c r="D27" s="12">
        <f>+'BIDCRÉSULT '!D81</f>
        <v>-3015.2000000000016</v>
      </c>
      <c r="E27" s="43"/>
      <c r="F27" s="12">
        <f>+'BIDCRÉSULT '!D41</f>
        <v>0</v>
      </c>
      <c r="G27" s="43">
        <v>0</v>
      </c>
      <c r="H27" s="12">
        <f>+'BIDCRÉSULT '!H81</f>
        <v>1643.8000000000029</v>
      </c>
      <c r="I27" s="43"/>
      <c r="J27" s="12">
        <f>+'BIDCRÉSULT '!F41</f>
        <v>0</v>
      </c>
      <c r="K27" s="43">
        <v>0</v>
      </c>
      <c r="L27" s="12">
        <f>+'BIDCRÉSULT '!L81</f>
        <v>0</v>
      </c>
      <c r="M27" s="43"/>
      <c r="N27" s="12">
        <f>+'BIDCRÉSULT '!H41</f>
        <v>0</v>
      </c>
      <c r="O27" s="43">
        <v>0</v>
      </c>
      <c r="P27" s="12">
        <f>+'BIDCRÉSULT '!P81</f>
        <v>0</v>
      </c>
      <c r="Q27" s="43"/>
      <c r="R27" s="12">
        <f>+'BIDCRÉSULT '!R81</f>
        <v>0</v>
      </c>
      <c r="S27" s="43">
        <v>0</v>
      </c>
      <c r="T27" s="12">
        <f>+'BIDCRÉSULT '!T81</f>
        <v>-3015.2000000000016</v>
      </c>
      <c r="U27" s="43"/>
      <c r="V27" s="43"/>
      <c r="W27" s="43"/>
      <c r="X27" s="43"/>
      <c r="Y27" s="43"/>
      <c r="Z27" s="43"/>
      <c r="AA27" s="43"/>
    </row>
    <row r="28" spans="1:27" ht="8.4499999999999993" customHeight="1">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ht="16.5" thickBot="1">
      <c r="B29" s="187"/>
      <c r="C29" s="187"/>
      <c r="D29" s="187"/>
      <c r="E29" s="187"/>
      <c r="F29" s="187"/>
      <c r="G29" s="187"/>
      <c r="H29" s="187"/>
      <c r="I29" s="187"/>
      <c r="J29" s="187"/>
      <c r="K29" s="187"/>
      <c r="L29" s="187"/>
      <c r="M29" s="187"/>
      <c r="N29" s="187"/>
      <c r="O29" s="187"/>
      <c r="P29" s="187"/>
      <c r="Q29" s="187"/>
      <c r="R29" s="187"/>
      <c r="S29" s="187"/>
      <c r="T29" s="187"/>
      <c r="U29" s="43"/>
      <c r="V29" s="43"/>
      <c r="W29" s="43"/>
      <c r="X29" s="43"/>
      <c r="Y29" s="43"/>
      <c r="Z29" s="43"/>
      <c r="AA29" s="43"/>
    </row>
    <row r="30" spans="1:27">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c r="B31" s="51" t="s">
        <v>185</v>
      </c>
      <c r="C31" s="51" t="s">
        <v>174</v>
      </c>
      <c r="D31" s="43"/>
      <c r="E31" s="51" t="s">
        <v>185</v>
      </c>
      <c r="F31" s="51" t="s">
        <v>174</v>
      </c>
      <c r="G31" s="43"/>
      <c r="H31" s="51" t="s">
        <v>185</v>
      </c>
      <c r="I31" s="51" t="s">
        <v>174</v>
      </c>
      <c r="J31" s="43"/>
      <c r="K31" s="51" t="s">
        <v>185</v>
      </c>
      <c r="L31" s="51" t="s">
        <v>174</v>
      </c>
      <c r="M31" s="43"/>
      <c r="N31" s="51" t="s">
        <v>185</v>
      </c>
      <c r="O31" s="51" t="s">
        <v>174</v>
      </c>
      <c r="P31" s="43"/>
      <c r="U31" s="43"/>
      <c r="V31" s="43"/>
      <c r="W31" s="43"/>
      <c r="X31" s="43"/>
      <c r="Y31" s="43"/>
      <c r="Z31" s="43"/>
      <c r="AA31" s="43"/>
    </row>
    <row r="32" spans="1:27" ht="16.5" thickBot="1">
      <c r="B32" s="50" t="s">
        <v>186</v>
      </c>
      <c r="C32" s="50" t="s">
        <v>186</v>
      </c>
      <c r="D32" s="43"/>
      <c r="E32" s="50" t="s">
        <v>187</v>
      </c>
      <c r="F32" s="50" t="s">
        <v>187</v>
      </c>
      <c r="G32" s="43"/>
      <c r="H32" s="50" t="s">
        <v>188</v>
      </c>
      <c r="I32" s="50" t="s">
        <v>188</v>
      </c>
      <c r="J32" s="43"/>
      <c r="K32" s="50" t="s">
        <v>189</v>
      </c>
      <c r="L32" s="50" t="s">
        <v>189</v>
      </c>
      <c r="M32" s="43"/>
      <c r="N32" s="50" t="s">
        <v>190</v>
      </c>
      <c r="O32" s="50" t="s">
        <v>190</v>
      </c>
      <c r="P32" s="43"/>
      <c r="Q32" s="114" t="s">
        <v>206</v>
      </c>
      <c r="R32" s="114"/>
      <c r="S32" s="114"/>
      <c r="T32" s="114"/>
      <c r="U32" s="43"/>
      <c r="V32" s="43"/>
      <c r="W32" s="43"/>
      <c r="X32" s="43"/>
      <c r="Y32" s="43"/>
      <c r="Z32" s="43"/>
      <c r="AA32" s="43"/>
    </row>
    <row r="33" spans="1:27" ht="16.5" thickBot="1">
      <c r="B33" s="326" t="s">
        <v>191</v>
      </c>
      <c r="C33" s="326" t="s">
        <v>192</v>
      </c>
      <c r="D33" s="208"/>
      <c r="E33" s="326" t="s">
        <v>193</v>
      </c>
      <c r="F33" s="326" t="s">
        <v>194</v>
      </c>
      <c r="G33" s="208"/>
      <c r="H33" s="326" t="s">
        <v>195</v>
      </c>
      <c r="I33" s="326" t="s">
        <v>196</v>
      </c>
      <c r="J33" s="208"/>
      <c r="K33" s="326" t="s">
        <v>197</v>
      </c>
      <c r="L33" s="326" t="s">
        <v>198</v>
      </c>
      <c r="M33" s="208"/>
      <c r="N33" s="326" t="s">
        <v>545</v>
      </c>
      <c r="O33" s="326" t="s">
        <v>546</v>
      </c>
      <c r="P33" s="43"/>
      <c r="Q33" s="182" t="s">
        <v>174</v>
      </c>
      <c r="R33" s="182" t="s">
        <v>175</v>
      </c>
      <c r="S33" s="182" t="s">
        <v>176</v>
      </c>
      <c r="T33" s="182" t="s">
        <v>177</v>
      </c>
      <c r="U33" s="43"/>
      <c r="V33" s="43"/>
      <c r="W33" s="43"/>
      <c r="X33" s="43"/>
      <c r="Y33" s="43"/>
      <c r="Z33" s="43"/>
      <c r="AA33" s="43"/>
    </row>
    <row r="34" spans="1:27">
      <c r="B34" s="355"/>
      <c r="C34" s="355"/>
      <c r="D34" s="208"/>
      <c r="E34" s="355"/>
      <c r="F34" s="355"/>
      <c r="G34" s="208"/>
      <c r="H34" s="355"/>
      <c r="I34" s="355"/>
      <c r="J34" s="208"/>
      <c r="K34" s="355"/>
      <c r="L34" s="355"/>
      <c r="M34" s="208"/>
      <c r="N34" s="355"/>
      <c r="O34" s="355"/>
      <c r="P34" s="43"/>
      <c r="Q34" s="356"/>
      <c r="R34" s="356"/>
      <c r="S34" s="356"/>
      <c r="T34" s="356"/>
      <c r="U34" s="43"/>
      <c r="V34" s="43"/>
      <c r="W34" s="43"/>
      <c r="X34" s="43"/>
      <c r="Y34" s="43"/>
      <c r="Z34" s="43"/>
      <c r="AA34" s="43"/>
    </row>
    <row r="35" spans="1:27">
      <c r="A35" s="2" t="s">
        <v>207</v>
      </c>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row>
    <row r="36" spans="1:27">
      <c r="A36" s="183" t="s">
        <v>208</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2" t="s">
        <v>209</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A38" s="2"/>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t="s">
        <v>210</v>
      </c>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s="2"/>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row>
    <row r="41" spans="1:27">
      <c r="A41" t="s">
        <v>211</v>
      </c>
      <c r="B41" s="57"/>
      <c r="C41" s="57"/>
      <c r="D41" s="57"/>
      <c r="E41" s="57"/>
      <c r="F41" s="57"/>
      <c r="G41" s="57"/>
      <c r="H41" s="57"/>
      <c r="I41" s="57"/>
      <c r="J41" s="57"/>
      <c r="K41" s="57"/>
      <c r="L41" s="57"/>
      <c r="M41" s="57"/>
      <c r="N41" s="57"/>
      <c r="O41" s="57"/>
      <c r="P41" s="57"/>
      <c r="Q41" s="57"/>
      <c r="R41" s="57"/>
      <c r="S41" s="57"/>
      <c r="T41" s="57"/>
      <c r="U41" s="43"/>
      <c r="V41" s="43"/>
      <c r="W41" s="43"/>
      <c r="X41" s="43"/>
      <c r="Y41" s="43"/>
      <c r="Z41" s="43"/>
      <c r="AA41" s="43"/>
    </row>
    <row r="42" spans="1:27">
      <c r="A42" t="s">
        <v>212</v>
      </c>
      <c r="B42" s="364">
        <v>0</v>
      </c>
      <c r="C42" s="58">
        <v>6.8699999999999997E-2</v>
      </c>
      <c r="D42" s="357"/>
      <c r="E42" s="364">
        <v>0</v>
      </c>
      <c r="F42" s="362">
        <v>6.9199999999999998E-2</v>
      </c>
      <c r="G42" s="357"/>
      <c r="H42" s="364">
        <v>0</v>
      </c>
      <c r="I42" s="57">
        <v>0</v>
      </c>
      <c r="J42" s="357"/>
      <c r="K42" s="57">
        <v>0</v>
      </c>
      <c r="L42" s="57">
        <v>0</v>
      </c>
      <c r="M42" s="357"/>
      <c r="N42" s="57">
        <f>+E42</f>
        <v>0</v>
      </c>
      <c r="O42" s="59">
        <f>+C42</f>
        <v>6.8699999999999997E-2</v>
      </c>
      <c r="P42" s="357"/>
      <c r="Q42" s="57">
        <v>0</v>
      </c>
      <c r="R42" s="59">
        <v>6.1800000000000001E-2</v>
      </c>
      <c r="S42" s="59">
        <v>5.8599999999999999E-2</v>
      </c>
      <c r="T42" s="59">
        <v>7.9000000000000008E-3</v>
      </c>
      <c r="U42" s="43"/>
      <c r="V42" s="43"/>
      <c r="W42" s="43"/>
      <c r="X42" s="43"/>
      <c r="Y42" s="43"/>
      <c r="Z42" s="43"/>
      <c r="AA42" s="43"/>
    </row>
    <row r="43" spans="1:27">
      <c r="B43" s="364"/>
      <c r="C43" s="58"/>
      <c r="D43" s="357"/>
      <c r="E43" s="57"/>
      <c r="F43" s="57"/>
      <c r="G43" s="357"/>
      <c r="H43" s="57"/>
      <c r="I43" s="57"/>
      <c r="J43" s="357"/>
      <c r="K43" s="57"/>
      <c r="L43" s="57"/>
      <c r="M43" s="357"/>
      <c r="N43" s="57"/>
      <c r="O43" s="59"/>
      <c r="P43" s="357"/>
      <c r="Q43" s="57"/>
      <c r="R43" s="59"/>
      <c r="S43" s="59"/>
      <c r="T43" s="59"/>
      <c r="U43" s="43"/>
      <c r="V43" s="43"/>
      <c r="W43" s="43"/>
      <c r="X43" s="43"/>
      <c r="Y43" s="43"/>
      <c r="Z43" s="43"/>
      <c r="AA43" s="43"/>
    </row>
    <row r="44" spans="1:27">
      <c r="A44" t="s">
        <v>213</v>
      </c>
      <c r="B44" s="364">
        <v>0</v>
      </c>
      <c r="C44" s="58">
        <v>0.86029999999999995</v>
      </c>
      <c r="D44" s="59"/>
      <c r="E44" s="364">
        <v>0</v>
      </c>
      <c r="F44" s="362">
        <v>0.81540000000000001</v>
      </c>
      <c r="G44" s="59"/>
      <c r="H44" s="364">
        <v>0</v>
      </c>
      <c r="I44" s="57">
        <v>0</v>
      </c>
      <c r="J44" s="59"/>
      <c r="K44" s="57">
        <v>0</v>
      </c>
      <c r="L44" s="57">
        <v>0</v>
      </c>
      <c r="M44" s="357"/>
      <c r="N44" s="57">
        <f>+E44</f>
        <v>0</v>
      </c>
      <c r="O44" s="59">
        <f>+C44</f>
        <v>0.86029999999999995</v>
      </c>
      <c r="P44" s="357"/>
      <c r="Q44" s="57">
        <v>0</v>
      </c>
      <c r="R44" s="59">
        <v>0.80200000000000005</v>
      </c>
      <c r="S44" s="59">
        <v>0.77569999999999995</v>
      </c>
      <c r="T44" s="59">
        <v>0.9375</v>
      </c>
      <c r="U44" s="43"/>
      <c r="V44" s="43"/>
      <c r="W44" s="43"/>
      <c r="X44" s="43"/>
      <c r="Y44" s="43"/>
      <c r="Z44" s="43"/>
      <c r="AA44" s="43"/>
    </row>
    <row r="45" spans="1:27">
      <c r="A45" t="s">
        <v>0</v>
      </c>
      <c r="B45" s="57"/>
      <c r="C45" s="57"/>
      <c r="D45" s="59"/>
      <c r="E45" s="57"/>
      <c r="F45" s="57"/>
      <c r="G45" s="59"/>
      <c r="H45" s="57"/>
      <c r="I45" s="57"/>
      <c r="J45" s="59"/>
      <c r="K45" s="57"/>
      <c r="L45" s="57"/>
      <c r="M45" s="357"/>
      <c r="N45" s="57"/>
      <c r="O45" s="59"/>
      <c r="P45" s="357"/>
      <c r="Q45" s="57"/>
      <c r="R45" s="59"/>
      <c r="S45" s="59"/>
      <c r="T45" s="59"/>
      <c r="U45" s="43"/>
      <c r="V45" s="43"/>
      <c r="W45" s="43"/>
      <c r="X45" s="43"/>
      <c r="Y45" s="43"/>
      <c r="Z45" s="43"/>
      <c r="AA45" s="43"/>
    </row>
    <row r="46" spans="1:27">
      <c r="A46" s="2" t="s">
        <v>214</v>
      </c>
      <c r="B46" s="57"/>
      <c r="C46" s="57"/>
      <c r="D46" s="59"/>
      <c r="E46" s="57"/>
      <c r="F46" s="57"/>
      <c r="G46" s="59"/>
      <c r="H46" s="57"/>
      <c r="I46" s="57"/>
      <c r="J46" s="59"/>
      <c r="K46" s="57"/>
      <c r="L46" s="57"/>
      <c r="M46" s="357"/>
      <c r="N46" s="57"/>
      <c r="O46" s="59"/>
      <c r="P46" s="357"/>
      <c r="Q46" s="57"/>
      <c r="R46" s="59"/>
      <c r="S46" s="59"/>
      <c r="T46" s="59"/>
      <c r="U46" s="43"/>
      <c r="V46" s="43"/>
      <c r="W46" s="43"/>
      <c r="X46" s="43"/>
      <c r="Y46" s="43"/>
      <c r="Z46" s="43"/>
      <c r="AA46" s="43"/>
    </row>
    <row r="47" spans="1:27">
      <c r="A47" s="2"/>
      <c r="B47" s="57"/>
      <c r="C47" s="57"/>
      <c r="D47" s="59"/>
      <c r="E47" s="57"/>
      <c r="F47" s="57"/>
      <c r="G47" s="59"/>
      <c r="H47" s="57"/>
      <c r="I47" s="57"/>
      <c r="J47" s="59"/>
      <c r="K47" s="57"/>
      <c r="L47" s="57"/>
      <c r="M47" s="357"/>
      <c r="N47" s="57"/>
      <c r="O47" s="59"/>
      <c r="P47" s="357"/>
      <c r="Q47" s="57"/>
      <c r="R47" s="59"/>
      <c r="S47" s="59"/>
      <c r="T47" s="59"/>
      <c r="U47" s="43"/>
      <c r="V47" s="43"/>
      <c r="W47" s="43"/>
      <c r="X47" s="43"/>
      <c r="Y47" s="43"/>
      <c r="Z47" s="43"/>
      <c r="AA47" s="43"/>
    </row>
    <row r="48" spans="1:27">
      <c r="A48" t="s">
        <v>215</v>
      </c>
      <c r="B48" s="57"/>
      <c r="C48" s="57"/>
      <c r="D48" s="59"/>
      <c r="E48" s="57"/>
      <c r="F48" s="57"/>
      <c r="G48" s="59"/>
      <c r="H48" s="57"/>
      <c r="I48" s="57"/>
      <c r="J48" s="59"/>
      <c r="K48" s="57"/>
      <c r="L48" s="57"/>
      <c r="M48" s="357"/>
      <c r="N48" s="57"/>
      <c r="O48" s="59"/>
      <c r="P48" s="357"/>
      <c r="Q48" s="57"/>
      <c r="R48" s="59"/>
      <c r="S48" s="59"/>
      <c r="T48" s="59"/>
      <c r="U48" s="43"/>
      <c r="V48" s="43"/>
      <c r="W48" s="43"/>
      <c r="X48" s="43"/>
      <c r="Y48" s="43"/>
      <c r="Z48" s="43"/>
      <c r="AA48" s="43"/>
    </row>
    <row r="49" spans="1:27">
      <c r="A49" t="s">
        <v>216</v>
      </c>
      <c r="B49" s="57">
        <v>0</v>
      </c>
      <c r="C49" s="59">
        <v>8.7300000000000003E-2</v>
      </c>
      <c r="D49" s="59"/>
      <c r="E49" s="57">
        <v>0</v>
      </c>
      <c r="F49" s="359">
        <v>5.2999999999999999E-2</v>
      </c>
      <c r="G49" s="59"/>
      <c r="H49" s="57">
        <v>0</v>
      </c>
      <c r="I49" s="57">
        <v>0</v>
      </c>
      <c r="J49" s="59"/>
      <c r="K49" s="57">
        <v>0</v>
      </c>
      <c r="L49" s="57">
        <v>0</v>
      </c>
      <c r="M49" s="357"/>
      <c r="N49" s="57">
        <f>+E49</f>
        <v>0</v>
      </c>
      <c r="O49" s="59">
        <f>+C49</f>
        <v>8.7300000000000003E-2</v>
      </c>
      <c r="P49" s="357"/>
      <c r="Q49" s="57">
        <v>0</v>
      </c>
      <c r="R49" s="59">
        <v>6.0100000000000001E-2</v>
      </c>
      <c r="S49" s="59">
        <v>5.7000000000000002E-3</v>
      </c>
      <c r="T49" s="57">
        <v>0</v>
      </c>
      <c r="U49" s="43"/>
      <c r="V49" s="43"/>
      <c r="W49" s="43"/>
      <c r="X49" s="43"/>
      <c r="Y49" s="43"/>
      <c r="Z49" s="43"/>
      <c r="AA49" s="43"/>
    </row>
    <row r="50" spans="1:27">
      <c r="B50" s="57"/>
      <c r="C50" s="57"/>
      <c r="D50" s="59"/>
      <c r="E50" s="57"/>
      <c r="F50" s="57"/>
      <c r="G50" s="59"/>
      <c r="H50" s="57"/>
      <c r="I50" s="57"/>
      <c r="J50" s="59"/>
      <c r="K50" s="57"/>
      <c r="L50" s="57"/>
      <c r="M50" s="357"/>
      <c r="N50" s="57"/>
      <c r="O50" s="59"/>
      <c r="P50" s="357"/>
      <c r="Q50" s="57"/>
      <c r="R50" s="59"/>
      <c r="S50" s="59"/>
      <c r="T50" s="59"/>
      <c r="U50" s="43"/>
      <c r="V50" s="43"/>
      <c r="W50" s="43"/>
      <c r="X50" s="43"/>
      <c r="Y50" s="43"/>
      <c r="Z50" s="43"/>
      <c r="AA50" s="43"/>
    </row>
    <row r="51" spans="1:27">
      <c r="A51" t="s">
        <v>217</v>
      </c>
      <c r="B51" s="57"/>
      <c r="C51" s="57"/>
      <c r="D51" s="59"/>
      <c r="E51" s="57"/>
      <c r="F51" s="57"/>
      <c r="G51" s="59"/>
      <c r="H51" s="57"/>
      <c r="I51" s="57"/>
      <c r="J51" s="59"/>
      <c r="K51" s="57"/>
      <c r="L51" s="57"/>
      <c r="M51" s="357"/>
      <c r="N51" s="57"/>
      <c r="O51" s="59"/>
      <c r="P51" s="357"/>
      <c r="Q51" s="57"/>
      <c r="R51" s="59"/>
      <c r="S51" s="59"/>
      <c r="T51" s="59"/>
      <c r="U51" s="43"/>
      <c r="V51" s="43"/>
      <c r="W51" s="43"/>
      <c r="X51" s="43"/>
      <c r="Y51" s="43"/>
      <c r="Z51" s="43"/>
      <c r="AA51" s="43"/>
    </row>
    <row r="52" spans="1:27">
      <c r="A52" t="s">
        <v>218</v>
      </c>
      <c r="B52" s="57">
        <v>0</v>
      </c>
      <c r="C52" s="59">
        <v>0.36259999999999998</v>
      </c>
      <c r="D52" s="59"/>
      <c r="E52" s="57">
        <v>0</v>
      </c>
      <c r="F52" s="359">
        <v>0.93840000000000001</v>
      </c>
      <c r="G52" s="59"/>
      <c r="H52" s="57">
        <v>0</v>
      </c>
      <c r="I52" s="57">
        <v>0</v>
      </c>
      <c r="J52" s="59"/>
      <c r="K52" s="57">
        <v>0</v>
      </c>
      <c r="L52" s="57">
        <v>0</v>
      </c>
      <c r="M52" s="357"/>
      <c r="N52" s="57">
        <f>+E52</f>
        <v>0</v>
      </c>
      <c r="O52" s="59">
        <f>+C52</f>
        <v>0.36259999999999998</v>
      </c>
      <c r="P52" s="357"/>
      <c r="Q52" s="57">
        <v>0</v>
      </c>
      <c r="R52" s="59">
        <v>0.37640000000000001</v>
      </c>
      <c r="S52" s="59">
        <v>1.6589</v>
      </c>
      <c r="T52" s="57">
        <v>0</v>
      </c>
      <c r="U52" s="43"/>
      <c r="V52" s="43"/>
      <c r="W52" s="43"/>
      <c r="X52" s="43"/>
      <c r="Y52" s="43"/>
      <c r="Z52" s="43"/>
      <c r="AA52" s="43"/>
    </row>
    <row r="53" spans="1:27">
      <c r="B53" s="364" t="s">
        <v>0</v>
      </c>
      <c r="C53" s="57"/>
      <c r="D53" s="59"/>
      <c r="E53" s="57"/>
      <c r="F53" s="57"/>
      <c r="G53" s="59"/>
      <c r="H53" s="57"/>
      <c r="I53" s="57"/>
      <c r="J53" s="59"/>
      <c r="K53" s="57"/>
      <c r="L53" s="57"/>
      <c r="M53" s="357"/>
      <c r="N53" s="57"/>
      <c r="O53" s="59"/>
      <c r="P53" s="357"/>
      <c r="Q53" s="57"/>
      <c r="R53" s="59"/>
      <c r="S53" s="59"/>
      <c r="T53" s="59"/>
      <c r="U53" s="43"/>
      <c r="V53" s="43"/>
      <c r="W53" s="43"/>
      <c r="X53" s="43"/>
      <c r="Y53" s="43"/>
      <c r="Z53" s="43"/>
      <c r="AA53" s="43"/>
    </row>
    <row r="54" spans="1:27">
      <c r="A54" t="s">
        <v>219</v>
      </c>
      <c r="B54" s="57"/>
      <c r="C54" s="57"/>
      <c r="D54" s="59"/>
      <c r="E54" s="57"/>
      <c r="F54" s="57"/>
      <c r="G54" s="59"/>
      <c r="H54" s="57"/>
      <c r="I54" s="57"/>
      <c r="J54" s="59"/>
      <c r="K54" s="57"/>
      <c r="L54" s="57"/>
      <c r="M54" s="357"/>
      <c r="N54" s="57"/>
      <c r="O54" s="59"/>
      <c r="P54" s="357"/>
      <c r="Q54" s="57"/>
      <c r="R54" s="59"/>
      <c r="S54" s="59"/>
      <c r="T54" s="59"/>
      <c r="U54" s="43"/>
      <c r="V54" s="43"/>
      <c r="W54" s="43"/>
      <c r="X54" s="43"/>
      <c r="Y54" s="43"/>
      <c r="Z54" s="43"/>
      <c r="AA54" s="43"/>
    </row>
    <row r="55" spans="1:27">
      <c r="A55" t="s">
        <v>220</v>
      </c>
      <c r="B55" s="57">
        <v>0</v>
      </c>
      <c r="C55" s="59">
        <v>0.36720000000000003</v>
      </c>
      <c r="D55" s="59"/>
      <c r="E55" s="57">
        <v>0</v>
      </c>
      <c r="F55" s="359">
        <v>1.6400000000000001E-2</v>
      </c>
      <c r="G55" s="59"/>
      <c r="H55" s="57">
        <v>0</v>
      </c>
      <c r="I55" s="57">
        <v>0</v>
      </c>
      <c r="J55" s="59"/>
      <c r="K55" s="57">
        <v>0</v>
      </c>
      <c r="L55" s="57">
        <v>0</v>
      </c>
      <c r="M55" s="357"/>
      <c r="N55" s="57">
        <f>+E55</f>
        <v>0</v>
      </c>
      <c r="O55" s="59">
        <f>+C55</f>
        <v>0.36720000000000003</v>
      </c>
      <c r="P55" s="357"/>
      <c r="Q55" s="57">
        <v>0</v>
      </c>
      <c r="R55" s="59">
        <v>0.2732</v>
      </c>
      <c r="S55" s="59">
        <v>-3.39E-2</v>
      </c>
      <c r="T55" s="57">
        <v>0</v>
      </c>
      <c r="U55" s="43"/>
      <c r="V55" s="43"/>
      <c r="W55" s="43"/>
      <c r="X55" s="43"/>
      <c r="Y55" s="43"/>
      <c r="Z55" s="43"/>
      <c r="AA55" s="43"/>
    </row>
    <row r="56" spans="1:27">
      <c r="A56" t="s">
        <v>0</v>
      </c>
      <c r="B56" s="57"/>
      <c r="C56" s="57"/>
      <c r="D56" s="59"/>
      <c r="E56" s="57"/>
      <c r="F56" s="57"/>
      <c r="G56" s="59"/>
      <c r="H56" s="57"/>
      <c r="I56" s="57"/>
      <c r="J56" s="59"/>
      <c r="K56" s="57"/>
      <c r="L56" s="57"/>
      <c r="M56" s="357"/>
      <c r="N56" s="57"/>
      <c r="O56" s="59"/>
      <c r="P56" s="357"/>
      <c r="Q56" s="57"/>
      <c r="R56" s="59"/>
      <c r="S56" s="59"/>
      <c r="T56" s="59"/>
      <c r="U56" s="43"/>
      <c r="V56" s="43"/>
      <c r="W56" s="43"/>
      <c r="X56" s="43"/>
      <c r="Y56" s="43"/>
      <c r="Z56" s="43"/>
      <c r="AA56" s="43"/>
    </row>
    <row r="57" spans="1:27">
      <c r="A57" s="2" t="s">
        <v>221</v>
      </c>
      <c r="B57" s="57"/>
      <c r="C57" s="57"/>
      <c r="D57" s="59"/>
      <c r="E57" s="57"/>
      <c r="F57" s="57"/>
      <c r="G57" s="59"/>
      <c r="H57" s="57"/>
      <c r="I57" s="57"/>
      <c r="J57" s="59"/>
      <c r="K57" s="57"/>
      <c r="L57" s="57"/>
      <c r="M57" s="357"/>
      <c r="N57" s="57"/>
      <c r="O57" s="59"/>
      <c r="P57" s="357"/>
      <c r="Q57" s="57"/>
      <c r="R57" s="59"/>
      <c r="S57" s="59"/>
      <c r="T57" s="59"/>
      <c r="U57" s="43"/>
      <c r="V57" s="43"/>
      <c r="W57" s="43"/>
      <c r="X57" s="43"/>
      <c r="Y57" s="43"/>
      <c r="Z57" s="43"/>
      <c r="AA57" s="43"/>
    </row>
    <row r="58" spans="1:27">
      <c r="A58" s="2"/>
      <c r="B58" s="57"/>
      <c r="C58" s="57"/>
      <c r="D58" s="59"/>
      <c r="E58" s="57"/>
      <c r="F58" s="57"/>
      <c r="G58" s="59"/>
      <c r="H58" s="57"/>
      <c r="I58" s="57"/>
      <c r="J58" s="59"/>
      <c r="K58" s="57"/>
      <c r="L58" s="57"/>
      <c r="M58" s="357"/>
      <c r="N58" s="57"/>
      <c r="O58" s="59"/>
      <c r="P58" s="357"/>
      <c r="Q58" s="57"/>
      <c r="R58" s="59"/>
      <c r="S58" s="59"/>
      <c r="T58" s="59"/>
      <c r="U58" s="43"/>
      <c r="V58" s="43"/>
      <c r="W58" s="43"/>
      <c r="X58" s="43"/>
      <c r="Y58" s="43"/>
      <c r="Z58" s="43"/>
      <c r="AA58" s="43"/>
    </row>
    <row r="59" spans="1:27">
      <c r="A59" t="s">
        <v>222</v>
      </c>
      <c r="B59" s="57">
        <v>0</v>
      </c>
      <c r="C59" s="59">
        <v>-9.7999999999999997E-3</v>
      </c>
      <c r="D59" s="59"/>
      <c r="E59" s="57">
        <v>0</v>
      </c>
      <c r="F59" s="359">
        <v>5.7000000000000002E-3</v>
      </c>
      <c r="G59" s="59"/>
      <c r="H59" s="57">
        <v>0</v>
      </c>
      <c r="I59" s="57">
        <v>0</v>
      </c>
      <c r="J59" s="59"/>
      <c r="K59" s="57">
        <v>0</v>
      </c>
      <c r="L59" s="57">
        <v>0</v>
      </c>
      <c r="M59" s="357"/>
      <c r="N59" s="57">
        <v>0</v>
      </c>
      <c r="O59" s="59" t="e">
        <f>+'sysratfinclé '!#REF!</f>
        <v>#REF!</v>
      </c>
      <c r="P59" s="357"/>
      <c r="Q59" s="57">
        <v>0</v>
      </c>
      <c r="R59" s="59">
        <v>-2.8999999999999998E-3</v>
      </c>
      <c r="S59" s="59">
        <v>3.3999999999999998E-3</v>
      </c>
      <c r="T59" s="59">
        <v>-2.0999999999999999E-3</v>
      </c>
      <c r="U59" s="43"/>
      <c r="V59" s="43"/>
      <c r="W59" s="43"/>
      <c r="X59" s="43"/>
      <c r="Y59" s="43"/>
      <c r="Z59" s="43"/>
      <c r="AA59" s="43"/>
    </row>
    <row r="60" spans="1:27" ht="7.15" customHeight="1">
      <c r="B60" s="57"/>
      <c r="C60" s="57"/>
      <c r="D60" s="59"/>
      <c r="E60" s="57"/>
      <c r="F60" s="57"/>
      <c r="G60" s="59"/>
      <c r="H60" s="57"/>
      <c r="I60" s="57"/>
      <c r="J60" s="59"/>
      <c r="K60" s="57"/>
      <c r="L60" s="57"/>
      <c r="M60" s="357"/>
      <c r="N60" s="57"/>
      <c r="O60" s="59"/>
      <c r="P60" s="357"/>
      <c r="Q60" s="57"/>
      <c r="R60" s="59"/>
      <c r="S60" s="59"/>
      <c r="T60" s="59"/>
      <c r="U60" s="43"/>
      <c r="V60" s="43"/>
      <c r="W60" s="43"/>
      <c r="X60" s="43"/>
      <c r="Y60" s="43"/>
      <c r="Z60" s="43"/>
      <c r="AA60" s="43"/>
    </row>
    <row r="61" spans="1:27">
      <c r="A61" t="s">
        <v>451</v>
      </c>
      <c r="B61" s="57">
        <v>0</v>
      </c>
      <c r="C61" s="59">
        <v>-0.15090000000000001</v>
      </c>
      <c r="D61" s="59"/>
      <c r="E61" s="57">
        <v>0</v>
      </c>
      <c r="F61" s="359">
        <v>8.2699999999999996E-2</v>
      </c>
      <c r="G61" s="59"/>
      <c r="H61" s="57">
        <v>0</v>
      </c>
      <c r="I61" s="57">
        <v>0</v>
      </c>
      <c r="J61" s="59"/>
      <c r="K61" s="57">
        <v>0</v>
      </c>
      <c r="L61" s="57">
        <v>0</v>
      </c>
      <c r="M61" s="357"/>
      <c r="N61" s="57">
        <v>0</v>
      </c>
      <c r="O61" s="59" t="e">
        <f>+'sysratfinclé '!#REF!</f>
        <v>#REF!</v>
      </c>
      <c r="P61" s="357"/>
      <c r="Q61" s="57">
        <v>0</v>
      </c>
      <c r="R61" s="59">
        <v>-4.5699999999999998E-2</v>
      </c>
      <c r="S61" s="59">
        <v>0.1215</v>
      </c>
      <c r="T61" s="59">
        <v>-8.4699999999999998E-2</v>
      </c>
      <c r="U61" s="43"/>
      <c r="V61" s="43"/>
      <c r="W61" s="43"/>
      <c r="X61" s="43"/>
      <c r="Y61" s="43"/>
      <c r="Z61" s="43"/>
      <c r="AA61" s="43"/>
    </row>
    <row r="62" spans="1:27" ht="7.15" customHeight="1">
      <c r="B62" s="57"/>
      <c r="C62" s="57"/>
      <c r="D62" s="59"/>
      <c r="E62" s="57"/>
      <c r="F62" s="57"/>
      <c r="G62" s="59"/>
      <c r="H62" s="57"/>
      <c r="I62" s="57"/>
      <c r="J62" s="59"/>
      <c r="K62" s="57"/>
      <c r="L62" s="57"/>
      <c r="M62" s="357"/>
      <c r="N62" s="364" t="s">
        <v>0</v>
      </c>
      <c r="O62" s="58" t="s">
        <v>0</v>
      </c>
      <c r="P62" s="357"/>
      <c r="Q62" s="57"/>
      <c r="R62" s="59"/>
      <c r="S62" s="59"/>
      <c r="T62" s="59"/>
      <c r="U62" s="43"/>
      <c r="V62" s="43"/>
      <c r="W62" s="43"/>
      <c r="X62" s="43"/>
      <c r="Y62" s="43"/>
      <c r="Z62" s="43"/>
      <c r="AA62" s="43"/>
    </row>
    <row r="63" spans="1:27">
      <c r="A63" t="s">
        <v>201</v>
      </c>
      <c r="B63" s="57"/>
      <c r="C63" s="57"/>
      <c r="D63" s="59"/>
      <c r="E63" s="57"/>
      <c r="F63" s="57"/>
      <c r="G63" s="59"/>
      <c r="H63" s="57"/>
      <c r="I63" s="57"/>
      <c r="J63" s="59"/>
      <c r="K63" s="57"/>
      <c r="L63" s="57"/>
      <c r="M63" s="357"/>
      <c r="N63" s="57"/>
      <c r="O63" s="59"/>
      <c r="P63" s="357"/>
      <c r="Q63" s="57"/>
      <c r="R63" s="59"/>
      <c r="S63" s="59"/>
      <c r="T63" s="59"/>
      <c r="U63" s="43"/>
      <c r="V63" s="43"/>
      <c r="W63" s="43"/>
      <c r="X63" s="43"/>
      <c r="Y63" s="43"/>
      <c r="Z63" s="43"/>
      <c r="AA63" s="43"/>
    </row>
    <row r="64" spans="1:27">
      <c r="A64" t="s">
        <v>225</v>
      </c>
      <c r="B64" s="57">
        <v>0</v>
      </c>
      <c r="C64" s="59">
        <v>0.55859999999999999</v>
      </c>
      <c r="D64" s="59"/>
      <c r="E64" s="57">
        <v>0</v>
      </c>
      <c r="F64" s="359">
        <v>0.66169999999999995</v>
      </c>
      <c r="G64" s="59"/>
      <c r="H64" s="57">
        <v>0</v>
      </c>
      <c r="I64" s="57">
        <v>0</v>
      </c>
      <c r="J64" s="59"/>
      <c r="K64" s="57">
        <v>0</v>
      </c>
      <c r="L64" s="57">
        <v>0</v>
      </c>
      <c r="M64" s="357"/>
      <c r="N64" s="57">
        <v>0</v>
      </c>
      <c r="O64" s="59" t="e">
        <f>+'sysratfinclé '!#REF!</f>
        <v>#REF!</v>
      </c>
      <c r="P64" s="357"/>
      <c r="Q64" s="57">
        <v>0</v>
      </c>
      <c r="R64" s="59">
        <v>0.4723</v>
      </c>
      <c r="S64" s="59">
        <v>0.43430000000000002</v>
      </c>
      <c r="T64" s="59">
        <v>0.35570000000000002</v>
      </c>
      <c r="U64" s="43"/>
      <c r="V64" s="43"/>
      <c r="W64" s="43"/>
      <c r="X64" s="43"/>
      <c r="Y64" s="43"/>
      <c r="Z64" s="43"/>
      <c r="AA64" s="43"/>
    </row>
    <row r="65" spans="1:27" ht="7.15" customHeight="1">
      <c r="B65" s="57"/>
      <c r="C65" s="57"/>
      <c r="D65" s="59"/>
      <c r="E65" s="57"/>
      <c r="F65" s="57"/>
      <c r="G65" s="59"/>
      <c r="H65" s="57"/>
      <c r="I65" s="57"/>
      <c r="J65" s="59"/>
      <c r="K65" s="57"/>
      <c r="L65" s="57"/>
      <c r="M65" s="357"/>
      <c r="N65" s="57"/>
      <c r="O65" s="59"/>
      <c r="P65" s="357"/>
      <c r="Q65" s="57"/>
      <c r="R65" s="59"/>
      <c r="S65" s="59"/>
      <c r="T65" s="59"/>
      <c r="U65" s="43"/>
      <c r="V65" s="43"/>
      <c r="W65" s="43"/>
      <c r="X65" s="43"/>
      <c r="Y65" s="43"/>
      <c r="Z65" s="43"/>
      <c r="AA65" s="43"/>
    </row>
    <row r="66" spans="1:27">
      <c r="A66" t="s">
        <v>226</v>
      </c>
      <c r="B66" s="57">
        <v>0</v>
      </c>
      <c r="C66" s="59">
        <v>0.23150000000000001</v>
      </c>
      <c r="D66" s="56"/>
      <c r="E66" s="49">
        <v>0</v>
      </c>
      <c r="F66" s="995">
        <v>0.21129999999999999</v>
      </c>
      <c r="G66" s="56"/>
      <c r="H66" s="49">
        <v>0</v>
      </c>
      <c r="I66" s="49">
        <v>0</v>
      </c>
      <c r="J66" s="56"/>
      <c r="K66" s="49">
        <v>0</v>
      </c>
      <c r="L66" s="49">
        <v>0</v>
      </c>
      <c r="M66" s="358"/>
      <c r="N66" s="57">
        <v>0</v>
      </c>
      <c r="O66" s="59" t="e">
        <f>+'sysratfinclé '!#REF!</f>
        <v>#REF!</v>
      </c>
      <c r="P66" s="358"/>
      <c r="Q66" s="49">
        <v>0</v>
      </c>
      <c r="R66" s="56">
        <v>0.23749999999999999</v>
      </c>
      <c r="S66" s="56">
        <v>0.20130000000000001</v>
      </c>
      <c r="T66" s="56">
        <v>0.2135</v>
      </c>
    </row>
    <row r="67" spans="1:27" ht="7.15" customHeight="1">
      <c r="B67" s="49"/>
      <c r="C67" s="9"/>
      <c r="D67" s="56"/>
      <c r="E67" s="49"/>
      <c r="F67" s="49"/>
      <c r="G67" s="56"/>
      <c r="H67" s="49"/>
      <c r="I67" s="49"/>
      <c r="J67" s="56"/>
      <c r="K67" s="49"/>
      <c r="L67" s="49"/>
      <c r="M67" s="358"/>
      <c r="N67" s="49"/>
      <c r="O67" s="56"/>
      <c r="P67" s="358"/>
      <c r="Q67" s="49"/>
      <c r="R67" s="56"/>
      <c r="S67" s="56"/>
      <c r="T67" s="56"/>
    </row>
    <row r="68" spans="1:27">
      <c r="A68" t="s">
        <v>227</v>
      </c>
      <c r="B68" s="57">
        <v>0</v>
      </c>
      <c r="C68" s="59">
        <v>6.2600000000000003E-2</v>
      </c>
      <c r="D68" s="56"/>
      <c r="E68" s="49">
        <v>0</v>
      </c>
      <c r="F68" s="995">
        <v>4.0099999999999997E-2</v>
      </c>
      <c r="G68" s="56"/>
      <c r="H68" s="49">
        <v>0</v>
      </c>
      <c r="I68" s="49">
        <v>0</v>
      </c>
      <c r="J68" s="56"/>
      <c r="K68" s="49">
        <v>0</v>
      </c>
      <c r="L68" s="49">
        <v>0</v>
      </c>
      <c r="M68" s="358"/>
      <c r="N68" s="57">
        <v>0</v>
      </c>
      <c r="O68" s="59" t="e">
        <f>+'sysratfinclé '!#REF!</f>
        <v>#REF!</v>
      </c>
      <c r="P68" s="358"/>
      <c r="Q68" s="49">
        <v>0</v>
      </c>
      <c r="R68" s="56">
        <v>8.3799999999999999E-2</v>
      </c>
      <c r="S68" s="56">
        <v>7.1400000000000005E-2</v>
      </c>
      <c r="T68" s="56">
        <v>6.7900000000000002E-2</v>
      </c>
    </row>
    <row r="69" spans="1:27" ht="6" customHeight="1">
      <c r="B69" s="49"/>
      <c r="C69" s="9"/>
      <c r="D69" s="56"/>
      <c r="E69" s="49"/>
      <c r="F69" s="49"/>
      <c r="G69" s="56"/>
      <c r="H69" s="49"/>
      <c r="I69" s="49"/>
      <c r="J69" s="56"/>
      <c r="K69" s="49"/>
      <c r="L69" s="49"/>
      <c r="M69" s="358"/>
      <c r="N69" s="49"/>
      <c r="O69" s="56"/>
      <c r="P69" s="358"/>
      <c r="Q69" s="49"/>
      <c r="R69" s="56"/>
      <c r="S69" s="56"/>
      <c r="T69" s="56"/>
    </row>
    <row r="70" spans="1:27">
      <c r="A70" t="s">
        <v>204</v>
      </c>
      <c r="B70" s="49"/>
      <c r="C70" s="9"/>
      <c r="D70" s="56"/>
      <c r="E70" s="49"/>
      <c r="F70" s="49"/>
      <c r="G70" s="56"/>
      <c r="H70" s="49"/>
      <c r="I70" s="49"/>
      <c r="J70" s="56"/>
      <c r="K70" s="49"/>
      <c r="L70" s="49"/>
      <c r="M70" s="358"/>
      <c r="N70" s="49"/>
      <c r="O70" s="56"/>
      <c r="P70" s="358"/>
      <c r="Q70" s="49"/>
      <c r="R70" s="56"/>
      <c r="S70" s="56"/>
      <c r="T70" s="56"/>
    </row>
    <row r="71" spans="1:27">
      <c r="A71" t="s">
        <v>228</v>
      </c>
      <c r="B71" s="57">
        <v>0</v>
      </c>
      <c r="C71" s="59">
        <v>1.0911999999999999</v>
      </c>
      <c r="D71" s="56"/>
      <c r="E71" s="57">
        <v>0</v>
      </c>
      <c r="F71" s="359">
        <v>0.90469999999999995</v>
      </c>
      <c r="G71" s="56"/>
      <c r="H71" s="49">
        <v>0</v>
      </c>
      <c r="I71" s="49">
        <v>0</v>
      </c>
      <c r="J71" s="56"/>
      <c r="K71" s="49">
        <v>0</v>
      </c>
      <c r="L71" s="49">
        <v>0</v>
      </c>
      <c r="M71" s="358"/>
      <c r="N71" s="57">
        <v>0</v>
      </c>
      <c r="O71" s="59" t="e">
        <f>+'sysratfinclé '!#REF!</f>
        <v>#REF!</v>
      </c>
      <c r="P71" s="358"/>
      <c r="Q71" s="49">
        <v>0</v>
      </c>
      <c r="R71" s="56">
        <v>0.99109999999999998</v>
      </c>
      <c r="S71" s="56">
        <v>0.88839999999999997</v>
      </c>
      <c r="T71" s="56">
        <v>0.9889</v>
      </c>
    </row>
    <row r="72" spans="1:27">
      <c r="A72" t="s">
        <v>452</v>
      </c>
      <c r="B72" s="49"/>
      <c r="C72" s="9"/>
      <c r="D72" s="56"/>
      <c r="E72" s="49"/>
      <c r="F72" s="49"/>
      <c r="G72" s="56"/>
      <c r="H72" s="49"/>
      <c r="I72" s="49"/>
      <c r="J72" s="56"/>
      <c r="K72" s="49"/>
      <c r="L72" s="49"/>
      <c r="M72" s="358"/>
      <c r="N72" s="49"/>
      <c r="O72" s="358"/>
      <c r="P72" s="358"/>
      <c r="Q72" s="49"/>
      <c r="R72" s="56"/>
      <c r="S72" s="56"/>
      <c r="T72" s="56"/>
    </row>
    <row r="73" spans="1:27">
      <c r="B73" s="49"/>
      <c r="C73" s="9"/>
      <c r="D73" s="56"/>
      <c r="E73" s="49"/>
      <c r="F73" s="49"/>
      <c r="G73" s="56"/>
      <c r="H73" s="49"/>
      <c r="I73" s="49"/>
      <c r="J73" s="56"/>
      <c r="K73" s="49"/>
      <c r="L73" s="49"/>
      <c r="M73" s="358"/>
      <c r="N73" s="49"/>
      <c r="O73" s="358"/>
      <c r="P73" s="358"/>
      <c r="Q73" s="49"/>
      <c r="R73" s="56"/>
      <c r="S73" s="56"/>
      <c r="T73" s="56"/>
    </row>
    <row r="74" spans="1:27">
      <c r="A74" t="s">
        <v>453</v>
      </c>
      <c r="B74" s="49">
        <v>0</v>
      </c>
      <c r="C74" s="49">
        <v>595.17999999999995</v>
      </c>
      <c r="D74" s="56"/>
      <c r="E74" s="49">
        <v>0</v>
      </c>
      <c r="F74" s="49">
        <v>587.30999999999995</v>
      </c>
      <c r="G74" s="56"/>
      <c r="H74" s="49">
        <v>0</v>
      </c>
      <c r="I74" s="49">
        <v>0</v>
      </c>
      <c r="J74" s="56"/>
      <c r="K74" s="49">
        <v>0</v>
      </c>
      <c r="L74" s="49">
        <v>0</v>
      </c>
      <c r="M74" s="358"/>
      <c r="N74" s="57">
        <v>0</v>
      </c>
      <c r="O74" s="57" t="e">
        <f>+'sysratfinclé '!#REF!</f>
        <v>#REF!</v>
      </c>
      <c r="P74" s="358"/>
      <c r="Q74" s="49">
        <v>0</v>
      </c>
      <c r="R74" s="49">
        <v>597.63</v>
      </c>
      <c r="S74" s="49">
        <v>436.97</v>
      </c>
      <c r="T74" s="49">
        <v>669.99</v>
      </c>
    </row>
    <row r="75" spans="1:27" ht="16.5" thickBot="1">
      <c r="B75" s="19"/>
      <c r="C75" s="19"/>
      <c r="D75" s="19"/>
      <c r="E75" s="19"/>
      <c r="F75" s="19"/>
      <c r="G75" s="19"/>
      <c r="H75" s="19"/>
      <c r="I75" s="19"/>
      <c r="J75" s="19"/>
      <c r="K75" s="19"/>
      <c r="L75" s="19"/>
      <c r="M75" s="19"/>
      <c r="N75" s="19"/>
      <c r="O75" s="19"/>
      <c r="P75" s="19"/>
      <c r="Q75" s="354"/>
      <c r="R75" s="354"/>
      <c r="S75" s="354"/>
      <c r="T75" s="354"/>
    </row>
    <row r="77" spans="1:27">
      <c r="A77" t="s">
        <v>562</v>
      </c>
      <c r="O77" t="s">
        <v>563</v>
      </c>
    </row>
    <row r="78" spans="1:27">
      <c r="A78" t="s">
        <v>564</v>
      </c>
    </row>
  </sheetData>
  <pageMargins left="0.2" right="0.2" top="0.61" bottom="0.4" header="0.45" footer="0.25"/>
  <pageSetup scale="44"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0"/>
  <sheetViews>
    <sheetView topLeftCell="A4" workbookViewId="0">
      <pane xSplit="1" ySplit="4" topLeftCell="B8" activePane="bottomRight" state="frozen"/>
      <selection activeCell="A4" sqref="A4"/>
      <selection pane="topRight" activeCell="B4" sqref="B4"/>
      <selection pane="bottomLeft" activeCell="A8" sqref="A8"/>
      <selection pane="bottomRight" activeCell="B10" sqref="B10"/>
    </sheetView>
  </sheetViews>
  <sheetFormatPr defaultRowHeight="15.75"/>
  <cols>
    <col min="1" max="1" width="33.25" customWidth="1"/>
    <col min="2" max="2" width="17.62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11.3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8" width="15.75" style="12" customWidth="1"/>
    <col min="19" max="21" width="15.75" customWidth="1"/>
    <col min="22" max="256" width="11" customWidth="1"/>
  </cols>
  <sheetData>
    <row r="1" spans="1:21">
      <c r="A1" s="114" t="s">
        <v>565</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6" spans="1:21" ht="16.5" thickBot="1">
      <c r="I6" s="67" t="s">
        <v>566</v>
      </c>
      <c r="J6" s="123" t="s">
        <v>167</v>
      </c>
      <c r="K6" s="38"/>
      <c r="L6" s="37"/>
      <c r="M6" s="38"/>
      <c r="N6" s="37"/>
      <c r="O6" s="38"/>
      <c r="P6" s="37"/>
    </row>
    <row r="7" spans="1:21" s="2" customFormat="1" ht="16.5" thickBot="1">
      <c r="B7" s="223" t="s">
        <v>567</v>
      </c>
      <c r="C7" s="224" t="s">
        <v>169</v>
      </c>
      <c r="D7" s="225" t="s">
        <v>527</v>
      </c>
      <c r="E7" s="224" t="s">
        <v>169</v>
      </c>
      <c r="F7" s="225" t="s">
        <v>299</v>
      </c>
      <c r="G7" s="224" t="s">
        <v>169</v>
      </c>
      <c r="H7" s="225" t="s">
        <v>298</v>
      </c>
      <c r="I7" s="448" t="s">
        <v>568</v>
      </c>
      <c r="J7" s="228" t="s">
        <v>174</v>
      </c>
      <c r="K7" s="227" t="s">
        <v>169</v>
      </c>
      <c r="L7" s="228" t="s">
        <v>175</v>
      </c>
      <c r="M7" s="227" t="s">
        <v>169</v>
      </c>
      <c r="N7" s="228" t="s">
        <v>176</v>
      </c>
      <c r="O7" s="227" t="s">
        <v>169</v>
      </c>
      <c r="P7" s="228" t="s">
        <v>177</v>
      </c>
      <c r="Q7" s="80"/>
      <c r="R7" s="80"/>
      <c r="S7" s="18"/>
      <c r="T7" s="18"/>
      <c r="U7" s="18"/>
    </row>
    <row r="8" spans="1:21">
      <c r="A8" s="87" t="s">
        <v>243</v>
      </c>
      <c r="B8" s="125"/>
      <c r="C8" s="124"/>
      <c r="D8" s="125"/>
      <c r="E8" s="124"/>
      <c r="F8" s="125"/>
      <c r="G8" s="124"/>
      <c r="H8" s="125"/>
      <c r="I8" s="124"/>
      <c r="J8" s="219"/>
      <c r="K8" s="124"/>
      <c r="L8" s="219"/>
      <c r="M8" s="124"/>
      <c r="N8" s="219"/>
      <c r="O8" s="124"/>
      <c r="P8" s="219"/>
      <c r="Q8" s="14"/>
      <c r="R8" s="14"/>
      <c r="S8" s="9"/>
      <c r="T8" s="9"/>
      <c r="U8" s="9"/>
    </row>
    <row r="9" spans="1:21">
      <c r="A9" s="1" t="s">
        <v>264</v>
      </c>
      <c r="B9"/>
    </row>
    <row r="10" spans="1:21">
      <c r="A10" s="1" t="s">
        <v>265</v>
      </c>
      <c r="B10" s="12">
        <v>0</v>
      </c>
      <c r="C10" s="44">
        <v>0</v>
      </c>
      <c r="D10" s="12">
        <v>0</v>
      </c>
      <c r="E10" s="44">
        <v>0</v>
      </c>
      <c r="F10" s="12">
        <v>0</v>
      </c>
      <c r="G10" s="44">
        <v>0</v>
      </c>
      <c r="H10" s="12">
        <v>0</v>
      </c>
      <c r="I10" s="44">
        <v>0</v>
      </c>
      <c r="J10" s="12">
        <v>0</v>
      </c>
      <c r="K10" s="44">
        <v>0</v>
      </c>
      <c r="L10" s="12">
        <v>66853.3</v>
      </c>
      <c r="M10" s="47">
        <f t="shared" ref="M10:O22" si="0">+(L10-N10)/N10</f>
        <v>0.34108657755952354</v>
      </c>
      <c r="N10" s="12">
        <v>49850.1</v>
      </c>
      <c r="O10" s="47">
        <f t="shared" si="0"/>
        <v>0.25930386226330365</v>
      </c>
      <c r="P10" s="12">
        <f>39585442/1000</f>
        <v>39585.442000000003</v>
      </c>
    </row>
    <row r="11" spans="1:21">
      <c r="A11" s="1" t="s">
        <v>266</v>
      </c>
      <c r="B11" s="12">
        <v>0</v>
      </c>
      <c r="C11" s="44">
        <v>0</v>
      </c>
      <c r="D11" s="12">
        <v>0</v>
      </c>
      <c r="E11" s="44">
        <v>0</v>
      </c>
      <c r="F11" s="12">
        <v>0</v>
      </c>
      <c r="G11" s="44">
        <v>0</v>
      </c>
      <c r="H11" s="12">
        <v>0</v>
      </c>
      <c r="I11" s="44">
        <v>0</v>
      </c>
      <c r="J11" s="12">
        <v>0</v>
      </c>
      <c r="K11" s="44">
        <v>0</v>
      </c>
      <c r="L11" s="12">
        <v>266574.7</v>
      </c>
      <c r="M11" s="47">
        <f t="shared" si="0"/>
        <v>-0.17950380815926398</v>
      </c>
      <c r="N11" s="12">
        <v>324894.5</v>
      </c>
      <c r="O11" s="47">
        <f t="shared" si="0"/>
        <v>-6.3678658390018378E-2</v>
      </c>
      <c r="P11" s="12">
        <f>346990382/1000</f>
        <v>346990.38199999998</v>
      </c>
    </row>
    <row r="12" spans="1:21">
      <c r="A12" s="1" t="s">
        <v>267</v>
      </c>
      <c r="B12" s="12">
        <v>0</v>
      </c>
      <c r="C12" s="44">
        <v>0</v>
      </c>
      <c r="D12" s="12">
        <v>0</v>
      </c>
      <c r="E12" s="44">
        <v>0</v>
      </c>
      <c r="F12" s="12">
        <v>0</v>
      </c>
      <c r="G12" s="44">
        <v>0</v>
      </c>
      <c r="H12" s="12">
        <v>0</v>
      </c>
      <c r="I12" s="44">
        <v>0</v>
      </c>
      <c r="J12" s="12">
        <v>0</v>
      </c>
      <c r="K12" s="44">
        <v>0</v>
      </c>
      <c r="L12" s="12">
        <v>96504.5</v>
      </c>
      <c r="M12" s="47">
        <f t="shared" si="0"/>
        <v>0.36328512379181849</v>
      </c>
      <c r="N12" s="12">
        <v>70788.2</v>
      </c>
      <c r="O12" s="47">
        <f t="shared" si="0"/>
        <v>-0.20069609747080899</v>
      </c>
      <c r="P12" s="12">
        <f>88562310/1000</f>
        <v>88562.31</v>
      </c>
    </row>
    <row r="13" spans="1:21">
      <c r="A13" s="1" t="s">
        <v>268</v>
      </c>
      <c r="B13" s="12">
        <v>0</v>
      </c>
      <c r="C13" s="44">
        <v>0</v>
      </c>
      <c r="D13" s="12">
        <v>0</v>
      </c>
      <c r="E13" s="44">
        <v>0</v>
      </c>
      <c r="F13" s="12">
        <v>0</v>
      </c>
      <c r="G13" s="44">
        <v>0</v>
      </c>
      <c r="H13" s="12">
        <v>0</v>
      </c>
      <c r="I13" s="44">
        <v>0</v>
      </c>
      <c r="J13" s="12">
        <v>0</v>
      </c>
      <c r="K13" s="89">
        <v>0</v>
      </c>
      <c r="L13" s="12">
        <v>12006.4</v>
      </c>
      <c r="M13" s="44">
        <v>0</v>
      </c>
      <c r="N13" s="12">
        <v>6.3</v>
      </c>
      <c r="O13" s="44">
        <v>0</v>
      </c>
      <c r="P13" s="12">
        <v>0</v>
      </c>
    </row>
    <row r="14" spans="1:21">
      <c r="A14" s="1" t="s">
        <v>269</v>
      </c>
      <c r="B14" s="221">
        <v>0</v>
      </c>
      <c r="C14" s="44">
        <v>0</v>
      </c>
      <c r="D14" s="221">
        <v>0</v>
      </c>
      <c r="E14" s="44">
        <v>0</v>
      </c>
      <c r="F14" s="221">
        <v>0</v>
      </c>
      <c r="G14" s="44">
        <v>0</v>
      </c>
      <c r="H14" s="221">
        <v>0</v>
      </c>
      <c r="I14" s="44">
        <v>0</v>
      </c>
      <c r="J14" s="221">
        <v>0</v>
      </c>
      <c r="K14" s="44">
        <v>0</v>
      </c>
      <c r="L14" s="221">
        <f>15231.7+2292.2</f>
        <v>17523.900000000001</v>
      </c>
      <c r="M14" s="47">
        <f t="shared" si="0"/>
        <v>-0.52082000295319186</v>
      </c>
      <c r="N14" s="221">
        <v>36570.6</v>
      </c>
      <c r="O14" s="47">
        <f t="shared" si="0"/>
        <v>3.178272789550582</v>
      </c>
      <c r="P14" s="221">
        <f>8752564/1000</f>
        <v>8752.5640000000003</v>
      </c>
    </row>
    <row r="15" spans="1:21" ht="15.6" customHeight="1">
      <c r="A15" s="1"/>
      <c r="B15" s="12">
        <f>SUM(B10:B14)</f>
        <v>0</v>
      </c>
      <c r="C15" s="44">
        <v>0</v>
      </c>
      <c r="D15" s="12">
        <f>SUM(D10:D14)</f>
        <v>0</v>
      </c>
      <c r="E15" s="44">
        <v>0</v>
      </c>
      <c r="F15" s="12">
        <f>SUM(F10:F14)</f>
        <v>0</v>
      </c>
      <c r="G15" s="44">
        <v>0</v>
      </c>
      <c r="H15" s="12">
        <f>SUM(H10:H14)</f>
        <v>0</v>
      </c>
      <c r="I15" s="44">
        <v>0</v>
      </c>
      <c r="J15" s="12">
        <f>SUM(J10:J14)</f>
        <v>0</v>
      </c>
      <c r="K15" s="44">
        <v>0</v>
      </c>
      <c r="L15" s="12">
        <f>SUM(L10:L14)</f>
        <v>459462.80000000005</v>
      </c>
      <c r="M15" s="47">
        <f t="shared" si="0"/>
        <v>-4.6974578607316776E-2</v>
      </c>
      <c r="N15" s="12">
        <f>SUM(N10:N14)</f>
        <v>482109.69999999995</v>
      </c>
      <c r="O15" s="47">
        <f t="shared" si="0"/>
        <v>-3.6805791211965426E-3</v>
      </c>
      <c r="P15" s="12">
        <f>SUM(P10:P14)</f>
        <v>483890.69799999997</v>
      </c>
    </row>
    <row r="16" spans="1:21" ht="7.9" customHeight="1">
      <c r="A16" s="1"/>
      <c r="C16" s="44" t="s">
        <v>0</v>
      </c>
      <c r="E16" s="44" t="s">
        <v>0</v>
      </c>
      <c r="G16" s="44" t="s">
        <v>0</v>
      </c>
      <c r="I16" s="44" t="s">
        <v>0</v>
      </c>
      <c r="K16" s="44" t="s">
        <v>0</v>
      </c>
      <c r="M16" s="47" t="s">
        <v>0</v>
      </c>
      <c r="O16" s="47" t="s">
        <v>0</v>
      </c>
    </row>
    <row r="17" spans="1:16" ht="15.6" customHeight="1">
      <c r="A17" s="1" t="s">
        <v>270</v>
      </c>
      <c r="B17" s="12">
        <v>0</v>
      </c>
      <c r="C17" s="44">
        <v>0</v>
      </c>
      <c r="D17" s="12">
        <v>0</v>
      </c>
      <c r="E17" s="44">
        <v>0</v>
      </c>
      <c r="F17" s="12">
        <v>0</v>
      </c>
      <c r="G17" s="44">
        <v>0</v>
      </c>
      <c r="H17" s="12">
        <v>0</v>
      </c>
      <c r="I17" s="44">
        <v>0</v>
      </c>
      <c r="J17" s="12">
        <v>0</v>
      </c>
      <c r="K17" s="44">
        <v>0</v>
      </c>
      <c r="L17" s="12">
        <v>29000</v>
      </c>
      <c r="M17" s="47"/>
      <c r="N17" s="12">
        <v>0</v>
      </c>
      <c r="O17" s="47"/>
    </row>
    <row r="18" spans="1:16">
      <c r="A18" s="1" t="s">
        <v>271</v>
      </c>
      <c r="B18" s="12">
        <v>0</v>
      </c>
      <c r="C18" s="44">
        <v>0</v>
      </c>
      <c r="D18" s="12">
        <v>0</v>
      </c>
      <c r="E18" s="44">
        <v>0</v>
      </c>
      <c r="F18" s="12">
        <v>0</v>
      </c>
      <c r="G18" s="44">
        <v>0</v>
      </c>
      <c r="H18" s="12">
        <v>0</v>
      </c>
      <c r="I18" s="44">
        <v>0</v>
      </c>
      <c r="J18" s="12">
        <v>0</v>
      </c>
      <c r="K18" s="44">
        <v>0</v>
      </c>
      <c r="L18" s="12">
        <v>28652.9</v>
      </c>
      <c r="M18" s="47">
        <f t="shared" si="0"/>
        <v>326.46171428571432</v>
      </c>
      <c r="N18" s="12">
        <v>87.5</v>
      </c>
      <c r="O18" s="47">
        <f t="shared" si="0"/>
        <v>0.16666666666666666</v>
      </c>
      <c r="P18" s="12">
        <f>75000/1000</f>
        <v>75</v>
      </c>
    </row>
    <row r="19" spans="1:16">
      <c r="A19" s="1" t="s">
        <v>272</v>
      </c>
      <c r="B19" s="12">
        <v>0</v>
      </c>
      <c r="C19" s="44">
        <v>0</v>
      </c>
      <c r="D19" s="12">
        <v>0</v>
      </c>
      <c r="E19" s="44">
        <v>0</v>
      </c>
      <c r="F19" s="12">
        <v>0</v>
      </c>
      <c r="G19" s="44">
        <v>0</v>
      </c>
      <c r="H19" s="12">
        <v>0</v>
      </c>
      <c r="I19" s="44">
        <v>0</v>
      </c>
      <c r="J19" s="12">
        <v>0</v>
      </c>
      <c r="K19" s="44">
        <v>0</v>
      </c>
      <c r="L19" s="12">
        <v>610786</v>
      </c>
      <c r="M19" s="47">
        <f t="shared" si="0"/>
        <v>-0.17294330604940569</v>
      </c>
      <c r="N19" s="12">
        <v>738505.6</v>
      </c>
      <c r="O19" s="47">
        <f t="shared" si="0"/>
        <v>0.71118554162107039</v>
      </c>
      <c r="P19" s="12">
        <f>431575409/1000</f>
        <v>431575.40899999999</v>
      </c>
    </row>
    <row r="20" spans="1:16">
      <c r="A20" s="1" t="s">
        <v>273</v>
      </c>
      <c r="B20" s="12">
        <v>0</v>
      </c>
      <c r="C20" s="44">
        <v>0</v>
      </c>
      <c r="D20" s="12">
        <v>0</v>
      </c>
      <c r="E20" s="44">
        <v>0</v>
      </c>
      <c r="F20" s="12">
        <v>0</v>
      </c>
      <c r="G20" s="44">
        <v>0</v>
      </c>
      <c r="H20" s="12">
        <v>0</v>
      </c>
      <c r="I20" s="44">
        <v>0</v>
      </c>
      <c r="J20" s="12">
        <v>0</v>
      </c>
      <c r="K20" s="44">
        <v>0</v>
      </c>
      <c r="L20" s="12">
        <v>105285</v>
      </c>
      <c r="M20" s="47">
        <f t="shared" si="0"/>
        <v>-0.16326454382678621</v>
      </c>
      <c r="N20" s="12">
        <v>125828.3</v>
      </c>
      <c r="O20" s="47">
        <f t="shared" si="0"/>
        <v>5.7212288471796358</v>
      </c>
      <c r="P20" s="12">
        <f>18721026/1000</f>
        <v>18721.026000000002</v>
      </c>
    </row>
    <row r="21" spans="1:16" ht="16.5" thickBot="1">
      <c r="A21" s="1" t="s">
        <v>274</v>
      </c>
      <c r="B21" s="99">
        <v>0</v>
      </c>
      <c r="C21" s="44">
        <v>0</v>
      </c>
      <c r="D21" s="99">
        <v>0</v>
      </c>
      <c r="E21" s="44">
        <v>0</v>
      </c>
      <c r="F21" s="99">
        <v>0</v>
      </c>
      <c r="G21" s="44">
        <v>0</v>
      </c>
      <c r="H21" s="99">
        <v>0</v>
      </c>
      <c r="I21" s="44">
        <v>0</v>
      </c>
      <c r="J21" s="99">
        <v>0</v>
      </c>
      <c r="K21" s="44">
        <v>0</v>
      </c>
      <c r="L21" s="99">
        <v>79819</v>
      </c>
      <c r="M21" s="47">
        <f t="shared" si="0"/>
        <v>0.39611315269807224</v>
      </c>
      <c r="N21" s="99">
        <v>57172.3</v>
      </c>
      <c r="O21" s="47">
        <f t="shared" si="0"/>
        <v>2.5146455603796061</v>
      </c>
      <c r="P21" s="99">
        <f>16266875/1000</f>
        <v>16266.875</v>
      </c>
    </row>
    <row r="22" spans="1:16">
      <c r="A22" s="1" t="s">
        <v>275</v>
      </c>
      <c r="B22" s="4">
        <f>SUM(B15:B21)</f>
        <v>0</v>
      </c>
      <c r="C22" s="44">
        <v>0</v>
      </c>
      <c r="D22" s="4">
        <f>SUM(D15:D21)</f>
        <v>0</v>
      </c>
      <c r="E22" s="42">
        <v>0</v>
      </c>
      <c r="F22" s="4">
        <f>SUM(F15:F21)</f>
        <v>0</v>
      </c>
      <c r="G22" s="42">
        <v>0</v>
      </c>
      <c r="H22" s="4">
        <f>SUM(H15:H21)</f>
        <v>0</v>
      </c>
      <c r="I22" s="44">
        <v>0</v>
      </c>
      <c r="J22" s="4">
        <f>SUM(J15:J21)</f>
        <v>0</v>
      </c>
      <c r="K22" s="44">
        <v>0</v>
      </c>
      <c r="L22" s="4">
        <f>SUM(L15:L21)</f>
        <v>1313005.7000000002</v>
      </c>
      <c r="M22" s="47">
        <f t="shared" si="0"/>
        <v>-6.4613084545715349E-2</v>
      </c>
      <c r="N22" s="4">
        <f>SUM(N15:N21)-0.1</f>
        <v>1403703.2999999998</v>
      </c>
      <c r="O22" s="47">
        <f t="shared" si="0"/>
        <v>0.47676008642126566</v>
      </c>
      <c r="P22" s="4">
        <f>SUM(P15:P21)</f>
        <v>950529.00799999991</v>
      </c>
    </row>
    <row r="23" spans="1:16" ht="7.9" customHeight="1">
      <c r="A23" s="1"/>
      <c r="C23" s="44" t="s">
        <v>0</v>
      </c>
      <c r="E23" s="44" t="s">
        <v>0</v>
      </c>
      <c r="G23" s="44" t="s">
        <v>0</v>
      </c>
      <c r="I23" s="44" t="s">
        <v>0</v>
      </c>
      <c r="K23" s="44" t="s">
        <v>0</v>
      </c>
      <c r="M23" s="47" t="s">
        <v>0</v>
      </c>
      <c r="O23" s="47" t="s">
        <v>0</v>
      </c>
    </row>
    <row r="24" spans="1:16">
      <c r="A24" s="87" t="s">
        <v>276</v>
      </c>
      <c r="C24" s="44" t="s">
        <v>0</v>
      </c>
      <c r="E24" s="44" t="s">
        <v>0</v>
      </c>
      <c r="G24" s="44" t="s">
        <v>0</v>
      </c>
      <c r="I24" s="44" t="s">
        <v>0</v>
      </c>
      <c r="K24" s="44" t="s">
        <v>0</v>
      </c>
      <c r="M24" s="47" t="s">
        <v>0</v>
      </c>
      <c r="O24" s="47" t="s">
        <v>0</v>
      </c>
    </row>
    <row r="25" spans="1:16">
      <c r="A25" s="1" t="s">
        <v>277</v>
      </c>
      <c r="C25" s="44" t="s">
        <v>0</v>
      </c>
      <c r="E25" s="44" t="s">
        <v>0</v>
      </c>
      <c r="G25" s="44" t="s">
        <v>0</v>
      </c>
      <c r="I25" s="44" t="s">
        <v>0</v>
      </c>
      <c r="K25" s="44" t="s">
        <v>0</v>
      </c>
      <c r="M25" s="47" t="s">
        <v>0</v>
      </c>
      <c r="O25" s="47" t="s">
        <v>0</v>
      </c>
    </row>
    <row r="26" spans="1:16">
      <c r="A26" s="1" t="s">
        <v>456</v>
      </c>
      <c r="B26" s="12">
        <v>0</v>
      </c>
      <c r="C26" s="44">
        <v>0</v>
      </c>
      <c r="D26" s="12">
        <v>0</v>
      </c>
      <c r="E26" s="44">
        <v>0</v>
      </c>
      <c r="F26" s="12">
        <v>0</v>
      </c>
      <c r="G26" s="44">
        <v>0</v>
      </c>
      <c r="H26" s="12">
        <v>0</v>
      </c>
      <c r="I26" s="44">
        <v>0</v>
      </c>
      <c r="J26" s="12">
        <v>0</v>
      </c>
      <c r="K26" s="44">
        <v>0</v>
      </c>
      <c r="L26" s="12">
        <v>262370.90000000002</v>
      </c>
      <c r="M26" s="47">
        <f>+(L26-N26)/N26</f>
        <v>0.26350034191491628</v>
      </c>
      <c r="N26" s="12">
        <v>207654</v>
      </c>
      <c r="O26" s="47">
        <f>+(N26-P26)/P26</f>
        <v>0.47053451883868919</v>
      </c>
      <c r="P26" s="12">
        <f>141209878/1000</f>
        <v>141209.878</v>
      </c>
    </row>
    <row r="27" spans="1:16">
      <c r="A27" s="1" t="s">
        <v>279</v>
      </c>
      <c r="B27" s="12">
        <v>0</v>
      </c>
      <c r="C27" s="44">
        <v>0</v>
      </c>
      <c r="D27" s="12">
        <v>0</v>
      </c>
      <c r="E27" s="44">
        <v>0</v>
      </c>
      <c r="F27" s="12">
        <v>0</v>
      </c>
      <c r="G27" s="44">
        <v>0</v>
      </c>
      <c r="H27" s="12">
        <v>0</v>
      </c>
      <c r="I27" s="44">
        <v>0</v>
      </c>
      <c r="J27" s="12">
        <v>0</v>
      </c>
      <c r="K27" s="44">
        <v>0</v>
      </c>
      <c r="L27" s="12">
        <v>446803.6</v>
      </c>
      <c r="M27" s="47">
        <f>+(L27-N27)/N27</f>
        <v>0.14979955871522002</v>
      </c>
      <c r="N27" s="12">
        <v>388592.6</v>
      </c>
      <c r="O27" s="47">
        <f>+(N27-P27)/P27</f>
        <v>0.12047443047976843</v>
      </c>
      <c r="P27" s="12">
        <f>346810770/1000</f>
        <v>346810.77</v>
      </c>
    </row>
    <row r="28" spans="1:16">
      <c r="A28" s="1" t="s">
        <v>280</v>
      </c>
      <c r="B28" s="221">
        <v>0</v>
      </c>
      <c r="C28" s="44">
        <v>0</v>
      </c>
      <c r="D28" s="221">
        <v>0</v>
      </c>
      <c r="E28" s="44">
        <v>0</v>
      </c>
      <c r="F28" s="221">
        <v>0</v>
      </c>
      <c r="G28" s="44">
        <v>0</v>
      </c>
      <c r="H28" s="221">
        <v>0</v>
      </c>
      <c r="I28" s="44">
        <v>0</v>
      </c>
      <c r="J28" s="221">
        <v>0</v>
      </c>
      <c r="K28" s="44">
        <v>0</v>
      </c>
      <c r="L28" s="221">
        <v>344181.2</v>
      </c>
      <c r="M28" s="47">
        <f>+(L28-N28)/N28</f>
        <v>-0.30132232277342685</v>
      </c>
      <c r="N28" s="221">
        <v>492618</v>
      </c>
      <c r="O28" s="47">
        <f>+(N28-P28)/P28</f>
        <v>0.22218767147232771</v>
      </c>
      <c r="P28" s="221">
        <f>403062485/1000</f>
        <v>403062.48499999999</v>
      </c>
    </row>
    <row r="29" spans="1:16">
      <c r="A29" s="1"/>
      <c r="B29" s="12">
        <f>SUM(B26:B28)</f>
        <v>0</v>
      </c>
      <c r="C29" s="44">
        <v>0</v>
      </c>
      <c r="D29" s="12">
        <f>SUM(D26:D28)</f>
        <v>0</v>
      </c>
      <c r="E29" s="44">
        <v>0</v>
      </c>
      <c r="F29" s="12">
        <f>SUM(F26:F28)</f>
        <v>0</v>
      </c>
      <c r="G29" s="44">
        <v>0</v>
      </c>
      <c r="H29" s="12">
        <f>SUM(H26:H28)</f>
        <v>0</v>
      </c>
      <c r="I29" s="44">
        <v>0</v>
      </c>
      <c r="J29" s="12">
        <f>SUM(J26:J28)</f>
        <v>0</v>
      </c>
      <c r="K29" s="44">
        <v>0</v>
      </c>
      <c r="L29" s="12">
        <f>SUM(L26:L28)</f>
        <v>1053355.7</v>
      </c>
      <c r="M29" s="47">
        <f>+(L29-N29)/N29</f>
        <v>-3.2610941709373356E-2</v>
      </c>
      <c r="N29" s="12">
        <f>SUM(N26:N28)</f>
        <v>1088864.6000000001</v>
      </c>
      <c r="O29" s="47">
        <f>+(N29-P29)/P29</f>
        <v>0.22195624591628316</v>
      </c>
      <c r="P29" s="12">
        <f>SUM(P26:P28)</f>
        <v>891083.13300000003</v>
      </c>
    </row>
    <row r="30" spans="1:16" ht="7.9" customHeight="1">
      <c r="A30" s="1"/>
      <c r="C30" s="44" t="s">
        <v>0</v>
      </c>
      <c r="E30" s="44" t="s">
        <v>0</v>
      </c>
      <c r="G30" s="44" t="s">
        <v>0</v>
      </c>
      <c r="I30" s="44" t="s">
        <v>0</v>
      </c>
      <c r="K30" s="44" t="s">
        <v>0</v>
      </c>
      <c r="M30" s="47" t="s">
        <v>0</v>
      </c>
      <c r="O30" s="47" t="s">
        <v>0</v>
      </c>
    </row>
    <row r="31" spans="1:16">
      <c r="A31" s="1" t="s">
        <v>281</v>
      </c>
      <c r="C31" s="44" t="s">
        <v>0</v>
      </c>
      <c r="E31" s="44" t="s">
        <v>0</v>
      </c>
      <c r="G31" s="44" t="s">
        <v>0</v>
      </c>
      <c r="I31" s="44" t="s">
        <v>0</v>
      </c>
      <c r="K31" s="44" t="s">
        <v>0</v>
      </c>
      <c r="M31" s="47" t="s">
        <v>0</v>
      </c>
      <c r="O31" s="47" t="s">
        <v>0</v>
      </c>
    </row>
    <row r="32" spans="1:16">
      <c r="A32" s="1" t="s">
        <v>282</v>
      </c>
      <c r="B32" s="12">
        <v>0</v>
      </c>
      <c r="C32" s="44">
        <v>0</v>
      </c>
      <c r="D32" s="12">
        <v>0</v>
      </c>
      <c r="E32" s="44">
        <v>0</v>
      </c>
      <c r="F32" s="12">
        <v>0</v>
      </c>
      <c r="G32" s="883">
        <v>0</v>
      </c>
      <c r="H32" s="12">
        <v>0</v>
      </c>
      <c r="I32" s="44">
        <v>0</v>
      </c>
      <c r="J32" s="12">
        <v>0</v>
      </c>
      <c r="K32" s="44">
        <v>0</v>
      </c>
      <c r="L32" s="12">
        <v>45736.3</v>
      </c>
      <c r="M32" s="47">
        <f>+(L32-N32)/N32</f>
        <v>-0.54761280673868118</v>
      </c>
      <c r="N32" s="12">
        <v>101099.9</v>
      </c>
      <c r="O32" s="44">
        <v>0</v>
      </c>
      <c r="P32" s="12">
        <f>16490822/1000</f>
        <v>16490.822</v>
      </c>
    </row>
    <row r="33" spans="1:21">
      <c r="A33" s="1" t="s">
        <v>283</v>
      </c>
      <c r="B33" s="12">
        <v>0</v>
      </c>
      <c r="C33" s="44">
        <v>0</v>
      </c>
      <c r="D33" s="12">
        <f>+D140</f>
        <v>0</v>
      </c>
      <c r="E33" s="44">
        <v>0</v>
      </c>
      <c r="F33" s="12">
        <f>+F140</f>
        <v>0</v>
      </c>
      <c r="G33" s="44">
        <v>0</v>
      </c>
      <c r="H33" s="12">
        <f>+H140</f>
        <v>0</v>
      </c>
      <c r="I33" s="44">
        <v>0</v>
      </c>
      <c r="J33" s="12">
        <f>+J140</f>
        <v>0</v>
      </c>
      <c r="K33" s="44">
        <v>0</v>
      </c>
      <c r="L33" s="12">
        <f>+L140</f>
        <v>0</v>
      </c>
      <c r="M33" s="44">
        <v>0</v>
      </c>
      <c r="N33" s="12">
        <v>0</v>
      </c>
      <c r="O33" s="44">
        <v>0</v>
      </c>
      <c r="P33" s="12">
        <v>0</v>
      </c>
    </row>
    <row r="34" spans="1:21" ht="18">
      <c r="A34" s="1" t="s">
        <v>284</v>
      </c>
      <c r="B34" s="221">
        <v>0</v>
      </c>
      <c r="C34" s="44">
        <v>0</v>
      </c>
      <c r="D34" s="221">
        <v>0</v>
      </c>
      <c r="E34" s="44">
        <v>0</v>
      </c>
      <c r="F34" s="221">
        <v>0</v>
      </c>
      <c r="G34" s="44">
        <v>0</v>
      </c>
      <c r="H34" s="221">
        <v>0</v>
      </c>
      <c r="I34" s="44">
        <v>0</v>
      </c>
      <c r="J34" s="221">
        <v>0</v>
      </c>
      <c r="K34" s="44">
        <v>0</v>
      </c>
      <c r="L34" s="221">
        <f>62624.8+439.5-4.5+16272+1455.3+1352.2</f>
        <v>82139.3</v>
      </c>
      <c r="M34" s="47">
        <f>+(L34-N34)/N34</f>
        <v>1.0363466429991621</v>
      </c>
      <c r="N34" s="221">
        <v>40336.6</v>
      </c>
      <c r="O34" s="47">
        <f>+(N34-P34)/P34</f>
        <v>0.86885421657435358</v>
      </c>
      <c r="P34" s="221">
        <f>21583599/1000</f>
        <v>21583.598999999998</v>
      </c>
      <c r="Q34" s="6"/>
      <c r="R34" s="6"/>
      <c r="S34" s="7"/>
      <c r="T34" s="7"/>
      <c r="U34" s="7"/>
    </row>
    <row r="35" spans="1:21">
      <c r="A35" s="1"/>
      <c r="B35" s="12">
        <f>SUM(B32:B34)</f>
        <v>0</v>
      </c>
      <c r="C35" s="44">
        <v>0</v>
      </c>
      <c r="D35" s="12">
        <f>SUM(D32:D34)</f>
        <v>0</v>
      </c>
      <c r="E35" s="44">
        <v>0</v>
      </c>
      <c r="F35" s="12">
        <f>SUM(F32:F34)</f>
        <v>0</v>
      </c>
      <c r="G35" s="44">
        <v>0</v>
      </c>
      <c r="H35" s="12">
        <f>SUM(H32:H34)</f>
        <v>0</v>
      </c>
      <c r="I35" s="44">
        <v>0</v>
      </c>
      <c r="J35" s="12">
        <f>SUM(J32:J34)</f>
        <v>0</v>
      </c>
      <c r="K35" s="44">
        <v>0</v>
      </c>
      <c r="L35" s="12">
        <f>SUM(L32:L34)</f>
        <v>127875.6</v>
      </c>
      <c r="M35" s="47">
        <f>+(L35-N35)/N35</f>
        <v>-9.5879776436775477E-2</v>
      </c>
      <c r="N35" s="12">
        <f>SUM(N32:N34)</f>
        <v>141436.5</v>
      </c>
      <c r="O35" s="47">
        <f>+(N35-P35)/P35</f>
        <v>2.7147380389579658</v>
      </c>
      <c r="P35" s="12">
        <f>SUM(P32:P34)</f>
        <v>38074.421000000002</v>
      </c>
    </row>
    <row r="36" spans="1:21" ht="7.15" customHeight="1">
      <c r="A36" s="1"/>
      <c r="C36" s="44" t="s">
        <v>0</v>
      </c>
      <c r="E36" s="44" t="s">
        <v>0</v>
      </c>
      <c r="G36" s="44" t="s">
        <v>0</v>
      </c>
      <c r="I36" s="44" t="s">
        <v>0</v>
      </c>
      <c r="K36" s="44" t="s">
        <v>0</v>
      </c>
      <c r="M36" s="47" t="s">
        <v>0</v>
      </c>
      <c r="O36" s="47" t="s">
        <v>0</v>
      </c>
    </row>
    <row r="37" spans="1:21">
      <c r="A37" s="1" t="s">
        <v>285</v>
      </c>
      <c r="C37" s="44" t="s">
        <v>0</v>
      </c>
      <c r="E37" s="44" t="s">
        <v>0</v>
      </c>
      <c r="G37" s="44" t="s">
        <v>0</v>
      </c>
      <c r="I37" s="44" t="s">
        <v>0</v>
      </c>
      <c r="K37" s="44" t="s">
        <v>0</v>
      </c>
      <c r="M37" s="47" t="s">
        <v>0</v>
      </c>
      <c r="O37" s="47" t="s">
        <v>0</v>
      </c>
    </row>
    <row r="38" spans="1:21">
      <c r="A38" s="1" t="s">
        <v>282</v>
      </c>
      <c r="B38" s="12">
        <v>0</v>
      </c>
      <c r="C38" s="44">
        <v>0</v>
      </c>
      <c r="D38" s="12">
        <v>0</v>
      </c>
      <c r="E38" s="44">
        <v>0</v>
      </c>
      <c r="F38" s="12">
        <v>0</v>
      </c>
      <c r="G38" s="44">
        <v>0</v>
      </c>
      <c r="H38" s="12">
        <f t="shared" ref="H38:J39" si="1">+H146</f>
        <v>0</v>
      </c>
      <c r="I38" s="44">
        <v>0</v>
      </c>
      <c r="J38" s="12">
        <f t="shared" si="1"/>
        <v>0</v>
      </c>
      <c r="K38" s="44">
        <v>0</v>
      </c>
      <c r="L38" s="12">
        <f>+L146</f>
        <v>0</v>
      </c>
      <c r="M38" s="44">
        <v>0</v>
      </c>
      <c r="N38" s="12">
        <v>0</v>
      </c>
      <c r="O38" s="44">
        <v>0</v>
      </c>
      <c r="P38" s="12">
        <v>0</v>
      </c>
    </row>
    <row r="39" spans="1:21">
      <c r="A39" s="1" t="s">
        <v>286</v>
      </c>
      <c r="B39" s="12">
        <v>0</v>
      </c>
      <c r="C39" s="44">
        <v>0</v>
      </c>
      <c r="D39" s="12">
        <v>0</v>
      </c>
      <c r="E39" s="44">
        <v>0</v>
      </c>
      <c r="F39" s="12">
        <v>0</v>
      </c>
      <c r="G39" s="44">
        <v>0</v>
      </c>
      <c r="H39" s="12">
        <f t="shared" si="1"/>
        <v>0</v>
      </c>
      <c r="I39" s="44">
        <v>0</v>
      </c>
      <c r="J39" s="12">
        <f t="shared" si="1"/>
        <v>0</v>
      </c>
      <c r="K39" s="44">
        <v>0</v>
      </c>
      <c r="L39" s="12">
        <f>+L147</f>
        <v>0</v>
      </c>
      <c r="M39" s="44">
        <v>0</v>
      </c>
      <c r="N39" s="12">
        <v>36404.400000000001</v>
      </c>
      <c r="O39" s="44">
        <v>0</v>
      </c>
      <c r="P39" s="12">
        <v>0</v>
      </c>
    </row>
    <row r="40" spans="1:21">
      <c r="A40" s="1" t="s">
        <v>284</v>
      </c>
      <c r="B40" s="221">
        <v>0</v>
      </c>
      <c r="C40" s="44">
        <v>0</v>
      </c>
      <c r="D40" s="221">
        <v>0</v>
      </c>
      <c r="E40" s="44">
        <v>0</v>
      </c>
      <c r="F40" s="221">
        <v>0</v>
      </c>
      <c r="G40" s="44">
        <v>0</v>
      </c>
      <c r="H40" s="221">
        <v>0</v>
      </c>
      <c r="I40" s="44">
        <v>0</v>
      </c>
      <c r="J40" s="221">
        <v>0</v>
      </c>
      <c r="K40" s="44">
        <v>0</v>
      </c>
      <c r="L40" s="221">
        <v>12128.9</v>
      </c>
      <c r="M40" s="47">
        <f>+(L40-N40)/N40</f>
        <v>0.28405217133540839</v>
      </c>
      <c r="N40" s="221">
        <v>9445.7999999999993</v>
      </c>
      <c r="O40" s="47">
        <f>+(N40-P40)/P40</f>
        <v>9.5445647344602236</v>
      </c>
      <c r="P40" s="221">
        <f>895798/1000</f>
        <v>895.798</v>
      </c>
    </row>
    <row r="41" spans="1:21">
      <c r="A41" s="1"/>
      <c r="B41" s="12">
        <f>SUM(B38:B40)</f>
        <v>0</v>
      </c>
      <c r="C41" s="44">
        <v>0</v>
      </c>
      <c r="D41" s="12">
        <f>SUM(D38:D40)</f>
        <v>0</v>
      </c>
      <c r="E41" s="44">
        <v>0</v>
      </c>
      <c r="F41" s="12">
        <f>SUM(F38:F40)</f>
        <v>0</v>
      </c>
      <c r="G41" s="44">
        <v>0</v>
      </c>
      <c r="H41" s="12">
        <f>SUM(H38:H40)</f>
        <v>0</v>
      </c>
      <c r="I41" s="44">
        <v>0</v>
      </c>
      <c r="J41" s="12">
        <f>SUM(J38:J40)</f>
        <v>0</v>
      </c>
      <c r="K41" s="44">
        <v>0</v>
      </c>
      <c r="L41" s="12">
        <f>SUM(L38:L40)</f>
        <v>12128.9</v>
      </c>
      <c r="M41" s="47">
        <f>+(L41-N41)/N41</f>
        <v>-0.73546680276203802</v>
      </c>
      <c r="N41" s="12">
        <f>SUM(N38:N40)</f>
        <v>45850.2</v>
      </c>
      <c r="O41" s="47">
        <f>+(N41-P41)/P41</f>
        <v>50.183637382534897</v>
      </c>
      <c r="P41" s="12">
        <f>SUM(P38:P40)</f>
        <v>895.798</v>
      </c>
    </row>
    <row r="42" spans="1:21" ht="8.4499999999999993" customHeight="1">
      <c r="A42" s="1"/>
      <c r="C42" s="44" t="s">
        <v>0</v>
      </c>
      <c r="E42" s="44" t="s">
        <v>0</v>
      </c>
      <c r="G42" s="44" t="s">
        <v>0</v>
      </c>
      <c r="I42" s="44" t="s">
        <v>0</v>
      </c>
      <c r="K42" s="44" t="s">
        <v>0</v>
      </c>
      <c r="M42" s="47" t="s">
        <v>0</v>
      </c>
      <c r="O42" s="47" t="s">
        <v>0</v>
      </c>
    </row>
    <row r="43" spans="1:21" ht="18">
      <c r="A43" s="1" t="s">
        <v>287</v>
      </c>
      <c r="B43" s="221">
        <v>0</v>
      </c>
      <c r="C43" s="44">
        <v>0</v>
      </c>
      <c r="D43" s="221">
        <v>0</v>
      </c>
      <c r="E43" s="44">
        <v>0</v>
      </c>
      <c r="F43" s="221">
        <v>0</v>
      </c>
      <c r="G43" s="44">
        <v>0</v>
      </c>
      <c r="H43" s="221">
        <v>0</v>
      </c>
      <c r="I43" s="44">
        <v>0</v>
      </c>
      <c r="J43" s="221">
        <v>0</v>
      </c>
      <c r="K43" s="44">
        <v>0</v>
      </c>
      <c r="L43" s="221">
        <v>38461.4</v>
      </c>
      <c r="M43" s="47">
        <f>+(L43-N43)/N43</f>
        <v>-0.14961086052887587</v>
      </c>
      <c r="N43" s="221">
        <v>45228</v>
      </c>
      <c r="O43" s="47">
        <f>+(N43-P43)/P43</f>
        <v>2.4859767436608569</v>
      </c>
      <c r="P43" s="221">
        <f>12974269/1000</f>
        <v>12974.269</v>
      </c>
      <c r="Q43" s="6"/>
      <c r="R43" s="6"/>
    </row>
    <row r="44" spans="1:21">
      <c r="A44" s="1"/>
      <c r="B44" s="12">
        <f>+B29+B35+B41+B43</f>
        <v>0</v>
      </c>
      <c r="C44" s="44">
        <v>0</v>
      </c>
      <c r="D44" s="12">
        <f>+D29+D35+D41+D43</f>
        <v>0</v>
      </c>
      <c r="E44" s="44">
        <v>0</v>
      </c>
      <c r="F44" s="12">
        <f>+F29+F35+F41+F43</f>
        <v>0</v>
      </c>
      <c r="G44" s="44">
        <v>0</v>
      </c>
      <c r="H44" s="12">
        <f>+H29+H35+H41+H43</f>
        <v>0</v>
      </c>
      <c r="I44" s="44">
        <v>0</v>
      </c>
      <c r="J44" s="12">
        <f>+J29+J35+J41+J43</f>
        <v>0</v>
      </c>
      <c r="K44" s="44">
        <v>0</v>
      </c>
      <c r="L44" s="12">
        <f>+L29+L35+L41+L43</f>
        <v>1231821.5999999999</v>
      </c>
      <c r="M44" s="47">
        <f>+(L44-N44)/N44</f>
        <v>-6.7775921720584081E-2</v>
      </c>
      <c r="N44" s="12">
        <f>+N29+N35+N41+N43</f>
        <v>1321379.3</v>
      </c>
      <c r="O44" s="47">
        <f>+(N44-P44)/P44</f>
        <v>0.40120954102997597</v>
      </c>
      <c r="P44" s="12">
        <f>+P29+P35+P41+P43</f>
        <v>943027.62099999993</v>
      </c>
    </row>
    <row r="45" spans="1:21" ht="8.4499999999999993" customHeight="1">
      <c r="A45" s="1"/>
      <c r="C45" s="44" t="s">
        <v>0</v>
      </c>
      <c r="E45" s="44" t="s">
        <v>0</v>
      </c>
      <c r="G45" s="44" t="s">
        <v>0</v>
      </c>
      <c r="I45" s="44" t="s">
        <v>0</v>
      </c>
      <c r="K45" s="44" t="s">
        <v>0</v>
      </c>
      <c r="M45" s="47" t="s">
        <v>0</v>
      </c>
      <c r="O45" s="47" t="s">
        <v>0</v>
      </c>
    </row>
    <row r="46" spans="1:21">
      <c r="A46" s="87" t="s">
        <v>288</v>
      </c>
      <c r="C46" s="44" t="s">
        <v>0</v>
      </c>
      <c r="E46" s="44" t="s">
        <v>0</v>
      </c>
      <c r="G46" s="44" t="s">
        <v>0</v>
      </c>
      <c r="I46" s="44" t="s">
        <v>0</v>
      </c>
      <c r="K46" s="44" t="s">
        <v>0</v>
      </c>
      <c r="M46" s="47" t="s">
        <v>0</v>
      </c>
      <c r="O46" s="47" t="s">
        <v>0</v>
      </c>
    </row>
    <row r="47" spans="1:21">
      <c r="A47" s="1" t="s">
        <v>289</v>
      </c>
      <c r="B47" s="12">
        <v>0</v>
      </c>
      <c r="C47" s="44">
        <v>0</v>
      </c>
      <c r="D47" s="12">
        <v>0</v>
      </c>
      <c r="E47" s="44">
        <v>0</v>
      </c>
      <c r="F47" s="12">
        <v>0</v>
      </c>
      <c r="G47" s="44">
        <v>0</v>
      </c>
      <c r="H47" s="12">
        <v>0</v>
      </c>
      <c r="I47" s="44">
        <v>0</v>
      </c>
      <c r="J47" s="12">
        <v>0</v>
      </c>
      <c r="K47" s="44">
        <v>0</v>
      </c>
      <c r="L47" s="12">
        <v>90145.2</v>
      </c>
      <c r="M47" s="47">
        <f>+(L47-N47)/N47</f>
        <v>0.18550334299496565</v>
      </c>
      <c r="N47" s="12">
        <v>76039.600000000006</v>
      </c>
      <c r="O47" s="47">
        <f>+(N47-P47)/P47</f>
        <v>14.207920000000001</v>
      </c>
      <c r="P47" s="12">
        <f>5000000/1000</f>
        <v>5000</v>
      </c>
    </row>
    <row r="48" spans="1:21">
      <c r="A48" s="1" t="s">
        <v>290</v>
      </c>
      <c r="B48" s="12">
        <v>0</v>
      </c>
      <c r="C48" s="44">
        <v>0</v>
      </c>
      <c r="D48" s="12">
        <v>0</v>
      </c>
      <c r="E48" s="44">
        <v>0</v>
      </c>
      <c r="F48" s="12">
        <v>0</v>
      </c>
      <c r="G48" s="44">
        <v>0</v>
      </c>
      <c r="H48" s="12">
        <v>0</v>
      </c>
      <c r="I48" s="44">
        <v>0</v>
      </c>
      <c r="J48" s="12">
        <v>0</v>
      </c>
      <c r="K48" s="44">
        <v>0</v>
      </c>
      <c r="L48" s="12">
        <v>2500</v>
      </c>
      <c r="M48" s="47">
        <f>+(L48-N48)/N48</f>
        <v>0</v>
      </c>
      <c r="N48" s="12">
        <f>2500000/1000</f>
        <v>2500</v>
      </c>
      <c r="O48" s="47">
        <f>+(N48-P48)/P48</f>
        <v>0</v>
      </c>
      <c r="P48" s="12">
        <f>2500000/1000</f>
        <v>2500</v>
      </c>
    </row>
    <row r="49" spans="1:21">
      <c r="A49" s="1" t="s">
        <v>302</v>
      </c>
      <c r="B49" s="12">
        <v>0</v>
      </c>
      <c r="C49" s="44">
        <v>0</v>
      </c>
      <c r="D49" s="12">
        <v>0</v>
      </c>
      <c r="E49" s="44">
        <v>0</v>
      </c>
      <c r="F49" s="12">
        <v>0</v>
      </c>
      <c r="G49" s="44">
        <v>0</v>
      </c>
      <c r="H49" s="12">
        <v>0</v>
      </c>
      <c r="I49" s="44">
        <v>0</v>
      </c>
      <c r="J49" s="12">
        <v>0</v>
      </c>
      <c r="K49" s="44">
        <v>0</v>
      </c>
      <c r="L49" s="12">
        <v>4253.2</v>
      </c>
      <c r="M49" s="44">
        <v>0</v>
      </c>
      <c r="N49" s="12">
        <v>3500</v>
      </c>
      <c r="O49" s="44">
        <v>0</v>
      </c>
      <c r="P49" s="12">
        <v>0</v>
      </c>
    </row>
    <row r="50" spans="1:21" ht="18">
      <c r="A50" s="1" t="s">
        <v>292</v>
      </c>
      <c r="B50" s="221">
        <v>0</v>
      </c>
      <c r="C50" s="44">
        <v>0</v>
      </c>
      <c r="D50" s="221">
        <v>0</v>
      </c>
      <c r="E50" s="44">
        <v>0</v>
      </c>
      <c r="F50" s="221">
        <v>0</v>
      </c>
      <c r="G50" s="44">
        <v>0</v>
      </c>
      <c r="H50" s="221">
        <v>0</v>
      </c>
      <c r="I50" s="44">
        <v>0</v>
      </c>
      <c r="J50" s="221">
        <v>0</v>
      </c>
      <c r="K50" s="44">
        <v>0</v>
      </c>
      <c r="L50" s="221">
        <f>-4308.6-11405.7</f>
        <v>-15714.300000000001</v>
      </c>
      <c r="M50" s="47">
        <f>+(L50-N50)/N50</f>
        <v>-56.234797891036912</v>
      </c>
      <c r="N50" s="221">
        <v>284.5</v>
      </c>
      <c r="O50" s="47">
        <f>+(N50-P50)/P50</f>
        <v>204.11896178803173</v>
      </c>
      <c r="P50" s="221">
        <v>1.387</v>
      </c>
      <c r="Q50" s="6"/>
      <c r="R50" s="6"/>
      <c r="S50" s="7"/>
      <c r="T50" s="7"/>
      <c r="U50" s="7"/>
    </row>
    <row r="51" spans="1:21" ht="16.5" thickBot="1">
      <c r="A51" s="1" t="s">
        <v>275</v>
      </c>
      <c r="B51" s="76">
        <f>SUM(B47:B50)</f>
        <v>0</v>
      </c>
      <c r="C51" s="44">
        <v>0</v>
      </c>
      <c r="D51" s="76">
        <f>SUM(D47:D50)</f>
        <v>0</v>
      </c>
      <c r="E51" s="44">
        <v>0</v>
      </c>
      <c r="F51" s="76">
        <f>SUM(F47:F50)</f>
        <v>0</v>
      </c>
      <c r="G51" s="44">
        <v>0</v>
      </c>
      <c r="H51" s="76">
        <f>SUM(H47:H50)</f>
        <v>0</v>
      </c>
      <c r="I51" s="44">
        <v>0</v>
      </c>
      <c r="J51" s="76">
        <f>SUM(J47:J50)</f>
        <v>0</v>
      </c>
      <c r="K51" s="44">
        <v>0</v>
      </c>
      <c r="L51" s="76">
        <f>SUM(L47:L50)</f>
        <v>81184.099999999991</v>
      </c>
      <c r="M51" s="47">
        <f>+(L51-N51)/N51</f>
        <v>-1.3846508915990582E-2</v>
      </c>
      <c r="N51" s="76">
        <f>SUM(N47:N50)-0.1</f>
        <v>82324</v>
      </c>
      <c r="O51" s="47">
        <f>+(N51-P51)/P51</f>
        <v>9.9745037817672912</v>
      </c>
      <c r="P51" s="76">
        <f>SUM(P47:P50)</f>
        <v>7501.3869999999997</v>
      </c>
    </row>
    <row r="52" spans="1:21">
      <c r="A52" s="1" t="s">
        <v>0</v>
      </c>
      <c r="B52" s="4">
        <f>+B29+B35+B41+B43+B51</f>
        <v>0</v>
      </c>
      <c r="C52" s="44">
        <v>0</v>
      </c>
      <c r="D52" s="4">
        <f>+D29+D35+D41+D43+D51</f>
        <v>0</v>
      </c>
      <c r="E52" s="42">
        <v>0</v>
      </c>
      <c r="F52" s="4">
        <f>+F29+F35+F41+F43+F51</f>
        <v>0</v>
      </c>
      <c r="G52" s="42">
        <v>0</v>
      </c>
      <c r="H52" s="4">
        <f>+H29+H35+H41+H43+H51</f>
        <v>0</v>
      </c>
      <c r="I52" s="44">
        <v>0</v>
      </c>
      <c r="J52" s="4">
        <f>+J29+J35+J41+J43+J51</f>
        <v>0</v>
      </c>
      <c r="K52" s="44">
        <v>0</v>
      </c>
      <c r="L52" s="4">
        <f>+L29+L35+L41+L43+L51</f>
        <v>1313005.7</v>
      </c>
      <c r="M52" s="47">
        <f>+(L52-N52)/N52</f>
        <v>-6.4613084545715668E-2</v>
      </c>
      <c r="N52" s="4">
        <f>+N29+N35+N41+N43+N51</f>
        <v>1403703.3</v>
      </c>
      <c r="O52" s="47">
        <f>+(N52-P52)/P52</f>
        <v>0.47676008642126594</v>
      </c>
      <c r="P52" s="4">
        <f>+P29+P35+P41+P43+P51</f>
        <v>950529.00799999991</v>
      </c>
    </row>
    <row r="55" spans="1:21">
      <c r="A55" s="18" t="s">
        <v>319</v>
      </c>
    </row>
    <row r="56" spans="1:21">
      <c r="A56" t="s">
        <v>294</v>
      </c>
      <c r="B56" s="12">
        <v>0</v>
      </c>
      <c r="D56" s="12">
        <v>0</v>
      </c>
      <c r="E56" s="43"/>
      <c r="F56" s="12">
        <v>0</v>
      </c>
      <c r="G56" s="43"/>
      <c r="H56" s="12">
        <v>0</v>
      </c>
      <c r="J56" s="12">
        <v>0</v>
      </c>
      <c r="K56" s="12"/>
      <c r="L56" s="12">
        <v>2360.5</v>
      </c>
      <c r="M56" s="12"/>
      <c r="N56" s="12">
        <v>3450.6</v>
      </c>
      <c r="O56" s="12"/>
      <c r="P56" s="12">
        <v>892.5</v>
      </c>
    </row>
    <row r="57" spans="1:21">
      <c r="A57" t="s">
        <v>295</v>
      </c>
      <c r="B57" s="12">
        <v>0</v>
      </c>
      <c r="D57" s="12">
        <v>0</v>
      </c>
      <c r="E57" s="43"/>
      <c r="F57" s="12">
        <v>0</v>
      </c>
      <c r="G57" s="43"/>
      <c r="H57" s="12">
        <v>0</v>
      </c>
      <c r="J57" s="12">
        <v>0</v>
      </c>
      <c r="K57" s="12"/>
      <c r="L57" s="12">
        <v>13711.8</v>
      </c>
      <c r="M57" s="12"/>
      <c r="N57" s="12">
        <v>150745</v>
      </c>
      <c r="O57" s="12"/>
      <c r="P57" s="12">
        <v>12312.2</v>
      </c>
    </row>
    <row r="58" spans="1:21">
      <c r="A58" t="s">
        <v>284</v>
      </c>
      <c r="B58" s="12">
        <v>0</v>
      </c>
      <c r="D58" s="12">
        <v>0</v>
      </c>
      <c r="E58" s="43"/>
      <c r="F58" s="12">
        <v>0</v>
      </c>
      <c r="G58" s="43"/>
      <c r="H58" s="12">
        <v>0</v>
      </c>
      <c r="J58" s="12">
        <v>0</v>
      </c>
      <c r="K58" s="12"/>
      <c r="L58" s="12">
        <f>2816.9-740.5+252.7</f>
        <v>2329.1</v>
      </c>
      <c r="M58" s="12"/>
      <c r="N58" s="12">
        <v>112052.3</v>
      </c>
      <c r="O58" s="12"/>
      <c r="P58" s="12">
        <v>197772.2</v>
      </c>
    </row>
    <row r="59" spans="1:21">
      <c r="D59" s="43"/>
      <c r="E59" s="43"/>
      <c r="F59" s="43"/>
      <c r="G59" s="43"/>
      <c r="H59" s="43"/>
      <c r="J59" s="43"/>
      <c r="K59" s="12"/>
      <c r="L59" s="43"/>
      <c r="M59" s="12"/>
      <c r="O59" s="12"/>
    </row>
    <row r="60" spans="1:21" ht="18.75">
      <c r="A60" s="122" t="s">
        <v>303</v>
      </c>
      <c r="B60" s="12">
        <v>0</v>
      </c>
      <c r="D60" s="12">
        <v>0</v>
      </c>
      <c r="E60" s="43"/>
      <c r="F60" s="12">
        <v>0</v>
      </c>
      <c r="G60" s="294" t="s">
        <v>0</v>
      </c>
      <c r="H60" s="12">
        <v>0</v>
      </c>
      <c r="J60" s="12">
        <v>0</v>
      </c>
      <c r="K60" s="12"/>
      <c r="L60" s="12">
        <v>624668.80000000005</v>
      </c>
      <c r="M60" s="12"/>
      <c r="N60" s="12">
        <v>745533.5</v>
      </c>
      <c r="O60" s="12"/>
      <c r="P60" s="12">
        <v>435536.3</v>
      </c>
    </row>
    <row r="61" spans="1:21">
      <c r="A61" t="s">
        <v>217</v>
      </c>
      <c r="B61" s="12">
        <v>0</v>
      </c>
      <c r="D61" s="12">
        <v>0</v>
      </c>
      <c r="E61" s="43"/>
      <c r="F61" s="12">
        <v>0</v>
      </c>
      <c r="G61" s="43"/>
      <c r="H61" s="12">
        <v>0</v>
      </c>
      <c r="J61" s="12">
        <v>0</v>
      </c>
      <c r="K61" s="12"/>
      <c r="L61" s="12">
        <v>13882.8</v>
      </c>
      <c r="M61" s="12"/>
      <c r="N61" s="12">
        <v>7028</v>
      </c>
      <c r="O61" s="12"/>
      <c r="P61" s="12">
        <v>3960.9</v>
      </c>
    </row>
    <row r="62" spans="1:21">
      <c r="A62" t="s">
        <v>297</v>
      </c>
      <c r="B62" s="12">
        <v>0</v>
      </c>
      <c r="D62" s="12">
        <v>0</v>
      </c>
      <c r="E62" s="43"/>
      <c r="F62" s="12">
        <v>0</v>
      </c>
      <c r="G62" s="43"/>
      <c r="H62" s="12">
        <v>0</v>
      </c>
      <c r="J62" s="12">
        <v>0</v>
      </c>
      <c r="K62" s="12"/>
      <c r="L62" s="12">
        <f>12634.5+12534.4+12391.4</f>
        <v>37560.300000000003</v>
      </c>
      <c r="M62" s="12"/>
      <c r="N62" s="12">
        <v>4236.5</v>
      </c>
      <c r="O62" s="12"/>
      <c r="P62" s="12">
        <v>0</v>
      </c>
    </row>
    <row r="64" spans="1:21">
      <c r="F64" s="16" t="s">
        <v>0</v>
      </c>
    </row>
    <row r="67" spans="1:15">
      <c r="B67" s="17" t="s">
        <v>548</v>
      </c>
      <c r="D67" s="17" t="s">
        <v>549</v>
      </c>
      <c r="F67" s="17" t="s">
        <v>138</v>
      </c>
      <c r="H67" s="17" t="s">
        <v>528</v>
      </c>
    </row>
    <row r="69" spans="1:15">
      <c r="A69" t="s">
        <v>414</v>
      </c>
      <c r="B69" s="4">
        <f t="shared" ref="B69:M69" si="2">SUM(B70:B78)</f>
        <v>437645.53399999999</v>
      </c>
      <c r="C69" s="11" t="s">
        <v>0</v>
      </c>
      <c r="D69" s="4">
        <f t="shared" si="2"/>
        <v>0</v>
      </c>
      <c r="E69" s="11" t="s">
        <v>0</v>
      </c>
      <c r="F69" s="4">
        <f t="shared" si="2"/>
        <v>0</v>
      </c>
      <c r="G69" s="11">
        <f t="shared" si="2"/>
        <v>0</v>
      </c>
      <c r="H69" s="4">
        <f t="shared" si="2"/>
        <v>0</v>
      </c>
      <c r="I69" s="11">
        <f t="shared" si="2"/>
        <v>0</v>
      </c>
      <c r="J69" s="4">
        <f t="shared" si="2"/>
        <v>0</v>
      </c>
      <c r="K69" s="11">
        <f t="shared" si="2"/>
        <v>0</v>
      </c>
      <c r="L69" s="4">
        <f t="shared" si="2"/>
        <v>0</v>
      </c>
      <c r="M69" s="11">
        <f t="shared" si="2"/>
        <v>0</v>
      </c>
      <c r="O69" s="11">
        <f>SUM(O70:O78)</f>
        <v>0</v>
      </c>
    </row>
    <row r="70" spans="1:15">
      <c r="A70" t="s">
        <v>461</v>
      </c>
      <c r="B70" s="12">
        <f>38057101/1000</f>
        <v>38057.101000000002</v>
      </c>
      <c r="D70" s="12">
        <v>0</v>
      </c>
      <c r="F70" s="12">
        <v>0</v>
      </c>
      <c r="H70" s="12">
        <v>0</v>
      </c>
    </row>
    <row r="71" spans="1:15">
      <c r="A71" t="s">
        <v>462</v>
      </c>
      <c r="B71" s="12">
        <f>8887977/1000</f>
        <v>8887.9770000000008</v>
      </c>
      <c r="D71" s="12">
        <v>0</v>
      </c>
      <c r="F71" s="12">
        <v>0</v>
      </c>
      <c r="H71" s="12">
        <v>0</v>
      </c>
    </row>
    <row r="72" spans="1:15">
      <c r="A72" t="s">
        <v>463</v>
      </c>
      <c r="B72" s="12">
        <v>0</v>
      </c>
      <c r="D72" s="12">
        <v>0</v>
      </c>
      <c r="F72" s="12">
        <v>0</v>
      </c>
      <c r="H72" s="12">
        <v>0</v>
      </c>
    </row>
    <row r="73" spans="1:15">
      <c r="A73" t="s">
        <v>464</v>
      </c>
      <c r="B73" s="12">
        <f>275215150/1000</f>
        <v>275215.15000000002</v>
      </c>
      <c r="D73" s="12">
        <v>0</v>
      </c>
      <c r="F73" s="12">
        <v>0</v>
      </c>
      <c r="H73" s="12">
        <v>0</v>
      </c>
    </row>
    <row r="74" spans="1:15">
      <c r="A74" t="s">
        <v>465</v>
      </c>
      <c r="B74" s="12">
        <v>0</v>
      </c>
      <c r="D74" s="12">
        <v>0</v>
      </c>
      <c r="F74" s="12">
        <v>0</v>
      </c>
      <c r="H74" s="12">
        <v>0</v>
      </c>
    </row>
    <row r="75" spans="1:15">
      <c r="A75" t="s">
        <v>466</v>
      </c>
      <c r="B75" s="12">
        <v>6.25</v>
      </c>
      <c r="D75" s="12">
        <v>0</v>
      </c>
      <c r="F75" s="12">
        <v>0</v>
      </c>
      <c r="H75" s="12">
        <v>0</v>
      </c>
    </row>
    <row r="76" spans="1:15">
      <c r="A76" t="s">
        <v>467</v>
      </c>
      <c r="B76" s="12">
        <f>96747169/1000</f>
        <v>96747.168999999994</v>
      </c>
      <c r="D76" s="12">
        <v>0</v>
      </c>
      <c r="F76" s="12">
        <v>0</v>
      </c>
      <c r="H76" s="12">
        <v>0</v>
      </c>
    </row>
    <row r="77" spans="1:15">
      <c r="A77" t="s">
        <v>468</v>
      </c>
      <c r="B77" s="12">
        <f>14467928/1000</f>
        <v>14467.928</v>
      </c>
      <c r="D77" s="12">
        <v>0</v>
      </c>
      <c r="F77" s="12">
        <v>0</v>
      </c>
      <c r="H77" s="12">
        <v>0</v>
      </c>
    </row>
    <row r="78" spans="1:15">
      <c r="A78" t="s">
        <v>469</v>
      </c>
      <c r="B78" s="12">
        <f>4263959/1000</f>
        <v>4263.9589999999998</v>
      </c>
      <c r="D78" s="12">
        <v>0</v>
      </c>
      <c r="F78" s="12">
        <v>0</v>
      </c>
      <c r="H78" s="12">
        <v>0</v>
      </c>
    </row>
    <row r="80" spans="1:15">
      <c r="A80" t="s">
        <v>470</v>
      </c>
      <c r="B80" s="4">
        <f t="shared" ref="B80:M80" si="3">SUM(B81:B82)</f>
        <v>11107.5</v>
      </c>
      <c r="C80" s="11" t="s">
        <v>0</v>
      </c>
      <c r="D80" s="4">
        <f t="shared" si="3"/>
        <v>0</v>
      </c>
      <c r="E80" s="11" t="s">
        <v>0</v>
      </c>
      <c r="F80" s="4">
        <f t="shared" si="3"/>
        <v>0</v>
      </c>
      <c r="G80" s="11">
        <f t="shared" si="3"/>
        <v>0</v>
      </c>
      <c r="H80" s="4">
        <f t="shared" si="3"/>
        <v>0</v>
      </c>
      <c r="I80" s="11">
        <f t="shared" si="3"/>
        <v>0</v>
      </c>
      <c r="J80" s="4">
        <f t="shared" si="3"/>
        <v>0</v>
      </c>
      <c r="K80" s="11">
        <f t="shared" si="3"/>
        <v>0</v>
      </c>
      <c r="L80" s="4">
        <f t="shared" si="3"/>
        <v>0</v>
      </c>
      <c r="M80" s="11">
        <f t="shared" si="3"/>
        <v>0</v>
      </c>
      <c r="O80" s="11">
        <f>SUM(O81:O82)</f>
        <v>0</v>
      </c>
    </row>
    <row r="81" spans="1:15">
      <c r="A81" t="s">
        <v>471</v>
      </c>
      <c r="B81" s="12">
        <f>11107500/1000</f>
        <v>11107.5</v>
      </c>
      <c r="D81" s="12">
        <v>0</v>
      </c>
      <c r="F81" s="12">
        <v>0</v>
      </c>
      <c r="H81" s="12">
        <v>0</v>
      </c>
    </row>
    <row r="82" spans="1:15">
      <c r="A82" t="s">
        <v>472</v>
      </c>
      <c r="B82" s="12">
        <v>0</v>
      </c>
      <c r="D82" s="12">
        <v>0</v>
      </c>
      <c r="F82" s="12">
        <v>0</v>
      </c>
      <c r="H82" s="12">
        <v>0</v>
      </c>
    </row>
    <row r="84" spans="1:15">
      <c r="A84" t="s">
        <v>473</v>
      </c>
      <c r="B84" s="4">
        <f t="shared" ref="B84:M84" si="4">SUM(B85:B95)</f>
        <v>869093.76500000001</v>
      </c>
      <c r="C84" s="11" t="s">
        <v>0</v>
      </c>
      <c r="D84" s="4">
        <f t="shared" si="4"/>
        <v>0</v>
      </c>
      <c r="E84" s="11" t="s">
        <v>0</v>
      </c>
      <c r="F84" s="4">
        <f t="shared" si="4"/>
        <v>0</v>
      </c>
      <c r="G84" s="11">
        <f t="shared" si="4"/>
        <v>0</v>
      </c>
      <c r="H84" s="4">
        <f t="shared" si="4"/>
        <v>0</v>
      </c>
      <c r="I84" s="11">
        <f t="shared" si="4"/>
        <v>0</v>
      </c>
      <c r="J84" s="4">
        <f t="shared" si="4"/>
        <v>0</v>
      </c>
      <c r="K84" s="11">
        <f t="shared" si="4"/>
        <v>0</v>
      </c>
      <c r="L84" s="4">
        <f t="shared" si="4"/>
        <v>0</v>
      </c>
      <c r="M84" s="11">
        <f t="shared" si="4"/>
        <v>0</v>
      </c>
      <c r="O84" s="11">
        <f>SUM(O85:O95)</f>
        <v>0</v>
      </c>
    </row>
    <row r="85" spans="1:15">
      <c r="A85" t="s">
        <v>474</v>
      </c>
      <c r="B85" s="12">
        <v>0</v>
      </c>
      <c r="D85" s="12">
        <v>0</v>
      </c>
      <c r="F85" s="12">
        <v>0</v>
      </c>
      <c r="H85" s="12">
        <v>0</v>
      </c>
    </row>
    <row r="86" spans="1:15">
      <c r="A86" t="s">
        <v>475</v>
      </c>
      <c r="B86" s="12">
        <f>514435488/1000</f>
        <v>514435.48800000001</v>
      </c>
      <c r="D86" s="12">
        <v>0</v>
      </c>
      <c r="F86" s="12">
        <v>0</v>
      </c>
      <c r="H86" s="12">
        <v>0</v>
      </c>
    </row>
    <row r="87" spans="1:15">
      <c r="A87" t="s">
        <v>476</v>
      </c>
      <c r="B87" s="12">
        <f>349553793/1000</f>
        <v>349553.79300000001</v>
      </c>
      <c r="D87" s="12">
        <v>0</v>
      </c>
      <c r="F87" s="12">
        <v>0</v>
      </c>
      <c r="H87" s="12">
        <v>0</v>
      </c>
    </row>
    <row r="88" spans="1:15">
      <c r="A88" t="s">
        <v>477</v>
      </c>
      <c r="B88" s="12">
        <v>0</v>
      </c>
      <c r="D88" s="12">
        <v>0</v>
      </c>
      <c r="F88" s="12">
        <v>0</v>
      </c>
      <c r="H88" s="12">
        <v>0</v>
      </c>
    </row>
    <row r="89" spans="1:15">
      <c r="A89" t="s">
        <v>478</v>
      </c>
      <c r="B89" s="12">
        <v>0</v>
      </c>
      <c r="D89" s="12">
        <v>0</v>
      </c>
      <c r="F89" s="12">
        <v>0</v>
      </c>
      <c r="H89" s="12">
        <v>0</v>
      </c>
    </row>
    <row r="90" spans="1:15">
      <c r="A90" t="s">
        <v>479</v>
      </c>
      <c r="B90" s="12">
        <v>0</v>
      </c>
      <c r="D90" s="12">
        <v>0</v>
      </c>
      <c r="F90" s="12">
        <v>0</v>
      </c>
      <c r="H90" s="12">
        <v>0</v>
      </c>
    </row>
    <row r="91" spans="1:15">
      <c r="A91" t="s">
        <v>480</v>
      </c>
      <c r="B91" s="12">
        <v>0</v>
      </c>
      <c r="D91" s="12">
        <v>0</v>
      </c>
      <c r="F91" s="12">
        <v>0</v>
      </c>
      <c r="H91" s="12">
        <v>0</v>
      </c>
    </row>
    <row r="92" spans="1:15">
      <c r="A92" t="s">
        <v>481</v>
      </c>
      <c r="B92" s="12">
        <v>0</v>
      </c>
      <c r="D92" s="12">
        <v>0</v>
      </c>
      <c r="F92" s="12">
        <v>0</v>
      </c>
      <c r="H92" s="12">
        <v>0</v>
      </c>
    </row>
    <row r="93" spans="1:15">
      <c r="A93" t="s">
        <v>482</v>
      </c>
      <c r="B93" s="12">
        <v>0</v>
      </c>
      <c r="D93" s="12">
        <v>0</v>
      </c>
      <c r="F93" s="12">
        <v>0</v>
      </c>
      <c r="H93" s="12">
        <v>0</v>
      </c>
    </row>
    <row r="94" spans="1:15">
      <c r="A94" t="s">
        <v>483</v>
      </c>
      <c r="B94" s="12">
        <f>13032461/1000</f>
        <v>13032.460999999999</v>
      </c>
      <c r="D94" s="12">
        <v>0</v>
      </c>
      <c r="F94" s="12">
        <v>0</v>
      </c>
      <c r="H94" s="12">
        <v>0</v>
      </c>
    </row>
    <row r="95" spans="1:15">
      <c r="A95" t="s">
        <v>484</v>
      </c>
      <c r="B95" s="12">
        <f>-7927977/1000</f>
        <v>-7927.9769999999999</v>
      </c>
      <c r="D95" s="12">
        <v>0</v>
      </c>
      <c r="F95" s="12">
        <v>0</v>
      </c>
      <c r="H95" s="12">
        <v>0</v>
      </c>
    </row>
    <row r="97" spans="1:15">
      <c r="A97" t="s">
        <v>485</v>
      </c>
      <c r="B97" s="4">
        <f t="shared" ref="B97:M97" si="5">SUM(B98:B101)</f>
        <v>27767.905000000002</v>
      </c>
      <c r="C97" s="11" t="s">
        <v>0</v>
      </c>
      <c r="D97" s="4">
        <f t="shared" si="5"/>
        <v>0</v>
      </c>
      <c r="E97" s="11" t="s">
        <v>0</v>
      </c>
      <c r="F97" s="4">
        <f t="shared" si="5"/>
        <v>0</v>
      </c>
      <c r="G97" s="11">
        <f t="shared" si="5"/>
        <v>0</v>
      </c>
      <c r="H97" s="4">
        <f t="shared" si="5"/>
        <v>0</v>
      </c>
      <c r="I97" s="11">
        <f t="shared" si="5"/>
        <v>0</v>
      </c>
      <c r="J97" s="4">
        <f t="shared" si="5"/>
        <v>0</v>
      </c>
      <c r="K97" s="11">
        <f t="shared" si="5"/>
        <v>0</v>
      </c>
      <c r="L97" s="4">
        <f t="shared" si="5"/>
        <v>0</v>
      </c>
      <c r="M97" s="11">
        <f t="shared" si="5"/>
        <v>0</v>
      </c>
      <c r="O97" s="11">
        <f>SUM(O98:O101)</f>
        <v>0</v>
      </c>
    </row>
    <row r="98" spans="1:15">
      <c r="A98" t="s">
        <v>486</v>
      </c>
      <c r="B98" s="12">
        <f>1267108/1000</f>
        <v>1267.1079999999999</v>
      </c>
      <c r="D98" s="12">
        <v>0</v>
      </c>
      <c r="F98" s="12">
        <v>0</v>
      </c>
      <c r="H98" s="12">
        <v>0</v>
      </c>
    </row>
    <row r="99" spans="1:15">
      <c r="A99" t="s">
        <v>487</v>
      </c>
      <c r="B99" s="12">
        <f>5128560/1000</f>
        <v>5128.5600000000004</v>
      </c>
      <c r="D99" s="12">
        <v>0</v>
      </c>
      <c r="F99" s="12">
        <v>0</v>
      </c>
      <c r="H99" s="12">
        <v>0</v>
      </c>
    </row>
    <row r="100" spans="1:15">
      <c r="A100" t="s">
        <v>488</v>
      </c>
      <c r="B100" s="12">
        <v>0</v>
      </c>
      <c r="D100" s="12">
        <v>0</v>
      </c>
      <c r="F100" s="12">
        <v>0</v>
      </c>
      <c r="H100" s="12">
        <v>0</v>
      </c>
    </row>
    <row r="101" spans="1:15">
      <c r="A101" t="s">
        <v>489</v>
      </c>
      <c r="B101" s="12">
        <f>21372237/1000</f>
        <v>21372.237000000001</v>
      </c>
      <c r="D101" s="12">
        <v>0</v>
      </c>
      <c r="F101" s="12">
        <v>0</v>
      </c>
      <c r="H101" s="12">
        <v>0</v>
      </c>
    </row>
    <row r="103" spans="1:15">
      <c r="A103" t="s">
        <v>490</v>
      </c>
      <c r="B103" s="4">
        <f>8576861/1000</f>
        <v>8576.8610000000008</v>
      </c>
      <c r="C103" s="11" t="s">
        <v>0</v>
      </c>
      <c r="D103" s="4">
        <v>0</v>
      </c>
      <c r="E103" s="11" t="s">
        <v>0</v>
      </c>
      <c r="F103" s="4">
        <v>0</v>
      </c>
      <c r="G103" s="11">
        <v>0</v>
      </c>
      <c r="H103" s="4">
        <v>0</v>
      </c>
      <c r="I103" s="11">
        <v>0</v>
      </c>
      <c r="J103" s="4">
        <v>0</v>
      </c>
      <c r="K103" s="11">
        <v>0</v>
      </c>
      <c r="L103" s="4">
        <v>0</v>
      </c>
      <c r="M103" s="11">
        <v>0</v>
      </c>
      <c r="N103" s="12">
        <v>0</v>
      </c>
      <c r="O103" s="11">
        <v>0</v>
      </c>
    </row>
    <row r="104" spans="1:15">
      <c r="B104" s="16" t="s">
        <v>0</v>
      </c>
      <c r="D104" s="16" t="s">
        <v>0</v>
      </c>
      <c r="F104" s="16" t="s">
        <v>0</v>
      </c>
      <c r="H104" s="16" t="s">
        <v>0</v>
      </c>
    </row>
    <row r="105" spans="1:15">
      <c r="A105" t="s">
        <v>491</v>
      </c>
      <c r="B105" s="4">
        <f>-2740269/1000</f>
        <v>-2740.2689999999998</v>
      </c>
      <c r="D105" s="4">
        <v>0</v>
      </c>
      <c r="F105" s="4">
        <v>0</v>
      </c>
      <c r="H105" s="4">
        <v>0</v>
      </c>
    </row>
    <row r="107" spans="1:15">
      <c r="A107" t="s">
        <v>492</v>
      </c>
      <c r="B107" s="4">
        <f t="shared" ref="B107:M107" si="6">SUM(B108:B111)</f>
        <v>127055.57199999997</v>
      </c>
      <c r="C107" s="11" t="s">
        <v>0</v>
      </c>
      <c r="D107" s="4">
        <f t="shared" si="6"/>
        <v>0</v>
      </c>
      <c r="E107" s="11" t="s">
        <v>0</v>
      </c>
      <c r="F107" s="4">
        <f t="shared" si="6"/>
        <v>0</v>
      </c>
      <c r="G107" s="11">
        <f t="shared" si="6"/>
        <v>0</v>
      </c>
      <c r="H107" s="4">
        <f t="shared" si="6"/>
        <v>0</v>
      </c>
      <c r="I107" s="11">
        <f t="shared" si="6"/>
        <v>0</v>
      </c>
      <c r="J107" s="4">
        <f t="shared" si="6"/>
        <v>0</v>
      </c>
      <c r="K107" s="11">
        <f t="shared" si="6"/>
        <v>0</v>
      </c>
      <c r="L107" s="4">
        <f t="shared" si="6"/>
        <v>0</v>
      </c>
      <c r="M107" s="11">
        <f t="shared" si="6"/>
        <v>0</v>
      </c>
      <c r="O107" s="11">
        <f>SUM(O108:O111)</f>
        <v>0</v>
      </c>
    </row>
    <row r="108" spans="1:15">
      <c r="A108" t="s">
        <v>493</v>
      </c>
      <c r="B108" s="12">
        <f>141839072/1000</f>
        <v>141839.07199999999</v>
      </c>
      <c r="D108" s="12">
        <v>0</v>
      </c>
      <c r="F108" s="12">
        <v>0</v>
      </c>
      <c r="H108" s="12">
        <v>0</v>
      </c>
    </row>
    <row r="109" spans="1:15">
      <c r="A109" t="s">
        <v>494</v>
      </c>
      <c r="B109" s="12">
        <f>270686/1000</f>
        <v>270.68599999999998</v>
      </c>
      <c r="D109" s="12">
        <v>0</v>
      </c>
      <c r="F109" s="12">
        <v>0</v>
      </c>
      <c r="H109" s="12">
        <v>0</v>
      </c>
    </row>
    <row r="110" spans="1:15">
      <c r="A110" t="s">
        <v>495</v>
      </c>
      <c r="B110" s="12">
        <f>-32610444/1000</f>
        <v>-32610.444</v>
      </c>
      <c r="D110" s="12">
        <v>0</v>
      </c>
      <c r="F110" s="12">
        <v>0</v>
      </c>
      <c r="H110" s="12">
        <v>0</v>
      </c>
    </row>
    <row r="111" spans="1:15">
      <c r="A111" t="s">
        <v>496</v>
      </c>
      <c r="B111" s="12">
        <f>17556258/1000</f>
        <v>17556.258000000002</v>
      </c>
      <c r="D111" s="12">
        <v>0</v>
      </c>
      <c r="F111" s="12">
        <v>0</v>
      </c>
      <c r="H111" s="12">
        <v>0</v>
      </c>
    </row>
    <row r="113" spans="1:15">
      <c r="A113" t="s">
        <v>497</v>
      </c>
      <c r="B113" s="12">
        <f>90984920/1000</f>
        <v>90984.92</v>
      </c>
      <c r="D113" s="12">
        <v>0</v>
      </c>
      <c r="F113" s="12">
        <v>0</v>
      </c>
      <c r="H113" s="12">
        <v>0</v>
      </c>
    </row>
    <row r="115" spans="1:15">
      <c r="A115" s="2" t="s">
        <v>498</v>
      </c>
      <c r="B115" s="4">
        <f t="shared" ref="B115:M115" si="7">+B69+B80+B84+B97+B103+B105+B107+B113</f>
        <v>1569491.7879999999</v>
      </c>
      <c r="C115" s="11" t="s">
        <v>0</v>
      </c>
      <c r="D115" s="4">
        <f t="shared" si="7"/>
        <v>0</v>
      </c>
      <c r="E115" s="11" t="s">
        <v>0</v>
      </c>
      <c r="F115" s="4">
        <f t="shared" si="7"/>
        <v>0</v>
      </c>
      <c r="G115" s="11">
        <f t="shared" si="7"/>
        <v>0</v>
      </c>
      <c r="H115" s="4">
        <f t="shared" si="7"/>
        <v>0</v>
      </c>
      <c r="I115" s="11">
        <f t="shared" si="7"/>
        <v>0</v>
      </c>
      <c r="J115" s="4">
        <f t="shared" si="7"/>
        <v>0</v>
      </c>
      <c r="K115" s="11">
        <f t="shared" si="7"/>
        <v>0</v>
      </c>
      <c r="L115" s="4">
        <f t="shared" si="7"/>
        <v>0</v>
      </c>
      <c r="M115" s="11">
        <f t="shared" si="7"/>
        <v>0</v>
      </c>
      <c r="O115" s="11">
        <f>+O69+O80+O84+O97+O103+O105+O107+O113</f>
        <v>0</v>
      </c>
    </row>
    <row r="118" spans="1:15">
      <c r="A118" t="s">
        <v>276</v>
      </c>
    </row>
    <row r="120" spans="1:15">
      <c r="A120" t="s">
        <v>499</v>
      </c>
      <c r="B120" s="4">
        <f>SUM(B121:B122)</f>
        <v>238913.611</v>
      </c>
      <c r="C120" s="11"/>
      <c r="D120" s="4">
        <f>SUM(D121:D122)</f>
        <v>0</v>
      </c>
      <c r="E120" s="11"/>
      <c r="F120" s="4">
        <f>SUM(F121:F122)</f>
        <v>0</v>
      </c>
      <c r="G120" s="11"/>
      <c r="H120" s="4">
        <f>SUM(H121:H122)</f>
        <v>0</v>
      </c>
      <c r="I120" s="11"/>
      <c r="J120" s="4"/>
      <c r="K120" s="11"/>
      <c r="L120" s="4"/>
      <c r="M120" s="11"/>
      <c r="O120" s="11"/>
    </row>
    <row r="121" spans="1:15">
      <c r="A121" t="s">
        <v>500</v>
      </c>
      <c r="B121" s="12">
        <f>237563066/1000</f>
        <v>237563.06599999999</v>
      </c>
      <c r="D121" s="12">
        <v>0</v>
      </c>
      <c r="F121" s="12">
        <v>0</v>
      </c>
      <c r="H121" s="12">
        <v>0</v>
      </c>
    </row>
    <row r="122" spans="1:15">
      <c r="A122" t="s">
        <v>501</v>
      </c>
      <c r="B122" s="12">
        <f>1350545/1000</f>
        <v>1350.5450000000001</v>
      </c>
      <c r="D122" s="12">
        <v>0</v>
      </c>
      <c r="F122" s="12">
        <v>0</v>
      </c>
      <c r="H122" s="12">
        <v>0</v>
      </c>
    </row>
    <row r="123" spans="1:15">
      <c r="A123" t="s">
        <v>0</v>
      </c>
    </row>
    <row r="124" spans="1:15">
      <c r="A124" t="s">
        <v>502</v>
      </c>
      <c r="B124" s="4">
        <f>401712704/1000</f>
        <v>401712.70400000003</v>
      </c>
      <c r="C124" s="11"/>
      <c r="D124" s="4">
        <v>0</v>
      </c>
      <c r="E124" s="11"/>
      <c r="F124" s="4">
        <v>0</v>
      </c>
      <c r="G124" s="11"/>
      <c r="H124" s="4">
        <v>0</v>
      </c>
      <c r="I124" s="11"/>
      <c r="J124" s="4"/>
      <c r="K124" s="11"/>
      <c r="L124" s="4"/>
      <c r="M124" s="11"/>
      <c r="O124" s="11"/>
    </row>
    <row r="126" spans="1:15">
      <c r="A126" t="s">
        <v>503</v>
      </c>
      <c r="B126" s="4">
        <f>621326802/1000</f>
        <v>621326.80200000003</v>
      </c>
      <c r="C126" s="11"/>
      <c r="D126" s="4">
        <v>0</v>
      </c>
      <c r="E126" s="11"/>
      <c r="F126" s="4">
        <v>0</v>
      </c>
      <c r="G126" s="11"/>
      <c r="H126" s="4">
        <v>0</v>
      </c>
      <c r="I126" s="11"/>
      <c r="J126" s="4"/>
      <c r="K126" s="11"/>
      <c r="L126" s="4"/>
      <c r="M126" s="11"/>
      <c r="O126" s="11"/>
    </row>
    <row r="128" spans="1:15">
      <c r="A128" t="s">
        <v>504</v>
      </c>
      <c r="B128" s="4">
        <f>SUM(B129:B141)</f>
        <v>32080.772999999997</v>
      </c>
      <c r="C128" s="11"/>
      <c r="D128" s="4">
        <f>SUM(D129:D141)</f>
        <v>0</v>
      </c>
      <c r="E128" s="11"/>
      <c r="F128" s="4">
        <f>SUM(F129:F141)</f>
        <v>0</v>
      </c>
      <c r="G128" s="11"/>
      <c r="H128" s="4">
        <f>SUM(H129:H141)</f>
        <v>0</v>
      </c>
      <c r="I128" s="11"/>
      <c r="J128" s="4"/>
      <c r="K128" s="11"/>
      <c r="L128" s="4"/>
      <c r="M128" s="11"/>
      <c r="O128" s="11"/>
    </row>
    <row r="129" spans="1:15">
      <c r="A129" t="s">
        <v>505</v>
      </c>
      <c r="B129" s="12">
        <f>13810930/1000</f>
        <v>13810.93</v>
      </c>
      <c r="D129" s="12">
        <v>0</v>
      </c>
      <c r="F129" s="12">
        <v>0</v>
      </c>
      <c r="H129" s="12">
        <v>0</v>
      </c>
    </row>
    <row r="130" spans="1:15">
      <c r="A130" t="s">
        <v>506</v>
      </c>
      <c r="B130" s="12">
        <v>0</v>
      </c>
      <c r="D130" s="12">
        <v>0</v>
      </c>
      <c r="F130" s="12">
        <v>0</v>
      </c>
      <c r="H130" s="12">
        <v>0</v>
      </c>
    </row>
    <row r="131" spans="1:15">
      <c r="A131" t="s">
        <v>507</v>
      </c>
      <c r="B131" s="12">
        <v>17.965</v>
      </c>
      <c r="D131" s="12">
        <v>0</v>
      </c>
      <c r="F131" s="12">
        <v>0</v>
      </c>
      <c r="H131" s="12">
        <v>0</v>
      </c>
    </row>
    <row r="132" spans="1:15">
      <c r="A132" t="s">
        <v>508</v>
      </c>
      <c r="B132" s="12">
        <v>0</v>
      </c>
      <c r="D132" s="12">
        <v>0</v>
      </c>
      <c r="F132" s="12">
        <v>0</v>
      </c>
      <c r="H132" s="12">
        <v>0</v>
      </c>
    </row>
    <row r="133" spans="1:15">
      <c r="A133" t="s">
        <v>509</v>
      </c>
      <c r="B133" s="12">
        <f>-1041866/1000</f>
        <v>-1041.866</v>
      </c>
      <c r="D133" s="12">
        <v>0</v>
      </c>
      <c r="F133" s="12">
        <v>0</v>
      </c>
      <c r="H133" s="12">
        <v>0</v>
      </c>
    </row>
    <row r="134" spans="1:15">
      <c r="A134" t="s">
        <v>510</v>
      </c>
      <c r="B134" s="12">
        <f>14426153/1000</f>
        <v>14426.153</v>
      </c>
      <c r="D134" s="12">
        <v>0</v>
      </c>
      <c r="F134" s="12">
        <v>0</v>
      </c>
      <c r="H134" s="12">
        <v>0</v>
      </c>
    </row>
    <row r="135" spans="1:15">
      <c r="A135" t="s">
        <v>511</v>
      </c>
      <c r="B135" s="12">
        <v>0</v>
      </c>
      <c r="D135" s="12">
        <v>0</v>
      </c>
      <c r="F135" s="12">
        <v>0</v>
      </c>
      <c r="H135" s="12">
        <v>0</v>
      </c>
    </row>
    <row r="136" spans="1:15">
      <c r="A136" t="s">
        <v>512</v>
      </c>
      <c r="B136" s="12">
        <f>1738230/1000</f>
        <v>1738.23</v>
      </c>
      <c r="D136" s="12">
        <v>0</v>
      </c>
      <c r="F136" s="12">
        <v>0</v>
      </c>
      <c r="H136" s="12">
        <v>0</v>
      </c>
    </row>
    <row r="137" spans="1:15">
      <c r="A137" t="s">
        <v>513</v>
      </c>
      <c r="B137" s="12">
        <f>913994/1000</f>
        <v>913.99400000000003</v>
      </c>
      <c r="D137" s="12">
        <v>0</v>
      </c>
      <c r="F137" s="12">
        <v>0</v>
      </c>
      <c r="H137" s="12">
        <v>0</v>
      </c>
    </row>
    <row r="138" spans="1:15">
      <c r="A138" t="s">
        <v>514</v>
      </c>
      <c r="B138" s="12">
        <v>0</v>
      </c>
      <c r="D138" s="12">
        <v>0</v>
      </c>
      <c r="F138" s="12">
        <v>0</v>
      </c>
      <c r="H138" s="12">
        <v>0</v>
      </c>
    </row>
    <row r="139" spans="1:15">
      <c r="A139" t="s">
        <v>515</v>
      </c>
      <c r="B139" s="12">
        <f>+(-6250+2130491)/1000</f>
        <v>2124.241</v>
      </c>
      <c r="D139" s="12">
        <v>0</v>
      </c>
      <c r="F139" s="12">
        <v>0</v>
      </c>
      <c r="H139" s="12">
        <v>0</v>
      </c>
    </row>
    <row r="140" spans="1:15">
      <c r="A140" t="s">
        <v>516</v>
      </c>
      <c r="B140" s="12">
        <f>(74978+16148)/1000</f>
        <v>91.126000000000005</v>
      </c>
      <c r="D140" s="12">
        <v>0</v>
      </c>
      <c r="F140" s="12">
        <v>0</v>
      </c>
      <c r="H140" s="12">
        <v>0</v>
      </c>
    </row>
    <row r="141" spans="1:15">
      <c r="A141" t="s">
        <v>273</v>
      </c>
      <c r="B141" s="12">
        <v>0</v>
      </c>
      <c r="D141" s="12">
        <v>0</v>
      </c>
      <c r="F141" s="12">
        <v>0</v>
      </c>
      <c r="H141" s="12">
        <v>0</v>
      </c>
    </row>
    <row r="143" spans="1:15">
      <c r="A143" t="s">
        <v>517</v>
      </c>
      <c r="B143" s="4">
        <f>SUM(B144:B150)</f>
        <v>85518.631999999983</v>
      </c>
      <c r="C143" s="11"/>
      <c r="D143" s="4">
        <f>SUM(D144:D150)</f>
        <v>0</v>
      </c>
      <c r="E143" s="11"/>
      <c r="F143" s="4">
        <f>SUM(F144:F150)</f>
        <v>0</v>
      </c>
      <c r="G143" s="11"/>
      <c r="H143" s="4">
        <f>SUM(H144:H150)</f>
        <v>0</v>
      </c>
      <c r="I143" s="11"/>
      <c r="J143" s="4"/>
      <c r="K143" s="11"/>
      <c r="L143" s="4"/>
      <c r="M143" s="11"/>
      <c r="O143" s="11"/>
    </row>
    <row r="144" spans="1:15">
      <c r="A144" t="s">
        <v>518</v>
      </c>
      <c r="B144" s="12">
        <v>0</v>
      </c>
      <c r="D144" s="12">
        <v>0</v>
      </c>
      <c r="F144" s="12">
        <v>0</v>
      </c>
      <c r="H144" s="12">
        <v>0</v>
      </c>
    </row>
    <row r="145" spans="1:15">
      <c r="A145" t="s">
        <v>519</v>
      </c>
      <c r="B145" s="12">
        <f>13563555/1000</f>
        <v>13563.555</v>
      </c>
      <c r="D145" s="12">
        <v>0</v>
      </c>
      <c r="F145" s="12">
        <v>0</v>
      </c>
      <c r="H145" s="12">
        <v>0</v>
      </c>
    </row>
    <row r="146" spans="1:15">
      <c r="A146" t="s">
        <v>520</v>
      </c>
      <c r="B146" s="12">
        <f>60000000/1000</f>
        <v>60000</v>
      </c>
      <c r="D146" s="12">
        <v>0</v>
      </c>
      <c r="F146" s="12">
        <v>0</v>
      </c>
      <c r="H146" s="12">
        <v>0</v>
      </c>
    </row>
    <row r="147" spans="1:15">
      <c r="A147" t="s">
        <v>521</v>
      </c>
      <c r="B147" s="12">
        <f>5623411/1000</f>
        <v>5623.4110000000001</v>
      </c>
      <c r="D147" s="12">
        <v>0</v>
      </c>
      <c r="F147" s="12">
        <v>0</v>
      </c>
      <c r="H147" s="12">
        <v>0</v>
      </c>
    </row>
    <row r="148" spans="1:15">
      <c r="A148" t="s">
        <v>522</v>
      </c>
      <c r="B148" s="12">
        <f>3438842/1000</f>
        <v>3438.8420000000001</v>
      </c>
      <c r="D148" s="12">
        <v>0</v>
      </c>
      <c r="F148" s="12">
        <v>0</v>
      </c>
      <c r="H148" s="12">
        <v>0</v>
      </c>
    </row>
    <row r="149" spans="1:15">
      <c r="A149" t="s">
        <v>523</v>
      </c>
      <c r="B149" s="12">
        <v>0</v>
      </c>
      <c r="D149" s="12">
        <v>0</v>
      </c>
      <c r="F149" s="12">
        <v>0</v>
      </c>
      <c r="H149" s="12">
        <v>0</v>
      </c>
    </row>
    <row r="150" spans="1:15">
      <c r="A150" t="s">
        <v>524</v>
      </c>
      <c r="B150" s="12">
        <f>2892824/1000</f>
        <v>2892.8240000000001</v>
      </c>
      <c r="D150" s="12">
        <v>0</v>
      </c>
      <c r="F150" s="12">
        <v>0</v>
      </c>
      <c r="H150" s="12">
        <v>0</v>
      </c>
    </row>
    <row r="152" spans="1:15">
      <c r="A152" t="s">
        <v>525</v>
      </c>
      <c r="B152" s="4">
        <v>0</v>
      </c>
      <c r="C152" s="11"/>
      <c r="D152" s="4">
        <v>0</v>
      </c>
      <c r="E152" s="11"/>
      <c r="F152" s="4">
        <v>0</v>
      </c>
      <c r="G152" s="11"/>
      <c r="H152" s="4">
        <v>0</v>
      </c>
      <c r="I152" s="11"/>
      <c r="J152" s="4"/>
      <c r="K152" s="11"/>
      <c r="L152" s="4"/>
      <c r="M152" s="11"/>
      <c r="O152" s="11"/>
    </row>
    <row r="154" spans="1:15">
      <c r="A154" t="s">
        <v>374</v>
      </c>
      <c r="B154" s="4">
        <f>2095017/1000</f>
        <v>2095.0169999999998</v>
      </c>
      <c r="C154" s="11"/>
      <c r="D154" s="4">
        <v>0</v>
      </c>
      <c r="E154" s="11"/>
      <c r="F154" s="4">
        <v>0</v>
      </c>
      <c r="G154" s="11"/>
      <c r="H154" s="4">
        <v>0</v>
      </c>
      <c r="I154" s="11"/>
      <c r="J154" s="4"/>
      <c r="K154" s="11"/>
      <c r="L154" s="4"/>
      <c r="M154" s="11"/>
      <c r="O154" s="11"/>
    </row>
    <row r="156" spans="1:15">
      <c r="A156" t="s">
        <v>375</v>
      </c>
      <c r="B156" s="4">
        <f>90984920/1000</f>
        <v>90984.92</v>
      </c>
      <c r="C156" s="11"/>
      <c r="D156" s="4">
        <v>0</v>
      </c>
      <c r="E156" s="11"/>
      <c r="F156" s="4">
        <v>0</v>
      </c>
      <c r="G156" s="11"/>
      <c r="H156" s="4">
        <v>0</v>
      </c>
      <c r="I156" s="11"/>
      <c r="J156" s="4"/>
      <c r="K156" s="11"/>
      <c r="L156" s="4"/>
      <c r="M156" s="11"/>
      <c r="O156" s="11"/>
    </row>
    <row r="158" spans="1:15">
      <c r="A158" t="s">
        <v>376</v>
      </c>
      <c r="B158" s="4">
        <f>+B161+B162+B163+B164</f>
        <v>94359.331000000006</v>
      </c>
      <c r="C158" s="11"/>
      <c r="D158" s="4">
        <f>+D161+D162+D163+D164</f>
        <v>0</v>
      </c>
      <c r="E158" s="11"/>
      <c r="F158" s="4">
        <f>+F161+F162+F163+F164</f>
        <v>0</v>
      </c>
      <c r="G158" s="11"/>
      <c r="H158" s="4">
        <f>+H161+H162+H163+H164</f>
        <v>0</v>
      </c>
      <c r="I158" s="11"/>
      <c r="J158" s="4"/>
      <c r="K158" s="11"/>
      <c r="L158" s="4"/>
      <c r="M158" s="11"/>
      <c r="O158" s="11"/>
    </row>
    <row r="159" spans="1:15">
      <c r="A159" t="s">
        <v>377</v>
      </c>
      <c r="B159" s="12">
        <f>83514294/1000</f>
        <v>83514.293999999994</v>
      </c>
      <c r="D159" s="12">
        <v>0</v>
      </c>
      <c r="F159" s="12">
        <v>0</v>
      </c>
      <c r="H159" s="12">
        <v>0</v>
      </c>
    </row>
    <row r="160" spans="1:15">
      <c r="A160" t="s">
        <v>378</v>
      </c>
      <c r="B160" s="12">
        <v>0</v>
      </c>
      <c r="D160" s="12">
        <v>0</v>
      </c>
      <c r="F160" s="12">
        <v>0</v>
      </c>
      <c r="H160" s="12">
        <v>0</v>
      </c>
    </row>
    <row r="161" spans="1:15">
      <c r="A161" t="s">
        <v>302</v>
      </c>
      <c r="B161" s="12">
        <f>3499998/1000</f>
        <v>3499.998</v>
      </c>
      <c r="D161" s="12">
        <v>0</v>
      </c>
      <c r="F161" s="12">
        <v>0</v>
      </c>
      <c r="H161" s="12">
        <v>0</v>
      </c>
    </row>
    <row r="162" spans="1:15">
      <c r="A162" t="s">
        <v>289</v>
      </c>
      <c r="B162" s="4">
        <f>+B159+B160</f>
        <v>83514.293999999994</v>
      </c>
      <c r="D162" s="4">
        <f>+D159+D160</f>
        <v>0</v>
      </c>
      <c r="F162" s="4">
        <f>+F159+F160</f>
        <v>0</v>
      </c>
      <c r="H162" s="4">
        <f>+H159+H160</f>
        <v>0</v>
      </c>
    </row>
    <row r="163" spans="1:15">
      <c r="A163" t="s">
        <v>379</v>
      </c>
      <c r="B163" s="12">
        <f>-305712/1000</f>
        <v>-305.71199999999999</v>
      </c>
      <c r="D163" s="12">
        <v>0</v>
      </c>
      <c r="F163" s="12">
        <v>0</v>
      </c>
      <c r="H163" s="12">
        <v>0</v>
      </c>
    </row>
    <row r="164" spans="1:15">
      <c r="A164" t="s">
        <v>380</v>
      </c>
      <c r="B164" s="12">
        <f>7650751/1000</f>
        <v>7650.7510000000002</v>
      </c>
      <c r="D164" s="12">
        <v>0</v>
      </c>
      <c r="F164" s="12">
        <v>0</v>
      </c>
      <c r="H164" s="12">
        <v>0</v>
      </c>
    </row>
    <row r="166" spans="1:15">
      <c r="A166" t="s">
        <v>381</v>
      </c>
      <c r="B166" s="4">
        <f>SUM(B167:B168)</f>
        <v>2500</v>
      </c>
      <c r="C166" s="11"/>
      <c r="D166" s="4">
        <f>SUM(D167:D168)</f>
        <v>0</v>
      </c>
      <c r="E166" s="11"/>
      <c r="F166" s="4">
        <f>SUM(F167:F168)</f>
        <v>0</v>
      </c>
      <c r="G166" s="11"/>
      <c r="H166" s="4">
        <f>SUM(H167:H168)</f>
        <v>0</v>
      </c>
      <c r="I166" s="11"/>
      <c r="J166" s="4"/>
      <c r="K166" s="11"/>
      <c r="L166" s="4"/>
      <c r="M166" s="11"/>
      <c r="O166" s="11"/>
    </row>
    <row r="167" spans="1:15">
      <c r="A167" t="s">
        <v>382</v>
      </c>
      <c r="B167" s="12">
        <f>2500000/1000</f>
        <v>2500</v>
      </c>
      <c r="D167" s="12">
        <v>0</v>
      </c>
      <c r="F167" s="12">
        <v>0</v>
      </c>
      <c r="H167" s="12">
        <v>0</v>
      </c>
    </row>
    <row r="168" spans="1:15">
      <c r="A168" t="s">
        <v>383</v>
      </c>
      <c r="B168" s="12">
        <v>0</v>
      </c>
      <c r="D168" s="12">
        <v>0</v>
      </c>
      <c r="F168" s="12">
        <v>0</v>
      </c>
      <c r="H168" s="12">
        <v>0</v>
      </c>
    </row>
    <row r="170" spans="1:15">
      <c r="A170" t="s">
        <v>384</v>
      </c>
      <c r="B170" s="4">
        <f t="shared" ref="B170:M170" si="8">+B120+B124+B126+B128+B143+B152+B154+B156+B158+B166</f>
        <v>1569491.79</v>
      </c>
      <c r="C170" s="11" t="s">
        <v>0</v>
      </c>
      <c r="D170" s="4">
        <f t="shared" si="8"/>
        <v>0</v>
      </c>
      <c r="E170" s="11" t="s">
        <v>0</v>
      </c>
      <c r="F170" s="4">
        <f t="shared" si="8"/>
        <v>0</v>
      </c>
      <c r="G170" s="11">
        <f t="shared" si="8"/>
        <v>0</v>
      </c>
      <c r="H170" s="4">
        <f t="shared" si="8"/>
        <v>0</v>
      </c>
      <c r="I170" s="11">
        <f t="shared" si="8"/>
        <v>0</v>
      </c>
      <c r="J170" s="4">
        <f t="shared" si="8"/>
        <v>0</v>
      </c>
      <c r="K170" s="11">
        <f t="shared" si="8"/>
        <v>0</v>
      </c>
      <c r="L170" s="4">
        <f t="shared" si="8"/>
        <v>0</v>
      </c>
      <c r="M170" s="11">
        <f t="shared" si="8"/>
        <v>0</v>
      </c>
      <c r="O170" s="11">
        <f>+O120+O124+O126+O128+O143+O152+O154+O156+O158+O166</f>
        <v>0</v>
      </c>
    </row>
  </sheetData>
  <pageMargins left="0.28999999999999998" right="0.27" top="0.54" bottom="0.6" header="0.36" footer="0.33"/>
  <pageSetup scale="54" orientation="landscape" r:id="rId1"/>
  <headerFooter alignWithMargins="0">
    <oddFooter>&amp;LL'actif net de cette banque a été acheté par la Sogebank au cours du Trim 1 99. Au cours du Trim 3 99, l'actif de la Sogebank inclut celui de cette banque.&amp;R&amp;P</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6"/>
  <sheetViews>
    <sheetView workbookViewId="0"/>
  </sheetViews>
  <sheetFormatPr defaultRowHeight="15.75"/>
  <cols>
    <col min="1" max="1" width="33.25" customWidth="1"/>
    <col min="2" max="2" width="18.12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9.75" style="13" customWidth="1"/>
    <col min="18" max="18" width="15.75" style="12" customWidth="1"/>
    <col min="19" max="21" width="15.75" customWidth="1"/>
    <col min="22" max="256" width="11" customWidth="1"/>
  </cols>
  <sheetData>
    <row r="1" spans="1:21">
      <c r="A1" s="114" t="s">
        <v>565</v>
      </c>
      <c r="B1" s="37"/>
      <c r="C1" s="38"/>
      <c r="D1" s="37"/>
      <c r="E1" s="38"/>
      <c r="F1" s="37"/>
      <c r="G1" s="38"/>
      <c r="H1" s="37"/>
      <c r="I1" s="38"/>
      <c r="J1" s="37"/>
      <c r="K1" s="38"/>
      <c r="L1" s="37"/>
      <c r="M1" s="38"/>
      <c r="N1" s="37"/>
      <c r="O1" s="38"/>
      <c r="P1" s="37"/>
      <c r="Q1" s="38"/>
    </row>
    <row r="2" spans="1:21">
      <c r="A2" s="114" t="s">
        <v>305</v>
      </c>
      <c r="B2" s="37"/>
      <c r="C2" s="38"/>
      <c r="D2" s="37"/>
      <c r="E2" s="38"/>
      <c r="F2" s="37"/>
      <c r="G2" s="38"/>
      <c r="H2" s="37"/>
      <c r="I2" s="38"/>
      <c r="J2" s="37"/>
      <c r="K2" s="38"/>
      <c r="L2" s="37"/>
      <c r="M2" s="38"/>
      <c r="N2" s="37"/>
      <c r="O2" s="38"/>
      <c r="P2" s="37"/>
      <c r="Q2" s="38"/>
    </row>
    <row r="3" spans="1:21">
      <c r="A3" s="114" t="s">
        <v>526</v>
      </c>
      <c r="B3" s="37"/>
      <c r="C3" s="38"/>
      <c r="D3" s="37"/>
      <c r="E3" s="38"/>
      <c r="F3" s="37"/>
      <c r="G3" s="38"/>
      <c r="H3" s="37"/>
      <c r="I3" s="38"/>
      <c r="J3" s="37"/>
      <c r="K3" s="38"/>
      <c r="L3" s="37"/>
      <c r="M3" s="38"/>
      <c r="N3" s="37"/>
      <c r="O3" s="38"/>
      <c r="P3" s="37"/>
      <c r="Q3" s="38"/>
    </row>
    <row r="4" spans="1:21">
      <c r="A4" s="114" t="s">
        <v>179</v>
      </c>
      <c r="B4" s="37"/>
      <c r="C4" s="38"/>
      <c r="D4" s="37"/>
      <c r="E4" s="38"/>
      <c r="F4" s="37"/>
      <c r="G4" s="38"/>
      <c r="H4" s="37"/>
      <c r="I4" s="38"/>
      <c r="J4" s="37"/>
      <c r="K4" s="38"/>
      <c r="L4" s="37"/>
      <c r="M4" s="38"/>
      <c r="N4" s="37"/>
      <c r="O4" s="38"/>
      <c r="P4" s="37"/>
      <c r="Q4" s="38"/>
    </row>
    <row r="6" spans="1:21" ht="16.5" thickBot="1">
      <c r="B6" s="238" t="s">
        <v>0</v>
      </c>
      <c r="C6" s="215"/>
      <c r="D6" s="216"/>
      <c r="E6" s="215"/>
      <c r="F6" s="216"/>
      <c r="G6" s="215"/>
      <c r="H6" s="216"/>
      <c r="J6" s="123" t="s">
        <v>167</v>
      </c>
      <c r="K6" s="38"/>
      <c r="L6" s="37"/>
      <c r="M6" s="38"/>
      <c r="N6" s="37"/>
      <c r="O6" s="38"/>
      <c r="P6" s="37"/>
      <c r="Q6" s="38"/>
    </row>
    <row r="7" spans="1:21" s="2" customFormat="1" ht="16.5" thickBot="1">
      <c r="B7" s="223" t="s">
        <v>567</v>
      </c>
      <c r="C7" s="224" t="s">
        <v>301</v>
      </c>
      <c r="D7" s="225" t="s">
        <v>527</v>
      </c>
      <c r="E7" s="224" t="s">
        <v>301</v>
      </c>
      <c r="F7" s="225" t="s">
        <v>299</v>
      </c>
      <c r="G7" s="224" t="s">
        <v>301</v>
      </c>
      <c r="H7" s="225" t="s">
        <v>298</v>
      </c>
      <c r="I7" s="224" t="s">
        <v>301</v>
      </c>
      <c r="J7" s="228" t="s">
        <v>174</v>
      </c>
      <c r="K7" s="227" t="s">
        <v>301</v>
      </c>
      <c r="L7" s="228" t="s">
        <v>175</v>
      </c>
      <c r="M7" s="227" t="s">
        <v>301</v>
      </c>
      <c r="N7" s="228" t="s">
        <v>176</v>
      </c>
      <c r="O7" s="227" t="s">
        <v>301</v>
      </c>
      <c r="P7" s="228" t="s">
        <v>177</v>
      </c>
      <c r="Q7" s="227" t="s">
        <v>301</v>
      </c>
      <c r="R7" s="80"/>
      <c r="S7" s="18"/>
      <c r="T7" s="18"/>
      <c r="U7" s="18"/>
    </row>
    <row r="8" spans="1:21">
      <c r="A8" s="87" t="s">
        <v>243</v>
      </c>
      <c r="B8" s="125"/>
      <c r="C8" s="124"/>
      <c r="D8" s="125"/>
      <c r="E8" s="124"/>
      <c r="F8" s="125"/>
      <c r="G8" s="124"/>
      <c r="H8" s="125"/>
      <c r="I8" s="124"/>
      <c r="J8" s="219"/>
      <c r="K8" s="124"/>
      <c r="L8" s="219"/>
      <c r="M8" s="124"/>
      <c r="N8" s="219"/>
      <c r="O8" s="124"/>
      <c r="P8" s="219"/>
      <c r="Q8" s="124"/>
      <c r="R8" s="14"/>
      <c r="S8" s="9"/>
      <c r="T8" s="9"/>
      <c r="U8" s="9"/>
    </row>
    <row r="9" spans="1:21">
      <c r="A9" s="1" t="s">
        <v>264</v>
      </c>
      <c r="B9"/>
    </row>
    <row r="10" spans="1:21">
      <c r="A10" s="1" t="s">
        <v>265</v>
      </c>
      <c r="B10" s="12">
        <f>+bidcvar!B10</f>
        <v>0</v>
      </c>
      <c r="C10" s="44">
        <v>0</v>
      </c>
      <c r="D10" s="12">
        <f>+bidcvar!D10</f>
        <v>0</v>
      </c>
      <c r="E10" s="44">
        <v>0</v>
      </c>
      <c r="F10" s="12">
        <f>+bidcvar!F10</f>
        <v>0</v>
      </c>
      <c r="G10" s="44">
        <v>0</v>
      </c>
      <c r="H10" s="12">
        <f>+bidcvar!H10</f>
        <v>0</v>
      </c>
      <c r="I10" s="44">
        <v>0</v>
      </c>
      <c r="J10" s="12">
        <f>+bidcvar!J10</f>
        <v>0</v>
      </c>
      <c r="K10" s="44">
        <v>0</v>
      </c>
      <c r="L10" s="12">
        <f>+bidcvar!L10</f>
        <v>66853.3</v>
      </c>
      <c r="M10" s="47">
        <f t="shared" ref="M10:M15" si="0">+L10/$L$22</f>
        <v>5.091622983814921E-2</v>
      </c>
      <c r="N10" s="12">
        <f>+bidcvar!N10</f>
        <v>49850.1</v>
      </c>
      <c r="O10" s="47">
        <f t="shared" ref="O10:O15" si="1">+N10/$N$22</f>
        <v>3.5513271535852944E-2</v>
      </c>
      <c r="P10" s="12">
        <f>+bidcvar!P10</f>
        <v>39585.442000000003</v>
      </c>
      <c r="Q10" s="47">
        <f t="shared" ref="Q10:Q15" si="2">+P10/$P$22</f>
        <v>4.1645695888115397E-2</v>
      </c>
    </row>
    <row r="11" spans="1:21">
      <c r="A11" s="1" t="s">
        <v>266</v>
      </c>
      <c r="B11" s="12">
        <f>+bidcvar!B11</f>
        <v>0</v>
      </c>
      <c r="C11" s="44">
        <v>0</v>
      </c>
      <c r="D11" s="12">
        <f>+bidcvar!D11</f>
        <v>0</v>
      </c>
      <c r="E11" s="44">
        <v>0</v>
      </c>
      <c r="F11" s="12">
        <f>+bidcvar!F11</f>
        <v>0</v>
      </c>
      <c r="G11" s="44">
        <v>0</v>
      </c>
      <c r="H11" s="12">
        <f>+bidcvar!H11</f>
        <v>0</v>
      </c>
      <c r="I11" s="44">
        <v>0</v>
      </c>
      <c r="J11" s="12">
        <f>+bidcvar!J11</f>
        <v>0</v>
      </c>
      <c r="K11" s="44">
        <v>0</v>
      </c>
      <c r="L11" s="12">
        <f>+bidcvar!L11</f>
        <v>266574.7</v>
      </c>
      <c r="M11" s="47">
        <f t="shared" si="0"/>
        <v>0.20302630826355131</v>
      </c>
      <c r="N11" s="12">
        <f>+bidcvar!N11</f>
        <v>324894.5</v>
      </c>
      <c r="O11" s="47">
        <f t="shared" si="1"/>
        <v>0.23145523477395583</v>
      </c>
      <c r="P11" s="12">
        <f>+bidcvar!P11</f>
        <v>346990.38199999998</v>
      </c>
      <c r="Q11" s="47">
        <f t="shared" si="2"/>
        <v>0.36504975553570901</v>
      </c>
    </row>
    <row r="12" spans="1:21">
      <c r="A12" s="1" t="s">
        <v>267</v>
      </c>
      <c r="B12" s="12">
        <f>+bidcvar!B12</f>
        <v>0</v>
      </c>
      <c r="C12" s="44">
        <v>0</v>
      </c>
      <c r="D12" s="12">
        <f>+bidcvar!D12</f>
        <v>0</v>
      </c>
      <c r="E12" s="44">
        <v>0</v>
      </c>
      <c r="F12" s="12">
        <f>+bidcvar!F12</f>
        <v>0</v>
      </c>
      <c r="G12" s="44">
        <v>0</v>
      </c>
      <c r="H12" s="12">
        <f>+bidcvar!H12</f>
        <v>0</v>
      </c>
      <c r="I12" s="44">
        <v>0</v>
      </c>
      <c r="J12" s="12">
        <f>+bidcvar!J12</f>
        <v>0</v>
      </c>
      <c r="K12" s="44">
        <v>0</v>
      </c>
      <c r="L12" s="12">
        <f>+bidcvar!L12</f>
        <v>96504.5</v>
      </c>
      <c r="M12" s="47">
        <f t="shared" si="0"/>
        <v>7.3498919311622168E-2</v>
      </c>
      <c r="N12" s="12">
        <f>+bidcvar!N12</f>
        <v>70788.2</v>
      </c>
      <c r="O12" s="47">
        <f t="shared" si="1"/>
        <v>5.0429599301390876E-2</v>
      </c>
      <c r="P12" s="12">
        <f>+bidcvar!P12</f>
        <v>88562.31</v>
      </c>
      <c r="Q12" s="47">
        <f t="shared" si="2"/>
        <v>9.3171601555162645E-2</v>
      </c>
    </row>
    <row r="13" spans="1:21">
      <c r="A13" s="1" t="s">
        <v>268</v>
      </c>
      <c r="B13" s="12">
        <f>+bidcvar!B13</f>
        <v>0</v>
      </c>
      <c r="C13" s="44">
        <v>0</v>
      </c>
      <c r="D13" s="12">
        <f>+bidcvar!D13</f>
        <v>0</v>
      </c>
      <c r="E13" s="44">
        <v>0</v>
      </c>
      <c r="F13" s="12">
        <f>+bidcvar!F13</f>
        <v>0</v>
      </c>
      <c r="G13" s="44">
        <v>0</v>
      </c>
      <c r="H13" s="12">
        <f>+bidcvar!H13</f>
        <v>0</v>
      </c>
      <c r="I13" s="44">
        <v>0</v>
      </c>
      <c r="J13" s="12">
        <f>+bidcvar!J13</f>
        <v>0</v>
      </c>
      <c r="K13" s="44">
        <v>0</v>
      </c>
      <c r="L13" s="12">
        <f>+bidcvar!L13</f>
        <v>12006.4</v>
      </c>
      <c r="M13" s="47">
        <f t="shared" si="0"/>
        <v>9.1442101127207579E-3</v>
      </c>
      <c r="N13" s="12">
        <f>+bidcvar!N13</f>
        <v>6.3</v>
      </c>
      <c r="O13" s="47">
        <f t="shared" si="1"/>
        <v>4.4881276201225988E-6</v>
      </c>
      <c r="P13" s="12">
        <f>+bidcvar!P13</f>
        <v>0</v>
      </c>
      <c r="Q13" s="47">
        <f t="shared" si="2"/>
        <v>0</v>
      </c>
    </row>
    <row r="14" spans="1:21">
      <c r="A14" s="1" t="s">
        <v>269</v>
      </c>
      <c r="B14" s="221">
        <f>+bidcvar!B14</f>
        <v>0</v>
      </c>
      <c r="C14" s="295">
        <v>0</v>
      </c>
      <c r="D14" s="221">
        <f>+bidcvar!D14</f>
        <v>0</v>
      </c>
      <c r="E14" s="545">
        <v>0</v>
      </c>
      <c r="F14" s="221">
        <f>+bidcvar!F14</f>
        <v>0</v>
      </c>
      <c r="G14" s="545">
        <v>0</v>
      </c>
      <c r="H14" s="221">
        <f>+bidcvar!H14</f>
        <v>0</v>
      </c>
      <c r="I14" s="545">
        <v>0</v>
      </c>
      <c r="J14" s="221">
        <f>+bidcvar!J14</f>
        <v>0</v>
      </c>
      <c r="K14" s="295">
        <v>0</v>
      </c>
      <c r="L14" s="221">
        <f>+bidcvar!L14</f>
        <v>17523.900000000001</v>
      </c>
      <c r="M14" s="328">
        <f t="shared" si="0"/>
        <v>1.3346400552564242E-2</v>
      </c>
      <c r="N14" s="221">
        <f>+bidcvar!N14</f>
        <v>36570.6</v>
      </c>
      <c r="O14" s="328">
        <f t="shared" si="1"/>
        <v>2.6052939673723095E-2</v>
      </c>
      <c r="P14" s="221">
        <f>+bidcvar!P14</f>
        <v>8752.5640000000003</v>
      </c>
      <c r="Q14" s="328">
        <f t="shared" si="2"/>
        <v>9.2080977290910845E-3</v>
      </c>
    </row>
    <row r="15" spans="1:21" ht="15.6" customHeight="1">
      <c r="A15" s="1"/>
      <c r="B15" s="12">
        <f>SUM(B10:B14)</f>
        <v>0</v>
      </c>
      <c r="C15" s="44">
        <v>0</v>
      </c>
      <c r="D15" s="12">
        <f>SUM(D10:D14)</f>
        <v>0</v>
      </c>
      <c r="E15" s="44">
        <v>0</v>
      </c>
      <c r="F15" s="12">
        <f>SUM(F10:F14)</f>
        <v>0</v>
      </c>
      <c r="G15" s="44">
        <v>0</v>
      </c>
      <c r="H15" s="12">
        <f>SUM(H10:H14)</f>
        <v>0</v>
      </c>
      <c r="I15" s="44">
        <v>0</v>
      </c>
      <c r="J15" s="12">
        <f>SUM(J10:J14)</f>
        <v>0</v>
      </c>
      <c r="K15" s="44">
        <v>0</v>
      </c>
      <c r="L15" s="12">
        <f>SUM(L10:L14)</f>
        <v>459462.80000000005</v>
      </c>
      <c r="M15" s="47">
        <f t="shared" si="0"/>
        <v>0.34993206807860772</v>
      </c>
      <c r="N15" s="12">
        <f>SUM(N10:N14)</f>
        <v>482109.69999999995</v>
      </c>
      <c r="O15" s="47">
        <f t="shared" si="1"/>
        <v>0.34345553341254281</v>
      </c>
      <c r="P15" s="12">
        <f>SUM(P10:P14)</f>
        <v>483890.69799999997</v>
      </c>
      <c r="Q15" s="47">
        <f t="shared" si="2"/>
        <v>0.50907515070807818</v>
      </c>
    </row>
    <row r="16" spans="1:21" ht="7.9" customHeight="1">
      <c r="A16" s="1"/>
      <c r="C16" s="44" t="s">
        <v>0</v>
      </c>
      <c r="E16" s="44" t="s">
        <v>0</v>
      </c>
      <c r="G16" s="44" t="s">
        <v>0</v>
      </c>
      <c r="I16" s="44" t="s">
        <v>0</v>
      </c>
      <c r="K16" s="44" t="s">
        <v>0</v>
      </c>
      <c r="M16" s="47" t="s">
        <v>0</v>
      </c>
      <c r="O16" s="47" t="s">
        <v>0</v>
      </c>
      <c r="Q16" s="47" t="s">
        <v>0</v>
      </c>
    </row>
    <row r="17" spans="1:17" ht="15.6" customHeight="1">
      <c r="A17" s="1" t="s">
        <v>270</v>
      </c>
      <c r="B17" s="12">
        <f>+bidcvar!B17</f>
        <v>0</v>
      </c>
      <c r="C17" s="44">
        <v>0</v>
      </c>
      <c r="D17" s="12">
        <f>+bidcvar!D17</f>
        <v>0</v>
      </c>
      <c r="E17" s="44">
        <v>0</v>
      </c>
      <c r="F17" s="12">
        <f>+bidcvar!F17</f>
        <v>0</v>
      </c>
      <c r="G17" s="44">
        <v>0</v>
      </c>
      <c r="H17" s="12">
        <f>+bidcvar!H17</f>
        <v>0</v>
      </c>
      <c r="I17" s="44">
        <v>0</v>
      </c>
      <c r="J17" s="12">
        <f>+bidcvar!J17</f>
        <v>0</v>
      </c>
      <c r="K17" s="44">
        <v>0</v>
      </c>
      <c r="L17" s="12">
        <f>+bidcvar!L17</f>
        <v>29000</v>
      </c>
      <c r="M17" s="47">
        <f t="shared" ref="M17:M22" si="3">+L17/$L$22</f>
        <v>2.2086728184043676E-2</v>
      </c>
      <c r="N17" s="12">
        <f>+bidcvar!N17</f>
        <v>0</v>
      </c>
      <c r="O17" s="47">
        <f t="shared" ref="O17:O22" si="4">+N17/$N$22</f>
        <v>0</v>
      </c>
      <c r="P17" s="12">
        <f>+bidcvar!P17</f>
        <v>0</v>
      </c>
      <c r="Q17" s="47">
        <f t="shared" ref="Q17:Q22" si="5">+P17/$P$22</f>
        <v>0</v>
      </c>
    </row>
    <row r="18" spans="1:17">
      <c r="A18" s="1" t="s">
        <v>271</v>
      </c>
      <c r="B18" s="12">
        <f>+bidcvar!B18</f>
        <v>0</v>
      </c>
      <c r="C18" s="44">
        <v>0</v>
      </c>
      <c r="D18" s="12">
        <f>+bidcvar!D18</f>
        <v>0</v>
      </c>
      <c r="E18" s="44">
        <v>0</v>
      </c>
      <c r="F18" s="12">
        <f>+bidcvar!F18</f>
        <v>0</v>
      </c>
      <c r="G18" s="44">
        <v>0</v>
      </c>
      <c r="H18" s="12">
        <f>+bidcvar!H18</f>
        <v>0</v>
      </c>
      <c r="I18" s="44">
        <v>0</v>
      </c>
      <c r="J18" s="12">
        <f>+bidcvar!J18</f>
        <v>0</v>
      </c>
      <c r="K18" s="44">
        <v>0</v>
      </c>
      <c r="L18" s="12">
        <f>+bidcvar!L18</f>
        <v>28652.9</v>
      </c>
      <c r="M18" s="47">
        <f t="shared" si="3"/>
        <v>2.1822372896020174E-2</v>
      </c>
      <c r="N18" s="12">
        <f>+bidcvar!N18</f>
        <v>87.5</v>
      </c>
      <c r="O18" s="47">
        <f t="shared" si="4"/>
        <v>6.2335105835036094E-5</v>
      </c>
      <c r="P18" s="12">
        <f>+bidcvar!P18</f>
        <v>75</v>
      </c>
      <c r="Q18" s="47">
        <f t="shared" si="5"/>
        <v>7.8903431003969954E-5</v>
      </c>
    </row>
    <row r="19" spans="1:17">
      <c r="A19" s="1" t="s">
        <v>272</v>
      </c>
      <c r="B19" s="12">
        <f>+bidcvar!B19</f>
        <v>0</v>
      </c>
      <c r="C19" s="44">
        <v>0</v>
      </c>
      <c r="D19" s="12">
        <f>+bidcvar!D19</f>
        <v>0</v>
      </c>
      <c r="E19" s="44">
        <v>0</v>
      </c>
      <c r="F19" s="12">
        <f>+bidcvar!F19</f>
        <v>0</v>
      </c>
      <c r="G19" s="44">
        <v>0</v>
      </c>
      <c r="H19" s="12">
        <f>+bidcvar!H19</f>
        <v>0</v>
      </c>
      <c r="I19" s="44">
        <v>0</v>
      </c>
      <c r="J19" s="12">
        <f>+bidcvar!J19</f>
        <v>0</v>
      </c>
      <c r="K19" s="44">
        <v>0</v>
      </c>
      <c r="L19" s="12">
        <f>+bidcvar!L19</f>
        <v>610786</v>
      </c>
      <c r="M19" s="47">
        <f t="shared" si="3"/>
        <v>0.46518152967652759</v>
      </c>
      <c r="N19" s="12">
        <f>+bidcvar!N19</f>
        <v>738505.6</v>
      </c>
      <c r="O19" s="47">
        <f t="shared" si="4"/>
        <v>0.52611228269447807</v>
      </c>
      <c r="P19" s="12">
        <f>+bidcvar!P19</f>
        <v>431575.40899999999</v>
      </c>
      <c r="Q19" s="47">
        <f t="shared" si="5"/>
        <v>0.45403707342722149</v>
      </c>
    </row>
    <row r="20" spans="1:17">
      <c r="A20" s="1" t="s">
        <v>273</v>
      </c>
      <c r="B20" s="12">
        <f>+bidcvar!B20</f>
        <v>0</v>
      </c>
      <c r="C20" s="44">
        <v>0</v>
      </c>
      <c r="D20" s="12">
        <f>+bidcvar!D20</f>
        <v>0</v>
      </c>
      <c r="E20" s="44">
        <v>0</v>
      </c>
      <c r="F20" s="12">
        <f>+bidcvar!F20</f>
        <v>0</v>
      </c>
      <c r="G20" s="44">
        <v>0</v>
      </c>
      <c r="H20" s="12">
        <f>+bidcvar!H20</f>
        <v>0</v>
      </c>
      <c r="I20" s="44">
        <v>0</v>
      </c>
      <c r="J20" s="12">
        <f>+bidcvar!J20</f>
        <v>0</v>
      </c>
      <c r="K20" s="44">
        <v>0</v>
      </c>
      <c r="L20" s="12">
        <f>+bidcvar!L20</f>
        <v>105285</v>
      </c>
      <c r="M20" s="47">
        <f t="shared" si="3"/>
        <v>8.0186247477828917E-2</v>
      </c>
      <c r="N20" s="12">
        <f>+bidcvar!N20</f>
        <v>125828.3</v>
      </c>
      <c r="O20" s="47">
        <f t="shared" si="4"/>
        <v>8.9640233114773399E-2</v>
      </c>
      <c r="P20" s="12">
        <f>+bidcvar!P20</f>
        <v>18721.026000000002</v>
      </c>
      <c r="Q20" s="47">
        <f t="shared" si="5"/>
        <v>1.9695375777527037E-2</v>
      </c>
    </row>
    <row r="21" spans="1:17" ht="16.5" thickBot="1">
      <c r="A21" s="1" t="s">
        <v>274</v>
      </c>
      <c r="B21" s="99">
        <f>+bidcvar!B21</f>
        <v>0</v>
      </c>
      <c r="C21" s="98">
        <v>0</v>
      </c>
      <c r="D21" s="99">
        <f>+bidcvar!D21</f>
        <v>0</v>
      </c>
      <c r="E21" s="232">
        <v>0</v>
      </c>
      <c r="F21" s="99">
        <f>+bidcvar!F21</f>
        <v>0</v>
      </c>
      <c r="G21" s="232">
        <v>0</v>
      </c>
      <c r="H21" s="99">
        <f>+bidcvar!H21</f>
        <v>0</v>
      </c>
      <c r="I21" s="232">
        <v>0</v>
      </c>
      <c r="J21" s="99">
        <f>+bidcvar!J21</f>
        <v>0</v>
      </c>
      <c r="K21" s="98">
        <v>0</v>
      </c>
      <c r="L21" s="99">
        <f>+bidcvar!L21</f>
        <v>79819</v>
      </c>
      <c r="M21" s="329">
        <f t="shared" si="3"/>
        <v>6.0791053686971797E-2</v>
      </c>
      <c r="N21" s="99">
        <f>+bidcvar!N21</f>
        <v>57172.3</v>
      </c>
      <c r="O21" s="329">
        <f t="shared" si="4"/>
        <v>4.0729615672370677E-2</v>
      </c>
      <c r="P21" s="99">
        <f>+bidcvar!P21</f>
        <v>16266.875</v>
      </c>
      <c r="Q21" s="329">
        <f t="shared" si="5"/>
        <v>1.7113496656169385E-2</v>
      </c>
    </row>
    <row r="22" spans="1:17">
      <c r="A22" s="1" t="s">
        <v>275</v>
      </c>
      <c r="B22" s="4">
        <f>SUM(B15:B21)</f>
        <v>0</v>
      </c>
      <c r="C22" s="42">
        <v>0</v>
      </c>
      <c r="D22" s="4">
        <f>SUM(D15:D21)</f>
        <v>0</v>
      </c>
      <c r="E22" s="42">
        <v>0</v>
      </c>
      <c r="F22" s="4">
        <f>SUM(F15:F21)</f>
        <v>0</v>
      </c>
      <c r="G22" s="44">
        <v>0</v>
      </c>
      <c r="H22" s="4">
        <f>SUM(H15:H21)</f>
        <v>0</v>
      </c>
      <c r="I22" s="42">
        <v>0</v>
      </c>
      <c r="J22" s="4">
        <f>SUM(J15:J21)</f>
        <v>0</v>
      </c>
      <c r="K22" s="44">
        <v>0</v>
      </c>
      <c r="L22" s="4">
        <f>SUM(L15:L21)</f>
        <v>1313005.7000000002</v>
      </c>
      <c r="M22" s="47">
        <f t="shared" si="3"/>
        <v>1</v>
      </c>
      <c r="N22" s="4">
        <f>SUM(N15:N21)</f>
        <v>1403703.4</v>
      </c>
      <c r="O22" s="47">
        <f t="shared" si="4"/>
        <v>1</v>
      </c>
      <c r="P22" s="4">
        <f>SUM(P15:P21)</f>
        <v>950529.00799999991</v>
      </c>
      <c r="Q22" s="47">
        <f t="shared" si="5"/>
        <v>1</v>
      </c>
    </row>
    <row r="23" spans="1:17" ht="7.9" customHeight="1">
      <c r="A23" s="1"/>
      <c r="C23" s="44" t="s">
        <v>0</v>
      </c>
      <c r="E23" s="44" t="s">
        <v>0</v>
      </c>
      <c r="G23" s="44" t="s">
        <v>0</v>
      </c>
      <c r="I23" s="44" t="s">
        <v>0</v>
      </c>
      <c r="K23" s="44" t="s">
        <v>0</v>
      </c>
      <c r="M23" s="47" t="s">
        <v>0</v>
      </c>
      <c r="O23" s="47" t="s">
        <v>0</v>
      </c>
      <c r="Q23" s="47" t="s">
        <v>0</v>
      </c>
    </row>
    <row r="24" spans="1:17">
      <c r="A24" s="87" t="s">
        <v>276</v>
      </c>
      <c r="C24" s="44" t="s">
        <v>0</v>
      </c>
      <c r="E24" s="44" t="s">
        <v>0</v>
      </c>
      <c r="G24" s="44" t="s">
        <v>0</v>
      </c>
      <c r="I24" s="44" t="s">
        <v>0</v>
      </c>
      <c r="K24" s="44" t="s">
        <v>0</v>
      </c>
      <c r="M24" s="47" t="s">
        <v>0</v>
      </c>
      <c r="O24" s="47" t="s">
        <v>0</v>
      </c>
      <c r="Q24" s="47" t="s">
        <v>0</v>
      </c>
    </row>
    <row r="25" spans="1:17">
      <c r="A25" s="1" t="s">
        <v>277</v>
      </c>
      <c r="C25" s="44" t="s">
        <v>0</v>
      </c>
      <c r="E25" s="44" t="s">
        <v>0</v>
      </c>
      <c r="G25" s="44" t="s">
        <v>0</v>
      </c>
      <c r="I25" s="44" t="s">
        <v>0</v>
      </c>
      <c r="K25" s="44" t="s">
        <v>0</v>
      </c>
      <c r="M25" s="47" t="s">
        <v>0</v>
      </c>
      <c r="O25" s="47" t="s">
        <v>0</v>
      </c>
      <c r="Q25" s="47" t="s">
        <v>0</v>
      </c>
    </row>
    <row r="26" spans="1:17">
      <c r="A26" s="1" t="s">
        <v>278</v>
      </c>
      <c r="B26" s="12">
        <f>+bidcvar!B26</f>
        <v>0</v>
      </c>
      <c r="C26" s="44">
        <v>0</v>
      </c>
      <c r="D26" s="12">
        <f>+bidcvar!D26</f>
        <v>0</v>
      </c>
      <c r="E26" s="44">
        <v>0</v>
      </c>
      <c r="F26" s="12">
        <f>+bidcvar!F26</f>
        <v>0</v>
      </c>
      <c r="G26" s="44">
        <v>0</v>
      </c>
      <c r="H26" s="12">
        <f>+bidcvar!H26</f>
        <v>0</v>
      </c>
      <c r="I26" s="44">
        <v>0</v>
      </c>
      <c r="J26" s="12">
        <f>+bidcvar!J26</f>
        <v>0</v>
      </c>
      <c r="K26" s="44">
        <v>0</v>
      </c>
      <c r="L26" s="12">
        <f>+bidcvar!L26</f>
        <v>262370.90000000002</v>
      </c>
      <c r="M26" s="47">
        <f>+L26/$L$22</f>
        <v>0.19982464661044502</v>
      </c>
      <c r="N26" s="12">
        <f>+bidcvar!N26</f>
        <v>207654</v>
      </c>
      <c r="O26" s="47">
        <f>+N26/$N$22</f>
        <v>0.14793296076649812</v>
      </c>
      <c r="P26" s="12">
        <f>+bidcvar!P26</f>
        <v>141209.878</v>
      </c>
      <c r="Q26" s="47">
        <f>+P26/$P$22</f>
        <v>0.14855925154469354</v>
      </c>
    </row>
    <row r="27" spans="1:17">
      <c r="A27" s="1" t="s">
        <v>279</v>
      </c>
      <c r="B27" s="12">
        <f>+bidcvar!B27</f>
        <v>0</v>
      </c>
      <c r="C27" s="44">
        <v>0</v>
      </c>
      <c r="D27" s="12">
        <f>+bidcvar!D27</f>
        <v>0</v>
      </c>
      <c r="E27" s="44">
        <v>0</v>
      </c>
      <c r="F27" s="12">
        <f>+bidcvar!F27</f>
        <v>0</v>
      </c>
      <c r="G27" s="44">
        <v>0</v>
      </c>
      <c r="H27" s="12">
        <f>+bidcvar!H27</f>
        <v>0</v>
      </c>
      <c r="I27" s="44">
        <v>0</v>
      </c>
      <c r="J27" s="12">
        <f>+bidcvar!J27</f>
        <v>0</v>
      </c>
      <c r="K27" s="44">
        <v>0</v>
      </c>
      <c r="L27" s="12">
        <f>+bidcvar!L27</f>
        <v>446803.6</v>
      </c>
      <c r="M27" s="47">
        <f>+L27/$L$22</f>
        <v>0.3402906780983509</v>
      </c>
      <c r="N27" s="12">
        <f>+bidcvar!N27</f>
        <v>388592.6</v>
      </c>
      <c r="O27" s="47">
        <f>+N27/$N$22</f>
        <v>0.27683383825956398</v>
      </c>
      <c r="P27" s="12">
        <f>+bidcvar!P27</f>
        <v>346810.77</v>
      </c>
      <c r="Q27" s="47">
        <f>+P27/$P$22</f>
        <v>0.36486079549504929</v>
      </c>
    </row>
    <row r="28" spans="1:17">
      <c r="A28" s="1" t="s">
        <v>280</v>
      </c>
      <c r="B28" s="221">
        <f>+bidcvar!B28</f>
        <v>0</v>
      </c>
      <c r="C28" s="295">
        <v>0</v>
      </c>
      <c r="D28" s="221">
        <f>+bidcvar!D28</f>
        <v>0</v>
      </c>
      <c r="E28" s="545">
        <v>0</v>
      </c>
      <c r="F28" s="221">
        <f>+bidcvar!F28</f>
        <v>0</v>
      </c>
      <c r="G28" s="545">
        <v>0</v>
      </c>
      <c r="H28" s="221">
        <f>+bidcvar!H28</f>
        <v>0</v>
      </c>
      <c r="I28" s="545">
        <v>0</v>
      </c>
      <c r="J28" s="221">
        <f>+bidcvar!J28</f>
        <v>0</v>
      </c>
      <c r="K28" s="295">
        <v>0</v>
      </c>
      <c r="L28" s="221">
        <f>+bidcvar!L28</f>
        <v>344181.2</v>
      </c>
      <c r="M28" s="328">
        <f>+L28/$L$22</f>
        <v>0.26213229691234391</v>
      </c>
      <c r="N28" s="221">
        <f>+bidcvar!N28</f>
        <v>492618</v>
      </c>
      <c r="O28" s="328">
        <f>+N28/$N$22</f>
        <v>0.3509416590427864</v>
      </c>
      <c r="P28" s="221">
        <f>+bidcvar!P28</f>
        <v>403062.48499999999</v>
      </c>
      <c r="Q28" s="328">
        <f>+P28/$P$22</f>
        <v>0.42404017300648233</v>
      </c>
    </row>
    <row r="29" spans="1:17">
      <c r="A29" s="1"/>
      <c r="B29" s="12">
        <f>SUM(B26:B28)</f>
        <v>0</v>
      </c>
      <c r="C29" s="44">
        <v>0</v>
      </c>
      <c r="D29" s="12">
        <f>SUM(D26:D28)</f>
        <v>0</v>
      </c>
      <c r="E29" s="44">
        <v>0</v>
      </c>
      <c r="F29" s="12">
        <f>SUM(F26:F28)</f>
        <v>0</v>
      </c>
      <c r="G29" s="44">
        <v>0</v>
      </c>
      <c r="H29" s="12">
        <f>SUM(H26:H28)</f>
        <v>0</v>
      </c>
      <c r="I29" s="44">
        <v>0</v>
      </c>
      <c r="J29" s="12">
        <f>SUM(J26:J28)</f>
        <v>0</v>
      </c>
      <c r="K29" s="44">
        <v>0</v>
      </c>
      <c r="L29" s="12">
        <f>SUM(L26:L28)</f>
        <v>1053355.7</v>
      </c>
      <c r="M29" s="47">
        <f>+L29/$L$22</f>
        <v>0.80224762162113983</v>
      </c>
      <c r="N29" s="12">
        <f>SUM(N26:N28)</f>
        <v>1088864.6000000001</v>
      </c>
      <c r="O29" s="47">
        <f>+N29/$N$22</f>
        <v>0.77570845806884858</v>
      </c>
      <c r="P29" s="12">
        <f>SUM(P26:P28)</f>
        <v>891083.13300000003</v>
      </c>
      <c r="Q29" s="47">
        <f>+P29/$P$22</f>
        <v>0.9374602200462252</v>
      </c>
    </row>
    <row r="30" spans="1:17" ht="7.9" customHeight="1">
      <c r="A30" s="1"/>
      <c r="C30" s="44" t="s">
        <v>0</v>
      </c>
      <c r="E30" s="44" t="s">
        <v>0</v>
      </c>
      <c r="G30" s="44" t="s">
        <v>0</v>
      </c>
      <c r="I30" s="44" t="s">
        <v>0</v>
      </c>
      <c r="K30" s="44" t="s">
        <v>0</v>
      </c>
      <c r="M30" s="47" t="s">
        <v>0</v>
      </c>
      <c r="O30" s="47" t="s">
        <v>0</v>
      </c>
      <c r="Q30" s="47" t="s">
        <v>0</v>
      </c>
    </row>
    <row r="31" spans="1:17">
      <c r="A31" s="1" t="s">
        <v>281</v>
      </c>
      <c r="C31" s="44" t="s">
        <v>0</v>
      </c>
      <c r="E31" s="44" t="s">
        <v>0</v>
      </c>
      <c r="G31" s="44" t="s">
        <v>0</v>
      </c>
      <c r="I31" s="44" t="s">
        <v>0</v>
      </c>
      <c r="K31" s="44" t="s">
        <v>0</v>
      </c>
      <c r="M31" s="47" t="s">
        <v>0</v>
      </c>
      <c r="O31" s="47" t="s">
        <v>0</v>
      </c>
      <c r="Q31" s="47" t="s">
        <v>0</v>
      </c>
    </row>
    <row r="32" spans="1:17">
      <c r="A32" s="1" t="s">
        <v>282</v>
      </c>
      <c r="B32" s="12">
        <f>+bidcvar!B32</f>
        <v>0</v>
      </c>
      <c r="C32" s="44">
        <v>0</v>
      </c>
      <c r="D32" s="12">
        <f>+bidcvar!D32</f>
        <v>0</v>
      </c>
      <c r="E32" s="44">
        <v>0</v>
      </c>
      <c r="F32" s="12">
        <f>+bidcvar!F32</f>
        <v>0</v>
      </c>
      <c r="G32" s="44">
        <v>0</v>
      </c>
      <c r="H32" s="12">
        <f>+bidcvar!H32</f>
        <v>0</v>
      </c>
      <c r="I32" s="44">
        <v>0</v>
      </c>
      <c r="J32" s="12">
        <f>+bidcvar!J32</f>
        <v>0</v>
      </c>
      <c r="K32" s="44">
        <v>0</v>
      </c>
      <c r="L32" s="12">
        <f>+bidcvar!L32</f>
        <v>45736.3</v>
      </c>
      <c r="M32" s="47">
        <f>+L32/$L$22</f>
        <v>3.483328366358196E-2</v>
      </c>
      <c r="N32" s="12">
        <f>+bidcvar!N32</f>
        <v>101099.9</v>
      </c>
      <c r="O32" s="47">
        <f>+N32/$N$22</f>
        <v>7.2023691044703603E-2</v>
      </c>
      <c r="P32" s="12">
        <f>+bidcvar!P32</f>
        <v>16490.822</v>
      </c>
      <c r="Q32" s="47">
        <f>+P32/$P$22</f>
        <v>1.7349099145009997E-2</v>
      </c>
    </row>
    <row r="33" spans="1:21">
      <c r="A33" s="1" t="s">
        <v>283</v>
      </c>
      <c r="B33" s="12">
        <f>+bidcvar!B33</f>
        <v>0</v>
      </c>
      <c r="C33" s="44">
        <v>0</v>
      </c>
      <c r="D33" s="12">
        <f>+bidcvar!D33</f>
        <v>0</v>
      </c>
      <c r="E33" s="44">
        <v>0</v>
      </c>
      <c r="F33" s="12">
        <f>+bidcvar!F33</f>
        <v>0</v>
      </c>
      <c r="G33" s="44">
        <v>0</v>
      </c>
      <c r="H33" s="12">
        <f>+bidcvar!H33</f>
        <v>0</v>
      </c>
      <c r="I33" s="44">
        <v>0</v>
      </c>
      <c r="J33" s="12">
        <f>+bidcvar!J33</f>
        <v>0</v>
      </c>
      <c r="K33" s="44">
        <v>0</v>
      </c>
      <c r="L33" s="12">
        <f>+bidcvar!L33</f>
        <v>0</v>
      </c>
      <c r="M33" s="47">
        <f>+L33/$L$22</f>
        <v>0</v>
      </c>
      <c r="N33" s="12">
        <f>+bidcvar!N33</f>
        <v>0</v>
      </c>
      <c r="O33" s="47">
        <f>+N33/$N$22</f>
        <v>0</v>
      </c>
      <c r="P33" s="12">
        <f>+bidcvar!P33</f>
        <v>0</v>
      </c>
      <c r="Q33" s="47">
        <f>+P33/$P$22</f>
        <v>0</v>
      </c>
    </row>
    <row r="34" spans="1:21" ht="18">
      <c r="A34" s="1" t="s">
        <v>284</v>
      </c>
      <c r="B34" s="221">
        <f>+bidcvar!B34</f>
        <v>0</v>
      </c>
      <c r="C34" s="295">
        <v>0</v>
      </c>
      <c r="D34" s="221">
        <f>+bidcvar!D34</f>
        <v>0</v>
      </c>
      <c r="E34" s="545">
        <v>0</v>
      </c>
      <c r="F34" s="221">
        <f>+bidcvar!F34</f>
        <v>0</v>
      </c>
      <c r="G34" s="545">
        <v>0</v>
      </c>
      <c r="H34" s="221">
        <f>+bidcvar!H34</f>
        <v>0</v>
      </c>
      <c r="I34" s="545">
        <v>0</v>
      </c>
      <c r="J34" s="221">
        <f>+bidcvar!J34</f>
        <v>0</v>
      </c>
      <c r="K34" s="295">
        <v>0</v>
      </c>
      <c r="L34" s="221">
        <f>+bidcvar!L34</f>
        <v>82139.3</v>
      </c>
      <c r="M34" s="328">
        <f>+L34/$L$22</f>
        <v>6.2558220425090308E-2</v>
      </c>
      <c r="N34" s="221">
        <f>+bidcvar!N34</f>
        <v>40336.6</v>
      </c>
      <c r="O34" s="328">
        <f>+N34/$N$22</f>
        <v>2.8735842628863049E-2</v>
      </c>
      <c r="P34" s="221">
        <f>+bidcvar!P34</f>
        <v>21583.598999999998</v>
      </c>
      <c r="Q34" s="328">
        <f>+P34/$P$22</f>
        <v>2.2706933526851398E-2</v>
      </c>
      <c r="R34" s="6"/>
      <c r="S34" s="7"/>
      <c r="T34" s="7"/>
      <c r="U34" s="7"/>
    </row>
    <row r="35" spans="1:21">
      <c r="A35" s="1"/>
      <c r="B35" s="12">
        <f>SUM(B32:B34)</f>
        <v>0</v>
      </c>
      <c r="C35" s="44">
        <v>0</v>
      </c>
      <c r="D35" s="12">
        <f>SUM(D32:D34)</f>
        <v>0</v>
      </c>
      <c r="E35" s="44">
        <v>0</v>
      </c>
      <c r="F35" s="12">
        <f>SUM(F32:F34)</f>
        <v>0</v>
      </c>
      <c r="G35" s="44">
        <v>0</v>
      </c>
      <c r="H35" s="12">
        <f>SUM(H32:H34)</f>
        <v>0</v>
      </c>
      <c r="I35" s="44">
        <v>0</v>
      </c>
      <c r="J35" s="12">
        <f>SUM(J32:J34)</f>
        <v>0</v>
      </c>
      <c r="K35" s="44">
        <v>0</v>
      </c>
      <c r="L35" s="12">
        <f>SUM(L32:L34)</f>
        <v>127875.6</v>
      </c>
      <c r="M35" s="47">
        <f>+L35/$L$22</f>
        <v>9.7391504088672268E-2</v>
      </c>
      <c r="N35" s="12">
        <f>SUM(N32:N34)</f>
        <v>141436.5</v>
      </c>
      <c r="O35" s="47">
        <f>+N35/$N$22</f>
        <v>0.10075953367356666</v>
      </c>
      <c r="P35" s="12">
        <f>SUM(P32:P34)</f>
        <v>38074.421000000002</v>
      </c>
      <c r="Q35" s="47">
        <f>+P35/$P$22</f>
        <v>4.0056032671861398E-2</v>
      </c>
    </row>
    <row r="36" spans="1:21" ht="7.15" customHeight="1">
      <c r="A36" s="1"/>
      <c r="C36" s="44" t="s">
        <v>0</v>
      </c>
      <c r="E36" s="44" t="s">
        <v>0</v>
      </c>
      <c r="G36" s="44" t="s">
        <v>0</v>
      </c>
      <c r="I36" s="44" t="s">
        <v>0</v>
      </c>
      <c r="K36" s="44" t="s">
        <v>0</v>
      </c>
      <c r="M36" s="47" t="s">
        <v>0</v>
      </c>
      <c r="O36" s="47" t="s">
        <v>0</v>
      </c>
      <c r="Q36" s="47" t="s">
        <v>0</v>
      </c>
    </row>
    <row r="37" spans="1:21">
      <c r="A37" s="1" t="s">
        <v>285</v>
      </c>
      <c r="C37" s="44" t="s">
        <v>0</v>
      </c>
      <c r="E37" s="44" t="s">
        <v>0</v>
      </c>
      <c r="G37" s="44" t="s">
        <v>0</v>
      </c>
      <c r="I37" s="44" t="s">
        <v>0</v>
      </c>
      <c r="K37" s="44" t="s">
        <v>0</v>
      </c>
      <c r="M37" s="47" t="s">
        <v>0</v>
      </c>
      <c r="O37" s="47" t="s">
        <v>0</v>
      </c>
      <c r="Q37" s="47" t="s">
        <v>0</v>
      </c>
    </row>
    <row r="38" spans="1:21">
      <c r="A38" s="1" t="s">
        <v>282</v>
      </c>
      <c r="B38" s="12">
        <f>+bidcvar!B38</f>
        <v>0</v>
      </c>
      <c r="C38" s="44">
        <v>0</v>
      </c>
      <c r="D38" s="12">
        <f>+bidcvar!D38</f>
        <v>0</v>
      </c>
      <c r="E38" s="44">
        <v>0</v>
      </c>
      <c r="F38" s="12">
        <f>+bidcvar!F38</f>
        <v>0</v>
      </c>
      <c r="G38" s="44">
        <v>0</v>
      </c>
      <c r="H38" s="12">
        <f>+bidcvar!H38</f>
        <v>0</v>
      </c>
      <c r="I38" s="44">
        <v>0</v>
      </c>
      <c r="J38" s="12">
        <f>+bidcvar!J38</f>
        <v>0</v>
      </c>
      <c r="K38" s="44">
        <v>0</v>
      </c>
      <c r="L38" s="12">
        <f>+bidcvar!L38</f>
        <v>0</v>
      </c>
      <c r="M38" s="47">
        <f>+L38/$L$22</f>
        <v>0</v>
      </c>
      <c r="N38" s="12">
        <f>+bidcvar!N38</f>
        <v>0</v>
      </c>
      <c r="O38" s="47">
        <f>+N38/$N$22</f>
        <v>0</v>
      </c>
      <c r="P38" s="12">
        <f>+bidcvar!P38</f>
        <v>0</v>
      </c>
      <c r="Q38" s="47">
        <f>+P38/$P$22</f>
        <v>0</v>
      </c>
    </row>
    <row r="39" spans="1:21">
      <c r="A39" s="1" t="s">
        <v>286</v>
      </c>
      <c r="B39" s="12">
        <f>+bidcvar!B39</f>
        <v>0</v>
      </c>
      <c r="C39" s="44">
        <v>0</v>
      </c>
      <c r="D39" s="12">
        <f>+bidcvar!D39</f>
        <v>0</v>
      </c>
      <c r="E39" s="44">
        <v>0</v>
      </c>
      <c r="F39" s="12">
        <f>+bidcvar!F39</f>
        <v>0</v>
      </c>
      <c r="G39" s="44">
        <v>0</v>
      </c>
      <c r="H39" s="12">
        <f>+bidcvar!H39</f>
        <v>0</v>
      </c>
      <c r="I39" s="44">
        <v>0</v>
      </c>
      <c r="J39" s="12">
        <f>+bidcvar!J39</f>
        <v>0</v>
      </c>
      <c r="K39" s="44">
        <v>0</v>
      </c>
      <c r="L39" s="12">
        <f>+bidcvar!L39</f>
        <v>0</v>
      </c>
      <c r="M39" s="47">
        <f>+L39/$L$22</f>
        <v>0</v>
      </c>
      <c r="N39" s="12">
        <f>+bidcvar!N39</f>
        <v>36404.400000000001</v>
      </c>
      <c r="O39" s="47">
        <f>+N39/$N$22</f>
        <v>2.5934538592697006E-2</v>
      </c>
      <c r="P39" s="12">
        <f>+bidcvar!P39</f>
        <v>0</v>
      </c>
      <c r="Q39" s="47">
        <f>+P39/$P$22</f>
        <v>0</v>
      </c>
    </row>
    <row r="40" spans="1:21">
      <c r="A40" s="1" t="s">
        <v>284</v>
      </c>
      <c r="B40" s="221">
        <f>+bidcvar!B40</f>
        <v>0</v>
      </c>
      <c r="C40" s="295">
        <v>0</v>
      </c>
      <c r="D40" s="221">
        <f>+bidcvar!D40</f>
        <v>0</v>
      </c>
      <c r="E40" s="545">
        <v>0</v>
      </c>
      <c r="F40" s="221">
        <f>+bidcvar!F40</f>
        <v>0</v>
      </c>
      <c r="G40" s="545">
        <v>0</v>
      </c>
      <c r="H40" s="221">
        <f>+bidcvar!H40</f>
        <v>0</v>
      </c>
      <c r="I40" s="545">
        <v>0</v>
      </c>
      <c r="J40" s="221">
        <f>+bidcvar!J40</f>
        <v>0</v>
      </c>
      <c r="K40" s="295">
        <v>0</v>
      </c>
      <c r="L40" s="221">
        <f>+bidcvar!L40</f>
        <v>12128.9</v>
      </c>
      <c r="M40" s="328">
        <f>+L40/$L$22</f>
        <v>9.2375074990154252E-3</v>
      </c>
      <c r="N40" s="221">
        <f>+bidcvar!N40</f>
        <v>9445.7999999999993</v>
      </c>
      <c r="O40" s="328">
        <f>+N40/$N$22</f>
        <v>6.7291993451038161E-3</v>
      </c>
      <c r="P40" s="221">
        <f>+bidcvar!P40</f>
        <v>895.798</v>
      </c>
      <c r="Q40" s="328">
        <f>+P40/$P$22</f>
        <v>9.4242047581992374E-4</v>
      </c>
    </row>
    <row r="41" spans="1:21">
      <c r="A41" s="1"/>
      <c r="B41" s="12">
        <f>SUM(B38:B40)</f>
        <v>0</v>
      </c>
      <c r="C41" s="44">
        <v>0</v>
      </c>
      <c r="D41" s="12">
        <f>SUM(D38:D40)</f>
        <v>0</v>
      </c>
      <c r="E41" s="44">
        <v>0</v>
      </c>
      <c r="F41" s="12">
        <f>SUM(F38:F40)</f>
        <v>0</v>
      </c>
      <c r="G41" s="44">
        <v>0</v>
      </c>
      <c r="H41" s="12">
        <f>SUM(H38:H40)</f>
        <v>0</v>
      </c>
      <c r="I41" s="44">
        <v>0</v>
      </c>
      <c r="J41" s="12">
        <f>SUM(J38:J40)</f>
        <v>0</v>
      </c>
      <c r="K41" s="44">
        <v>0</v>
      </c>
      <c r="L41" s="12">
        <f>SUM(L38:L40)</f>
        <v>12128.9</v>
      </c>
      <c r="M41" s="47">
        <f>+L41/$L$22</f>
        <v>9.2375074990154252E-3</v>
      </c>
      <c r="N41" s="12">
        <f>SUM(N38:N40)</f>
        <v>45850.2</v>
      </c>
      <c r="O41" s="47">
        <f>+N41/$N$22</f>
        <v>3.2663737937800821E-2</v>
      </c>
      <c r="P41" s="12">
        <f>SUM(P38:P40)</f>
        <v>895.798</v>
      </c>
      <c r="Q41" s="47">
        <f>+P41/$P$22</f>
        <v>9.4242047581992374E-4</v>
      </c>
    </row>
    <row r="42" spans="1:21" ht="8.4499999999999993" customHeight="1">
      <c r="A42" s="1"/>
      <c r="C42" s="44" t="s">
        <v>0</v>
      </c>
      <c r="E42" s="44" t="s">
        <v>0</v>
      </c>
      <c r="G42" s="44" t="s">
        <v>0</v>
      </c>
      <c r="I42" s="44" t="s">
        <v>0</v>
      </c>
      <c r="K42" s="44" t="s">
        <v>0</v>
      </c>
      <c r="M42" s="47" t="s">
        <v>0</v>
      </c>
      <c r="O42" s="47" t="s">
        <v>0</v>
      </c>
      <c r="Q42" s="47" t="s">
        <v>0</v>
      </c>
    </row>
    <row r="43" spans="1:21" ht="18">
      <c r="A43" s="1" t="s">
        <v>287</v>
      </c>
      <c r="B43" s="221">
        <f>+bidcvar!B43</f>
        <v>0</v>
      </c>
      <c r="C43" s="295">
        <v>0</v>
      </c>
      <c r="D43" s="221">
        <f>+bidcvar!D43</f>
        <v>0</v>
      </c>
      <c r="E43" s="545">
        <v>0</v>
      </c>
      <c r="F43" s="221">
        <f>+bidcvar!F43</f>
        <v>0</v>
      </c>
      <c r="G43" s="545">
        <v>0</v>
      </c>
      <c r="H43" s="221">
        <f>+bidcvar!H43</f>
        <v>0</v>
      </c>
      <c r="I43" s="545">
        <v>0</v>
      </c>
      <c r="J43" s="221">
        <f>+bidcvar!J43</f>
        <v>0</v>
      </c>
      <c r="K43" s="295">
        <v>0</v>
      </c>
      <c r="L43" s="221">
        <f>+bidcvar!L43</f>
        <v>38461.4</v>
      </c>
      <c r="M43" s="328">
        <f>+L43/$L$22</f>
        <v>2.929263749578543E-2</v>
      </c>
      <c r="N43" s="221">
        <f>+bidcvar!N43</f>
        <v>45228</v>
      </c>
      <c r="O43" s="328">
        <f>+N43/$N$22</f>
        <v>3.2220481905223003E-2</v>
      </c>
      <c r="P43" s="221">
        <f>+bidcvar!P43</f>
        <v>12974.269</v>
      </c>
      <c r="Q43" s="328">
        <f>+P43/$P$22</f>
        <v>1.3649524518245951E-2</v>
      </c>
      <c r="R43" s="6"/>
    </row>
    <row r="44" spans="1:21">
      <c r="A44" s="1"/>
      <c r="B44" s="12">
        <f>+B29+B35+B41+B43</f>
        <v>0</v>
      </c>
      <c r="C44" s="44">
        <v>0</v>
      </c>
      <c r="D44" s="12">
        <f t="shared" ref="D44:J44" si="6">+D29+D35+D41+D43</f>
        <v>0</v>
      </c>
      <c r="E44" s="44">
        <v>0</v>
      </c>
      <c r="F44" s="12">
        <f t="shared" si="6"/>
        <v>0</v>
      </c>
      <c r="G44" s="44">
        <v>0</v>
      </c>
      <c r="H44" s="12">
        <f t="shared" si="6"/>
        <v>0</v>
      </c>
      <c r="I44" s="44">
        <v>0</v>
      </c>
      <c r="J44" s="12">
        <f t="shared" si="6"/>
        <v>0</v>
      </c>
      <c r="K44" s="44">
        <v>0</v>
      </c>
      <c r="L44" s="12">
        <f>+L29+L35+L41+L43</f>
        <v>1231821.5999999999</v>
      </c>
      <c r="M44" s="47">
        <f>+L44/$L$22</f>
        <v>0.93816927070461287</v>
      </c>
      <c r="N44" s="12">
        <f>+N29+N35+N41+N43</f>
        <v>1321379.3</v>
      </c>
      <c r="O44" s="47">
        <f>+N44/$N$22</f>
        <v>0.94135221158543902</v>
      </c>
      <c r="P44" s="12">
        <f>+P29+P35+P41+P43</f>
        <v>943027.62099999993</v>
      </c>
      <c r="Q44" s="47">
        <f>+P44/$P$22</f>
        <v>0.99210819771215231</v>
      </c>
    </row>
    <row r="45" spans="1:21" ht="8.4499999999999993" customHeight="1">
      <c r="A45" s="1"/>
      <c r="C45" s="44" t="s">
        <v>0</v>
      </c>
      <c r="E45" s="44" t="s">
        <v>0</v>
      </c>
      <c r="G45" s="44" t="s">
        <v>0</v>
      </c>
      <c r="I45" s="44" t="s">
        <v>0</v>
      </c>
      <c r="K45" s="44" t="s">
        <v>0</v>
      </c>
      <c r="M45" s="47" t="s">
        <v>0</v>
      </c>
      <c r="O45" s="47" t="s">
        <v>0</v>
      </c>
      <c r="Q45" s="47" t="s">
        <v>0</v>
      </c>
    </row>
    <row r="46" spans="1:21">
      <c r="A46" s="87" t="s">
        <v>288</v>
      </c>
      <c r="C46" s="44" t="s">
        <v>0</v>
      </c>
      <c r="E46" s="44" t="s">
        <v>0</v>
      </c>
      <c r="G46" s="44" t="s">
        <v>0</v>
      </c>
      <c r="I46" s="44" t="s">
        <v>0</v>
      </c>
      <c r="K46" s="44" t="s">
        <v>0</v>
      </c>
      <c r="M46" s="47" t="s">
        <v>0</v>
      </c>
      <c r="O46" s="47" t="s">
        <v>0</v>
      </c>
      <c r="Q46" s="47" t="s">
        <v>0</v>
      </c>
    </row>
    <row r="47" spans="1:21">
      <c r="A47" s="1" t="s">
        <v>289</v>
      </c>
      <c r="B47" s="12">
        <f>+bidcvar!B47</f>
        <v>0</v>
      </c>
      <c r="C47" s="44">
        <v>0</v>
      </c>
      <c r="D47" s="12">
        <f>+bidcvar!D47</f>
        <v>0</v>
      </c>
      <c r="E47" s="44">
        <v>0</v>
      </c>
      <c r="F47" s="12">
        <f>+bidcvar!F47</f>
        <v>0</v>
      </c>
      <c r="G47" s="44">
        <v>0</v>
      </c>
      <c r="H47" s="12">
        <f>+bidcvar!H47</f>
        <v>0</v>
      </c>
      <c r="I47" s="44">
        <v>0</v>
      </c>
      <c r="J47" s="12">
        <f>+bidcvar!J47</f>
        <v>0</v>
      </c>
      <c r="K47" s="44">
        <v>0</v>
      </c>
      <c r="L47" s="12">
        <f>+bidcvar!L47</f>
        <v>90145.2</v>
      </c>
      <c r="M47" s="47">
        <f>+L47/$L$22</f>
        <v>6.865560446538807E-2</v>
      </c>
      <c r="N47" s="12">
        <f>+bidcvar!N47</f>
        <v>76039.600000000006</v>
      </c>
      <c r="O47" s="47">
        <f>+N47/$N$22</f>
        <v>5.4170703013186411E-2</v>
      </c>
      <c r="P47" s="12">
        <f>+bidcvar!P47</f>
        <v>5000</v>
      </c>
      <c r="Q47" s="47">
        <f>+P47/$P$22</f>
        <v>5.2602287335979971E-3</v>
      </c>
    </row>
    <row r="48" spans="1:21">
      <c r="A48" s="1" t="s">
        <v>290</v>
      </c>
      <c r="B48" s="12">
        <f>+bidcvar!B48</f>
        <v>0</v>
      </c>
      <c r="C48" s="44">
        <v>0</v>
      </c>
      <c r="D48" s="12">
        <f>+bidcvar!D48</f>
        <v>0</v>
      </c>
      <c r="E48" s="44">
        <v>0</v>
      </c>
      <c r="F48" s="12">
        <f>+bidcvar!F48</f>
        <v>0</v>
      </c>
      <c r="G48" s="44">
        <v>0</v>
      </c>
      <c r="H48" s="12">
        <f>+bidcvar!H48</f>
        <v>0</v>
      </c>
      <c r="I48" s="44">
        <v>0</v>
      </c>
      <c r="J48" s="12">
        <f>+bidcvar!J48</f>
        <v>0</v>
      </c>
      <c r="K48" s="44">
        <v>0</v>
      </c>
      <c r="L48" s="12">
        <f>+bidcvar!L48</f>
        <v>2500</v>
      </c>
      <c r="M48" s="47">
        <f>+L48/$L$22</f>
        <v>1.9040282917279032E-3</v>
      </c>
      <c r="N48" s="12">
        <f>+bidcvar!N48</f>
        <v>2500</v>
      </c>
      <c r="O48" s="47">
        <f>+N48/$N$22</f>
        <v>1.7810030238581741E-3</v>
      </c>
      <c r="P48" s="12">
        <f>+bidcvar!P48</f>
        <v>2500</v>
      </c>
      <c r="Q48" s="47">
        <f>+P48/$P$22</f>
        <v>2.6301143667989985E-3</v>
      </c>
    </row>
    <row r="49" spans="1:21">
      <c r="A49" s="1" t="s">
        <v>302</v>
      </c>
      <c r="B49" s="12">
        <f>+bidcvar!B49</f>
        <v>0</v>
      </c>
      <c r="C49" s="44">
        <v>0</v>
      </c>
      <c r="D49" s="12">
        <f>+bidcvar!D49</f>
        <v>0</v>
      </c>
      <c r="E49" s="44">
        <v>0</v>
      </c>
      <c r="F49" s="12">
        <f>+bidcvar!F49</f>
        <v>0</v>
      </c>
      <c r="G49" s="44">
        <v>0</v>
      </c>
      <c r="H49" s="12">
        <f>+bidcvar!H49</f>
        <v>0</v>
      </c>
      <c r="I49" s="44">
        <v>0</v>
      </c>
      <c r="J49" s="12">
        <f>+bidcvar!J49</f>
        <v>0</v>
      </c>
      <c r="K49" s="44">
        <v>0</v>
      </c>
      <c r="L49" s="12">
        <f>+bidcvar!L49</f>
        <v>4253.2</v>
      </c>
      <c r="M49" s="47"/>
      <c r="O49" s="47"/>
      <c r="Q49" s="47"/>
    </row>
    <row r="50" spans="1:21" ht="18">
      <c r="A50" s="1" t="s">
        <v>292</v>
      </c>
      <c r="B50" s="221">
        <f>+bidcvar!B50</f>
        <v>0</v>
      </c>
      <c r="C50" s="295">
        <v>0</v>
      </c>
      <c r="D50" s="221">
        <f>+bidcvar!D50</f>
        <v>0</v>
      </c>
      <c r="E50" s="545">
        <v>0</v>
      </c>
      <c r="F50" s="221">
        <f>+bidcvar!F50</f>
        <v>0</v>
      </c>
      <c r="G50" s="545">
        <v>0</v>
      </c>
      <c r="H50" s="221">
        <f>+bidcvar!H50</f>
        <v>0</v>
      </c>
      <c r="I50" s="545">
        <v>0</v>
      </c>
      <c r="J50" s="221">
        <f>+bidcvar!J50</f>
        <v>0</v>
      </c>
      <c r="K50" s="295">
        <v>0</v>
      </c>
      <c r="L50" s="221">
        <f>+bidcvar!L50</f>
        <v>-15714.300000000001</v>
      </c>
      <c r="M50" s="328">
        <f>+L50/$L$22</f>
        <v>-1.1968188713879916E-2</v>
      </c>
      <c r="N50" s="221">
        <f>+bidcvar!N50</f>
        <v>284.5</v>
      </c>
      <c r="O50" s="328">
        <f>+N50/$N$22</f>
        <v>2.0267814411506022E-4</v>
      </c>
      <c r="P50" s="221">
        <f>+bidcvar!P50</f>
        <v>1.387</v>
      </c>
      <c r="Q50" s="328">
        <f>+P50/$P$22</f>
        <v>1.4591874507000843E-6</v>
      </c>
      <c r="R50" s="6"/>
      <c r="S50" s="7"/>
      <c r="T50" s="7"/>
      <c r="U50" s="7"/>
    </row>
    <row r="51" spans="1:21" ht="16.5" thickBot="1">
      <c r="A51" s="1" t="s">
        <v>0</v>
      </c>
      <c r="B51" s="76">
        <f>SUM(B47:B50)</f>
        <v>0</v>
      </c>
      <c r="C51" s="232">
        <v>0</v>
      </c>
      <c r="D51" s="76">
        <f>SUM(D47:D50)</f>
        <v>0</v>
      </c>
      <c r="E51" s="232">
        <v>0</v>
      </c>
      <c r="F51" s="76">
        <f>SUM(F47:F50)</f>
        <v>0</v>
      </c>
      <c r="G51" s="232">
        <v>0</v>
      </c>
      <c r="H51" s="76">
        <f>SUM(H47:H50)</f>
        <v>0</v>
      </c>
      <c r="I51" s="232">
        <v>0</v>
      </c>
      <c r="J51" s="76">
        <f>SUM(J47:J50)</f>
        <v>0</v>
      </c>
      <c r="K51" s="232">
        <v>0</v>
      </c>
      <c r="L51" s="76">
        <f>SUM(L47:L50)</f>
        <v>81184.099999999991</v>
      </c>
      <c r="M51" s="231">
        <f>+L51/$L$22</f>
        <v>6.1830729295386896E-2</v>
      </c>
      <c r="N51" s="76">
        <f>SUM(N47:N50)</f>
        <v>78824.100000000006</v>
      </c>
      <c r="O51" s="231">
        <f>+N51/$N$22</f>
        <v>5.6154384181159644E-2</v>
      </c>
      <c r="P51" s="76">
        <f>SUM(P47:P50)</f>
        <v>7501.3869999999997</v>
      </c>
      <c r="Q51" s="231">
        <f>+P51/$P$22</f>
        <v>7.8918022878476952E-3</v>
      </c>
    </row>
    <row r="52" spans="1:21">
      <c r="A52" s="1" t="s">
        <v>0</v>
      </c>
      <c r="B52" s="4">
        <f>+B29+B35+B41+B43+B51</f>
        <v>0</v>
      </c>
      <c r="C52" s="42">
        <v>0</v>
      </c>
      <c r="D52" s="4">
        <f>+D29+D35+D41+D43+D51</f>
        <v>0</v>
      </c>
      <c r="E52" s="42">
        <v>0</v>
      </c>
      <c r="F52" s="4">
        <f>+F29+F35+F41+F43+F51</f>
        <v>0</v>
      </c>
      <c r="G52" s="42">
        <v>0</v>
      </c>
      <c r="H52" s="4">
        <f>+H29+H35+H41+H43+H51</f>
        <v>0</v>
      </c>
      <c r="I52" s="42">
        <v>0</v>
      </c>
      <c r="J52" s="4">
        <f>+J29+J35+J41+J43+J51</f>
        <v>0</v>
      </c>
      <c r="K52" s="44">
        <v>0</v>
      </c>
      <c r="L52" s="4">
        <f>+L29+L35+L41+L43+L51</f>
        <v>1313005.7</v>
      </c>
      <c r="M52" s="47">
        <f>+L52/$L$22</f>
        <v>0.99999999999999978</v>
      </c>
      <c r="N52" s="4">
        <f>+N29+N35+N41+N43+N51</f>
        <v>1400203.4000000001</v>
      </c>
      <c r="O52" s="47">
        <f>+N52/$N$22</f>
        <v>0.99750659576659872</v>
      </c>
      <c r="P52" s="4">
        <f>+P29+P35+P41+P43+P51</f>
        <v>950529.00799999991</v>
      </c>
      <c r="Q52" s="47">
        <f>+P52/$P$22</f>
        <v>1</v>
      </c>
    </row>
    <row r="55" spans="1:21">
      <c r="A55" s="185" t="s">
        <v>293</v>
      </c>
      <c r="B55"/>
      <c r="C55"/>
      <c r="D55"/>
      <c r="E55"/>
      <c r="F55"/>
      <c r="G55"/>
      <c r="H55"/>
      <c r="I55"/>
      <c r="J55"/>
      <c r="K55"/>
      <c r="L55"/>
      <c r="M55"/>
      <c r="N55"/>
      <c r="O55"/>
      <c r="P55"/>
      <c r="Q55"/>
      <c r="R55"/>
    </row>
    <row r="56" spans="1:21">
      <c r="A56" t="s">
        <v>294</v>
      </c>
      <c r="B56" s="3">
        <f>+bidcvar!B56</f>
        <v>0</v>
      </c>
      <c r="C56"/>
      <c r="D56" s="3">
        <f>+bidcvar!D56</f>
        <v>0</v>
      </c>
      <c r="E56"/>
      <c r="F56" s="3">
        <f>+bidcvar!F56</f>
        <v>0</v>
      </c>
      <c r="G56"/>
      <c r="H56" s="3">
        <f>+bidcvar!H56</f>
        <v>0</v>
      </c>
      <c r="I56"/>
      <c r="J56" s="3">
        <f>+bidcvar!J56</f>
        <v>0</v>
      </c>
      <c r="K56"/>
      <c r="L56" s="3">
        <f>+bidcvar!L56</f>
        <v>2360.5</v>
      </c>
      <c r="M56"/>
      <c r="N56" s="3">
        <f>+bidcvar!N56</f>
        <v>3450.6</v>
      </c>
      <c r="O56"/>
      <c r="P56" s="3">
        <f>+bidcvar!P56</f>
        <v>892.5</v>
      </c>
      <c r="Q56"/>
      <c r="R56"/>
    </row>
    <row r="57" spans="1:21">
      <c r="A57" t="s">
        <v>295</v>
      </c>
      <c r="B57" s="3">
        <f>+bidcvar!B57</f>
        <v>0</v>
      </c>
      <c r="C57"/>
      <c r="D57" s="3">
        <f>+bidcvar!D57</f>
        <v>0</v>
      </c>
      <c r="E57"/>
      <c r="F57" s="3">
        <f>+bidcvar!F57</f>
        <v>0</v>
      </c>
      <c r="G57"/>
      <c r="H57" s="3">
        <f>+bidcvar!H57</f>
        <v>0</v>
      </c>
      <c r="I57"/>
      <c r="J57" s="3">
        <f>+bidcvar!J57</f>
        <v>0</v>
      </c>
      <c r="K57"/>
      <c r="L57" s="3">
        <f>+bidcvar!L57</f>
        <v>13711.8</v>
      </c>
      <c r="M57"/>
      <c r="N57" s="3">
        <f>+bidcvar!N57</f>
        <v>150745</v>
      </c>
      <c r="O57"/>
      <c r="P57" s="3">
        <f>+bidcvar!P57</f>
        <v>12312.2</v>
      </c>
      <c r="Q57"/>
      <c r="R57"/>
    </row>
    <row r="58" spans="1:21">
      <c r="A58" t="s">
        <v>284</v>
      </c>
      <c r="B58" s="3">
        <f>+bidcvar!B58</f>
        <v>0</v>
      </c>
      <c r="C58"/>
      <c r="D58" s="3">
        <f>+bidcvar!D58</f>
        <v>0</v>
      </c>
      <c r="E58"/>
      <c r="F58" s="3">
        <f>+bidcvar!F58</f>
        <v>0</v>
      </c>
      <c r="G58"/>
      <c r="H58" s="3">
        <f>+bidcvar!H58</f>
        <v>0</v>
      </c>
      <c r="I58"/>
      <c r="J58" s="3">
        <f>+bidcvar!J58</f>
        <v>0</v>
      </c>
      <c r="K58"/>
      <c r="L58" s="3">
        <f>+bidcvar!L58</f>
        <v>2329.1</v>
      </c>
      <c r="M58"/>
      <c r="N58" s="3">
        <f>+bidcvar!N58</f>
        <v>112052.3</v>
      </c>
      <c r="O58"/>
      <c r="P58" s="3">
        <f>+bidcvar!P58</f>
        <v>197772.2</v>
      </c>
      <c r="Q58"/>
      <c r="R58"/>
    </row>
    <row r="59" spans="1:21">
      <c r="B59" s="3"/>
      <c r="C59"/>
      <c r="D59" s="3"/>
      <c r="E59"/>
      <c r="F59" s="3"/>
      <c r="G59"/>
      <c r="H59" s="3"/>
      <c r="I59"/>
      <c r="J59" s="3"/>
      <c r="K59"/>
      <c r="L59" s="3"/>
      <c r="M59"/>
      <c r="N59" s="3"/>
      <c r="O59"/>
      <c r="P59" s="3"/>
      <c r="Q59"/>
      <c r="R59"/>
    </row>
    <row r="60" spans="1:21" ht="18.75">
      <c r="A60" s="122" t="s">
        <v>303</v>
      </c>
      <c r="B60" s="3">
        <f>+bidcvar!B60</f>
        <v>0</v>
      </c>
      <c r="C60"/>
      <c r="D60" s="3">
        <f>+bidcvar!D60</f>
        <v>0</v>
      </c>
      <c r="E60"/>
      <c r="F60" s="3">
        <f>+bidcvar!F60</f>
        <v>0</v>
      </c>
      <c r="G60"/>
      <c r="H60" s="3">
        <f>+bidcvar!H60</f>
        <v>0</v>
      </c>
      <c r="I60"/>
      <c r="J60" s="3">
        <f>+bidcvar!J60</f>
        <v>0</v>
      </c>
      <c r="K60"/>
      <c r="L60" s="3">
        <f>+bidcvar!L60</f>
        <v>624668.80000000005</v>
      </c>
      <c r="M60"/>
      <c r="N60" s="3">
        <f>+bidcvar!N60</f>
        <v>745533.5</v>
      </c>
      <c r="O60"/>
      <c r="P60" s="3">
        <f>+bidcvar!P60</f>
        <v>435536.3</v>
      </c>
      <c r="Q60"/>
      <c r="R60"/>
    </row>
    <row r="61" spans="1:21">
      <c r="A61" t="s">
        <v>217</v>
      </c>
      <c r="B61" s="3">
        <f>+bidcvar!B61</f>
        <v>0</v>
      </c>
      <c r="C61"/>
      <c r="D61" s="3">
        <f>+bidcvar!D61</f>
        <v>0</v>
      </c>
      <c r="E61"/>
      <c r="F61" s="3">
        <f>+bidcvar!F61</f>
        <v>0</v>
      </c>
      <c r="G61"/>
      <c r="H61" s="3">
        <f>+bidcvar!H61</f>
        <v>0</v>
      </c>
      <c r="I61"/>
      <c r="J61" s="3">
        <f>+bidcvar!J61</f>
        <v>0</v>
      </c>
      <c r="K61"/>
      <c r="L61" s="3">
        <f>+bidcvar!L61</f>
        <v>13882.8</v>
      </c>
      <c r="M61"/>
      <c r="N61" s="3">
        <f>+bidcvar!N61</f>
        <v>7028</v>
      </c>
      <c r="O61"/>
      <c r="P61" s="3">
        <f>+bidcvar!P61</f>
        <v>3960.9</v>
      </c>
      <c r="Q61"/>
      <c r="R61"/>
    </row>
    <row r="62" spans="1:21">
      <c r="A62" t="s">
        <v>297</v>
      </c>
      <c r="B62" s="3">
        <f>+bidcvar!B62</f>
        <v>0</v>
      </c>
      <c r="C62"/>
      <c r="D62" s="3">
        <f>+bidcvar!D62</f>
        <v>0</v>
      </c>
      <c r="E62"/>
      <c r="F62" s="3">
        <f>+bidcvar!F62</f>
        <v>0</v>
      </c>
      <c r="G62"/>
      <c r="H62" s="3">
        <f>+bidcvar!H62</f>
        <v>0</v>
      </c>
      <c r="I62"/>
      <c r="J62" s="3">
        <f>+bidcvar!J62</f>
        <v>0</v>
      </c>
      <c r="K62"/>
      <c r="L62" s="3">
        <f>+bidcvar!L62</f>
        <v>37560.300000000003</v>
      </c>
      <c r="M62"/>
      <c r="N62" s="3">
        <f>+bidcvar!N62</f>
        <v>4236.5</v>
      </c>
      <c r="O62"/>
      <c r="P62" s="3">
        <f>+bidcvar!P62</f>
        <v>0</v>
      </c>
      <c r="Q62"/>
      <c r="R62"/>
    </row>
    <row r="63" spans="1:21">
      <c r="B63"/>
      <c r="C63"/>
      <c r="D63"/>
      <c r="E63"/>
      <c r="F63"/>
      <c r="G63"/>
      <c r="H63"/>
      <c r="I63"/>
      <c r="J63"/>
      <c r="K63"/>
      <c r="L63"/>
      <c r="M63"/>
      <c r="N63"/>
      <c r="O63"/>
      <c r="P63"/>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row r="156" spans="2:18">
      <c r="B156"/>
      <c r="C156"/>
      <c r="D156"/>
      <c r="E156"/>
      <c r="F156"/>
      <c r="G156"/>
      <c r="H156"/>
      <c r="I156"/>
      <c r="J156"/>
      <c r="K156"/>
      <c r="L156"/>
      <c r="M156"/>
      <c r="N156"/>
      <c r="O156"/>
      <c r="P156"/>
      <c r="Q156"/>
      <c r="R156"/>
    </row>
  </sheetData>
  <pageMargins left="0.2" right="0.2" top="0.5" bottom="0.61" header="0.32" footer="0.3"/>
  <pageSetup scale="52" orientation="landscape" r:id="rId1"/>
  <headerFooter alignWithMargins="0">
    <oddFooter>&amp;LL'actif net de cette banque a été acheté par la Sogebank au cours du Trim 1 99. Au cours du Trim 3 99, l' actif de la Sogebank incluit celui de cette banque.&amp;R&amp;P</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1"/>
  <sheetViews>
    <sheetView workbookViewId="0"/>
  </sheetViews>
  <sheetFormatPr defaultRowHeight="15.75"/>
  <cols>
    <col min="1" max="1" width="33.25" customWidth="1"/>
    <col min="2" max="2" width="17.875" style="12" customWidth="1"/>
    <col min="3" max="3" width="15.75" style="13" customWidth="1"/>
    <col min="4" max="4" width="15.75" style="12" customWidth="1"/>
    <col min="5" max="5" width="14.875" style="13" customWidth="1"/>
    <col min="6" max="6" width="10.5" style="12" customWidth="1"/>
    <col min="7" max="7" width="7.875" style="13" customWidth="1"/>
    <col min="8" max="8" width="17.875"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565</v>
      </c>
      <c r="B1" s="37"/>
      <c r="C1" s="38"/>
      <c r="D1" s="37"/>
      <c r="E1" s="38"/>
      <c r="F1" s="37"/>
      <c r="G1" s="38"/>
      <c r="H1" s="37"/>
      <c r="I1" s="37"/>
      <c r="J1" s="38"/>
      <c r="K1" s="37"/>
    </row>
    <row r="2" spans="1:15">
      <c r="A2" s="114" t="s">
        <v>305</v>
      </c>
      <c r="B2" s="37"/>
      <c r="C2" s="38"/>
      <c r="D2" s="37"/>
      <c r="E2" s="38"/>
      <c r="F2" s="37"/>
      <c r="G2" s="38"/>
      <c r="H2" s="37"/>
      <c r="I2" s="37"/>
      <c r="J2" s="38"/>
      <c r="K2" s="37"/>
    </row>
    <row r="3" spans="1:15">
      <c r="A3" s="114" t="s">
        <v>306</v>
      </c>
      <c r="B3" s="37"/>
      <c r="C3" s="38"/>
      <c r="D3" s="37"/>
      <c r="E3" s="38"/>
      <c r="F3" s="37"/>
      <c r="G3" s="38"/>
      <c r="H3" s="37"/>
      <c r="I3" s="37"/>
      <c r="J3" s="38"/>
      <c r="K3" s="37"/>
    </row>
    <row r="4" spans="1:15">
      <c r="A4" s="114" t="s">
        <v>179</v>
      </c>
      <c r="B4" s="37"/>
      <c r="C4" s="38"/>
      <c r="D4" s="37"/>
      <c r="E4" s="38"/>
      <c r="F4" s="37"/>
      <c r="G4" s="38"/>
      <c r="H4" s="37"/>
      <c r="I4" s="37"/>
      <c r="J4" s="38"/>
      <c r="K4" s="37"/>
    </row>
    <row r="5" spans="1:15">
      <c r="A5" s="34"/>
      <c r="B5" s="37"/>
      <c r="C5" s="38"/>
      <c r="D5" s="37"/>
      <c r="E5" s="38"/>
      <c r="F5" s="37"/>
      <c r="G5" s="38"/>
      <c r="H5" s="37"/>
      <c r="I5" s="37"/>
      <c r="J5" s="38"/>
    </row>
    <row r="6" spans="1:15">
      <c r="B6" s="238" t="s">
        <v>0</v>
      </c>
      <c r="C6" s="215"/>
      <c r="D6" s="216"/>
    </row>
    <row r="7" spans="1:15" ht="16.5" thickBot="1">
      <c r="B7" s="429" t="s">
        <v>307</v>
      </c>
      <c r="C7" s="38"/>
      <c r="D7" s="37"/>
      <c r="E7" s="38"/>
      <c r="H7" s="377" t="s">
        <v>308</v>
      </c>
      <c r="I7" s="215"/>
      <c r="J7" s="216"/>
      <c r="K7" s="37"/>
    </row>
    <row r="8" spans="1:15" ht="16.5" thickTop="1">
      <c r="A8" s="87" t="s">
        <v>243</v>
      </c>
      <c r="B8" s="402" t="s">
        <v>313</v>
      </c>
      <c r="C8" s="403" t="s">
        <v>310</v>
      </c>
      <c r="D8" s="408" t="s">
        <v>311</v>
      </c>
      <c r="E8" s="407" t="s">
        <v>312</v>
      </c>
      <c r="F8" s="125" t="s">
        <v>0</v>
      </c>
      <c r="G8" s="124" t="s">
        <v>0</v>
      </c>
      <c r="H8" s="402" t="s">
        <v>313</v>
      </c>
      <c r="I8" s="404" t="s">
        <v>310</v>
      </c>
      <c r="J8" s="406" t="s">
        <v>311</v>
      </c>
      <c r="K8" s="407" t="s">
        <v>312</v>
      </c>
      <c r="L8" s="14"/>
      <c r="M8" s="9"/>
      <c r="N8" s="9"/>
      <c r="O8" s="9"/>
    </row>
    <row r="9" spans="1:15">
      <c r="A9" s="1" t="s">
        <v>264</v>
      </c>
      <c r="B9" s="126"/>
      <c r="C9" s="127"/>
      <c r="D9" s="365"/>
      <c r="E9" s="372" t="s">
        <v>0</v>
      </c>
      <c r="H9" s="135"/>
      <c r="I9" s="78"/>
      <c r="J9" s="370" t="s">
        <v>0</v>
      </c>
      <c r="K9" s="372" t="s">
        <v>0</v>
      </c>
    </row>
    <row r="10" spans="1:15">
      <c r="A10" s="1" t="s">
        <v>265</v>
      </c>
      <c r="B10" s="129">
        <v>0</v>
      </c>
      <c r="C10" s="92">
        <v>0</v>
      </c>
      <c r="D10" s="366">
        <f t="shared" ref="D10:D15" si="0">SUM(B10:C10)</f>
        <v>0</v>
      </c>
      <c r="E10" s="136">
        <v>0</v>
      </c>
      <c r="F10" s="88" t="s">
        <v>0</v>
      </c>
      <c r="G10" s="100" t="s">
        <v>0</v>
      </c>
      <c r="H10" s="129">
        <v>0</v>
      </c>
      <c r="I10" s="92">
        <v>0</v>
      </c>
      <c r="J10" s="366">
        <f t="shared" ref="J10:J15" si="1">SUM(H10:I10)</f>
        <v>0</v>
      </c>
      <c r="K10" s="136">
        <v>0</v>
      </c>
    </row>
    <row r="11" spans="1:15">
      <c r="A11" s="1" t="s">
        <v>266</v>
      </c>
      <c r="B11" s="129">
        <v>0</v>
      </c>
      <c r="C11" s="92">
        <v>0</v>
      </c>
      <c r="D11" s="366">
        <f t="shared" si="0"/>
        <v>0</v>
      </c>
      <c r="E11" s="136">
        <v>0</v>
      </c>
      <c r="F11" s="88" t="s">
        <v>0</v>
      </c>
      <c r="G11" s="100" t="s">
        <v>0</v>
      </c>
      <c r="H11" s="129">
        <v>0</v>
      </c>
      <c r="I11" s="92">
        <v>0</v>
      </c>
      <c r="J11" s="366">
        <f t="shared" si="1"/>
        <v>0</v>
      </c>
      <c r="K11" s="136">
        <v>0</v>
      </c>
    </row>
    <row r="12" spans="1:15">
      <c r="A12" s="1" t="s">
        <v>267</v>
      </c>
      <c r="B12" s="129">
        <v>0</v>
      </c>
      <c r="C12" s="92">
        <v>0</v>
      </c>
      <c r="D12" s="366">
        <f t="shared" si="0"/>
        <v>0</v>
      </c>
      <c r="E12" s="136">
        <v>0</v>
      </c>
      <c r="F12" s="88" t="s">
        <v>0</v>
      </c>
      <c r="G12" s="100" t="s">
        <v>0</v>
      </c>
      <c r="H12" s="129">
        <v>0</v>
      </c>
      <c r="I12" s="92">
        <v>0</v>
      </c>
      <c r="J12" s="366">
        <f t="shared" si="1"/>
        <v>0</v>
      </c>
      <c r="K12" s="136">
        <v>0</v>
      </c>
    </row>
    <row r="13" spans="1:15">
      <c r="A13" s="1" t="s">
        <v>268</v>
      </c>
      <c r="B13" s="129">
        <v>0</v>
      </c>
      <c r="C13" s="92">
        <v>0</v>
      </c>
      <c r="D13" s="366">
        <f t="shared" si="0"/>
        <v>0</v>
      </c>
      <c r="E13" s="136">
        <v>0</v>
      </c>
      <c r="F13" s="88" t="s">
        <v>0</v>
      </c>
      <c r="G13" s="100" t="s">
        <v>0</v>
      </c>
      <c r="H13" s="129">
        <v>0</v>
      </c>
      <c r="I13" s="92">
        <v>0</v>
      </c>
      <c r="J13" s="366">
        <f t="shared" si="1"/>
        <v>0</v>
      </c>
      <c r="K13" s="136">
        <v>0</v>
      </c>
    </row>
    <row r="14" spans="1:15" ht="18">
      <c r="A14" s="1" t="s">
        <v>269</v>
      </c>
      <c r="B14" s="130">
        <v>0</v>
      </c>
      <c r="C14" s="137">
        <v>0</v>
      </c>
      <c r="D14" s="367">
        <f t="shared" si="0"/>
        <v>0</v>
      </c>
      <c r="E14" s="136">
        <v>0</v>
      </c>
      <c r="F14" s="88" t="s">
        <v>0</v>
      </c>
      <c r="G14" s="100" t="s">
        <v>0</v>
      </c>
      <c r="H14" s="130">
        <v>0</v>
      </c>
      <c r="I14" s="137">
        <v>0</v>
      </c>
      <c r="J14" s="367">
        <f t="shared" si="1"/>
        <v>0</v>
      </c>
      <c r="K14" s="136">
        <v>0</v>
      </c>
    </row>
    <row r="15" spans="1:15" ht="15.6" customHeight="1">
      <c r="A15" s="1"/>
      <c r="B15" s="129">
        <f>SUM(B10:B14)</f>
        <v>0</v>
      </c>
      <c r="C15" s="92">
        <f>SUM(C10:C14)</f>
        <v>0</v>
      </c>
      <c r="D15" s="366">
        <f t="shared" si="0"/>
        <v>0</v>
      </c>
      <c r="E15" s="136">
        <v>0</v>
      </c>
      <c r="F15" s="88" t="s">
        <v>0</v>
      </c>
      <c r="G15" s="100" t="s">
        <v>0</v>
      </c>
      <c r="H15" s="129">
        <f>SUM(H10:H14)</f>
        <v>0</v>
      </c>
      <c r="I15" s="92">
        <f>SUM(I10:I14)</f>
        <v>0</v>
      </c>
      <c r="J15" s="366">
        <f t="shared" si="1"/>
        <v>0</v>
      </c>
      <c r="K15" s="136">
        <v>0</v>
      </c>
    </row>
    <row r="16" spans="1:15" ht="7.9" customHeight="1">
      <c r="A16" s="1"/>
      <c r="B16" s="129"/>
      <c r="C16" s="93" t="s">
        <v>0</v>
      </c>
      <c r="D16" s="366"/>
      <c r="E16" s="373" t="s">
        <v>0</v>
      </c>
      <c r="F16" s="88"/>
      <c r="G16" s="100" t="s">
        <v>0</v>
      </c>
      <c r="H16" s="129"/>
      <c r="I16" s="93" t="s">
        <v>0</v>
      </c>
      <c r="J16" s="366" t="s">
        <v>0</v>
      </c>
      <c r="K16" s="136" t="s">
        <v>0</v>
      </c>
    </row>
    <row r="17" spans="1:11" ht="15.6" customHeight="1">
      <c r="A17" s="1" t="s">
        <v>270</v>
      </c>
      <c r="B17" s="129">
        <v>0</v>
      </c>
      <c r="C17" s="92">
        <v>0</v>
      </c>
      <c r="D17" s="366">
        <f t="shared" ref="D17:D22" si="2">SUM(B17:C17)</f>
        <v>0</v>
      </c>
      <c r="E17" s="136">
        <v>0</v>
      </c>
      <c r="F17"/>
      <c r="G17"/>
      <c r="H17" s="129">
        <v>0</v>
      </c>
      <c r="I17" s="92">
        <v>0</v>
      </c>
      <c r="J17" s="366">
        <f t="shared" ref="J17:J22" si="3">SUM(H17:I17)</f>
        <v>0</v>
      </c>
      <c r="K17" s="136">
        <v>0</v>
      </c>
    </row>
    <row r="18" spans="1:11">
      <c r="A18" s="1" t="s">
        <v>271</v>
      </c>
      <c r="B18" s="129">
        <v>0</v>
      </c>
      <c r="C18" s="92">
        <v>0</v>
      </c>
      <c r="D18" s="366">
        <f t="shared" si="2"/>
        <v>0</v>
      </c>
      <c r="E18" s="136">
        <v>0</v>
      </c>
      <c r="F18"/>
      <c r="G18"/>
      <c r="H18" s="129">
        <v>0</v>
      </c>
      <c r="I18" s="92">
        <v>0</v>
      </c>
      <c r="J18" s="366">
        <f t="shared" si="3"/>
        <v>0</v>
      </c>
      <c r="K18" s="136">
        <v>0</v>
      </c>
    </row>
    <row r="19" spans="1:11">
      <c r="A19" s="1" t="s">
        <v>314</v>
      </c>
      <c r="B19" s="129">
        <v>0</v>
      </c>
      <c r="C19" s="92">
        <v>0</v>
      </c>
      <c r="D19" s="366">
        <f t="shared" si="2"/>
        <v>0</v>
      </c>
      <c r="E19" s="136">
        <v>0</v>
      </c>
      <c r="F19"/>
      <c r="G19"/>
      <c r="H19" s="129">
        <v>0</v>
      </c>
      <c r="I19" s="92">
        <v>0</v>
      </c>
      <c r="J19" s="366">
        <f t="shared" si="3"/>
        <v>0</v>
      </c>
      <c r="K19" s="136">
        <v>0</v>
      </c>
    </row>
    <row r="20" spans="1:11">
      <c r="A20" s="1" t="s">
        <v>273</v>
      </c>
      <c r="B20" s="129">
        <v>0</v>
      </c>
      <c r="C20" s="92">
        <v>0</v>
      </c>
      <c r="D20" s="366">
        <f t="shared" si="2"/>
        <v>0</v>
      </c>
      <c r="E20" s="136">
        <v>0</v>
      </c>
      <c r="F20"/>
      <c r="G20"/>
      <c r="H20" s="129">
        <v>0</v>
      </c>
      <c r="I20" s="92">
        <v>0</v>
      </c>
      <c r="J20" s="366">
        <f t="shared" si="3"/>
        <v>0</v>
      </c>
      <c r="K20" s="136">
        <v>0</v>
      </c>
    </row>
    <row r="21" spans="1:11" ht="18">
      <c r="A21" s="1" t="s">
        <v>274</v>
      </c>
      <c r="B21" s="130">
        <v>0</v>
      </c>
      <c r="C21" s="137">
        <v>0</v>
      </c>
      <c r="D21" s="367">
        <f t="shared" si="2"/>
        <v>0</v>
      </c>
      <c r="E21" s="136">
        <v>0</v>
      </c>
      <c r="F21"/>
      <c r="G21"/>
      <c r="H21" s="130">
        <v>0</v>
      </c>
      <c r="I21" s="137">
        <v>0</v>
      </c>
      <c r="J21" s="367">
        <f t="shared" si="3"/>
        <v>0</v>
      </c>
      <c r="K21" s="136">
        <v>0</v>
      </c>
    </row>
    <row r="22" spans="1:11">
      <c r="A22" s="1" t="s">
        <v>275</v>
      </c>
      <c r="B22" s="132">
        <f>SUM(B15:B21)</f>
        <v>0</v>
      </c>
      <c r="C22" s="95">
        <f>SUM(C15:C21)</f>
        <v>0</v>
      </c>
      <c r="D22" s="368">
        <f t="shared" si="2"/>
        <v>0</v>
      </c>
      <c r="E22" s="1043">
        <v>0</v>
      </c>
      <c r="F22"/>
      <c r="G22"/>
      <c r="H22" s="132">
        <f>SUM(H15:H21)</f>
        <v>0</v>
      </c>
      <c r="I22" s="95">
        <f>SUM(I15:I21)</f>
        <v>0</v>
      </c>
      <c r="J22" s="368">
        <f t="shared" si="3"/>
        <v>0</v>
      </c>
      <c r="K22" s="1043">
        <v>0</v>
      </c>
    </row>
    <row r="23" spans="1:11" ht="7.9" customHeight="1">
      <c r="A23" s="1"/>
      <c r="B23" s="129"/>
      <c r="C23" s="92" t="s">
        <v>0</v>
      </c>
      <c r="D23" s="366"/>
      <c r="E23" s="373" t="s">
        <v>0</v>
      </c>
      <c r="F23"/>
      <c r="G23"/>
      <c r="H23" s="129"/>
      <c r="I23" s="92" t="s">
        <v>0</v>
      </c>
      <c r="J23" s="366" t="s">
        <v>0</v>
      </c>
      <c r="K23" s="136" t="s">
        <v>0</v>
      </c>
    </row>
    <row r="24" spans="1:11">
      <c r="A24" s="87" t="s">
        <v>276</v>
      </c>
      <c r="B24" s="129"/>
      <c r="C24" s="92" t="s">
        <v>0</v>
      </c>
      <c r="D24" s="366"/>
      <c r="E24" s="373" t="s">
        <v>0</v>
      </c>
      <c r="F24"/>
      <c r="G24"/>
      <c r="H24" s="129"/>
      <c r="I24" s="92" t="s">
        <v>0</v>
      </c>
      <c r="J24" s="366" t="s">
        <v>0</v>
      </c>
      <c r="K24" s="136" t="s">
        <v>0</v>
      </c>
    </row>
    <row r="25" spans="1:11">
      <c r="A25" s="1" t="s">
        <v>277</v>
      </c>
      <c r="B25" s="129"/>
      <c r="C25" s="92" t="s">
        <v>0</v>
      </c>
      <c r="D25" s="366"/>
      <c r="E25" s="373" t="s">
        <v>0</v>
      </c>
      <c r="F25"/>
      <c r="G25"/>
      <c r="H25" s="129"/>
      <c r="I25" s="92" t="s">
        <v>0</v>
      </c>
      <c r="J25" s="366" t="s">
        <v>0</v>
      </c>
      <c r="K25" s="136" t="s">
        <v>0</v>
      </c>
    </row>
    <row r="26" spans="1:11">
      <c r="A26" s="1" t="s">
        <v>278</v>
      </c>
      <c r="B26" s="129">
        <v>0</v>
      </c>
      <c r="C26" s="92">
        <v>0</v>
      </c>
      <c r="D26" s="366">
        <f>SUM(B26:C26)</f>
        <v>0</v>
      </c>
      <c r="E26" s="136">
        <v>0</v>
      </c>
      <c r="F26"/>
      <c r="G26"/>
      <c r="H26" s="129">
        <v>0</v>
      </c>
      <c r="I26" s="92">
        <v>0</v>
      </c>
      <c r="J26" s="366">
        <f>SUM(H26:I26)</f>
        <v>0</v>
      </c>
      <c r="K26" s="136">
        <v>0</v>
      </c>
    </row>
    <row r="27" spans="1:11">
      <c r="A27" s="1" t="s">
        <v>279</v>
      </c>
      <c r="B27" s="129">
        <v>0</v>
      </c>
      <c r="C27" s="92">
        <v>0</v>
      </c>
      <c r="D27" s="366">
        <f>SUM(B27:C27)</f>
        <v>0</v>
      </c>
      <c r="E27" s="136">
        <v>0</v>
      </c>
      <c r="F27"/>
      <c r="G27"/>
      <c r="H27" s="129">
        <v>0</v>
      </c>
      <c r="I27" s="92">
        <v>0</v>
      </c>
      <c r="J27" s="366">
        <f>SUM(H27:I27)</f>
        <v>0</v>
      </c>
      <c r="K27" s="136">
        <v>0</v>
      </c>
    </row>
    <row r="28" spans="1:11" ht="18">
      <c r="A28" s="1" t="s">
        <v>280</v>
      </c>
      <c r="B28" s="130">
        <v>0</v>
      </c>
      <c r="C28" s="137">
        <v>0</v>
      </c>
      <c r="D28" s="367">
        <f>SUM(B28:C28)</f>
        <v>0</v>
      </c>
      <c r="E28" s="136">
        <v>0</v>
      </c>
      <c r="F28"/>
      <c r="G28"/>
      <c r="H28" s="130">
        <v>0</v>
      </c>
      <c r="I28" s="137">
        <v>0</v>
      </c>
      <c r="J28" s="367">
        <f>SUM(H28:I28)</f>
        <v>0</v>
      </c>
      <c r="K28" s="136">
        <v>0</v>
      </c>
    </row>
    <row r="29" spans="1:11">
      <c r="A29" s="1"/>
      <c r="B29" s="129">
        <f>SUM(B26:B28)</f>
        <v>0</v>
      </c>
      <c r="C29" s="92">
        <f>SUM(C26:C28)</f>
        <v>0</v>
      </c>
      <c r="D29" s="366">
        <f>SUM(B29:C29)</f>
        <v>0</v>
      </c>
      <c r="E29" s="136">
        <v>0</v>
      </c>
      <c r="F29"/>
      <c r="G29"/>
      <c r="H29" s="129">
        <f>SUM(H26:H28)</f>
        <v>0</v>
      </c>
      <c r="I29" s="92">
        <f>SUM(I26:I28)</f>
        <v>0</v>
      </c>
      <c r="J29" s="366">
        <f>SUM(H29:I29)</f>
        <v>0</v>
      </c>
      <c r="K29" s="136">
        <v>0</v>
      </c>
    </row>
    <row r="30" spans="1:11" ht="7.9" customHeight="1">
      <c r="A30" s="1"/>
      <c r="B30" s="129"/>
      <c r="C30" s="92" t="s">
        <v>0</v>
      </c>
      <c r="D30" s="366"/>
      <c r="E30" s="373" t="s">
        <v>0</v>
      </c>
      <c r="F30"/>
      <c r="G30"/>
      <c r="H30" s="129"/>
      <c r="I30" s="92" t="s">
        <v>0</v>
      </c>
      <c r="J30" s="366" t="s">
        <v>0</v>
      </c>
      <c r="K30" s="136" t="s">
        <v>0</v>
      </c>
    </row>
    <row r="31" spans="1:11">
      <c r="A31" s="1" t="s">
        <v>281</v>
      </c>
      <c r="B31" s="129"/>
      <c r="C31" s="92" t="s">
        <v>0</v>
      </c>
      <c r="D31" s="366"/>
      <c r="E31" s="373" t="s">
        <v>0</v>
      </c>
      <c r="F31"/>
      <c r="G31"/>
      <c r="H31" s="129"/>
      <c r="I31" s="92" t="s">
        <v>0</v>
      </c>
      <c r="J31" s="366" t="s">
        <v>0</v>
      </c>
      <c r="K31" s="136" t="s">
        <v>0</v>
      </c>
    </row>
    <row r="32" spans="1:11">
      <c r="A32" s="1" t="s">
        <v>282</v>
      </c>
      <c r="B32" s="129">
        <v>0</v>
      </c>
      <c r="C32" s="92">
        <v>0</v>
      </c>
      <c r="D32" s="366">
        <f>SUM(B32:C32)</f>
        <v>0</v>
      </c>
      <c r="E32" s="136">
        <v>0</v>
      </c>
      <c r="F32"/>
      <c r="G32"/>
      <c r="H32" s="129">
        <v>0</v>
      </c>
      <c r="I32" s="92">
        <v>0</v>
      </c>
      <c r="J32" s="366">
        <f>SUM(H32:I32)</f>
        <v>0</v>
      </c>
      <c r="K32" s="136">
        <v>0</v>
      </c>
    </row>
    <row r="33" spans="1:15">
      <c r="A33" s="1" t="s">
        <v>283</v>
      </c>
      <c r="B33" s="129">
        <v>0</v>
      </c>
      <c r="C33" s="92">
        <v>0</v>
      </c>
      <c r="D33" s="366">
        <f>SUM(B33:C33)</f>
        <v>0</v>
      </c>
      <c r="E33" s="136">
        <v>0</v>
      </c>
      <c r="F33"/>
      <c r="G33"/>
      <c r="H33" s="129">
        <v>0</v>
      </c>
      <c r="I33" s="92">
        <v>0</v>
      </c>
      <c r="J33" s="366">
        <f>SUM(H33:I33)</f>
        <v>0</v>
      </c>
      <c r="K33" s="136">
        <v>0</v>
      </c>
    </row>
    <row r="34" spans="1:15" ht="18">
      <c r="A34" s="1" t="s">
        <v>284</v>
      </c>
      <c r="B34" s="130">
        <v>0</v>
      </c>
      <c r="C34" s="137">
        <v>0</v>
      </c>
      <c r="D34" s="367">
        <f>SUM(B34:C34)</f>
        <v>0</v>
      </c>
      <c r="E34" s="136">
        <v>0</v>
      </c>
      <c r="F34"/>
      <c r="G34"/>
      <c r="H34" s="130">
        <v>0</v>
      </c>
      <c r="I34" s="137">
        <v>0</v>
      </c>
      <c r="J34" s="367">
        <f>SUM(H34:I34)</f>
        <v>0</v>
      </c>
      <c r="K34" s="136">
        <v>0</v>
      </c>
      <c r="L34" s="6"/>
      <c r="M34" s="7"/>
      <c r="N34" s="7"/>
      <c r="O34" s="7"/>
    </row>
    <row r="35" spans="1:15">
      <c r="A35" s="1"/>
      <c r="B35" s="129">
        <f>SUM(B32:B34)</f>
        <v>0</v>
      </c>
      <c r="C35" s="92">
        <f>SUM(C32:C34)</f>
        <v>0</v>
      </c>
      <c r="D35" s="366">
        <f>SUM(B35:C35)</f>
        <v>0</v>
      </c>
      <c r="E35" s="136">
        <v>0</v>
      </c>
      <c r="F35"/>
      <c r="G35"/>
      <c r="H35" s="129">
        <f>SUM(H32:H34)</f>
        <v>0</v>
      </c>
      <c r="I35" s="92">
        <f>SUM(I32:I34)</f>
        <v>0</v>
      </c>
      <c r="J35" s="366">
        <f>SUM(H35:I35)</f>
        <v>0</v>
      </c>
      <c r="K35" s="136">
        <v>0</v>
      </c>
    </row>
    <row r="36" spans="1:15" ht="7.15" customHeight="1">
      <c r="A36" s="1"/>
      <c r="B36" s="129"/>
      <c r="C36" s="92" t="s">
        <v>0</v>
      </c>
      <c r="D36" s="366"/>
      <c r="E36" s="373" t="s">
        <v>275</v>
      </c>
      <c r="F36"/>
      <c r="G36"/>
      <c r="H36" s="129"/>
      <c r="I36" s="92" t="s">
        <v>0</v>
      </c>
      <c r="J36" s="366" t="s">
        <v>0</v>
      </c>
      <c r="K36" s="136" t="s">
        <v>275</v>
      </c>
    </row>
    <row r="37" spans="1:15">
      <c r="A37" s="1" t="s">
        <v>285</v>
      </c>
      <c r="B37" s="129"/>
      <c r="C37" s="92" t="s">
        <v>0</v>
      </c>
      <c r="D37" s="366"/>
      <c r="E37" s="373" t="s">
        <v>0</v>
      </c>
      <c r="F37"/>
      <c r="G37"/>
      <c r="H37" s="129"/>
      <c r="I37" s="92" t="s">
        <v>0</v>
      </c>
      <c r="J37" s="366" t="s">
        <v>0</v>
      </c>
      <c r="K37" s="136" t="s">
        <v>0</v>
      </c>
    </row>
    <row r="38" spans="1:15">
      <c r="A38" s="1" t="s">
        <v>282</v>
      </c>
      <c r="B38" s="129">
        <v>0</v>
      </c>
      <c r="C38" s="92">
        <v>0</v>
      </c>
      <c r="D38" s="366">
        <f>SUM(B38:C38)</f>
        <v>0</v>
      </c>
      <c r="E38" s="136">
        <v>0</v>
      </c>
      <c r="F38"/>
      <c r="G38"/>
      <c r="H38" s="129">
        <v>0</v>
      </c>
      <c r="I38" s="92">
        <v>0</v>
      </c>
      <c r="J38" s="366">
        <f>SUM(H38:I38)</f>
        <v>0</v>
      </c>
      <c r="K38" s="136">
        <v>0</v>
      </c>
    </row>
    <row r="39" spans="1:15">
      <c r="A39" s="1" t="s">
        <v>286</v>
      </c>
      <c r="B39" s="129">
        <v>0</v>
      </c>
      <c r="C39" s="92">
        <v>0</v>
      </c>
      <c r="D39" s="366">
        <f>SUM(B39:C39)</f>
        <v>0</v>
      </c>
      <c r="E39" s="136">
        <v>0</v>
      </c>
      <c r="F39"/>
      <c r="G39"/>
      <c r="H39" s="129">
        <v>0</v>
      </c>
      <c r="I39" s="92">
        <v>0</v>
      </c>
      <c r="J39" s="366">
        <f>SUM(H39:I39)</f>
        <v>0</v>
      </c>
      <c r="K39" s="136">
        <v>0</v>
      </c>
    </row>
    <row r="40" spans="1:15" ht="18">
      <c r="A40" s="1" t="s">
        <v>284</v>
      </c>
      <c r="B40" s="130">
        <v>0</v>
      </c>
      <c r="C40" s="137">
        <v>0</v>
      </c>
      <c r="D40" s="367">
        <f>SUM(B40:C40)</f>
        <v>0</v>
      </c>
      <c r="E40" s="136">
        <v>0</v>
      </c>
      <c r="F40"/>
      <c r="G40"/>
      <c r="H40" s="130">
        <v>0</v>
      </c>
      <c r="I40" s="137">
        <v>0</v>
      </c>
      <c r="J40" s="367">
        <f>SUM(H40:I40)</f>
        <v>0</v>
      </c>
      <c r="K40" s="136">
        <v>0</v>
      </c>
    </row>
    <row r="41" spans="1:15">
      <c r="A41" s="1"/>
      <c r="B41" s="129">
        <f>SUM(B38:B40)</f>
        <v>0</v>
      </c>
      <c r="C41" s="92">
        <f>SUM(C38:C40)</f>
        <v>0</v>
      </c>
      <c r="D41" s="366">
        <f>SUM(B41:C41)</f>
        <v>0</v>
      </c>
      <c r="E41" s="136">
        <v>0</v>
      </c>
      <c r="F41"/>
      <c r="G41"/>
      <c r="H41" s="129">
        <f>SUM(H38:H40)</f>
        <v>0</v>
      </c>
      <c r="I41" s="92">
        <f>SUM(I38:I40)</f>
        <v>0</v>
      </c>
      <c r="J41" s="366">
        <f>SUM(H41:I41)</f>
        <v>0</v>
      </c>
      <c r="K41" s="136">
        <v>0</v>
      </c>
    </row>
    <row r="42" spans="1:15" ht="8.4499999999999993" customHeight="1">
      <c r="A42" s="1"/>
      <c r="B42" s="129"/>
      <c r="C42" s="92" t="s">
        <v>0</v>
      </c>
      <c r="D42" s="366"/>
      <c r="E42" s="136" t="s">
        <v>0</v>
      </c>
      <c r="F42"/>
      <c r="G42"/>
      <c r="H42" s="129"/>
      <c r="I42" s="92" t="s">
        <v>0</v>
      </c>
      <c r="J42" s="366" t="s">
        <v>0</v>
      </c>
      <c r="K42" s="136" t="s">
        <v>0</v>
      </c>
    </row>
    <row r="43" spans="1:15" ht="18">
      <c r="A43" s="1" t="s">
        <v>287</v>
      </c>
      <c r="B43" s="130">
        <v>0</v>
      </c>
      <c r="C43" s="137">
        <v>0</v>
      </c>
      <c r="D43" s="367">
        <f>SUM(B43:C43)</f>
        <v>0</v>
      </c>
      <c r="E43" s="136">
        <v>0</v>
      </c>
      <c r="F43"/>
      <c r="G43"/>
      <c r="H43" s="130">
        <v>0</v>
      </c>
      <c r="I43" s="137">
        <v>0</v>
      </c>
      <c r="J43" s="367">
        <f>SUM(H43:I43)</f>
        <v>0</v>
      </c>
      <c r="K43" s="136">
        <v>0</v>
      </c>
      <c r="L43" s="6"/>
    </row>
    <row r="44" spans="1:15">
      <c r="A44" s="1"/>
      <c r="B44" s="129">
        <f>+B29+B35+B41+B43</f>
        <v>0</v>
      </c>
      <c r="C44" s="92">
        <f>+C29+C35+C41+C43</f>
        <v>0</v>
      </c>
      <c r="D44" s="366">
        <f>SUM(B44:C44)</f>
        <v>0</v>
      </c>
      <c r="E44" s="136">
        <v>0</v>
      </c>
      <c r="F44"/>
      <c r="G44"/>
      <c r="H44" s="129">
        <f>+H29+H35+H41+H43</f>
        <v>0</v>
      </c>
      <c r="I44" s="92">
        <f>+I29+I35+I41+I43</f>
        <v>0</v>
      </c>
      <c r="J44" s="366">
        <f>SUM(H44:I44)</f>
        <v>0</v>
      </c>
      <c r="K44" s="136">
        <v>0</v>
      </c>
    </row>
    <row r="45" spans="1:15" ht="8.4499999999999993" customHeight="1">
      <c r="A45" s="1"/>
      <c r="B45" s="129"/>
      <c r="C45" s="92" t="s">
        <v>0</v>
      </c>
      <c r="D45" s="366"/>
      <c r="E45" s="373" t="s">
        <v>0</v>
      </c>
      <c r="F45"/>
      <c r="G45"/>
      <c r="H45" s="129"/>
      <c r="I45" s="92" t="s">
        <v>0</v>
      </c>
      <c r="J45" s="366" t="s">
        <v>0</v>
      </c>
      <c r="K45" s="136" t="s">
        <v>0</v>
      </c>
    </row>
    <row r="46" spans="1:15">
      <c r="A46" s="87" t="s">
        <v>288</v>
      </c>
      <c r="B46" s="129"/>
      <c r="C46" s="92" t="s">
        <v>0</v>
      </c>
      <c r="D46" s="366"/>
      <c r="E46" s="373" t="s">
        <v>0</v>
      </c>
      <c r="F46"/>
      <c r="G46"/>
      <c r="H46" s="129"/>
      <c r="I46" s="92" t="s">
        <v>0</v>
      </c>
      <c r="J46" s="366" t="s">
        <v>0</v>
      </c>
      <c r="K46" s="136" t="s">
        <v>0</v>
      </c>
    </row>
    <row r="47" spans="1:15">
      <c r="A47" s="1" t="s">
        <v>289</v>
      </c>
      <c r="B47" s="129">
        <v>0</v>
      </c>
      <c r="C47" s="92">
        <v>0</v>
      </c>
      <c r="D47" s="366">
        <f>SUM(B47:C47)</f>
        <v>0</v>
      </c>
      <c r="E47" s="136">
        <v>0</v>
      </c>
      <c r="F47"/>
      <c r="G47"/>
      <c r="H47" s="129">
        <v>0</v>
      </c>
      <c r="I47" s="92">
        <v>0</v>
      </c>
      <c r="J47" s="366">
        <f>SUM(H47:I47)</f>
        <v>0</v>
      </c>
      <c r="K47" s="136">
        <v>0</v>
      </c>
    </row>
    <row r="48" spans="1:15">
      <c r="A48" s="1" t="s">
        <v>290</v>
      </c>
      <c r="B48" s="129">
        <v>0</v>
      </c>
      <c r="C48" s="92">
        <v>0</v>
      </c>
      <c r="D48" s="366">
        <f>SUM(B48:C48)</f>
        <v>0</v>
      </c>
      <c r="E48" s="136">
        <v>0</v>
      </c>
      <c r="F48"/>
      <c r="G48"/>
      <c r="H48" s="129">
        <v>0</v>
      </c>
      <c r="I48" s="92">
        <v>0</v>
      </c>
      <c r="J48" s="366">
        <f>SUM(H48:I48)</f>
        <v>0</v>
      </c>
      <c r="K48" s="136">
        <v>0</v>
      </c>
    </row>
    <row r="49" spans="1:15">
      <c r="A49" s="1" t="s">
        <v>302</v>
      </c>
      <c r="B49" s="129">
        <v>0</v>
      </c>
      <c r="C49" s="92">
        <v>0</v>
      </c>
      <c r="D49" s="366">
        <f>SUM(B49:C49)</f>
        <v>0</v>
      </c>
      <c r="E49" s="136">
        <v>0</v>
      </c>
      <c r="F49"/>
      <c r="G49"/>
      <c r="H49" s="129">
        <v>0</v>
      </c>
      <c r="I49" s="92">
        <v>0</v>
      </c>
      <c r="J49" s="366">
        <f>SUM(H49:I49)</f>
        <v>0</v>
      </c>
      <c r="K49" s="136">
        <v>0</v>
      </c>
    </row>
    <row r="50" spans="1:15" ht="18">
      <c r="A50" s="1" t="s">
        <v>292</v>
      </c>
      <c r="B50" s="130">
        <v>0</v>
      </c>
      <c r="C50" s="137">
        <v>0</v>
      </c>
      <c r="D50" s="367">
        <f>SUM(B50:C50)</f>
        <v>0</v>
      </c>
      <c r="E50" s="136">
        <v>0</v>
      </c>
      <c r="F50"/>
      <c r="G50"/>
      <c r="H50" s="130">
        <v>0</v>
      </c>
      <c r="I50" s="137">
        <v>0</v>
      </c>
      <c r="J50" s="367">
        <f>SUM(H50:I50)</f>
        <v>0</v>
      </c>
      <c r="K50" s="136">
        <v>0</v>
      </c>
      <c r="L50" s="6"/>
      <c r="M50" s="7"/>
      <c r="N50" s="7"/>
      <c r="O50" s="7"/>
    </row>
    <row r="51" spans="1:15">
      <c r="A51" s="1" t="s">
        <v>275</v>
      </c>
      <c r="B51" s="129">
        <f>SUM(B47:B50)</f>
        <v>0</v>
      </c>
      <c r="C51" s="92">
        <f>SUM(C47:C50)</f>
        <v>0</v>
      </c>
      <c r="D51" s="366">
        <f>SUM(B51:C51)</f>
        <v>0</v>
      </c>
      <c r="E51" s="136">
        <v>0</v>
      </c>
      <c r="F51"/>
      <c r="G51"/>
      <c r="H51" s="129">
        <f>SUM(H47:H50)</f>
        <v>0</v>
      </c>
      <c r="I51" s="92">
        <f>SUM(I47:I50)</f>
        <v>0</v>
      </c>
      <c r="J51" s="366">
        <f>SUM(H51:I51)</f>
        <v>0</v>
      </c>
      <c r="K51" s="136">
        <v>0</v>
      </c>
    </row>
    <row r="52" spans="1:15">
      <c r="A52" s="1" t="s">
        <v>0</v>
      </c>
      <c r="B52" s="129"/>
      <c r="C52" s="92" t="s">
        <v>0</v>
      </c>
      <c r="D52" s="366"/>
      <c r="E52" s="373" t="s">
        <v>0</v>
      </c>
      <c r="F52"/>
      <c r="G52"/>
      <c r="H52" s="129"/>
      <c r="I52" s="92" t="s">
        <v>0</v>
      </c>
      <c r="J52" s="366" t="s">
        <v>0</v>
      </c>
      <c r="K52" s="136" t="s">
        <v>0</v>
      </c>
    </row>
    <row r="53" spans="1:15" ht="16.5" thickBot="1">
      <c r="A53" s="1" t="s">
        <v>0</v>
      </c>
      <c r="B53" s="133">
        <f>+B29+B35+B41+B43+B51</f>
        <v>0</v>
      </c>
      <c r="C53" s="134">
        <f>+C29+C35+C41+C43+C51</f>
        <v>0</v>
      </c>
      <c r="D53" s="369">
        <f>SUM(B53:C53)</f>
        <v>0</v>
      </c>
      <c r="E53" s="1057">
        <v>0</v>
      </c>
      <c r="F53"/>
      <c r="G53"/>
      <c r="H53" s="133">
        <f>+H29+H35+H41+H43+H51</f>
        <v>0</v>
      </c>
      <c r="I53" s="134">
        <f>+I29+I35+I41+I43+I51</f>
        <v>0</v>
      </c>
      <c r="J53" s="369">
        <f>SUM(H53:I53)</f>
        <v>0</v>
      </c>
      <c r="K53" s="1057">
        <v>0</v>
      </c>
    </row>
    <row r="54" spans="1:15" ht="16.5" thickTop="1">
      <c r="A54" s="1"/>
      <c r="B54" s="95"/>
      <c r="C54" s="95"/>
      <c r="D54" s="384"/>
      <c r="E54" s="261"/>
      <c r="F54"/>
      <c r="G54"/>
      <c r="H54" s="95"/>
      <c r="I54" s="95"/>
      <c r="J54" s="384"/>
      <c r="K54" s="254"/>
    </row>
    <row r="55" spans="1:15">
      <c r="A55" s="1"/>
      <c r="B55" s="91" t="s">
        <v>0</v>
      </c>
      <c r="C55"/>
      <c r="D55" s="91"/>
      <c r="E55" s="100" t="s">
        <v>0</v>
      </c>
      <c r="F55"/>
      <c r="G55"/>
      <c r="H55" s="2" t="s">
        <v>569</v>
      </c>
      <c r="I55" s="91"/>
      <c r="J55" s="89" t="s">
        <v>0</v>
      </c>
    </row>
    <row r="56" spans="1:15">
      <c r="C56" s="43"/>
      <c r="E56" s="115" t="s">
        <v>0</v>
      </c>
      <c r="F56"/>
      <c r="G56"/>
      <c r="H56"/>
      <c r="J56" s="43"/>
    </row>
    <row r="57" spans="1:15">
      <c r="A57" s="18" t="s">
        <v>319</v>
      </c>
      <c r="C57" s="43"/>
      <c r="E57" s="115" t="s">
        <v>0</v>
      </c>
      <c r="F57"/>
      <c r="G57"/>
      <c r="H57"/>
      <c r="J57" s="43"/>
    </row>
    <row r="58" spans="1:15">
      <c r="A58" t="s">
        <v>294</v>
      </c>
      <c r="B58" s="12">
        <f>12024478/1000</f>
        <v>12024.477999999999</v>
      </c>
      <c r="C58" s="43">
        <v>0</v>
      </c>
      <c r="D58" s="12">
        <f>+B58+C58</f>
        <v>12024.477999999999</v>
      </c>
      <c r="E58" s="115" t="s">
        <v>0</v>
      </c>
      <c r="F58"/>
      <c r="G58"/>
      <c r="H58" s="3">
        <f>12312168/1000</f>
        <v>12312.168</v>
      </c>
      <c r="I58" s="12">
        <v>0</v>
      </c>
      <c r="J58" s="12">
        <f>+H58+I58</f>
        <v>12312.168</v>
      </c>
    </row>
    <row r="59" spans="1:15">
      <c r="A59" t="s">
        <v>295</v>
      </c>
      <c r="B59" s="12">
        <f>39597972/1000</f>
        <v>39597.972000000002</v>
      </c>
      <c r="C59" s="43">
        <f>4397686/1000</f>
        <v>4397.6859999999997</v>
      </c>
      <c r="D59" s="12">
        <f>+B59+C59</f>
        <v>43995.658000000003</v>
      </c>
      <c r="E59" s="115" t="s">
        <v>0</v>
      </c>
      <c r="F59"/>
      <c r="G59"/>
      <c r="H59" s="3">
        <f>51414181/1000</f>
        <v>51414.180999999997</v>
      </c>
      <c r="I59" s="12">
        <f>2848102/1000</f>
        <v>2848.1019999999999</v>
      </c>
      <c r="J59" s="12">
        <f>+H59+I59</f>
        <v>54262.282999999996</v>
      </c>
    </row>
    <row r="60" spans="1:15">
      <c r="A60" t="s">
        <v>284</v>
      </c>
      <c r="B60" s="12">
        <f>+(1654664+890811)/1000</f>
        <v>2545.4749999999999</v>
      </c>
      <c r="C60" s="43"/>
      <c r="D60" s="12">
        <f>+B60+C60</f>
        <v>2545.4749999999999</v>
      </c>
      <c r="E60" s="115" t="s">
        <v>0</v>
      </c>
      <c r="F60"/>
      <c r="G60"/>
      <c r="H60" s="3">
        <f>+(37613500+892493)/1000</f>
        <v>38505.993000000002</v>
      </c>
      <c r="I60" s="12">
        <f>105896434/1000</f>
        <v>105896.43399999999</v>
      </c>
      <c r="J60" s="12">
        <f>+H60+I60</f>
        <v>144402.427</v>
      </c>
    </row>
    <row r="61" spans="1:15">
      <c r="C61" s="43"/>
      <c r="E61" s="115" t="s">
        <v>0</v>
      </c>
      <c r="F61"/>
      <c r="G61"/>
      <c r="H61"/>
      <c r="J61" s="43"/>
    </row>
    <row r="62" spans="1:15" ht="18.75">
      <c r="A62" s="122" t="s">
        <v>303</v>
      </c>
      <c r="B62" s="12">
        <f>+'bidccomp  '!B60</f>
        <v>0</v>
      </c>
      <c r="C62" s="43"/>
      <c r="E62" s="115" t="s">
        <v>0</v>
      </c>
      <c r="F62"/>
      <c r="G62"/>
      <c r="H62" s="41">
        <v>0</v>
      </c>
      <c r="I62" s="43">
        <v>0</v>
      </c>
      <c r="J62" s="12">
        <f>+J19+J63</f>
        <v>3960.873</v>
      </c>
    </row>
    <row r="63" spans="1:15">
      <c r="A63" t="s">
        <v>217</v>
      </c>
      <c r="B63" s="12">
        <f>+'bidccomp  '!B61</f>
        <v>0</v>
      </c>
      <c r="C63" s="43"/>
      <c r="E63" s="115" t="s">
        <v>0</v>
      </c>
      <c r="F63"/>
      <c r="G63"/>
      <c r="H63" s="41">
        <v>0</v>
      </c>
      <c r="I63" s="43">
        <v>0</v>
      </c>
      <c r="J63" s="12">
        <f>3960873/1000</f>
        <v>3960.873</v>
      </c>
    </row>
    <row r="64" spans="1:15">
      <c r="A64" t="s">
        <v>320</v>
      </c>
      <c r="B64" s="12">
        <f>+'bidccomp  '!B62</f>
        <v>0</v>
      </c>
      <c r="C64" s="43"/>
      <c r="E64" s="115" t="s">
        <v>0</v>
      </c>
      <c r="F64"/>
      <c r="G64"/>
      <c r="H64" s="41">
        <v>0</v>
      </c>
      <c r="I64" s="43">
        <v>0</v>
      </c>
      <c r="J64" s="12">
        <v>0</v>
      </c>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sheetData>
  <pageMargins left="0.68" right="0.28999999999999998" top="0.55000000000000004" bottom="0.62" header="0.36" footer="0.38"/>
  <pageSetup scale="63" orientation="landscape" r:id="rId1"/>
  <headerFooter alignWithMargins="0">
    <oddFooter>&amp;LL'actif net de cette banque a été acheté par la Sogebank au cours du Trim 1 99. Au cours du Trim 3 99, l'actif de la Sogebank inclut celui de cette banque.&amp;R&amp;P</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120"/>
  <sheetViews>
    <sheetView workbookViewId="0"/>
  </sheetViews>
  <sheetFormatPr defaultRowHeight="15.75"/>
  <cols>
    <col min="1" max="1" width="50" customWidth="1"/>
    <col min="2" max="2" width="15.75" style="27" customWidth="1"/>
    <col min="3" max="3" width="11.2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10.25" style="27" customWidth="1"/>
    <col min="12" max="12" width="15.75" style="27" customWidth="1"/>
    <col min="13" max="13" width="11" style="27" customWidth="1"/>
    <col min="14" max="14" width="15.75" style="27" customWidth="1"/>
    <col min="15" max="15" width="11" style="27" customWidth="1"/>
    <col min="16" max="16" width="15.75" style="27" customWidth="1"/>
    <col min="17" max="17" width="11" style="27" customWidth="1"/>
    <col min="18" max="18" width="14.5" style="27" customWidth="1"/>
    <col min="19" max="19" width="10.625" style="27" customWidth="1"/>
    <col min="20" max="20" width="16" style="27" customWidth="1"/>
    <col min="21" max="21" width="12.5" style="27" customWidth="1"/>
    <col min="22" max="256" width="11" customWidth="1"/>
  </cols>
  <sheetData>
    <row r="1" spans="1:22">
      <c r="A1" s="114" t="s">
        <v>565</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6" spans="1:22" s="2" customFormat="1" ht="16.5" thickBot="1">
      <c r="B6" s="333" t="s">
        <v>185</v>
      </c>
      <c r="C6" s="413"/>
      <c r="D6" s="413"/>
      <c r="E6" s="413"/>
      <c r="F6" s="413"/>
      <c r="G6" s="413"/>
      <c r="H6" s="413"/>
      <c r="I6" s="401"/>
      <c r="J6" s="333" t="s">
        <v>174</v>
      </c>
      <c r="K6" s="413"/>
      <c r="L6" s="413"/>
      <c r="M6" s="413"/>
      <c r="N6" s="413"/>
      <c r="O6" s="413"/>
      <c r="P6" s="413"/>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7" t="s">
        <v>0</v>
      </c>
      <c r="D9" s="29" t="s">
        <v>0</v>
      </c>
      <c r="E9" s="29" t="s">
        <v>0</v>
      </c>
      <c r="F9" s="29" t="s">
        <v>0</v>
      </c>
      <c r="G9" s="29" t="s">
        <v>0</v>
      </c>
      <c r="H9" s="29" t="s">
        <v>0</v>
      </c>
      <c r="I9" s="29" t="s">
        <v>0</v>
      </c>
      <c r="J9" s="16" t="s">
        <v>0</v>
      </c>
      <c r="K9" s="47" t="s">
        <v>0</v>
      </c>
      <c r="L9" s="16" t="s">
        <v>0</v>
      </c>
      <c r="M9" s="47" t="s">
        <v>0</v>
      </c>
      <c r="N9" s="16" t="s">
        <v>0</v>
      </c>
      <c r="O9" s="47" t="s">
        <v>0</v>
      </c>
      <c r="P9" s="16" t="s">
        <v>0</v>
      </c>
      <c r="Q9" s="29" t="s">
        <v>0</v>
      </c>
      <c r="S9" s="29" t="s">
        <v>0</v>
      </c>
    </row>
    <row r="10" spans="1:22">
      <c r="A10" t="s">
        <v>330</v>
      </c>
      <c r="B10" s="12">
        <f>+B50</f>
        <v>0</v>
      </c>
      <c r="C10" s="43">
        <v>0</v>
      </c>
      <c r="D10" s="12">
        <f>+F50</f>
        <v>0</v>
      </c>
      <c r="E10" s="43">
        <v>0</v>
      </c>
      <c r="F10" s="12">
        <v>0</v>
      </c>
      <c r="G10" s="43">
        <v>0</v>
      </c>
      <c r="H10" s="12">
        <v>0</v>
      </c>
      <c r="J10" s="12">
        <f>+D50</f>
        <v>33091.199999999997</v>
      </c>
      <c r="K10" s="46">
        <f t="shared" ref="K10:K15" si="0">+(-J10+L10)/ABS(J10)</f>
        <v>-0.26407322792766647</v>
      </c>
      <c r="L10" s="12">
        <f>+H50</f>
        <v>24352.7</v>
      </c>
      <c r="M10" s="43">
        <v>0</v>
      </c>
      <c r="N10" s="12">
        <f>+L50</f>
        <v>0</v>
      </c>
      <c r="O10" s="43">
        <v>0</v>
      </c>
      <c r="P10" s="12">
        <f>+P50</f>
        <v>0</v>
      </c>
    </row>
    <row r="11" spans="1:22">
      <c r="A11" t="s">
        <v>354</v>
      </c>
      <c r="B11" s="12">
        <f>+B51</f>
        <v>0</v>
      </c>
      <c r="C11" s="43">
        <v>0</v>
      </c>
      <c r="D11" s="12">
        <f>+F51</f>
        <v>0</v>
      </c>
      <c r="E11" s="43">
        <v>0</v>
      </c>
      <c r="F11" s="12">
        <v>0</v>
      </c>
      <c r="G11" s="43">
        <v>0</v>
      </c>
      <c r="H11" s="12">
        <v>0</v>
      </c>
      <c r="J11" s="12">
        <f>+D51</f>
        <v>2223</v>
      </c>
      <c r="K11" s="46">
        <f t="shared" si="0"/>
        <v>0.2826810616284301</v>
      </c>
      <c r="L11" s="12">
        <f>+H51</f>
        <v>2851.4</v>
      </c>
      <c r="M11" s="208">
        <v>0</v>
      </c>
      <c r="N11" s="12">
        <f>+L51</f>
        <v>0</v>
      </c>
      <c r="O11" s="43">
        <v>0</v>
      </c>
      <c r="P11" s="12">
        <f>+P51</f>
        <v>0</v>
      </c>
    </row>
    <row r="12" spans="1:22">
      <c r="A12" t="s">
        <v>332</v>
      </c>
      <c r="B12" s="240">
        <f>+B52</f>
        <v>0</v>
      </c>
      <c r="C12" s="43">
        <v>0</v>
      </c>
      <c r="D12" s="240">
        <f>+F52</f>
        <v>0</v>
      </c>
      <c r="E12" s="43">
        <v>0</v>
      </c>
      <c r="F12" s="240">
        <v>0</v>
      </c>
      <c r="G12" s="43">
        <v>0</v>
      </c>
      <c r="H12" s="240">
        <v>0</v>
      </c>
      <c r="J12" s="221">
        <f>+D52</f>
        <v>802.4</v>
      </c>
      <c r="K12" s="46">
        <f t="shared" si="0"/>
        <v>0.77405284147557329</v>
      </c>
      <c r="L12" s="221">
        <f>+H52</f>
        <v>1423.5</v>
      </c>
      <c r="M12" s="43">
        <v>0</v>
      </c>
      <c r="N12" s="221">
        <f>+L52</f>
        <v>0</v>
      </c>
      <c r="O12" s="43">
        <v>0</v>
      </c>
      <c r="P12" s="221">
        <f>+P52</f>
        <v>0</v>
      </c>
    </row>
    <row r="13" spans="1:22">
      <c r="B13" s="12">
        <f>SUM(B10:B12)</f>
        <v>0</v>
      </c>
      <c r="C13" s="43">
        <v>0</v>
      </c>
      <c r="D13" s="12">
        <f>SUM(D10:D12)</f>
        <v>0</v>
      </c>
      <c r="E13" s="43">
        <v>0</v>
      </c>
      <c r="F13" s="12">
        <f>SUM(F10:F12)</f>
        <v>0</v>
      </c>
      <c r="G13" s="43">
        <v>0</v>
      </c>
      <c r="H13" s="12">
        <f>SUM(H10:H12)</f>
        <v>0</v>
      </c>
      <c r="J13" s="12">
        <f>SUM(J10:J12)</f>
        <v>36116.6</v>
      </c>
      <c r="K13" s="46">
        <f t="shared" si="0"/>
        <v>-0.2073561741692185</v>
      </c>
      <c r="L13" s="12">
        <f>SUM(L10:L12)</f>
        <v>28627.600000000002</v>
      </c>
      <c r="M13" s="43">
        <v>0</v>
      </c>
      <c r="N13" s="12">
        <f>SUM(N10:N12)</f>
        <v>0</v>
      </c>
      <c r="O13" s="43">
        <v>0</v>
      </c>
      <c r="P13" s="12">
        <f>SUM(P10:P12)</f>
        <v>0</v>
      </c>
    </row>
    <row r="14" spans="1:22">
      <c r="A14" t="s">
        <v>333</v>
      </c>
      <c r="B14" s="240">
        <f>+B54</f>
        <v>0</v>
      </c>
      <c r="C14" s="43">
        <v>0</v>
      </c>
      <c r="D14" s="240">
        <f>+F54</f>
        <v>0</v>
      </c>
      <c r="E14" s="43">
        <v>0</v>
      </c>
      <c r="F14" s="240">
        <v>0</v>
      </c>
      <c r="G14" s="43">
        <v>0</v>
      </c>
      <c r="H14" s="240">
        <v>0</v>
      </c>
      <c r="J14" s="240">
        <f>+D54</f>
        <v>15941</v>
      </c>
      <c r="K14" s="46">
        <f t="shared" si="0"/>
        <v>-0.3925286995797001</v>
      </c>
      <c r="L14" s="240">
        <f>+H54</f>
        <v>9683.7000000000007</v>
      </c>
      <c r="M14" s="43">
        <v>0</v>
      </c>
      <c r="N14" s="240">
        <f>+L54</f>
        <v>0</v>
      </c>
      <c r="O14" s="43">
        <v>0</v>
      </c>
      <c r="P14" s="240">
        <f>+P54</f>
        <v>0</v>
      </c>
    </row>
    <row r="15" spans="1:22">
      <c r="B15" s="12">
        <f>+B13-B14</f>
        <v>0</v>
      </c>
      <c r="C15" s="43">
        <v>0</v>
      </c>
      <c r="D15" s="12">
        <f>+D13-D14</f>
        <v>0</v>
      </c>
      <c r="E15" s="43">
        <v>0</v>
      </c>
      <c r="F15" s="12">
        <f>+F13-F14</f>
        <v>0</v>
      </c>
      <c r="G15" s="43">
        <v>0</v>
      </c>
      <c r="H15" s="12">
        <f>+H13-H14</f>
        <v>0</v>
      </c>
      <c r="J15" s="12">
        <f>+J13-J14</f>
        <v>20175.599999999999</v>
      </c>
      <c r="K15" s="46">
        <f t="shared" si="0"/>
        <v>-6.1048989868950472E-2</v>
      </c>
      <c r="L15" s="12">
        <f>+L13-L14</f>
        <v>18943.900000000001</v>
      </c>
      <c r="M15" s="43">
        <v>0</v>
      </c>
      <c r="N15" s="12">
        <f>+N13-N14</f>
        <v>0</v>
      </c>
      <c r="O15" s="43">
        <v>0</v>
      </c>
      <c r="P15" s="12">
        <f>+P13-P14</f>
        <v>0</v>
      </c>
    </row>
    <row r="16" spans="1:22" ht="9" customHeight="1">
      <c r="B16" s="12"/>
      <c r="C16" s="44" t="s">
        <v>0</v>
      </c>
      <c r="D16" s="12"/>
      <c r="E16" s="44" t="s">
        <v>0</v>
      </c>
      <c r="G16" s="44" t="s">
        <v>0</v>
      </c>
      <c r="J16" s="12"/>
      <c r="K16" s="46"/>
      <c r="L16" s="12"/>
      <c r="M16" s="43"/>
      <c r="N16" s="12"/>
      <c r="O16" s="43"/>
      <c r="P16" s="12"/>
    </row>
    <row r="17" spans="1:16">
      <c r="A17" t="s">
        <v>334</v>
      </c>
      <c r="B17" s="12"/>
      <c r="C17" s="44" t="s">
        <v>0</v>
      </c>
      <c r="D17" s="12"/>
      <c r="E17" s="44" t="s">
        <v>0</v>
      </c>
      <c r="G17" s="44" t="s">
        <v>0</v>
      </c>
      <c r="J17" s="12"/>
      <c r="K17" s="46"/>
      <c r="L17" s="12"/>
      <c r="M17" s="43"/>
      <c r="N17" s="12"/>
      <c r="O17" s="44" t="s">
        <v>0</v>
      </c>
      <c r="P17" s="12"/>
    </row>
    <row r="18" spans="1:16">
      <c r="A18" t="s">
        <v>335</v>
      </c>
      <c r="B18" s="12">
        <f>+B58</f>
        <v>0</v>
      </c>
      <c r="C18" s="43">
        <v>0</v>
      </c>
      <c r="D18" s="12">
        <f>+F58</f>
        <v>0</v>
      </c>
      <c r="E18" s="43">
        <v>0</v>
      </c>
      <c r="F18" s="12">
        <v>0</v>
      </c>
      <c r="G18" s="43">
        <v>0</v>
      </c>
      <c r="H18" s="12">
        <v>0</v>
      </c>
      <c r="J18" s="12">
        <f>+D58</f>
        <v>1655.8000000000002</v>
      </c>
      <c r="K18" s="46">
        <f>+(-J18+L18)/ABS(J18)</f>
        <v>0.14101944679309081</v>
      </c>
      <c r="L18" s="12">
        <f>+H58</f>
        <v>1889.3</v>
      </c>
      <c r="M18" s="43">
        <v>0</v>
      </c>
      <c r="N18" s="12">
        <f>+L58</f>
        <v>0</v>
      </c>
      <c r="O18" s="43">
        <v>0</v>
      </c>
      <c r="P18" s="12">
        <f>+P58</f>
        <v>0</v>
      </c>
    </row>
    <row r="19" spans="1:16">
      <c r="A19" t="s">
        <v>336</v>
      </c>
      <c r="B19" s="12">
        <f>+B59</f>
        <v>0</v>
      </c>
      <c r="C19" s="43">
        <v>0</v>
      </c>
      <c r="D19" s="12">
        <f>+F59</f>
        <v>0</v>
      </c>
      <c r="E19" s="43">
        <v>0</v>
      </c>
      <c r="F19" s="12">
        <v>0</v>
      </c>
      <c r="G19" s="43">
        <v>0</v>
      </c>
      <c r="H19" s="12">
        <v>0</v>
      </c>
      <c r="J19" s="12">
        <f>+D59</f>
        <v>1446.6999999999998</v>
      </c>
      <c r="K19" s="46">
        <f>+(-J19+L19)/ABS(J19)</f>
        <v>0.54565563005460715</v>
      </c>
      <c r="L19" s="12">
        <f>+H59</f>
        <v>2236.1</v>
      </c>
      <c r="M19" s="43">
        <v>0</v>
      </c>
      <c r="N19" s="12">
        <f>+L59</f>
        <v>0</v>
      </c>
      <c r="O19" s="43">
        <v>0</v>
      </c>
      <c r="P19" s="12">
        <f>+P59</f>
        <v>0</v>
      </c>
    </row>
    <row r="20" spans="1:16">
      <c r="A20" t="s">
        <v>284</v>
      </c>
      <c r="B20" s="240">
        <f>+B60</f>
        <v>0</v>
      </c>
      <c r="C20" s="43">
        <v>0</v>
      </c>
      <c r="D20" s="240">
        <f>+F60</f>
        <v>0</v>
      </c>
      <c r="E20" s="43">
        <v>0</v>
      </c>
      <c r="F20" s="240">
        <v>0</v>
      </c>
      <c r="G20" s="43">
        <v>0</v>
      </c>
      <c r="H20" s="240">
        <v>0</v>
      </c>
      <c r="J20" s="240">
        <f>+D60</f>
        <v>1050</v>
      </c>
      <c r="K20" s="46">
        <f>+(-J20+L20)/ABS(J20)</f>
        <v>-0.45733333333333337</v>
      </c>
      <c r="L20" s="240">
        <f>+H60</f>
        <v>569.79999999999995</v>
      </c>
      <c r="M20" s="43">
        <v>0</v>
      </c>
      <c r="N20" s="240">
        <f>+L60</f>
        <v>0</v>
      </c>
      <c r="O20" s="43">
        <v>0</v>
      </c>
      <c r="P20" s="240">
        <f>+P60</f>
        <v>0</v>
      </c>
    </row>
    <row r="21" spans="1:16">
      <c r="B21" s="12">
        <f>SUM(B18:B20)</f>
        <v>0</v>
      </c>
      <c r="C21" s="43">
        <v>0</v>
      </c>
      <c r="D21" s="12">
        <f>SUM(D18:D20)</f>
        <v>0</v>
      </c>
      <c r="E21" s="43">
        <v>0</v>
      </c>
      <c r="F21" s="12">
        <f>SUM(F18:F20)</f>
        <v>0</v>
      </c>
      <c r="G21" s="43">
        <v>0</v>
      </c>
      <c r="H21" s="12">
        <f>SUM(H18:H20)</f>
        <v>0</v>
      </c>
      <c r="J21" s="12">
        <f>SUM(J18:J20)</f>
        <v>4152.5</v>
      </c>
      <c r="K21" s="46">
        <f>+(-J21+L21)/ABS(J21)</f>
        <v>0.13069235400361223</v>
      </c>
      <c r="L21" s="12">
        <f>SUM(L18:L20)</f>
        <v>4695.2</v>
      </c>
      <c r="M21" s="43">
        <v>0</v>
      </c>
      <c r="N21" s="12">
        <f>SUM(N18:N20)</f>
        <v>0</v>
      </c>
      <c r="O21" s="43">
        <v>0</v>
      </c>
      <c r="P21" s="12">
        <f>SUM(P18:P20)</f>
        <v>0</v>
      </c>
    </row>
    <row r="22" spans="1:16">
      <c r="B22" s="240"/>
      <c r="C22" s="44" t="s">
        <v>0</v>
      </c>
      <c r="D22" s="240"/>
      <c r="E22" s="44" t="s">
        <v>0</v>
      </c>
      <c r="F22" s="379"/>
      <c r="G22" s="44" t="s">
        <v>0</v>
      </c>
      <c r="H22" s="379"/>
      <c r="J22" s="240"/>
      <c r="K22" s="46"/>
      <c r="L22" s="240"/>
      <c r="M22" s="43"/>
      <c r="N22" s="240"/>
      <c r="O22" s="43"/>
      <c r="P22" s="240"/>
    </row>
    <row r="23" spans="1:16">
      <c r="A23" t="s">
        <v>337</v>
      </c>
      <c r="B23" s="12">
        <f>+B15+B21</f>
        <v>0</v>
      </c>
      <c r="C23" s="43">
        <v>0</v>
      </c>
      <c r="D23" s="12">
        <f>+D15+D21</f>
        <v>0</v>
      </c>
      <c r="E23" s="43">
        <v>0</v>
      </c>
      <c r="F23" s="12">
        <f>+F15+F21</f>
        <v>0</v>
      </c>
      <c r="G23" s="43">
        <v>0</v>
      </c>
      <c r="H23" s="12">
        <f>+H15+H21</f>
        <v>0</v>
      </c>
      <c r="J23" s="12">
        <f>+J15+J21</f>
        <v>24328.1</v>
      </c>
      <c r="K23" s="46">
        <f>+(-J23+L23)/ABS(J23)</f>
        <v>-2.8321159482244663E-2</v>
      </c>
      <c r="L23" s="12">
        <f>+L15+L21</f>
        <v>23639.100000000002</v>
      </c>
      <c r="M23" s="43">
        <v>0</v>
      </c>
      <c r="N23" s="12">
        <f>+N15+N21</f>
        <v>0</v>
      </c>
      <c r="O23" s="43">
        <v>0</v>
      </c>
      <c r="P23" s="12">
        <f>+P15+P21</f>
        <v>0</v>
      </c>
    </row>
    <row r="24" spans="1:16">
      <c r="B24" s="12"/>
      <c r="C24" s="44" t="s">
        <v>0</v>
      </c>
      <c r="D24" s="12"/>
      <c r="E24" s="44" t="s">
        <v>0</v>
      </c>
      <c r="G24" s="44" t="s">
        <v>0</v>
      </c>
      <c r="J24" s="12"/>
      <c r="K24" s="46"/>
      <c r="L24" s="12"/>
      <c r="M24" s="43"/>
      <c r="N24" s="12"/>
      <c r="O24" s="43"/>
      <c r="P24" s="12"/>
    </row>
    <row r="25" spans="1:16">
      <c r="A25" t="s">
        <v>338</v>
      </c>
      <c r="B25" s="12">
        <f>+B65</f>
        <v>0</v>
      </c>
      <c r="C25" s="43">
        <v>0</v>
      </c>
      <c r="D25" s="12">
        <f>+F65</f>
        <v>0</v>
      </c>
      <c r="E25" s="43">
        <v>0</v>
      </c>
      <c r="F25" s="12">
        <v>0</v>
      </c>
      <c r="G25" s="43">
        <v>0</v>
      </c>
      <c r="H25" s="12">
        <v>0</v>
      </c>
      <c r="J25" s="12">
        <f>+D65</f>
        <v>2211.8000000000002</v>
      </c>
      <c r="K25" s="46">
        <f>+(-J25+L25)/ABS(J25)</f>
        <v>-0.72434216475269009</v>
      </c>
      <c r="L25" s="12">
        <f>+H65</f>
        <v>609.70000000000005</v>
      </c>
      <c r="M25" s="43">
        <v>0</v>
      </c>
      <c r="N25" s="12">
        <f>+L65</f>
        <v>0</v>
      </c>
      <c r="O25" s="43">
        <v>0</v>
      </c>
      <c r="P25" s="12">
        <f>+P65</f>
        <v>0</v>
      </c>
    </row>
    <row r="26" spans="1:16">
      <c r="B26" s="12"/>
      <c r="C26" s="44" t="s">
        <v>0</v>
      </c>
      <c r="D26" s="12"/>
      <c r="E26" s="44" t="s">
        <v>0</v>
      </c>
      <c r="G26" s="44" t="s">
        <v>0</v>
      </c>
      <c r="J26" s="12"/>
      <c r="K26" s="46"/>
      <c r="L26" s="12"/>
      <c r="M26" s="43"/>
      <c r="N26" s="12"/>
      <c r="O26" s="43"/>
      <c r="P26" s="12"/>
    </row>
    <row r="27" spans="1:16">
      <c r="A27" t="s">
        <v>339</v>
      </c>
      <c r="B27" s="240"/>
      <c r="C27" s="44" t="s">
        <v>0</v>
      </c>
      <c r="D27" s="240"/>
      <c r="E27" s="44" t="s">
        <v>0</v>
      </c>
      <c r="F27" s="379"/>
      <c r="G27" s="44" t="s">
        <v>0</v>
      </c>
      <c r="H27" s="379"/>
      <c r="J27" s="240"/>
      <c r="K27" s="46"/>
      <c r="L27" s="240"/>
      <c r="M27" s="43"/>
      <c r="N27" s="240"/>
      <c r="O27" s="43"/>
      <c r="P27" s="240"/>
    </row>
    <row r="28" spans="1:16">
      <c r="A28" t="s">
        <v>340</v>
      </c>
      <c r="B28" s="12">
        <f>+B23-B25</f>
        <v>0</v>
      </c>
      <c r="C28" s="43">
        <v>0</v>
      </c>
      <c r="D28" s="12">
        <f>+D23-D25</f>
        <v>0</v>
      </c>
      <c r="E28" s="43">
        <v>0</v>
      </c>
      <c r="F28" s="12">
        <f>+F23-F25</f>
        <v>0</v>
      </c>
      <c r="G28" s="43">
        <v>0</v>
      </c>
      <c r="H28" s="12">
        <f>+H23-H25</f>
        <v>0</v>
      </c>
      <c r="J28" s="12">
        <f>+J23-J25</f>
        <v>22116.3</v>
      </c>
      <c r="K28" s="46">
        <f>+(-J28+L28)/ABS(J28)</f>
        <v>4.1286291106559514E-2</v>
      </c>
      <c r="L28" s="12">
        <f>+L23-L25</f>
        <v>23029.4</v>
      </c>
      <c r="M28" s="43">
        <v>0</v>
      </c>
      <c r="N28" s="12">
        <f>+N23-N25</f>
        <v>0</v>
      </c>
      <c r="O28" s="43">
        <v>0</v>
      </c>
      <c r="P28" s="12">
        <f>+P23-P25</f>
        <v>0</v>
      </c>
    </row>
    <row r="29" spans="1:16">
      <c r="B29" s="12"/>
      <c r="C29" s="44" t="s">
        <v>0</v>
      </c>
      <c r="D29" s="12"/>
      <c r="E29" s="44" t="s">
        <v>0</v>
      </c>
      <c r="G29" s="44" t="s">
        <v>0</v>
      </c>
      <c r="J29" s="12"/>
      <c r="K29" s="46"/>
      <c r="L29" s="12"/>
      <c r="M29" s="43"/>
      <c r="N29" s="12"/>
      <c r="O29" s="43"/>
      <c r="P29" s="12"/>
    </row>
    <row r="30" spans="1:16">
      <c r="A30" t="s">
        <v>341</v>
      </c>
      <c r="B30" s="12"/>
      <c r="C30" s="44" t="s">
        <v>0</v>
      </c>
      <c r="D30" s="12"/>
      <c r="E30" s="44" t="s">
        <v>0</v>
      </c>
      <c r="G30" s="44" t="s">
        <v>0</v>
      </c>
      <c r="J30" s="12"/>
      <c r="K30" s="46"/>
      <c r="L30" s="12"/>
      <c r="M30" s="43"/>
      <c r="N30" s="12"/>
      <c r="O30" s="43"/>
      <c r="P30" s="12"/>
    </row>
    <row r="31" spans="1:16">
      <c r="A31" t="s">
        <v>342</v>
      </c>
      <c r="B31" s="12">
        <f>+B71</f>
        <v>0</v>
      </c>
      <c r="C31" s="43">
        <v>0</v>
      </c>
      <c r="D31" s="12">
        <f>+F71</f>
        <v>0</v>
      </c>
      <c r="E31" s="43">
        <v>0</v>
      </c>
      <c r="F31" s="12">
        <v>0</v>
      </c>
      <c r="G31" s="43">
        <v>0</v>
      </c>
      <c r="H31" s="12">
        <v>0</v>
      </c>
      <c r="J31" s="12">
        <f>+D71</f>
        <v>9384.9</v>
      </c>
      <c r="K31" s="46">
        <f>+(-J31+L31)/ABS(J31)</f>
        <v>-6.1918613943675517E-2</v>
      </c>
      <c r="L31" s="12">
        <f>+H71</f>
        <v>8803.7999999999993</v>
      </c>
      <c r="M31" s="43">
        <v>0</v>
      </c>
      <c r="N31" s="12">
        <f>+L71</f>
        <v>0</v>
      </c>
      <c r="O31" s="43">
        <v>0</v>
      </c>
      <c r="P31" s="12">
        <f>+P71</f>
        <v>0</v>
      </c>
    </row>
    <row r="32" spans="1:16">
      <c r="A32" t="s">
        <v>343</v>
      </c>
      <c r="B32" s="12">
        <f>+B72</f>
        <v>0</v>
      </c>
      <c r="C32" s="43">
        <v>0</v>
      </c>
      <c r="D32" s="12">
        <f>+F72</f>
        <v>0</v>
      </c>
      <c r="E32" s="43">
        <v>0</v>
      </c>
      <c r="F32" s="12">
        <v>0</v>
      </c>
      <c r="G32" s="43">
        <v>0</v>
      </c>
      <c r="H32" s="12">
        <v>0</v>
      </c>
      <c r="J32" s="12">
        <f>+D72</f>
        <v>510.20000000000005</v>
      </c>
      <c r="K32" s="46">
        <f>+(-J32+L32)/ABS(J32)</f>
        <v>-0.1675813406507253</v>
      </c>
      <c r="L32" s="12">
        <f>+H72</f>
        <v>424.7</v>
      </c>
      <c r="M32" s="43">
        <v>0</v>
      </c>
      <c r="N32" s="12">
        <f>+L72</f>
        <v>0</v>
      </c>
      <c r="O32" s="43">
        <v>0</v>
      </c>
      <c r="P32" s="12">
        <f>+P72</f>
        <v>0</v>
      </c>
    </row>
    <row r="33" spans="1:22">
      <c r="A33" t="s">
        <v>344</v>
      </c>
      <c r="B33" s="12">
        <f>+B73</f>
        <v>0</v>
      </c>
      <c r="C33" s="43">
        <v>0</v>
      </c>
      <c r="D33" s="12">
        <f>+F73</f>
        <v>0</v>
      </c>
      <c r="E33" s="43">
        <v>0</v>
      </c>
      <c r="F33" s="12">
        <v>0</v>
      </c>
      <c r="G33" s="43">
        <v>0</v>
      </c>
      <c r="H33" s="12">
        <v>0</v>
      </c>
      <c r="J33" s="12">
        <f>+D73</f>
        <v>4721.8</v>
      </c>
      <c r="K33" s="46">
        <f>+(-J33+L33)/ABS(J33)</f>
        <v>-1.3427082892117527E-2</v>
      </c>
      <c r="L33" s="12">
        <f>+H73</f>
        <v>4658.3999999999996</v>
      </c>
      <c r="M33" s="43">
        <v>0</v>
      </c>
      <c r="N33" s="12">
        <f>+L73</f>
        <v>0</v>
      </c>
      <c r="O33" s="43">
        <v>0</v>
      </c>
      <c r="P33" s="12">
        <f>+P73</f>
        <v>0</v>
      </c>
    </row>
    <row r="34" spans="1:22">
      <c r="A34" t="s">
        <v>345</v>
      </c>
      <c r="B34" s="240">
        <f>+B74</f>
        <v>0</v>
      </c>
      <c r="C34" s="43">
        <v>0</v>
      </c>
      <c r="D34" s="240">
        <f>+F74</f>
        <v>0</v>
      </c>
      <c r="E34" s="43">
        <v>0</v>
      </c>
      <c r="F34" s="240">
        <v>0</v>
      </c>
      <c r="G34" s="43">
        <v>0</v>
      </c>
      <c r="H34" s="12">
        <v>0</v>
      </c>
      <c r="J34" s="240">
        <f>+D74</f>
        <v>11930.8</v>
      </c>
      <c r="K34" s="46">
        <f>+(-J34+L34)/ABS(J34)</f>
        <v>-0.37148389043484087</v>
      </c>
      <c r="L34" s="240">
        <f>+H74</f>
        <v>7498.7</v>
      </c>
      <c r="M34" s="43">
        <v>0</v>
      </c>
      <c r="N34" s="240">
        <f>+L74</f>
        <v>0</v>
      </c>
      <c r="O34" s="43">
        <v>0</v>
      </c>
      <c r="P34" s="240">
        <f>+P74</f>
        <v>0</v>
      </c>
    </row>
    <row r="35" spans="1:22">
      <c r="B35" s="12">
        <f>SUM(B31:B34)</f>
        <v>0</v>
      </c>
      <c r="C35" s="43">
        <v>0</v>
      </c>
      <c r="D35" s="12">
        <f>SUM(D31:D34)</f>
        <v>0</v>
      </c>
      <c r="E35" s="43">
        <v>0</v>
      </c>
      <c r="F35" s="12">
        <f>SUM(F31:F34)</f>
        <v>0</v>
      </c>
      <c r="G35" s="43">
        <v>0</v>
      </c>
      <c r="H35" s="12">
        <f>SUM(H31:H34)</f>
        <v>0</v>
      </c>
      <c r="J35" s="12">
        <f>SUM(J31:J34)</f>
        <v>26547.7</v>
      </c>
      <c r="K35" s="46">
        <f>+(-J35+L35)/ABS(J35)</f>
        <v>-0.19444622321331045</v>
      </c>
      <c r="L35" s="12">
        <f>SUM(L31:L34)</f>
        <v>21385.599999999999</v>
      </c>
      <c r="M35" s="43">
        <v>0</v>
      </c>
      <c r="N35" s="12">
        <f>SUM(N31:N34)</f>
        <v>0</v>
      </c>
      <c r="O35" s="43">
        <v>0</v>
      </c>
      <c r="P35" s="12">
        <f>SUM(P31:P34)</f>
        <v>0</v>
      </c>
    </row>
    <row r="36" spans="1:22">
      <c r="B36" s="240"/>
      <c r="C36" s="43"/>
      <c r="D36" s="240"/>
      <c r="E36" s="43"/>
      <c r="F36" s="379"/>
      <c r="G36" s="43"/>
      <c r="H36" s="379"/>
      <c r="J36" s="240"/>
      <c r="K36" s="47" t="s">
        <v>0</v>
      </c>
      <c r="L36" s="240"/>
      <c r="M36" s="43"/>
      <c r="N36" s="240"/>
      <c r="O36" s="43"/>
      <c r="P36" s="240"/>
    </row>
    <row r="37" spans="1:22">
      <c r="A37" t="s">
        <v>346</v>
      </c>
      <c r="B37" s="12">
        <f>+B28-B35</f>
        <v>0</v>
      </c>
      <c r="C37" s="43">
        <v>0</v>
      </c>
      <c r="D37" s="12">
        <f>+D28-D35</f>
        <v>0</v>
      </c>
      <c r="E37" s="43">
        <v>0</v>
      </c>
      <c r="F37" s="12">
        <f>+F28-F35</f>
        <v>0</v>
      </c>
      <c r="G37" s="43">
        <v>0</v>
      </c>
      <c r="H37" s="12">
        <f>+H28-H35</f>
        <v>0</v>
      </c>
      <c r="J37" s="12">
        <f>+J28-J35</f>
        <v>-4431.4000000000015</v>
      </c>
      <c r="K37" s="46">
        <f>+(-J37+L37)/ABS(J37)</f>
        <v>1.3709437198176653</v>
      </c>
      <c r="L37" s="12">
        <f>+L28-L35</f>
        <v>1643.8000000000029</v>
      </c>
      <c r="M37" s="43">
        <v>0</v>
      </c>
      <c r="N37" s="12">
        <f>+N28-N35</f>
        <v>0</v>
      </c>
      <c r="O37" s="43">
        <v>0</v>
      </c>
      <c r="P37" s="12">
        <f>+P28-P35</f>
        <v>0</v>
      </c>
    </row>
    <row r="38" spans="1:22">
      <c r="B38" s="12"/>
      <c r="C38" s="44" t="s">
        <v>0</v>
      </c>
      <c r="D38" s="12"/>
      <c r="E38" s="44" t="s">
        <v>0</v>
      </c>
      <c r="G38" s="44" t="s">
        <v>0</v>
      </c>
      <c r="J38" s="12"/>
      <c r="K38" s="46"/>
      <c r="L38" s="12"/>
      <c r="M38" s="43"/>
      <c r="N38" s="12"/>
      <c r="O38" s="43"/>
      <c r="P38" s="12"/>
    </row>
    <row r="39" spans="1:22">
      <c r="A39" t="s">
        <v>347</v>
      </c>
      <c r="B39" s="12">
        <f>+B79</f>
        <v>0</v>
      </c>
      <c r="C39" s="43">
        <v>0</v>
      </c>
      <c r="D39" s="12">
        <f>+F79</f>
        <v>0</v>
      </c>
      <c r="E39" s="43">
        <v>0</v>
      </c>
      <c r="F39" s="12">
        <f>+J79</f>
        <v>0</v>
      </c>
      <c r="G39" s="43">
        <v>0</v>
      </c>
      <c r="H39" s="12">
        <f>+N79</f>
        <v>0</v>
      </c>
      <c r="J39" s="12">
        <f>+D79</f>
        <v>-1416.2</v>
      </c>
      <c r="K39" s="43">
        <v>0</v>
      </c>
      <c r="L39" s="12">
        <f>+H79</f>
        <v>0</v>
      </c>
      <c r="M39" s="43">
        <v>0</v>
      </c>
      <c r="N39" s="12">
        <f>+L79</f>
        <v>0</v>
      </c>
      <c r="O39" s="43">
        <v>0</v>
      </c>
      <c r="P39" s="12">
        <f>+P79</f>
        <v>0</v>
      </c>
    </row>
    <row r="40" spans="1:22" ht="16.5" thickBot="1">
      <c r="B40" s="76"/>
      <c r="C40" s="44" t="s">
        <v>0</v>
      </c>
      <c r="D40" s="76"/>
      <c r="E40" s="44" t="s">
        <v>0</v>
      </c>
      <c r="F40" s="30"/>
      <c r="G40" s="44" t="s">
        <v>0</v>
      </c>
      <c r="H40" s="30"/>
      <c r="J40" s="76"/>
      <c r="K40" s="46"/>
      <c r="L40" s="76"/>
      <c r="M40" s="43"/>
      <c r="N40" s="76"/>
      <c r="O40" s="43"/>
      <c r="P40" s="76"/>
    </row>
    <row r="41" spans="1:22" s="2" customFormat="1">
      <c r="A41" s="2" t="s">
        <v>427</v>
      </c>
      <c r="B41" s="4">
        <f>+B37-B39</f>
        <v>0</v>
      </c>
      <c r="C41" s="42">
        <v>0</v>
      </c>
      <c r="D41" s="4">
        <f>+D37-D39</f>
        <v>0</v>
      </c>
      <c r="E41" s="42">
        <v>0</v>
      </c>
      <c r="F41" s="4">
        <f>+F37-F39</f>
        <v>0</v>
      </c>
      <c r="G41" s="42">
        <v>0</v>
      </c>
      <c r="H41" s="4">
        <f>+H37-H39</f>
        <v>0</v>
      </c>
      <c r="I41" s="146"/>
      <c r="J41" s="4">
        <f>+J37-J39</f>
        <v>-3015.2000000000016</v>
      </c>
      <c r="K41" s="112">
        <f>+(-J41+L41)/ABS(J41)</f>
        <v>1.5451711329265063</v>
      </c>
      <c r="L41" s="4">
        <f>+L37-L39</f>
        <v>1643.8000000000029</v>
      </c>
      <c r="M41" s="42">
        <v>0</v>
      </c>
      <c r="N41" s="4">
        <f>+N37-N39</f>
        <v>0</v>
      </c>
      <c r="O41" s="42">
        <v>0</v>
      </c>
      <c r="P41" s="4">
        <f>+P37-P39</f>
        <v>0</v>
      </c>
      <c r="Q41" s="146"/>
      <c r="R41" s="146"/>
      <c r="S41" s="146"/>
      <c r="T41" s="146"/>
      <c r="U41" s="146"/>
    </row>
    <row r="42" spans="1:22" ht="5.45" customHeight="1">
      <c r="C42" s="47"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s="2" customFormat="1">
      <c r="B46" s="241" t="s">
        <v>349</v>
      </c>
      <c r="C46" s="146" t="s">
        <v>0</v>
      </c>
      <c r="D46" s="241" t="s">
        <v>350</v>
      </c>
      <c r="E46" s="146"/>
      <c r="F46" s="241" t="s">
        <v>349</v>
      </c>
      <c r="G46" s="146"/>
      <c r="H46" s="241" t="s">
        <v>350</v>
      </c>
      <c r="I46" s="146"/>
      <c r="J46" s="241" t="s">
        <v>349</v>
      </c>
      <c r="K46" s="146"/>
      <c r="L46" s="241" t="s">
        <v>350</v>
      </c>
      <c r="M46" s="146"/>
      <c r="N46" s="241" t="s">
        <v>349</v>
      </c>
      <c r="O46" s="146"/>
      <c r="P46" s="241" t="s">
        <v>350</v>
      </c>
      <c r="Q46" s="146"/>
      <c r="R46" s="993" t="s">
        <v>570</v>
      </c>
      <c r="S46" s="146"/>
      <c r="T46" s="993" t="s">
        <v>532</v>
      </c>
      <c r="U46" s="241" t="s">
        <v>261</v>
      </c>
    </row>
    <row r="47" spans="1:22" ht="16.5" thickBot="1">
      <c r="B47" s="243" t="s">
        <v>353</v>
      </c>
      <c r="C47" s="245"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190</v>
      </c>
      <c r="V47" s="18"/>
    </row>
    <row r="48" spans="1:22">
      <c r="A48" t="s">
        <v>328</v>
      </c>
      <c r="B48" s="29" t="s">
        <v>0</v>
      </c>
    </row>
    <row r="49" spans="1:23">
      <c r="A49" t="s">
        <v>329</v>
      </c>
      <c r="B49" s="16" t="s">
        <v>0</v>
      </c>
      <c r="C49" s="47" t="s">
        <v>0</v>
      </c>
      <c r="D49" s="16" t="s">
        <v>0</v>
      </c>
      <c r="E49" s="29" t="s">
        <v>0</v>
      </c>
      <c r="F49" s="29" t="s">
        <v>0</v>
      </c>
      <c r="G49" s="47" t="s">
        <v>0</v>
      </c>
      <c r="H49" s="16" t="s">
        <v>0</v>
      </c>
      <c r="I49" s="29" t="s">
        <v>0</v>
      </c>
      <c r="J49" s="29" t="s">
        <v>0</v>
      </c>
      <c r="K49" s="47" t="s">
        <v>0</v>
      </c>
      <c r="L49" s="16" t="s">
        <v>0</v>
      </c>
      <c r="M49" s="29" t="s">
        <v>0</v>
      </c>
      <c r="N49" s="29" t="s">
        <v>0</v>
      </c>
      <c r="O49" s="47" t="s">
        <v>0</v>
      </c>
      <c r="P49" s="16" t="s">
        <v>0</v>
      </c>
      <c r="Q49" s="29" t="s">
        <v>0</v>
      </c>
      <c r="R49" s="16" t="s">
        <v>0</v>
      </c>
      <c r="S49" s="47" t="s">
        <v>0</v>
      </c>
      <c r="T49" s="16" t="s">
        <v>0</v>
      </c>
      <c r="U49" s="16" t="s">
        <v>0</v>
      </c>
      <c r="V49" t="s">
        <v>0</v>
      </c>
      <c r="W49" t="s">
        <v>0</v>
      </c>
    </row>
    <row r="50" spans="1:23">
      <c r="A50" t="s">
        <v>330</v>
      </c>
      <c r="B50" s="16">
        <v>0</v>
      </c>
      <c r="C50" s="43">
        <v>0</v>
      </c>
      <c r="D50" s="16">
        <v>33091.199999999997</v>
      </c>
      <c r="E50" s="29"/>
      <c r="F50" s="12">
        <v>0</v>
      </c>
      <c r="G50" s="43">
        <v>0</v>
      </c>
      <c r="H50" s="12">
        <f>9464.1+7866.1+7022.5</f>
        <v>24352.7</v>
      </c>
      <c r="J50" s="12">
        <v>0</v>
      </c>
      <c r="K50" s="43">
        <v>0</v>
      </c>
      <c r="L50" s="12">
        <v>0</v>
      </c>
      <c r="M50" s="29"/>
      <c r="N50" s="12">
        <v>0</v>
      </c>
      <c r="O50" s="43">
        <v>0</v>
      </c>
      <c r="P50" s="12">
        <v>0</v>
      </c>
      <c r="R50" s="78">
        <f>+B50</f>
        <v>0</v>
      </c>
      <c r="S50" s="46">
        <f t="shared" ref="S50:S55" si="1">+(R50-T50)/T50</f>
        <v>-1</v>
      </c>
      <c r="T50" s="12">
        <f>+D50</f>
        <v>33091.199999999997</v>
      </c>
      <c r="U50" s="12">
        <f>+D50+H50+L50+P50</f>
        <v>57443.899999999994</v>
      </c>
    </row>
    <row r="51" spans="1:23">
      <c r="A51" t="s">
        <v>354</v>
      </c>
      <c r="B51" s="12">
        <v>0</v>
      </c>
      <c r="C51" s="43">
        <v>0</v>
      </c>
      <c r="D51" s="12">
        <v>2223</v>
      </c>
      <c r="E51" s="29"/>
      <c r="F51" s="12">
        <v>0</v>
      </c>
      <c r="G51" s="89">
        <v>0</v>
      </c>
      <c r="H51" s="12">
        <f>782.5+869.2+1199.7</f>
        <v>2851.4</v>
      </c>
      <c r="J51" s="12">
        <v>0</v>
      </c>
      <c r="K51" s="43">
        <v>0</v>
      </c>
      <c r="L51" s="12">
        <v>0</v>
      </c>
      <c r="M51" s="29"/>
      <c r="N51" s="12">
        <v>0</v>
      </c>
      <c r="O51" s="43">
        <v>0</v>
      </c>
      <c r="P51" s="12">
        <v>0</v>
      </c>
      <c r="R51" s="78">
        <f>+B51</f>
        <v>0</v>
      </c>
      <c r="S51" s="46">
        <f t="shared" si="1"/>
        <v>-1</v>
      </c>
      <c r="T51" s="12">
        <f>+D51</f>
        <v>2223</v>
      </c>
      <c r="U51" s="12">
        <f>+D51+H51+L51+P51</f>
        <v>5074.3999999999996</v>
      </c>
    </row>
    <row r="52" spans="1:23">
      <c r="A52" t="s">
        <v>332</v>
      </c>
      <c r="B52" s="221">
        <v>0</v>
      </c>
      <c r="C52" s="43">
        <v>0</v>
      </c>
      <c r="D52" s="221">
        <v>802.4</v>
      </c>
      <c r="E52" s="29"/>
      <c r="F52" s="221">
        <v>0</v>
      </c>
      <c r="G52" s="43">
        <v>0</v>
      </c>
      <c r="H52" s="221">
        <f>527.8+297.4+598.3</f>
        <v>1423.5</v>
      </c>
      <c r="J52" s="221">
        <v>0</v>
      </c>
      <c r="K52" s="43">
        <v>0</v>
      </c>
      <c r="L52" s="221">
        <v>0</v>
      </c>
      <c r="M52" s="29"/>
      <c r="N52" s="221">
        <v>0</v>
      </c>
      <c r="O52" s="43">
        <v>0</v>
      </c>
      <c r="P52" s="221">
        <v>0</v>
      </c>
      <c r="R52" s="240">
        <f>+B52</f>
        <v>0</v>
      </c>
      <c r="S52" s="46">
        <f t="shared" si="1"/>
        <v>-1</v>
      </c>
      <c r="T52" s="240">
        <f>+D52</f>
        <v>802.4</v>
      </c>
      <c r="U52" s="240">
        <f>+D52+H52+L52+P52</f>
        <v>2225.9</v>
      </c>
    </row>
    <row r="53" spans="1:23">
      <c r="B53" s="12">
        <f>SUM(B50:B52)</f>
        <v>0</v>
      </c>
      <c r="C53" s="43">
        <v>0</v>
      </c>
      <c r="D53" s="12">
        <f>SUM(D50:D52)</f>
        <v>36116.6</v>
      </c>
      <c r="E53" s="29"/>
      <c r="F53" s="12">
        <f>SUM(F50:F52)</f>
        <v>0</v>
      </c>
      <c r="G53" s="43">
        <v>0</v>
      </c>
      <c r="H53" s="12">
        <f>SUM(H50:H52)</f>
        <v>28627.600000000002</v>
      </c>
      <c r="J53" s="12">
        <f>SUM(J50:J52)</f>
        <v>0</v>
      </c>
      <c r="K53" s="43">
        <v>0</v>
      </c>
      <c r="L53" s="12">
        <f>SUM(L50:L52)</f>
        <v>0</v>
      </c>
      <c r="M53" s="29"/>
      <c r="N53" s="12">
        <f>SUM(N50:N52)</f>
        <v>0</v>
      </c>
      <c r="O53" s="43">
        <v>0</v>
      </c>
      <c r="P53" s="12">
        <f>SUM(P50:P52)</f>
        <v>0</v>
      </c>
      <c r="R53" s="12">
        <f>SUM(R50:R52)</f>
        <v>0</v>
      </c>
      <c r="S53" s="46">
        <f t="shared" si="1"/>
        <v>-1</v>
      </c>
      <c r="T53" s="12">
        <f>SUM(T50:T52)</f>
        <v>36116.6</v>
      </c>
      <c r="U53" s="12">
        <f>SUM(U50:U52)</f>
        <v>64744.2</v>
      </c>
    </row>
    <row r="54" spans="1:23">
      <c r="A54" t="s">
        <v>333</v>
      </c>
      <c r="B54" s="240">
        <v>0</v>
      </c>
      <c r="C54" s="43">
        <v>0</v>
      </c>
      <c r="D54" s="240">
        <f>5494.2+4862+5584.8</f>
        <v>15941</v>
      </c>
      <c r="E54" s="29" t="s">
        <v>0</v>
      </c>
      <c r="F54" s="240">
        <v>0</v>
      </c>
      <c r="G54" s="43">
        <v>0</v>
      </c>
      <c r="H54" s="240">
        <f>3394+3245.4+3044.3</f>
        <v>9683.7000000000007</v>
      </c>
      <c r="J54" s="240">
        <v>0</v>
      </c>
      <c r="K54" s="43">
        <v>0</v>
      </c>
      <c r="L54" s="240">
        <v>0</v>
      </c>
      <c r="M54" s="29" t="s">
        <v>0</v>
      </c>
      <c r="N54" s="240">
        <v>0</v>
      </c>
      <c r="O54" s="43">
        <v>0</v>
      </c>
      <c r="P54" s="240">
        <v>0</v>
      </c>
      <c r="R54" s="240">
        <f>+B54</f>
        <v>0</v>
      </c>
      <c r="S54" s="46">
        <f t="shared" si="1"/>
        <v>-1</v>
      </c>
      <c r="T54" s="240">
        <f>+D54</f>
        <v>15941</v>
      </c>
      <c r="U54" s="240">
        <f>+D54+H54+L54+P54</f>
        <v>25624.7</v>
      </c>
    </row>
    <row r="55" spans="1:23">
      <c r="B55" s="12">
        <f>+B53-B54</f>
        <v>0</v>
      </c>
      <c r="C55" s="43">
        <v>0</v>
      </c>
      <c r="D55" s="12">
        <f>+D53-D54</f>
        <v>20175.599999999999</v>
      </c>
      <c r="E55" s="29" t="s">
        <v>0</v>
      </c>
      <c r="F55" s="12">
        <f>+F53-F54</f>
        <v>0</v>
      </c>
      <c r="G55" s="43">
        <v>0</v>
      </c>
      <c r="H55" s="12">
        <f>+H53-H54</f>
        <v>18943.900000000001</v>
      </c>
      <c r="J55" s="12">
        <f>+J53-J54</f>
        <v>0</v>
      </c>
      <c r="K55" s="43">
        <v>0</v>
      </c>
      <c r="L55" s="12">
        <f>+L53-L54</f>
        <v>0</v>
      </c>
      <c r="M55" s="29" t="s">
        <v>0</v>
      </c>
      <c r="N55" s="12">
        <f>+N53-N54</f>
        <v>0</v>
      </c>
      <c r="O55" s="43">
        <v>0</v>
      </c>
      <c r="P55" s="12">
        <f>+P53-P54</f>
        <v>0</v>
      </c>
      <c r="R55" s="12">
        <f>+R53-R54</f>
        <v>0</v>
      </c>
      <c r="S55" s="46">
        <f t="shared" si="1"/>
        <v>-1</v>
      </c>
      <c r="T55" s="12">
        <f>+T53-T54</f>
        <v>20175.599999999999</v>
      </c>
      <c r="U55" s="12">
        <f>+U53-U54</f>
        <v>39119.5</v>
      </c>
    </row>
    <row r="56" spans="1:23">
      <c r="B56" s="12"/>
      <c r="C56" s="44" t="s">
        <v>0</v>
      </c>
      <c r="D56" s="12"/>
      <c r="E56" s="29" t="s">
        <v>0</v>
      </c>
      <c r="F56" s="12"/>
      <c r="G56" s="44" t="s">
        <v>0</v>
      </c>
      <c r="H56" s="12"/>
      <c r="K56" s="44" t="s">
        <v>0</v>
      </c>
      <c r="M56" s="29" t="s">
        <v>0</v>
      </c>
      <c r="O56" s="44" t="s">
        <v>0</v>
      </c>
      <c r="R56" s="12"/>
      <c r="S56" s="46"/>
      <c r="T56" s="12"/>
      <c r="U56" s="12"/>
    </row>
    <row r="57" spans="1:23">
      <c r="A57" t="s">
        <v>334</v>
      </c>
      <c r="B57" s="12"/>
      <c r="C57" s="44" t="s">
        <v>0</v>
      </c>
      <c r="D57" s="12"/>
      <c r="E57" s="29" t="s">
        <v>0</v>
      </c>
      <c r="F57" s="12"/>
      <c r="G57" s="44" t="s">
        <v>0</v>
      </c>
      <c r="H57" s="12"/>
      <c r="K57" s="44" t="s">
        <v>0</v>
      </c>
      <c r="M57" s="29" t="s">
        <v>0</v>
      </c>
      <c r="O57" s="44" t="s">
        <v>0</v>
      </c>
      <c r="R57" s="12"/>
      <c r="S57" s="47" t="s">
        <v>0</v>
      </c>
      <c r="T57" s="12"/>
      <c r="U57" s="12"/>
    </row>
    <row r="58" spans="1:23">
      <c r="A58" t="s">
        <v>335</v>
      </c>
      <c r="B58" s="16">
        <v>0</v>
      </c>
      <c r="C58" s="43">
        <v>0</v>
      </c>
      <c r="D58" s="16">
        <f>360.8+629.1+665.9</f>
        <v>1655.8000000000002</v>
      </c>
      <c r="E58" s="29" t="s">
        <v>0</v>
      </c>
      <c r="F58" s="12">
        <v>0</v>
      </c>
      <c r="G58" s="43">
        <v>0</v>
      </c>
      <c r="H58" s="12">
        <f>707.7+585.3+596.3</f>
        <v>1889.3</v>
      </c>
      <c r="J58" s="12">
        <v>0</v>
      </c>
      <c r="K58" s="43">
        <v>0</v>
      </c>
      <c r="L58" s="12">
        <v>0</v>
      </c>
      <c r="M58" s="29" t="s">
        <v>0</v>
      </c>
      <c r="N58" s="12">
        <v>0</v>
      </c>
      <c r="O58" s="43">
        <v>0</v>
      </c>
      <c r="P58" s="12">
        <v>0</v>
      </c>
      <c r="R58" s="78">
        <f>+B58</f>
        <v>0</v>
      </c>
      <c r="S58" s="46">
        <f>+(R58-T58)/T58</f>
        <v>-1</v>
      </c>
      <c r="T58" s="12">
        <f>+D58</f>
        <v>1655.8000000000002</v>
      </c>
      <c r="U58" s="12">
        <f>+D58+H58+L58+P58</f>
        <v>3545.1000000000004</v>
      </c>
    </row>
    <row r="59" spans="1:23">
      <c r="A59" t="s">
        <v>336</v>
      </c>
      <c r="B59" s="12">
        <v>0</v>
      </c>
      <c r="C59" s="43">
        <v>0</v>
      </c>
      <c r="D59" s="12">
        <f>601.4+597.7+247.6</f>
        <v>1446.6999999999998</v>
      </c>
      <c r="E59" s="29" t="s">
        <v>0</v>
      </c>
      <c r="F59" s="12">
        <v>0</v>
      </c>
      <c r="G59" s="43">
        <v>0</v>
      </c>
      <c r="H59" s="12">
        <f>721+614.7+900.4</f>
        <v>2236.1</v>
      </c>
      <c r="J59" s="12">
        <v>0</v>
      </c>
      <c r="K59" s="883">
        <v>0</v>
      </c>
      <c r="L59" s="12">
        <v>0</v>
      </c>
      <c r="M59" s="29" t="s">
        <v>0</v>
      </c>
      <c r="N59" s="12">
        <v>0</v>
      </c>
      <c r="O59" s="43">
        <v>0</v>
      </c>
      <c r="P59" s="12">
        <v>0</v>
      </c>
      <c r="R59" s="78">
        <f>+B59</f>
        <v>0</v>
      </c>
      <c r="S59" s="46">
        <f>+(R59-T59)/T59</f>
        <v>-1</v>
      </c>
      <c r="T59" s="12">
        <f>+D59</f>
        <v>1446.6999999999998</v>
      </c>
      <c r="U59" s="12">
        <f>+D59+H59+L59+P59</f>
        <v>3682.7999999999997</v>
      </c>
    </row>
    <row r="60" spans="1:23">
      <c r="A60" t="s">
        <v>284</v>
      </c>
      <c r="B60" s="240">
        <v>0</v>
      </c>
      <c r="C60" s="43">
        <v>0</v>
      </c>
      <c r="D60" s="240">
        <f>433.9+412.5+203.6</f>
        <v>1050</v>
      </c>
      <c r="E60" s="29" t="s">
        <v>0</v>
      </c>
      <c r="F60" s="240">
        <v>0</v>
      </c>
      <c r="G60" s="43">
        <v>0</v>
      </c>
      <c r="H60" s="240">
        <f>178.5+197.6+193.7</f>
        <v>569.79999999999995</v>
      </c>
      <c r="J60" s="240">
        <v>0</v>
      </c>
      <c r="K60" s="43">
        <v>0</v>
      </c>
      <c r="L60" s="240">
        <v>0</v>
      </c>
      <c r="M60" s="29" t="s">
        <v>0</v>
      </c>
      <c r="N60" s="240">
        <v>0</v>
      </c>
      <c r="O60" s="43">
        <v>0</v>
      </c>
      <c r="P60" s="240">
        <v>0</v>
      </c>
      <c r="R60" s="240">
        <f>+B60</f>
        <v>0</v>
      </c>
      <c r="S60" s="46">
        <f>+(R60-T60)/T60</f>
        <v>-1</v>
      </c>
      <c r="T60" s="240">
        <f>+D60</f>
        <v>1050</v>
      </c>
      <c r="U60" s="240">
        <f>+D60+H60+L60+P60</f>
        <v>1619.8</v>
      </c>
    </row>
    <row r="61" spans="1:23">
      <c r="B61" s="12">
        <f>SUM(B58:B60)</f>
        <v>0</v>
      </c>
      <c r="C61" s="43">
        <v>0</v>
      </c>
      <c r="D61" s="12">
        <f>SUM(D58:D60)</f>
        <v>4152.5</v>
      </c>
      <c r="E61" s="29" t="s">
        <v>0</v>
      </c>
      <c r="F61" s="12">
        <f>SUM(F58:F60)</f>
        <v>0</v>
      </c>
      <c r="G61" s="43">
        <v>0</v>
      </c>
      <c r="H61" s="12">
        <f>SUM(H58:H60)</f>
        <v>4695.2</v>
      </c>
      <c r="J61" s="12">
        <f>SUM(J58:J60)</f>
        <v>0</v>
      </c>
      <c r="K61" s="43">
        <v>0</v>
      </c>
      <c r="L61" s="12">
        <v>0</v>
      </c>
      <c r="M61" s="29" t="s">
        <v>0</v>
      </c>
      <c r="N61" s="12">
        <f>SUM(N58:N60)</f>
        <v>0</v>
      </c>
      <c r="O61" s="43">
        <v>0</v>
      </c>
      <c r="P61" s="12">
        <f>SUM(P58:P60)</f>
        <v>0</v>
      </c>
      <c r="R61" s="12">
        <f>SUM(R58:R60)</f>
        <v>0</v>
      </c>
      <c r="S61" s="46">
        <f>+(R61-T61)/T61</f>
        <v>-1</v>
      </c>
      <c r="T61" s="12">
        <f>SUM(T58:T60)</f>
        <v>4152.5</v>
      </c>
      <c r="U61" s="12">
        <f>SUM(U58:U60)</f>
        <v>8847.6999999999989</v>
      </c>
    </row>
    <row r="62" spans="1:23">
      <c r="B62" s="240"/>
      <c r="C62" s="44" t="s">
        <v>0</v>
      </c>
      <c r="D62" s="240"/>
      <c r="E62" s="29" t="s">
        <v>0</v>
      </c>
      <c r="F62" s="240"/>
      <c r="G62" s="44" t="s">
        <v>0</v>
      </c>
      <c r="H62" s="240"/>
      <c r="J62" s="379"/>
      <c r="K62" s="44" t="s">
        <v>0</v>
      </c>
      <c r="L62" s="379"/>
      <c r="M62" s="29" t="s">
        <v>0</v>
      </c>
      <c r="N62" s="379"/>
      <c r="O62" s="44" t="s">
        <v>0</v>
      </c>
      <c r="P62" s="379"/>
      <c r="R62" s="240"/>
      <c r="S62" s="46"/>
      <c r="T62" s="240"/>
      <c r="U62" s="240"/>
    </row>
    <row r="63" spans="1:23">
      <c r="A63" t="s">
        <v>337</v>
      </c>
      <c r="B63" s="12">
        <f>+B55+B61</f>
        <v>0</v>
      </c>
      <c r="C63" s="43">
        <v>0</v>
      </c>
      <c r="D63" s="12">
        <f>+D55+D61</f>
        <v>24328.1</v>
      </c>
      <c r="E63" s="29" t="s">
        <v>0</v>
      </c>
      <c r="F63" s="12">
        <f>+F55+F61</f>
        <v>0</v>
      </c>
      <c r="G63" s="43">
        <v>0</v>
      </c>
      <c r="H63" s="12">
        <f>+H55+H61</f>
        <v>23639.100000000002</v>
      </c>
      <c r="J63" s="12">
        <f>+J55+J61</f>
        <v>0</v>
      </c>
      <c r="K63" s="43">
        <v>0</v>
      </c>
      <c r="L63" s="12">
        <f>+L55+L61</f>
        <v>0</v>
      </c>
      <c r="M63" s="29" t="s">
        <v>0</v>
      </c>
      <c r="N63" s="12">
        <f>+N55+N61</f>
        <v>0</v>
      </c>
      <c r="O63" s="43">
        <v>0</v>
      </c>
      <c r="P63" s="12">
        <f>+P55+P61</f>
        <v>0</v>
      </c>
      <c r="R63" s="12">
        <f>+R55+R61</f>
        <v>0</v>
      </c>
      <c r="S63" s="46">
        <f>+(R63-T63)/T63</f>
        <v>-1</v>
      </c>
      <c r="T63" s="12">
        <f>+T55+T61</f>
        <v>24328.1</v>
      </c>
      <c r="U63" s="12">
        <f>+U55+U61</f>
        <v>47967.199999999997</v>
      </c>
    </row>
    <row r="64" spans="1:23">
      <c r="B64" s="12"/>
      <c r="C64" s="44" t="s">
        <v>0</v>
      </c>
      <c r="D64" s="12"/>
      <c r="E64" s="29" t="s">
        <v>0</v>
      </c>
      <c r="F64" s="12"/>
      <c r="G64" s="44" t="s">
        <v>0</v>
      </c>
      <c r="H64" s="12"/>
      <c r="K64" s="44" t="s">
        <v>0</v>
      </c>
      <c r="M64" s="29" t="s">
        <v>0</v>
      </c>
      <c r="O64" s="44" t="s">
        <v>0</v>
      </c>
      <c r="R64" s="12"/>
      <c r="S64" s="46"/>
      <c r="T64" s="12"/>
      <c r="U64" s="12"/>
    </row>
    <row r="65" spans="1:21">
      <c r="A65" t="s">
        <v>338</v>
      </c>
      <c r="B65" s="12">
        <v>0</v>
      </c>
      <c r="C65" s="43">
        <v>0</v>
      </c>
      <c r="D65" s="12">
        <v>2211.8000000000002</v>
      </c>
      <c r="E65" s="29" t="s">
        <v>0</v>
      </c>
      <c r="F65" s="12">
        <v>0</v>
      </c>
      <c r="G65" s="43">
        <v>0</v>
      </c>
      <c r="H65" s="12">
        <f>174.3+168.6+266.8</f>
        <v>609.70000000000005</v>
      </c>
      <c r="J65" s="12">
        <v>0</v>
      </c>
      <c r="K65" s="43">
        <v>0</v>
      </c>
      <c r="L65" s="12">
        <v>0</v>
      </c>
      <c r="M65" s="29" t="s">
        <v>0</v>
      </c>
      <c r="N65" s="12">
        <v>0</v>
      </c>
      <c r="O65" s="43">
        <v>0</v>
      </c>
      <c r="P65" s="12">
        <v>0</v>
      </c>
      <c r="R65" s="78">
        <f>+B65</f>
        <v>0</v>
      </c>
      <c r="S65" s="46">
        <f>+(R65-T65)/T65</f>
        <v>-1</v>
      </c>
      <c r="T65" s="12">
        <f>+D65</f>
        <v>2211.8000000000002</v>
      </c>
      <c r="U65" s="12">
        <f>+D65+H65+L65+P65</f>
        <v>2821.5</v>
      </c>
    </row>
    <row r="66" spans="1:21">
      <c r="B66" s="12"/>
      <c r="C66" s="44" t="s">
        <v>0</v>
      </c>
      <c r="D66" s="12"/>
      <c r="E66" s="29" t="s">
        <v>0</v>
      </c>
      <c r="F66" s="12"/>
      <c r="G66" s="44" t="s">
        <v>0</v>
      </c>
      <c r="H66" s="12"/>
      <c r="K66" s="44" t="s">
        <v>0</v>
      </c>
      <c r="M66" s="29" t="s">
        <v>0</v>
      </c>
      <c r="O66" s="44" t="s">
        <v>0</v>
      </c>
      <c r="R66" s="12"/>
      <c r="S66" s="46"/>
      <c r="T66" s="12"/>
      <c r="U66" s="12"/>
    </row>
    <row r="67" spans="1:21">
      <c r="A67" t="s">
        <v>339</v>
      </c>
      <c r="B67" s="240"/>
      <c r="C67" s="44" t="s">
        <v>0</v>
      </c>
      <c r="D67" s="240"/>
      <c r="E67" s="29" t="s">
        <v>0</v>
      </c>
      <c r="F67" s="240"/>
      <c r="G67" s="44" t="s">
        <v>0</v>
      </c>
      <c r="H67" s="240"/>
      <c r="J67" s="379"/>
      <c r="K67" s="44" t="s">
        <v>0</v>
      </c>
      <c r="L67" s="379"/>
      <c r="M67" s="29" t="s">
        <v>0</v>
      </c>
      <c r="N67" s="379"/>
      <c r="O67" s="44" t="s">
        <v>0</v>
      </c>
      <c r="P67" s="379"/>
      <c r="R67" s="240"/>
      <c r="S67" s="46"/>
      <c r="T67" s="240"/>
      <c r="U67" s="240"/>
    </row>
    <row r="68" spans="1:21">
      <c r="A68" t="s">
        <v>340</v>
      </c>
      <c r="B68" s="12">
        <f>+B63-B65</f>
        <v>0</v>
      </c>
      <c r="C68" s="43">
        <v>0</v>
      </c>
      <c r="D68" s="12">
        <f>+D63-D65</f>
        <v>22116.3</v>
      </c>
      <c r="E68" s="29" t="s">
        <v>0</v>
      </c>
      <c r="F68" s="12">
        <f>+F63-F65</f>
        <v>0</v>
      </c>
      <c r="G68" s="43">
        <v>0</v>
      </c>
      <c r="H68" s="12">
        <f>+H63-H65</f>
        <v>23029.4</v>
      </c>
      <c r="J68" s="12">
        <f>+J63-J65</f>
        <v>0</v>
      </c>
      <c r="K68" s="43">
        <v>0</v>
      </c>
      <c r="L68" s="12">
        <f>+L63-L65</f>
        <v>0</v>
      </c>
      <c r="M68" s="29" t="s">
        <v>0</v>
      </c>
      <c r="N68" s="12">
        <f>+N63-N65</f>
        <v>0</v>
      </c>
      <c r="O68" s="43">
        <v>0</v>
      </c>
      <c r="P68" s="12">
        <f>+P63-P65</f>
        <v>0</v>
      </c>
      <c r="R68" s="12">
        <f>+R63-R65</f>
        <v>0</v>
      </c>
      <c r="S68" s="46">
        <f>+(R68-T68)/T68</f>
        <v>-1</v>
      </c>
      <c r="T68" s="12">
        <f>+T63-T65</f>
        <v>22116.3</v>
      </c>
      <c r="U68" s="12">
        <f>+U63-U65</f>
        <v>45145.7</v>
      </c>
    </row>
    <row r="69" spans="1:21">
      <c r="B69" s="12"/>
      <c r="C69" s="44" t="s">
        <v>0</v>
      </c>
      <c r="D69" s="12"/>
      <c r="E69" s="29" t="s">
        <v>0</v>
      </c>
      <c r="F69" s="12"/>
      <c r="G69" s="44" t="s">
        <v>0</v>
      </c>
      <c r="H69" s="12"/>
      <c r="K69" s="44" t="s">
        <v>0</v>
      </c>
      <c r="M69" s="29" t="s">
        <v>0</v>
      </c>
      <c r="O69" s="44" t="s">
        <v>0</v>
      </c>
      <c r="R69" s="12"/>
      <c r="S69" s="46"/>
      <c r="T69" s="12"/>
      <c r="U69" s="12"/>
    </row>
    <row r="70" spans="1:21">
      <c r="A70" t="s">
        <v>341</v>
      </c>
      <c r="B70" s="12"/>
      <c r="C70" s="44" t="s">
        <v>0</v>
      </c>
      <c r="D70" s="12"/>
      <c r="E70" s="29" t="s">
        <v>0</v>
      </c>
      <c r="F70" s="12"/>
      <c r="G70" s="44" t="s">
        <v>0</v>
      </c>
      <c r="H70" s="12"/>
      <c r="K70" s="44" t="s">
        <v>0</v>
      </c>
      <c r="M70" s="29" t="s">
        <v>0</v>
      </c>
      <c r="O70" s="44" t="s">
        <v>0</v>
      </c>
      <c r="R70" s="12"/>
      <c r="S70" s="46"/>
      <c r="T70" s="12"/>
      <c r="U70" s="12"/>
    </row>
    <row r="71" spans="1:21">
      <c r="A71" t="s">
        <v>342</v>
      </c>
      <c r="B71" s="12">
        <v>0</v>
      </c>
      <c r="C71" s="43">
        <v>0</v>
      </c>
      <c r="D71" s="12">
        <f>3069.6+2947.9+3367.4</f>
        <v>9384.9</v>
      </c>
      <c r="E71" s="29" t="s">
        <v>0</v>
      </c>
      <c r="F71" s="12">
        <v>0</v>
      </c>
      <c r="G71" s="43">
        <v>0</v>
      </c>
      <c r="H71" s="12">
        <f>3327.8+2654+2822</f>
        <v>8803.7999999999993</v>
      </c>
      <c r="J71" s="12">
        <v>0</v>
      </c>
      <c r="K71" s="43">
        <v>0</v>
      </c>
      <c r="L71" s="12">
        <v>0</v>
      </c>
      <c r="M71" s="29" t="s">
        <v>0</v>
      </c>
      <c r="N71" s="12">
        <v>0</v>
      </c>
      <c r="O71" s="43">
        <v>0</v>
      </c>
      <c r="P71" s="12">
        <v>0</v>
      </c>
      <c r="R71" s="78">
        <f>+B71</f>
        <v>0</v>
      </c>
      <c r="S71" s="46">
        <f>+(R71-T71)/T71</f>
        <v>-1</v>
      </c>
      <c r="T71" s="12">
        <f>+D71</f>
        <v>9384.9</v>
      </c>
      <c r="U71" s="12">
        <f>+D71+H71+L71+P71</f>
        <v>18188.699999999997</v>
      </c>
    </row>
    <row r="72" spans="1:21">
      <c r="A72" t="s">
        <v>343</v>
      </c>
      <c r="B72" s="12">
        <v>0</v>
      </c>
      <c r="C72" s="43">
        <v>0</v>
      </c>
      <c r="D72" s="12">
        <f>163.9+157.2+189.1</f>
        <v>510.20000000000005</v>
      </c>
      <c r="E72" s="29" t="s">
        <v>0</v>
      </c>
      <c r="F72" s="12">
        <v>0</v>
      </c>
      <c r="G72" s="43">
        <v>0</v>
      </c>
      <c r="H72" s="12">
        <f>142.4+140+142.3</f>
        <v>424.7</v>
      </c>
      <c r="J72" s="12">
        <v>0</v>
      </c>
      <c r="K72" s="43">
        <v>0</v>
      </c>
      <c r="L72" s="12">
        <v>0</v>
      </c>
      <c r="M72" s="29" t="s">
        <v>0</v>
      </c>
      <c r="N72" s="12">
        <v>0</v>
      </c>
      <c r="O72" s="43">
        <v>0</v>
      </c>
      <c r="P72" s="12">
        <v>0</v>
      </c>
      <c r="R72" s="78">
        <f>+B72</f>
        <v>0</v>
      </c>
      <c r="S72" s="46">
        <f>+(R72-T72)/T72</f>
        <v>-1</v>
      </c>
      <c r="T72" s="12">
        <f>+D72</f>
        <v>510.20000000000005</v>
      </c>
      <c r="U72" s="12">
        <f>+D72+H72+L72+P72</f>
        <v>934.90000000000009</v>
      </c>
    </row>
    <row r="73" spans="1:21">
      <c r="A73" t="s">
        <v>344</v>
      </c>
      <c r="B73" s="12">
        <v>0</v>
      </c>
      <c r="C73" s="43">
        <v>0</v>
      </c>
      <c r="D73" s="12">
        <f>1571.9+1579.2+1570.7</f>
        <v>4721.8</v>
      </c>
      <c r="E73" s="29" t="s">
        <v>0</v>
      </c>
      <c r="F73" s="12">
        <v>0</v>
      </c>
      <c r="G73" s="43">
        <v>0</v>
      </c>
      <c r="H73" s="12">
        <f>1434+1553.1+1671.3</f>
        <v>4658.3999999999996</v>
      </c>
      <c r="J73" s="12">
        <v>0</v>
      </c>
      <c r="K73" s="43">
        <v>0</v>
      </c>
      <c r="L73" s="12">
        <v>0</v>
      </c>
      <c r="M73" s="29" t="s">
        <v>0</v>
      </c>
      <c r="N73" s="12">
        <v>0</v>
      </c>
      <c r="O73" s="43">
        <v>0</v>
      </c>
      <c r="P73" s="12">
        <v>0</v>
      </c>
      <c r="R73" s="78">
        <f>+B73</f>
        <v>0</v>
      </c>
      <c r="S73" s="46">
        <f>+(R73-T73)/T73</f>
        <v>-1</v>
      </c>
      <c r="T73" s="12">
        <f>+D73</f>
        <v>4721.8</v>
      </c>
      <c r="U73" s="12">
        <f>+D73+H73+L73+P73</f>
        <v>9380.2000000000007</v>
      </c>
    </row>
    <row r="74" spans="1:21">
      <c r="A74" t="s">
        <v>345</v>
      </c>
      <c r="B74" s="240">
        <v>0</v>
      </c>
      <c r="C74" s="43">
        <v>0</v>
      </c>
      <c r="D74" s="240">
        <v>11930.8</v>
      </c>
      <c r="E74" s="29" t="s">
        <v>0</v>
      </c>
      <c r="F74" s="240">
        <v>0</v>
      </c>
      <c r="G74" s="43">
        <v>0</v>
      </c>
      <c r="H74" s="240">
        <f>2823.5+2516+2159.2</f>
        <v>7498.7</v>
      </c>
      <c r="J74" s="240">
        <v>0</v>
      </c>
      <c r="K74" s="43">
        <v>0</v>
      </c>
      <c r="L74" s="240">
        <v>0</v>
      </c>
      <c r="M74" s="29" t="s">
        <v>0</v>
      </c>
      <c r="N74" s="240">
        <v>0</v>
      </c>
      <c r="O74" s="43">
        <v>0</v>
      </c>
      <c r="P74" s="240">
        <v>0</v>
      </c>
      <c r="R74" s="240">
        <f>+B74</f>
        <v>0</v>
      </c>
      <c r="S74" s="46">
        <f>+(R74-T74)/T74</f>
        <v>-1</v>
      </c>
      <c r="T74" s="240">
        <f>+D74</f>
        <v>11930.8</v>
      </c>
      <c r="U74" s="240">
        <f>+D74+H74+L74+P74</f>
        <v>19429.5</v>
      </c>
    </row>
    <row r="75" spans="1:21">
      <c r="B75" s="12">
        <f>SUM(B71:B74)</f>
        <v>0</v>
      </c>
      <c r="C75" s="43">
        <v>0</v>
      </c>
      <c r="D75" s="12">
        <f>SUM(D71:D74)</f>
        <v>26547.7</v>
      </c>
      <c r="E75" s="29" t="s">
        <v>0</v>
      </c>
      <c r="F75" s="12">
        <f>SUM(F71:F74)</f>
        <v>0</v>
      </c>
      <c r="G75" s="43">
        <v>0</v>
      </c>
      <c r="H75" s="12">
        <f>SUM(H71:H74)</f>
        <v>21385.599999999999</v>
      </c>
      <c r="J75" s="12">
        <f>SUM(J71:J74)</f>
        <v>0</v>
      </c>
      <c r="K75" s="43">
        <v>0</v>
      </c>
      <c r="L75" s="12">
        <f>SUM(L71:L74)</f>
        <v>0</v>
      </c>
      <c r="M75" s="29" t="s">
        <v>0</v>
      </c>
      <c r="N75" s="12">
        <f>SUM(N71:N74)</f>
        <v>0</v>
      </c>
      <c r="O75" s="43">
        <v>0</v>
      </c>
      <c r="P75" s="12">
        <f>SUM(P71:P74)</f>
        <v>0</v>
      </c>
      <c r="R75" s="12">
        <f>SUM(R71:R74)</f>
        <v>0</v>
      </c>
      <c r="S75" s="46">
        <f>+(R75-T75)/T75</f>
        <v>-1</v>
      </c>
      <c r="T75" s="12">
        <f>SUM(T71:T74)</f>
        <v>26547.7</v>
      </c>
      <c r="U75" s="12">
        <f>SUM(U71:U74)</f>
        <v>47933.3</v>
      </c>
    </row>
    <row r="76" spans="1:21">
      <c r="B76" s="240"/>
      <c r="C76" s="43"/>
      <c r="D76" s="240"/>
      <c r="E76" s="29"/>
      <c r="F76" s="240"/>
      <c r="G76" s="43"/>
      <c r="H76" s="240"/>
      <c r="J76" s="379"/>
      <c r="K76" s="43"/>
      <c r="L76" s="379"/>
      <c r="M76" s="29"/>
      <c r="N76" s="379"/>
      <c r="O76" s="43"/>
      <c r="P76" s="379"/>
      <c r="R76" s="240"/>
      <c r="S76" s="46"/>
      <c r="T76" s="240"/>
      <c r="U76" s="240"/>
    </row>
    <row r="77" spans="1:21">
      <c r="A77" t="s">
        <v>346</v>
      </c>
      <c r="B77" s="12">
        <f>+B68-B75</f>
        <v>0</v>
      </c>
      <c r="C77" s="43">
        <v>0</v>
      </c>
      <c r="D77" s="12">
        <f>+D68-D75</f>
        <v>-4431.4000000000015</v>
      </c>
      <c r="E77" s="29" t="s">
        <v>0</v>
      </c>
      <c r="F77" s="12">
        <f>+F68-F75</f>
        <v>0</v>
      </c>
      <c r="G77" s="43">
        <v>0</v>
      </c>
      <c r="H77" s="12">
        <f>+H68-H75</f>
        <v>1643.8000000000029</v>
      </c>
      <c r="J77" s="12">
        <f>+J68-J75</f>
        <v>0</v>
      </c>
      <c r="K77" s="43">
        <v>0</v>
      </c>
      <c r="L77" s="12">
        <f>+L68-L75</f>
        <v>0</v>
      </c>
      <c r="M77" s="29" t="s">
        <v>0</v>
      </c>
      <c r="N77" s="12">
        <f>+N68-N75</f>
        <v>0</v>
      </c>
      <c r="O77" s="43">
        <v>0</v>
      </c>
      <c r="P77" s="12">
        <f>+P68-P75</f>
        <v>0</v>
      </c>
      <c r="R77" s="12">
        <f>+R68-R75</f>
        <v>0</v>
      </c>
      <c r="S77" s="46">
        <f>+(R77-T77)/T77</f>
        <v>-1</v>
      </c>
      <c r="T77" s="12">
        <f>+T68-T75</f>
        <v>-4431.4000000000015</v>
      </c>
      <c r="U77" s="12">
        <f>+U68-U75</f>
        <v>-2787.6000000000058</v>
      </c>
    </row>
    <row r="78" spans="1:21">
      <c r="B78" s="12"/>
      <c r="C78" s="44" t="s">
        <v>0</v>
      </c>
      <c r="D78" s="12"/>
      <c r="E78" s="29" t="s">
        <v>0</v>
      </c>
      <c r="F78" s="12"/>
      <c r="G78" s="44" t="s">
        <v>0</v>
      </c>
      <c r="H78" s="12"/>
      <c r="K78" s="44" t="s">
        <v>0</v>
      </c>
      <c r="M78" s="29" t="s">
        <v>0</v>
      </c>
      <c r="O78" s="44" t="s">
        <v>0</v>
      </c>
      <c r="R78" s="12"/>
      <c r="S78" s="46"/>
      <c r="T78" s="12"/>
      <c r="U78" s="12"/>
    </row>
    <row r="79" spans="1:21">
      <c r="A79" t="s">
        <v>347</v>
      </c>
      <c r="B79" s="12">
        <v>0</v>
      </c>
      <c r="C79" s="43">
        <v>0</v>
      </c>
      <c r="D79" s="12">
        <v>-1416.2</v>
      </c>
      <c r="E79" s="29" t="s">
        <v>0</v>
      </c>
      <c r="F79" s="12">
        <f>+D116</f>
        <v>0</v>
      </c>
      <c r="G79" s="43">
        <v>0</v>
      </c>
      <c r="H79" s="12">
        <f>+F116</f>
        <v>0</v>
      </c>
      <c r="J79" s="12">
        <f>+F116</f>
        <v>0</v>
      </c>
      <c r="K79" s="43">
        <v>0</v>
      </c>
      <c r="L79" s="12">
        <f>+H116</f>
        <v>0</v>
      </c>
      <c r="M79" s="29" t="s">
        <v>0</v>
      </c>
      <c r="N79" s="12">
        <f>+H116</f>
        <v>0</v>
      </c>
      <c r="O79" s="43">
        <v>0</v>
      </c>
      <c r="P79" s="12">
        <f>+J116</f>
        <v>0</v>
      </c>
      <c r="R79" s="78">
        <f>+B79</f>
        <v>0</v>
      </c>
      <c r="S79" s="43">
        <v>0</v>
      </c>
      <c r="T79" s="12">
        <f>+D79</f>
        <v>-1416.2</v>
      </c>
      <c r="U79" s="12">
        <f>+D79+H79+L79+P79</f>
        <v>-1416.2</v>
      </c>
    </row>
    <row r="80" spans="1:21" ht="16.5" thickBot="1">
      <c r="B80" s="76"/>
      <c r="C80" s="44" t="s">
        <v>0</v>
      </c>
      <c r="D80" s="76"/>
      <c r="E80" s="29" t="s">
        <v>0</v>
      </c>
      <c r="F80" s="76"/>
      <c r="G80" s="44" t="s">
        <v>0</v>
      </c>
      <c r="H80" s="76"/>
      <c r="J80" s="30"/>
      <c r="K80" s="44" t="s">
        <v>0</v>
      </c>
      <c r="L80" s="30"/>
      <c r="M80" s="29" t="s">
        <v>0</v>
      </c>
      <c r="N80" s="30"/>
      <c r="O80" s="44" t="s">
        <v>0</v>
      </c>
      <c r="P80" s="30"/>
      <c r="R80" s="76"/>
      <c r="S80" s="46"/>
      <c r="T80" s="76"/>
      <c r="U80" s="76"/>
    </row>
    <row r="81" spans="1:21" s="2" customFormat="1">
      <c r="A81" s="2" t="s">
        <v>427</v>
      </c>
      <c r="B81" s="4">
        <f>+B77-B79</f>
        <v>0</v>
      </c>
      <c r="C81" s="42">
        <v>0</v>
      </c>
      <c r="D81" s="4">
        <f>+D77-D79</f>
        <v>-3015.2000000000016</v>
      </c>
      <c r="E81" s="146" t="s">
        <v>0</v>
      </c>
      <c r="F81" s="4">
        <f>+F77-F79</f>
        <v>0</v>
      </c>
      <c r="G81" s="42">
        <v>0</v>
      </c>
      <c r="H81" s="4">
        <f>+H77-H79</f>
        <v>1643.8000000000029</v>
      </c>
      <c r="I81" s="146"/>
      <c r="J81" s="4">
        <f>+J77-J79</f>
        <v>0</v>
      </c>
      <c r="K81" s="42">
        <v>0</v>
      </c>
      <c r="L81" s="4">
        <f>+L77-L79</f>
        <v>0</v>
      </c>
      <c r="M81" s="146" t="s">
        <v>0</v>
      </c>
      <c r="N81" s="4">
        <f>+N77-N79</f>
        <v>0</v>
      </c>
      <c r="O81" s="42">
        <v>0</v>
      </c>
      <c r="P81" s="4">
        <f>+P77-P79</f>
        <v>0</v>
      </c>
      <c r="Q81" s="146"/>
      <c r="R81" s="4">
        <f>+R77-R79</f>
        <v>0</v>
      </c>
      <c r="S81" s="112">
        <f>+(R81-T81)/T81</f>
        <v>-1</v>
      </c>
      <c r="T81" s="4">
        <f>+T77-T79</f>
        <v>-3015.2000000000016</v>
      </c>
      <c r="U81" s="4">
        <f>+U77-U79</f>
        <v>-1371.4000000000058</v>
      </c>
    </row>
    <row r="82" spans="1:21">
      <c r="E82" s="29"/>
      <c r="M82" s="29"/>
    </row>
    <row r="83" spans="1:21">
      <c r="E83" s="29"/>
      <c r="F83" s="29" t="s">
        <v>0</v>
      </c>
      <c r="M83" s="29"/>
      <c r="N83" s="29" t="s">
        <v>0</v>
      </c>
    </row>
    <row r="84" spans="1:21">
      <c r="B84" s="565" t="s">
        <v>261</v>
      </c>
      <c r="D84" s="565" t="s">
        <v>261</v>
      </c>
      <c r="E84" s="29" t="s">
        <v>0</v>
      </c>
      <c r="F84" s="565" t="s">
        <v>261</v>
      </c>
      <c r="H84" s="565" t="s">
        <v>261</v>
      </c>
      <c r="M84" s="29" t="s">
        <v>0</v>
      </c>
    </row>
    <row r="85" spans="1:21">
      <c r="B85" s="26" t="s">
        <v>353</v>
      </c>
      <c r="D85" s="26" t="s">
        <v>533</v>
      </c>
      <c r="F85" s="26" t="s">
        <v>534</v>
      </c>
      <c r="H85" s="26" t="s">
        <v>535</v>
      </c>
      <c r="M85" s="29" t="s">
        <v>0</v>
      </c>
    </row>
    <row r="86" spans="1:21">
      <c r="A86" t="s">
        <v>536</v>
      </c>
      <c r="B86" s="29" t="s">
        <v>0</v>
      </c>
      <c r="D86" s="29" t="s">
        <v>0</v>
      </c>
      <c r="F86" s="29" t="s">
        <v>0</v>
      </c>
      <c r="H86" s="29" t="s">
        <v>0</v>
      </c>
      <c r="M86" s="29" t="s">
        <v>0</v>
      </c>
    </row>
    <row r="87" spans="1:21">
      <c r="A87" t="s">
        <v>329</v>
      </c>
      <c r="B87" s="16" t="s">
        <v>0</v>
      </c>
    </row>
    <row r="88" spans="1:21">
      <c r="A88" t="s">
        <v>330</v>
      </c>
      <c r="B88" s="12">
        <f>+(13948623+13452272+13383486)/1000</f>
        <v>40784.381000000001</v>
      </c>
      <c r="D88" s="16">
        <v>0</v>
      </c>
      <c r="F88" s="16">
        <v>0</v>
      </c>
      <c r="H88" s="16">
        <v>0</v>
      </c>
    </row>
    <row r="89" spans="1:21" ht="18">
      <c r="A89" t="s">
        <v>537</v>
      </c>
      <c r="B89" s="6">
        <f>+(566800+99382+32925)/1000</f>
        <v>699.10699999999997</v>
      </c>
      <c r="D89" s="240">
        <v>0</v>
      </c>
      <c r="F89" s="240">
        <v>0</v>
      </c>
      <c r="H89" s="240">
        <v>0</v>
      </c>
    </row>
    <row r="90" spans="1:21">
      <c r="B90" s="12">
        <f>SUM(B88:B89)</f>
        <v>41483.487999999998</v>
      </c>
      <c r="D90" s="12">
        <f>SUM(D88:D89)</f>
        <v>0</v>
      </c>
      <c r="F90" s="12">
        <f>SUM(F88:F89)</f>
        <v>0</v>
      </c>
      <c r="H90" s="12">
        <f>SUM(H88:H89)</f>
        <v>0</v>
      </c>
    </row>
    <row r="91" spans="1:21">
      <c r="A91" t="s">
        <v>333</v>
      </c>
      <c r="B91" s="12">
        <f>+(8914313+7502254+7103325)/1000</f>
        <v>23519.892</v>
      </c>
      <c r="D91" s="12">
        <v>0</v>
      </c>
      <c r="F91" s="12">
        <v>0</v>
      </c>
      <c r="H91" s="12">
        <v>0</v>
      </c>
    </row>
    <row r="92" spans="1:21">
      <c r="B92" s="12">
        <f>+B90-B91</f>
        <v>17963.595999999998</v>
      </c>
      <c r="D92" s="12">
        <f>+D90-D91</f>
        <v>0</v>
      </c>
      <c r="F92" s="12">
        <f>+F90-F91</f>
        <v>0</v>
      </c>
      <c r="H92" s="12">
        <f>+H90-H91</f>
        <v>0</v>
      </c>
    </row>
    <row r="93" spans="1:21">
      <c r="B93" s="12"/>
    </row>
    <row r="94" spans="1:21">
      <c r="A94" t="s">
        <v>334</v>
      </c>
      <c r="B94" s="12"/>
    </row>
    <row r="95" spans="1:21">
      <c r="A95" t="s">
        <v>335</v>
      </c>
      <c r="B95" s="16">
        <f>+(941137+1252180+1159040)/1000</f>
        <v>3352.357</v>
      </c>
      <c r="D95" s="12">
        <v>0</v>
      </c>
      <c r="F95" s="12">
        <v>0</v>
      </c>
      <c r="H95" s="12">
        <v>0</v>
      </c>
    </row>
    <row r="96" spans="1:21">
      <c r="A96" t="s">
        <v>336</v>
      </c>
      <c r="B96" s="12">
        <f>+(4037041-161160+344594)/1000</f>
        <v>4220.4750000000004</v>
      </c>
      <c r="D96" s="12">
        <v>0</v>
      </c>
      <c r="F96" s="12">
        <v>0</v>
      </c>
      <c r="H96" s="12">
        <v>0</v>
      </c>
    </row>
    <row r="97" spans="1:8">
      <c r="A97" t="s">
        <v>284</v>
      </c>
      <c r="B97" s="12">
        <f>+(109232+55334+47697)/1000</f>
        <v>212.26300000000001</v>
      </c>
      <c r="D97" s="12">
        <v>0</v>
      </c>
      <c r="F97" s="12">
        <v>0</v>
      </c>
      <c r="H97" s="12">
        <v>0</v>
      </c>
    </row>
    <row r="98" spans="1:8">
      <c r="B98" s="12">
        <f>SUM(B95:B97)</f>
        <v>7785.0950000000003</v>
      </c>
      <c r="D98" s="12">
        <f>SUM(D95:D97)</f>
        <v>0</v>
      </c>
      <c r="F98" s="12">
        <f>SUM(F95:F97)</f>
        <v>0</v>
      </c>
      <c r="H98" s="12">
        <f>SUM(H95:H97)</f>
        <v>0</v>
      </c>
    </row>
    <row r="99" spans="1:8">
      <c r="B99" s="12"/>
    </row>
    <row r="100" spans="1:8">
      <c r="A100" t="s">
        <v>337</v>
      </c>
      <c r="B100" s="12">
        <f>+B92+B98</f>
        <v>25748.690999999999</v>
      </c>
      <c r="D100" s="12">
        <f>+D92+D98</f>
        <v>0</v>
      </c>
      <c r="F100" s="12">
        <f>+F92+F98</f>
        <v>0</v>
      </c>
      <c r="H100" s="12">
        <f>+H92+H98</f>
        <v>0</v>
      </c>
    </row>
    <row r="101" spans="1:8">
      <c r="B101" s="12"/>
    </row>
    <row r="102" spans="1:8">
      <c r="A102" t="s">
        <v>538</v>
      </c>
      <c r="B102" s="12">
        <f>+(300000+300000+300000)/1000</f>
        <v>900</v>
      </c>
      <c r="D102" s="12">
        <v>0</v>
      </c>
      <c r="F102" s="12">
        <v>0</v>
      </c>
      <c r="H102" s="12">
        <v>0</v>
      </c>
    </row>
    <row r="103" spans="1:8">
      <c r="B103" s="12"/>
    </row>
    <row r="104" spans="1:8">
      <c r="A104" t="s">
        <v>339</v>
      </c>
      <c r="B104" s="12"/>
    </row>
    <row r="105" spans="1:8">
      <c r="A105" t="s">
        <v>340</v>
      </c>
      <c r="B105" s="12">
        <f>+B100-B102</f>
        <v>24848.690999999999</v>
      </c>
      <c r="D105" s="12">
        <f>+D100-D102</f>
        <v>0</v>
      </c>
      <c r="F105" s="12">
        <f>+F100-F102</f>
        <v>0</v>
      </c>
      <c r="H105" s="12">
        <f>+H100-H102</f>
        <v>0</v>
      </c>
    </row>
    <row r="106" spans="1:8">
      <c r="B106" s="12"/>
    </row>
    <row r="107" spans="1:8">
      <c r="A107" t="s">
        <v>341</v>
      </c>
      <c r="B107" s="12"/>
    </row>
    <row r="108" spans="1:8">
      <c r="A108" t="s">
        <v>342</v>
      </c>
      <c r="B108" s="12">
        <f>+(3177922+3084294+2972341)/1000</f>
        <v>9234.5570000000007</v>
      </c>
      <c r="D108" s="12">
        <v>0</v>
      </c>
      <c r="F108" s="12">
        <v>0</v>
      </c>
      <c r="H108" s="12">
        <v>0</v>
      </c>
    </row>
    <row r="109" spans="1:8">
      <c r="A109" t="s">
        <v>343</v>
      </c>
      <c r="B109" s="12">
        <f>+(615325+571717+573509)/1000</f>
        <v>1760.5509999999999</v>
      </c>
      <c r="D109" s="12">
        <v>0</v>
      </c>
      <c r="F109" s="12">
        <v>0</v>
      </c>
      <c r="H109" s="12">
        <v>0</v>
      </c>
    </row>
    <row r="110" spans="1:8">
      <c r="A110" t="s">
        <v>344</v>
      </c>
      <c r="B110" s="12">
        <f>+(1301337+1285928+1098463)/1000</f>
        <v>3685.7280000000001</v>
      </c>
      <c r="D110" s="12">
        <v>0</v>
      </c>
      <c r="F110" s="12">
        <v>0</v>
      </c>
      <c r="H110" s="12">
        <v>0</v>
      </c>
    </row>
    <row r="111" spans="1:8">
      <c r="A111" t="s">
        <v>345</v>
      </c>
      <c r="B111" s="12">
        <f>+(3016596+2042864+2081798)/1000</f>
        <v>7141.2579999999998</v>
      </c>
      <c r="D111" s="16">
        <v>0</v>
      </c>
      <c r="F111" s="16">
        <v>0</v>
      </c>
      <c r="H111" s="16">
        <v>0</v>
      </c>
    </row>
    <row r="112" spans="1:8">
      <c r="B112" s="12">
        <f>SUM(B108:B111)</f>
        <v>21822.093999999997</v>
      </c>
      <c r="D112" s="12">
        <f>SUM(D108:D111)</f>
        <v>0</v>
      </c>
      <c r="F112" s="12">
        <f>SUM(F108:F111)</f>
        <v>0</v>
      </c>
      <c r="H112" s="12">
        <f>SUM(H108:H111)</f>
        <v>0</v>
      </c>
    </row>
    <row r="113" spans="1:8">
      <c r="B113" s="12"/>
    </row>
    <row r="114" spans="1:8">
      <c r="A114" t="s">
        <v>346</v>
      </c>
      <c r="B114" s="12">
        <f>+B105-B112</f>
        <v>3026.5970000000016</v>
      </c>
      <c r="D114" s="12">
        <f>+D105-D112</f>
        <v>0</v>
      </c>
      <c r="F114" s="12">
        <f>+F105-F112</f>
        <v>0</v>
      </c>
      <c r="H114" s="12">
        <f>+H105-H112</f>
        <v>0</v>
      </c>
    </row>
    <row r="115" spans="1:8">
      <c r="B115" s="12"/>
    </row>
    <row r="116" spans="1:8">
      <c r="A116" t="s">
        <v>347</v>
      </c>
      <c r="B116" s="12">
        <v>0</v>
      </c>
      <c r="D116" s="12">
        <v>0</v>
      </c>
      <c r="F116" s="12">
        <v>0</v>
      </c>
      <c r="H116" s="12">
        <v>0</v>
      </c>
    </row>
    <row r="117" spans="1:8">
      <c r="B117" s="12"/>
    </row>
    <row r="118" spans="1:8">
      <c r="A118" t="s">
        <v>539</v>
      </c>
      <c r="B118" s="12">
        <f>+B114-B116</f>
        <v>3026.5970000000016</v>
      </c>
      <c r="D118" s="12">
        <f>+D114-D116</f>
        <v>0</v>
      </c>
      <c r="F118" s="12">
        <f>+F114-F116</f>
        <v>0</v>
      </c>
      <c r="H118" s="12">
        <f>+H114-H116</f>
        <v>0</v>
      </c>
    </row>
    <row r="120" spans="1:8">
      <c r="B120" s="29" t="s">
        <v>0</v>
      </c>
    </row>
  </sheetData>
  <pageMargins left="0.22" right="0.2" top="0.47" bottom="0.41" header="0.31" footer="0.2"/>
  <pageSetup scale="43" orientation="landscape" r:id="rId1"/>
  <headerFooter alignWithMargins="0">
    <oddFooter>&amp;LL'actif net de cette banque a été acheté par la Sogebank au cours du Trim 1 99. Au cours du Trim 3 99, l'actif de la Sogebank inclut celui de cette banque.&amp;R&amp;16&amp;P</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topLeftCell="G1" workbookViewId="0">
      <selection activeCell="J13" sqref="J13"/>
    </sheetView>
  </sheetViews>
  <sheetFormatPr defaultRowHeight="15.75"/>
  <cols>
    <col min="1" max="1" width="50" customWidth="1"/>
    <col min="2" max="2" width="15.75" customWidth="1"/>
    <col min="3" max="3" width="11.75" customWidth="1"/>
    <col min="4" max="4" width="15.75" customWidth="1"/>
    <col min="5" max="5" width="6.125" customWidth="1"/>
    <col min="6" max="6" width="16" customWidth="1"/>
    <col min="7" max="7" width="10.25"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565</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571</v>
      </c>
      <c r="C8" s="114"/>
      <c r="D8" s="34"/>
      <c r="E8" s="2"/>
      <c r="F8" s="114" t="s">
        <v>206</v>
      </c>
      <c r="G8" s="114"/>
      <c r="H8" s="114"/>
      <c r="I8" s="114"/>
      <c r="J8" s="114"/>
      <c r="K8" s="114"/>
      <c r="L8" s="114"/>
    </row>
    <row r="9" spans="1:14" ht="16.5" thickBot="1">
      <c r="B9" s="247" t="s">
        <v>185</v>
      </c>
      <c r="C9" s="226" t="s">
        <v>169</v>
      </c>
      <c r="D9" s="226">
        <v>1999</v>
      </c>
      <c r="E9" s="2"/>
      <c r="F9" s="226">
        <v>1999</v>
      </c>
      <c r="G9" s="226" t="s">
        <v>169</v>
      </c>
      <c r="H9" s="226">
        <v>1998</v>
      </c>
      <c r="I9" s="226" t="s">
        <v>169</v>
      </c>
      <c r="J9" s="226">
        <v>1997</v>
      </c>
      <c r="K9" s="226" t="s">
        <v>169</v>
      </c>
      <c r="L9" s="226">
        <v>1996</v>
      </c>
    </row>
    <row r="10" spans="1:14">
      <c r="A10" t="s">
        <v>328</v>
      </c>
    </row>
    <row r="11" spans="1:14">
      <c r="A11" t="s">
        <v>329</v>
      </c>
      <c r="B11" s="16" t="s">
        <v>0</v>
      </c>
      <c r="C11" s="47" t="s">
        <v>0</v>
      </c>
      <c r="D11" s="16" t="s">
        <v>0</v>
      </c>
      <c r="E11" s="44" t="s">
        <v>0</v>
      </c>
      <c r="F11" s="16" t="s">
        <v>0</v>
      </c>
      <c r="G11" s="47" t="s">
        <v>0</v>
      </c>
      <c r="M11" s="43"/>
      <c r="N11" s="43"/>
    </row>
    <row r="12" spans="1:14">
      <c r="A12" t="s">
        <v>330</v>
      </c>
      <c r="B12" s="12">
        <f>+'BIDCRÉSULT '!R50</f>
        <v>0</v>
      </c>
      <c r="C12" s="43">
        <v>0</v>
      </c>
      <c r="D12" s="12">
        <f>+'BIDCRÉSULT '!T50</f>
        <v>33091.199999999997</v>
      </c>
      <c r="E12" s="44"/>
      <c r="F12" s="12">
        <f>+'BIDCRÉSULT '!U50</f>
        <v>57443.899999999994</v>
      </c>
      <c r="G12" s="46">
        <f t="shared" ref="G12:G17" si="0">+(F12-H12)/ABS(H12)</f>
        <v>-0.64692645886486944</v>
      </c>
      <c r="H12" s="16">
        <v>162696.70000000001</v>
      </c>
      <c r="I12" s="46">
        <f>+(H12-J12)/ABS(J12)</f>
        <v>0.37359503368204405</v>
      </c>
      <c r="J12" s="16">
        <v>118445.9</v>
      </c>
      <c r="K12" s="46">
        <f>+(J12-L12)/ABS(L12)</f>
        <v>0.24990133404808987</v>
      </c>
      <c r="L12" s="16">
        <v>94764.2</v>
      </c>
      <c r="M12" s="43"/>
      <c r="N12" s="43"/>
    </row>
    <row r="13" spans="1:14">
      <c r="A13" t="s">
        <v>572</v>
      </c>
      <c r="B13" s="12">
        <f>+'BIDCRÉSULT '!R51</f>
        <v>0</v>
      </c>
      <c r="C13" s="43">
        <v>0</v>
      </c>
      <c r="D13" s="12">
        <f>+'BIDCRÉSULT '!T51</f>
        <v>2223</v>
      </c>
      <c r="E13" s="44"/>
      <c r="F13" s="12">
        <f>+'BIDCRÉSULT '!U51</f>
        <v>5074.3999999999996</v>
      </c>
      <c r="G13" s="46">
        <f t="shared" si="0"/>
        <v>0.72957496847199954</v>
      </c>
      <c r="H13" s="16">
        <v>2933.9</v>
      </c>
      <c r="I13" s="43">
        <v>0</v>
      </c>
      <c r="J13" s="16">
        <v>0</v>
      </c>
      <c r="K13" s="43">
        <v>0</v>
      </c>
      <c r="L13" s="16">
        <v>0</v>
      </c>
      <c r="M13" s="43"/>
      <c r="N13" s="43"/>
    </row>
    <row r="14" spans="1:14">
      <c r="A14" t="s">
        <v>332</v>
      </c>
      <c r="B14" s="221">
        <f>+'BIDCRÉSULT '!R52</f>
        <v>0</v>
      </c>
      <c r="C14" s="43">
        <v>0</v>
      </c>
      <c r="D14" s="240">
        <f>+'BIDCRÉSULT '!T52</f>
        <v>802.4</v>
      </c>
      <c r="E14" s="44"/>
      <c r="F14" s="240">
        <f>+'BIDCRÉSULT '!U52</f>
        <v>2225.9</v>
      </c>
      <c r="G14" s="46">
        <f t="shared" si="0"/>
        <v>-0.50265886138171423</v>
      </c>
      <c r="H14" s="240">
        <v>4475.6000000000004</v>
      </c>
      <c r="I14" s="104">
        <f>+(H14-J14)/ABS(J14)</f>
        <v>-0.31521772392056058</v>
      </c>
      <c r="J14" s="240">
        <v>6535.8</v>
      </c>
      <c r="K14" s="43">
        <v>0</v>
      </c>
      <c r="L14" s="240">
        <v>10.199999999999999</v>
      </c>
      <c r="M14" s="43"/>
      <c r="N14" s="43"/>
    </row>
    <row r="15" spans="1:14">
      <c r="B15" s="12">
        <f>SUM(B12:B14)</f>
        <v>0</v>
      </c>
      <c r="C15" s="43">
        <v>0</v>
      </c>
      <c r="D15" s="12">
        <f>SUM(D12:D14)</f>
        <v>36116.6</v>
      </c>
      <c r="E15" s="44"/>
      <c r="F15" s="12">
        <f>SUM(F12:F14)</f>
        <v>64744.2</v>
      </c>
      <c r="G15" s="46">
        <f t="shared" si="0"/>
        <v>-0.61938953430268862</v>
      </c>
      <c r="H15" s="12">
        <f>SUM(H12:H14)</f>
        <v>170106.2</v>
      </c>
      <c r="I15" s="46">
        <f>+(H15-J15)/ABS(J15)</f>
        <v>0.36104885755274585</v>
      </c>
      <c r="J15" s="12">
        <f>SUM(J12:J14)</f>
        <v>124981.7</v>
      </c>
      <c r="K15" s="46">
        <f>+(J15-L15)/ABS(L15)</f>
        <v>0.3187284752000541</v>
      </c>
      <c r="L15" s="12">
        <f>SUM(L12:L14)</f>
        <v>94774.399999999994</v>
      </c>
      <c r="M15" s="43"/>
      <c r="N15" s="43"/>
    </row>
    <row r="16" spans="1:14">
      <c r="A16" t="s">
        <v>333</v>
      </c>
      <c r="B16" s="240">
        <f>+'BIDCRÉSULT '!R54</f>
        <v>0</v>
      </c>
      <c r="C16" s="43">
        <v>0</v>
      </c>
      <c r="D16" s="240">
        <f>+'BIDCRÉSULT '!T54</f>
        <v>15941</v>
      </c>
      <c r="E16" s="44" t="s">
        <v>0</v>
      </c>
      <c r="F16" s="240">
        <f>+'BIDCRÉSULT '!U54</f>
        <v>25624.7</v>
      </c>
      <c r="G16" s="46">
        <f t="shared" si="0"/>
        <v>-0.71451569597153264</v>
      </c>
      <c r="H16" s="240">
        <v>89758.7</v>
      </c>
      <c r="I16" s="46">
        <f>+(H16-J16)/ABS(J16)</f>
        <v>0.26950319501922093</v>
      </c>
      <c r="J16" s="240">
        <v>70703.8</v>
      </c>
      <c r="K16" s="46">
        <f>+(J16-L16)/ABS(L16)</f>
        <v>0.15787715370770986</v>
      </c>
      <c r="L16" s="240">
        <v>61063.3</v>
      </c>
      <c r="M16" s="43"/>
      <c r="N16" s="43"/>
    </row>
    <row r="17" spans="1:14" s="209" customFormat="1">
      <c r="B17" s="16">
        <f>+B15-B16</f>
        <v>0</v>
      </c>
      <c r="C17" s="43">
        <v>0</v>
      </c>
      <c r="D17" s="16">
        <f>+D15-D16</f>
        <v>20175.599999999999</v>
      </c>
      <c r="E17" s="44" t="s">
        <v>0</v>
      </c>
      <c r="F17" s="16">
        <f>+F15-F16</f>
        <v>39119.5</v>
      </c>
      <c r="G17" s="46">
        <f t="shared" si="0"/>
        <v>-0.51312113009116656</v>
      </c>
      <c r="H17" s="16">
        <f>+H15-H16</f>
        <v>80347.500000000015</v>
      </c>
      <c r="I17" s="46">
        <f>+(H17-J17)/ABS(J17)</f>
        <v>0.48029861140537905</v>
      </c>
      <c r="J17" s="16">
        <f>+J15-J16</f>
        <v>54277.899999999994</v>
      </c>
      <c r="K17" s="46">
        <f>+(J17-L17)/ABS(L17)</f>
        <v>0.6100898517105644</v>
      </c>
      <c r="L17" s="16">
        <f>+L15-L16</f>
        <v>33711.099999999991</v>
      </c>
      <c r="M17" s="44"/>
      <c r="N17" s="44"/>
    </row>
    <row r="18" spans="1:14">
      <c r="B18" s="12"/>
      <c r="C18" s="43"/>
      <c r="D18" s="12"/>
      <c r="E18" s="44"/>
      <c r="F18" s="12"/>
      <c r="G18" s="46"/>
      <c r="H18" s="12"/>
      <c r="I18" s="46"/>
      <c r="J18" s="12"/>
      <c r="K18" s="46"/>
      <c r="L18" s="12"/>
      <c r="M18" s="43"/>
      <c r="N18" s="43"/>
    </row>
    <row r="19" spans="1:14">
      <c r="A19" t="s">
        <v>334</v>
      </c>
      <c r="B19" s="12"/>
      <c r="C19" s="43"/>
      <c r="D19" s="12"/>
      <c r="E19" s="44" t="s">
        <v>0</v>
      </c>
      <c r="F19" s="12"/>
      <c r="G19" s="46"/>
      <c r="H19" s="12"/>
      <c r="I19" s="46"/>
      <c r="J19" s="12"/>
      <c r="K19" s="46"/>
      <c r="L19" s="12"/>
      <c r="M19" s="43"/>
      <c r="N19" s="43"/>
    </row>
    <row r="20" spans="1:14">
      <c r="A20" t="s">
        <v>335</v>
      </c>
      <c r="B20" s="12">
        <f>+'BIDCRÉSULT '!R58</f>
        <v>0</v>
      </c>
      <c r="C20" s="43">
        <v>0</v>
      </c>
      <c r="D20" s="12">
        <f>+'BIDCRÉSULT '!T58</f>
        <v>1655.8000000000002</v>
      </c>
      <c r="E20" s="44" t="s">
        <v>0</v>
      </c>
      <c r="F20" s="12">
        <f>+'BIDCRÉSULT '!U58</f>
        <v>3545.1000000000004</v>
      </c>
      <c r="G20" s="46">
        <f>+(F20-H20)/ABS(H20)</f>
        <v>-0.63121430577661264</v>
      </c>
      <c r="H20" s="12">
        <v>9612.9</v>
      </c>
      <c r="I20" s="46">
        <f>+(H20-J20)/ABS(J20)</f>
        <v>5.2568763139453439E-2</v>
      </c>
      <c r="J20" s="12">
        <v>9132.7999999999993</v>
      </c>
      <c r="K20" s="46">
        <f>+(J20-L20)/ABS(L20)</f>
        <v>0.15183695090113378</v>
      </c>
      <c r="L20" s="12">
        <v>7928.9</v>
      </c>
      <c r="M20" s="43"/>
      <c r="N20" s="43"/>
    </row>
    <row r="21" spans="1:14">
      <c r="A21" t="s">
        <v>336</v>
      </c>
      <c r="B21" s="12">
        <f>+'BIDCRÉSULT '!R59</f>
        <v>0</v>
      </c>
      <c r="C21" s="43">
        <v>0</v>
      </c>
      <c r="D21" s="12">
        <f>+'BIDCRÉSULT '!T59</f>
        <v>1446.6999999999998</v>
      </c>
      <c r="E21" s="44" t="s">
        <v>0</v>
      </c>
      <c r="F21" s="12">
        <f>+'BIDCRÉSULT '!U59</f>
        <v>3682.7999999999997</v>
      </c>
      <c r="G21" s="46">
        <f>+(F21-H21)/ABS(H21)</f>
        <v>-0.55398924574916453</v>
      </c>
      <c r="H21" s="12">
        <v>8257.2000000000007</v>
      </c>
      <c r="I21" s="46">
        <f>+(H21-J21)/ABS(J21)</f>
        <v>2.5894627021387588</v>
      </c>
      <c r="J21" s="12">
        <v>2300.4</v>
      </c>
      <c r="K21" s="46">
        <f>+(J21-L21)/ABS(L21)</f>
        <v>1.6032860739366717E-2</v>
      </c>
      <c r="L21" s="12">
        <v>2264.1</v>
      </c>
      <c r="M21" s="43"/>
      <c r="N21" s="43"/>
    </row>
    <row r="22" spans="1:14">
      <c r="A22" t="s">
        <v>284</v>
      </c>
      <c r="B22" s="240">
        <f>+'BIDCRÉSULT '!R60</f>
        <v>0</v>
      </c>
      <c r="C22" s="43">
        <v>0</v>
      </c>
      <c r="D22" s="240">
        <f>+'BIDCRÉSULT '!T60</f>
        <v>1050</v>
      </c>
      <c r="E22" s="44" t="s">
        <v>0</v>
      </c>
      <c r="F22" s="240">
        <f>+'BIDCRÉSULT '!U60</f>
        <v>1619.8</v>
      </c>
      <c r="G22" s="46">
        <f>+(F22-H22)/ABS(H22)</f>
        <v>-0.59268758801046062</v>
      </c>
      <c r="H22" s="240">
        <v>3976.8</v>
      </c>
      <c r="I22" s="46">
        <f>+(H22-J22)/ABS(J22)</f>
        <v>0.96998068063605292</v>
      </c>
      <c r="J22" s="240">
        <v>2018.7</v>
      </c>
      <c r="K22" s="46">
        <f>+(J22-L22)/ABS(L22)</f>
        <v>-0.32606663550777859</v>
      </c>
      <c r="L22" s="240">
        <v>2995.4</v>
      </c>
      <c r="M22" s="43"/>
      <c r="N22" s="43"/>
    </row>
    <row r="23" spans="1:14" s="209" customFormat="1">
      <c r="B23" s="16">
        <f>SUM(B20:B22)</f>
        <v>0</v>
      </c>
      <c r="C23" s="43">
        <v>0</v>
      </c>
      <c r="D23" s="16">
        <f>SUM(D20:D22)</f>
        <v>4152.5</v>
      </c>
      <c r="E23" s="44" t="s">
        <v>0</v>
      </c>
      <c r="F23" s="16">
        <f>SUM(F20:F22)</f>
        <v>8847.6999999999989</v>
      </c>
      <c r="G23" s="46">
        <f>+(F23-H23)/ABS(H23)</f>
        <v>-0.5950134801733884</v>
      </c>
      <c r="H23" s="16">
        <f>SUM(H20:H22)</f>
        <v>21846.899999999998</v>
      </c>
      <c r="I23" s="46">
        <f>+(H23-J23)/ABS(J23)</f>
        <v>0.62407540942171724</v>
      </c>
      <c r="J23" s="16">
        <f>SUM(J20:J22)</f>
        <v>13451.9</v>
      </c>
      <c r="K23" s="46">
        <f>+(J23-L23)/ABS(L23)</f>
        <v>1.9979679111946862E-2</v>
      </c>
      <c r="L23" s="16">
        <f>SUM(L20:L22)</f>
        <v>13188.4</v>
      </c>
      <c r="M23" s="44"/>
      <c r="N23" s="44"/>
    </row>
    <row r="24" spans="1:14">
      <c r="B24" s="240"/>
      <c r="C24" s="43"/>
      <c r="D24" s="240"/>
      <c r="E24" s="44"/>
      <c r="F24" s="240"/>
      <c r="G24" s="46"/>
      <c r="H24" s="240"/>
      <c r="I24" s="46"/>
      <c r="J24" s="240"/>
      <c r="K24" s="46"/>
      <c r="L24" s="240"/>
      <c r="M24" s="43"/>
      <c r="N24" s="43"/>
    </row>
    <row r="25" spans="1:14" s="209" customFormat="1">
      <c r="A25" s="209" t="s">
        <v>337</v>
      </c>
      <c r="B25" s="16">
        <f>+B17+B23</f>
        <v>0</v>
      </c>
      <c r="C25" s="43">
        <v>0</v>
      </c>
      <c r="D25" s="16">
        <f>+D17+D23</f>
        <v>24328.1</v>
      </c>
      <c r="E25" s="44" t="s">
        <v>0</v>
      </c>
      <c r="F25" s="16">
        <f>+F17+F23</f>
        <v>47967.199999999997</v>
      </c>
      <c r="G25" s="46">
        <f>+(F25-H25)/ABS(H25)</f>
        <v>-0.53062790133314552</v>
      </c>
      <c r="H25" s="16">
        <f>+H17+H23</f>
        <v>102194.40000000001</v>
      </c>
      <c r="I25" s="46">
        <f>+(H25-J25)/ABS(J25)</f>
        <v>0.50885430047039892</v>
      </c>
      <c r="J25" s="16">
        <f>+J17+J23</f>
        <v>67729.799999999988</v>
      </c>
      <c r="K25" s="46">
        <f>+(J25-L25)/ABS(L25)</f>
        <v>0.44414759219181438</v>
      </c>
      <c r="L25" s="16">
        <f>+L17+L23</f>
        <v>46899.499999999993</v>
      </c>
      <c r="M25" s="44"/>
      <c r="N25" s="44"/>
    </row>
    <row r="26" spans="1:14">
      <c r="B26" s="12"/>
      <c r="C26" s="43"/>
      <c r="D26" s="12"/>
      <c r="E26" s="44" t="s">
        <v>0</v>
      </c>
      <c r="F26" s="12"/>
      <c r="G26" s="46"/>
      <c r="H26" s="12"/>
      <c r="I26" s="46"/>
      <c r="J26" s="12"/>
      <c r="K26" s="46"/>
      <c r="L26" s="12"/>
      <c r="M26" s="43"/>
      <c r="N26" s="43"/>
    </row>
    <row r="27" spans="1:14">
      <c r="A27" t="s">
        <v>338</v>
      </c>
      <c r="B27" s="12">
        <f>+'BIDCRÉSULT '!R65</f>
        <v>0</v>
      </c>
      <c r="C27" s="43">
        <v>0</v>
      </c>
      <c r="D27" s="12">
        <f>+'BIDCRÉSULT '!T65</f>
        <v>2211.8000000000002</v>
      </c>
      <c r="E27" s="44" t="s">
        <v>0</v>
      </c>
      <c r="F27" s="12">
        <f>+'BIDCRÉSULT '!U65</f>
        <v>2821.5</v>
      </c>
      <c r="G27" s="46">
        <f>+(F27-H27)/ABS(H27)</f>
        <v>-0.40654972236244319</v>
      </c>
      <c r="H27" s="12">
        <v>4754.3999999999996</v>
      </c>
      <c r="I27" s="46">
        <f>+(H27-J27)/ABS(J27)</f>
        <v>0.68297345132743348</v>
      </c>
      <c r="J27" s="12">
        <v>2825</v>
      </c>
      <c r="K27" s="46">
        <f>+(J27-L27)/ABS(L27)</f>
        <v>0.79365079365079361</v>
      </c>
      <c r="L27" s="12">
        <v>1575</v>
      </c>
      <c r="M27" s="43"/>
      <c r="N27" s="43"/>
    </row>
    <row r="28" spans="1:14">
      <c r="B28" s="12"/>
      <c r="C28" s="43"/>
      <c r="D28" s="12"/>
      <c r="E28" s="44" t="s">
        <v>0</v>
      </c>
      <c r="F28" s="12"/>
      <c r="G28" s="46"/>
      <c r="H28" s="12"/>
      <c r="I28" s="46"/>
      <c r="J28" s="12"/>
      <c r="K28" s="46"/>
      <c r="L28" s="12"/>
      <c r="M28" s="43"/>
      <c r="N28" s="43"/>
    </row>
    <row r="29" spans="1:14">
      <c r="A29" t="s">
        <v>339</v>
      </c>
      <c r="B29" s="240"/>
      <c r="C29" s="43"/>
      <c r="D29" s="240"/>
      <c r="E29" s="44" t="s">
        <v>0</v>
      </c>
      <c r="F29" s="240"/>
      <c r="G29" s="46"/>
      <c r="H29" s="240"/>
      <c r="I29" s="46"/>
      <c r="J29" s="240"/>
      <c r="K29" s="46"/>
      <c r="L29" s="240"/>
      <c r="M29" s="43"/>
      <c r="N29" s="43"/>
    </row>
    <row r="30" spans="1:14" s="209" customFormat="1">
      <c r="A30" s="209" t="s">
        <v>340</v>
      </c>
      <c r="B30" s="16">
        <f>+B25-B27</f>
        <v>0</v>
      </c>
      <c r="C30" s="43">
        <v>0</v>
      </c>
      <c r="D30" s="16">
        <f>+D25-D27</f>
        <v>22116.3</v>
      </c>
      <c r="E30" s="44" t="s">
        <v>0</v>
      </c>
      <c r="F30" s="16">
        <f>+F25-F27</f>
        <v>45145.7</v>
      </c>
      <c r="G30" s="46">
        <f>+(F30-H30)/ABS(H30)</f>
        <v>-0.53668206075533675</v>
      </c>
      <c r="H30" s="16">
        <f>+H25-H27</f>
        <v>97440.000000000015</v>
      </c>
      <c r="I30" s="46">
        <f>+(H30-J30)/ABS(J30)</f>
        <v>0.50127571458505427</v>
      </c>
      <c r="J30" s="16">
        <f>+J25-J27</f>
        <v>64904.799999999988</v>
      </c>
      <c r="K30" s="46">
        <f>+(J30-L30)/ABS(L30)</f>
        <v>0.43200255932222087</v>
      </c>
      <c r="L30" s="16">
        <f>+L25-L27</f>
        <v>45324.499999999993</v>
      </c>
      <c r="M30" s="44"/>
      <c r="N30" s="44"/>
    </row>
    <row r="31" spans="1:14">
      <c r="B31" s="12"/>
      <c r="C31" s="43"/>
      <c r="D31" s="12"/>
      <c r="E31" s="44" t="s">
        <v>0</v>
      </c>
      <c r="F31" s="12"/>
      <c r="G31" s="46"/>
      <c r="H31" s="12"/>
      <c r="I31" s="46"/>
      <c r="J31" s="12"/>
      <c r="K31" s="46"/>
      <c r="L31" s="12"/>
      <c r="M31" s="43"/>
      <c r="N31" s="43"/>
    </row>
    <row r="32" spans="1:14">
      <c r="A32" t="s">
        <v>341</v>
      </c>
      <c r="B32" s="12"/>
      <c r="C32" s="43"/>
      <c r="D32" s="12"/>
      <c r="E32" s="44" t="s">
        <v>0</v>
      </c>
      <c r="F32" s="12"/>
      <c r="G32" s="46"/>
      <c r="H32" s="12"/>
      <c r="I32" s="46"/>
      <c r="J32" s="12"/>
      <c r="K32" s="46"/>
      <c r="L32" s="12"/>
      <c r="M32" s="43"/>
      <c r="N32" s="43"/>
    </row>
    <row r="33" spans="1:14">
      <c r="A33" t="s">
        <v>342</v>
      </c>
      <c r="B33" s="12">
        <f>+'BIDCRÉSULT '!R71</f>
        <v>0</v>
      </c>
      <c r="C33" s="43">
        <v>0</v>
      </c>
      <c r="D33" s="12">
        <f>+'BIDCRÉSULT '!T71</f>
        <v>9384.9</v>
      </c>
      <c r="E33" s="44" t="s">
        <v>0</v>
      </c>
      <c r="F33" s="12">
        <f>+'BIDCRÉSULT '!U71</f>
        <v>18188.699999999997</v>
      </c>
      <c r="G33" s="46">
        <f>+(F33-H33)/ABS(H33)</f>
        <v>-0.52977203042351984</v>
      </c>
      <c r="H33" s="12">
        <v>38680.6</v>
      </c>
      <c r="I33" s="46">
        <f>+(H33-J33)/ABS(J33)</f>
        <v>0.46749778057682229</v>
      </c>
      <c r="J33" s="12">
        <v>26358.2</v>
      </c>
      <c r="K33" s="46">
        <f>+(J33-L33)/ABS(L33)</f>
        <v>0.87111429768082416</v>
      </c>
      <c r="L33" s="12">
        <v>14086.9</v>
      </c>
      <c r="M33" s="43"/>
      <c r="N33" s="43"/>
    </row>
    <row r="34" spans="1:14">
      <c r="A34" t="s">
        <v>343</v>
      </c>
      <c r="B34" s="12">
        <f>+'BIDCRÉSULT '!R72</f>
        <v>0</v>
      </c>
      <c r="C34" s="43">
        <v>0</v>
      </c>
      <c r="D34" s="12">
        <f>+'BIDCRÉSULT '!T72</f>
        <v>510.20000000000005</v>
      </c>
      <c r="E34" s="44" t="s">
        <v>0</v>
      </c>
      <c r="F34" s="12">
        <f>+'BIDCRÉSULT '!U72</f>
        <v>934.90000000000009</v>
      </c>
      <c r="G34" s="46">
        <f>+(F34-H34)/ABS(H34)</f>
        <v>-0.724088065163499</v>
      </c>
      <c r="H34" s="12">
        <v>3388.4</v>
      </c>
      <c r="I34" s="46">
        <f>+(H34-J34)/ABS(J34)</f>
        <v>-0.24179906019243677</v>
      </c>
      <c r="J34" s="12">
        <v>4469</v>
      </c>
      <c r="K34" s="46">
        <f>+(J34-L34)/ABS(L34)</f>
        <v>1.4023007041874966</v>
      </c>
      <c r="L34" s="12">
        <v>1860.3</v>
      </c>
      <c r="M34" s="43"/>
      <c r="N34" s="43"/>
    </row>
    <row r="35" spans="1:14">
      <c r="A35" t="s">
        <v>344</v>
      </c>
      <c r="B35" s="12">
        <f>+'BIDCRÉSULT '!R73</f>
        <v>0</v>
      </c>
      <c r="C35" s="43">
        <v>0</v>
      </c>
      <c r="D35" s="12">
        <f>+'BIDCRÉSULT '!T73</f>
        <v>4721.8</v>
      </c>
      <c r="E35" s="44" t="s">
        <v>0</v>
      </c>
      <c r="F35" s="12">
        <f>+'BIDCRÉSULT '!U73</f>
        <v>9380.2000000000007</v>
      </c>
      <c r="G35" s="46">
        <f>+(F35-H35)/ABS(H35)</f>
        <v>-0.45342563134403147</v>
      </c>
      <c r="H35" s="12">
        <v>17161.8</v>
      </c>
      <c r="I35" s="46">
        <f>+(H35-J35)/ABS(J35)</f>
        <v>1.2403853685282367</v>
      </c>
      <c r="J35" s="12">
        <v>7660.2</v>
      </c>
      <c r="K35" s="46">
        <f>+(J35-L35)/ABS(L35)</f>
        <v>1.414790996784566</v>
      </c>
      <c r="L35" s="12">
        <v>3172.2</v>
      </c>
      <c r="M35" s="43"/>
      <c r="N35" s="43"/>
    </row>
    <row r="36" spans="1:14">
      <c r="A36" t="s">
        <v>345</v>
      </c>
      <c r="B36" s="240">
        <f>+'BIDCRÉSULT '!R74</f>
        <v>0</v>
      </c>
      <c r="C36" s="43">
        <v>0</v>
      </c>
      <c r="D36" s="240">
        <f>+'BIDCRÉSULT '!T74</f>
        <v>11930.8</v>
      </c>
      <c r="E36" s="44" t="s">
        <v>0</v>
      </c>
      <c r="F36" s="240">
        <f>+'BIDCRÉSULT '!U74</f>
        <v>19429.5</v>
      </c>
      <c r="G36" s="46">
        <f>+(F36-H36)/ABS(H36)</f>
        <v>-0.53794072742319821</v>
      </c>
      <c r="H36" s="240">
        <v>42049.8</v>
      </c>
      <c r="I36" s="46">
        <f>+(H36-J36)/ABS(J36)</f>
        <v>0.93920863309352531</v>
      </c>
      <c r="J36" s="240">
        <v>21684</v>
      </c>
      <c r="K36" s="46">
        <f>+(J36-L36)/ABS(L36)</f>
        <v>-0.20452836279728384</v>
      </c>
      <c r="L36" s="240">
        <v>27259.3</v>
      </c>
      <c r="M36" s="43"/>
      <c r="N36" s="43"/>
    </row>
    <row r="37" spans="1:14" s="209" customFormat="1">
      <c r="B37" s="16">
        <f>SUM(B33:B36)</f>
        <v>0</v>
      </c>
      <c r="C37" s="43">
        <v>0</v>
      </c>
      <c r="D37" s="16">
        <f>SUM(D33:D36)</f>
        <v>26547.7</v>
      </c>
      <c r="E37" s="44" t="s">
        <v>0</v>
      </c>
      <c r="F37" s="16">
        <f>SUM(F33:F36)</f>
        <v>47933.3</v>
      </c>
      <c r="G37" s="46">
        <f>+(F37-H37)/ABS(H37)</f>
        <v>-0.52672772475676488</v>
      </c>
      <c r="H37" s="16">
        <f>SUM(H33:H36)</f>
        <v>101280.6</v>
      </c>
      <c r="I37" s="46">
        <f>+(H37-J37)/ABS(J37)</f>
        <v>0.68320165394190602</v>
      </c>
      <c r="J37" s="16">
        <f>SUM(J33:J36)</f>
        <v>60171.4</v>
      </c>
      <c r="K37" s="46">
        <f>+(J37-L37)/ABS(L37)</f>
        <v>0.29739298427942151</v>
      </c>
      <c r="L37" s="16">
        <f>SUM(L33:L36)</f>
        <v>46378.7</v>
      </c>
      <c r="M37" s="44"/>
      <c r="N37" s="44"/>
    </row>
    <row r="38" spans="1:14">
      <c r="B38" s="249"/>
      <c r="C38" s="42"/>
      <c r="D38" s="249"/>
      <c r="E38" s="42"/>
      <c r="F38" s="249"/>
      <c r="G38" s="112"/>
      <c r="H38" s="249"/>
      <c r="I38" s="112"/>
      <c r="J38" s="249"/>
      <c r="K38" s="112"/>
      <c r="L38" s="249"/>
      <c r="M38" s="43"/>
      <c r="N38" s="43"/>
    </row>
    <row r="39" spans="1:14" s="209" customFormat="1">
      <c r="A39" s="209" t="s">
        <v>346</v>
      </c>
      <c r="B39" s="16">
        <f>+B30-B37</f>
        <v>0</v>
      </c>
      <c r="C39" s="43">
        <v>0</v>
      </c>
      <c r="D39" s="16">
        <f>+D30-D37</f>
        <v>-4431.4000000000015</v>
      </c>
      <c r="E39" s="44" t="s">
        <v>0</v>
      </c>
      <c r="F39" s="16">
        <f>+F30-F37</f>
        <v>-2787.6000000000058</v>
      </c>
      <c r="G39" s="46">
        <f>+(F39-H39)/ABS(H39)</f>
        <v>0.27417591001405711</v>
      </c>
      <c r="H39" s="16">
        <f>+H30-H37</f>
        <v>-3840.5999999999913</v>
      </c>
      <c r="I39" s="46">
        <f>+(H39-J39)/ABS(J39)</f>
        <v>-1.8113829382684754</v>
      </c>
      <c r="J39" s="16">
        <f>+J30-J37</f>
        <v>4733.3999999999869</v>
      </c>
      <c r="K39" s="46">
        <f>+(J39-L39)/ABS(L39)</f>
        <v>5.4900398406374196</v>
      </c>
      <c r="L39" s="16">
        <f>+L30-L37</f>
        <v>-1054.2000000000044</v>
      </c>
      <c r="M39" s="44"/>
      <c r="N39" s="44"/>
    </row>
    <row r="40" spans="1:14">
      <c r="B40" s="12"/>
      <c r="C40" s="43"/>
      <c r="D40" s="12"/>
      <c r="E40" s="44" t="s">
        <v>0</v>
      </c>
      <c r="F40" s="12"/>
      <c r="G40" s="46"/>
      <c r="H40" s="12"/>
      <c r="I40" s="46"/>
      <c r="J40" s="12"/>
      <c r="K40" s="46"/>
      <c r="L40" s="12"/>
      <c r="M40" s="43"/>
      <c r="N40" s="43"/>
    </row>
    <row r="41" spans="1:14">
      <c r="A41" t="s">
        <v>347</v>
      </c>
      <c r="B41" s="12">
        <f>+'BIDCRÉSULT '!R79</f>
        <v>0</v>
      </c>
      <c r="C41" s="43">
        <v>0</v>
      </c>
      <c r="D41" s="12">
        <f>+'BIDCRÉSULT '!T79</f>
        <v>-1416.2</v>
      </c>
      <c r="E41" s="44" t="s">
        <v>0</v>
      </c>
      <c r="F41" s="12">
        <f>+'BIDCRÉSULT '!U79</f>
        <v>-1416.2</v>
      </c>
      <c r="G41" s="43">
        <v>0</v>
      </c>
      <c r="H41" s="12">
        <v>0</v>
      </c>
      <c r="I41" s="46">
        <f>+(H41-J41)/ABS(J41)</f>
        <v>-1</v>
      </c>
      <c r="J41" s="12">
        <v>743.3</v>
      </c>
      <c r="K41" s="46">
        <f>+(J41-L41)/ABS(L41)</f>
        <v>-0.3807897367544153</v>
      </c>
      <c r="L41" s="12">
        <v>1200.4000000000001</v>
      </c>
      <c r="M41" s="43"/>
      <c r="N41" s="43"/>
    </row>
    <row r="42" spans="1:14" ht="16.5" thickBot="1">
      <c r="B42" s="76"/>
      <c r="C42" s="43"/>
      <c r="D42" s="76"/>
      <c r="E42" s="44" t="s">
        <v>0</v>
      </c>
      <c r="F42" s="76"/>
      <c r="G42" s="46"/>
      <c r="H42" s="76"/>
      <c r="I42" s="46"/>
      <c r="J42" s="76"/>
      <c r="K42" s="46"/>
      <c r="L42" s="76"/>
      <c r="M42" s="43"/>
      <c r="N42" s="43"/>
    </row>
    <row r="43" spans="1:14">
      <c r="A43" s="2" t="s">
        <v>427</v>
      </c>
      <c r="B43" s="4">
        <f>+B39-B41</f>
        <v>0</v>
      </c>
      <c r="C43" s="42">
        <v>0</v>
      </c>
      <c r="D43" s="4">
        <f>+D39-D41</f>
        <v>-3015.2000000000016</v>
      </c>
      <c r="E43" s="42" t="s">
        <v>0</v>
      </c>
      <c r="F43" s="4">
        <f>+F39-F41</f>
        <v>-1371.4000000000058</v>
      </c>
      <c r="G43" s="112">
        <f>+(F43-H43)/ABS(H43)</f>
        <v>0.64292037702442084</v>
      </c>
      <c r="H43" s="4">
        <f>+H39-H41</f>
        <v>-3840.5999999999913</v>
      </c>
      <c r="I43" s="112">
        <f>+(H43-J43)/ABS(J43)</f>
        <v>-1.9625322673617214</v>
      </c>
      <c r="J43" s="4">
        <f>+J39-J41</f>
        <v>3990.0999999999867</v>
      </c>
      <c r="K43" s="112">
        <f>+(J43-L43)/ABS(L43)</f>
        <v>2.7697596025902507</v>
      </c>
      <c r="L43" s="4">
        <f>+L39-L41</f>
        <v>-2254.6000000000045</v>
      </c>
      <c r="M43" s="43"/>
      <c r="N43" s="43"/>
    </row>
    <row r="44" spans="1:14">
      <c r="E44" t="s">
        <v>0</v>
      </c>
    </row>
    <row r="45" spans="1:14">
      <c r="E45" t="s">
        <v>0</v>
      </c>
    </row>
  </sheetData>
  <pageMargins left="0.43" right="0.39" top="0.54" bottom="0.75" header="0.28999999999999998" footer="0.5"/>
  <pageSetup scale="62" orientation="landscape" r:id="rId1"/>
  <headerFooter alignWithMargins="0">
    <oddFooter>&amp;LL'actif net de cette banque a été acheté par la Sogebank au cours du Trim 1 99. Au cours du Trim 3 99, l'actif de la Sogebank inclut celui de cette banque.
&amp;R&amp;P</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6"/>
  <sheetViews>
    <sheetView topLeftCell="A30" workbookViewId="0">
      <pane xSplit="1" ySplit="5" topLeftCell="B35" activePane="bottomRight" state="frozen"/>
      <selection activeCell="A30" sqref="A30"/>
      <selection pane="topRight" activeCell="B30" sqref="B30"/>
      <selection pane="bottomLeft" activeCell="A35" sqref="A35"/>
      <selection pane="bottomRight" activeCell="B35" sqref="B35"/>
    </sheetView>
  </sheetViews>
  <sheetFormatPr defaultRowHeight="15.75"/>
  <cols>
    <col min="1" max="1" width="33.5" customWidth="1"/>
    <col min="2" max="2" width="14.875" customWidth="1"/>
    <col min="3" max="3" width="12.75" customWidth="1"/>
    <col min="4" max="4" width="13.875" customWidth="1"/>
    <col min="5" max="5" width="14.625" customWidth="1"/>
    <col min="6" max="6" width="14.75" customWidth="1"/>
    <col min="7" max="7" width="8.875" customWidth="1"/>
    <col min="8" max="8" width="14.75" customWidth="1"/>
    <col min="9" max="9" width="12.75" customWidth="1"/>
    <col min="10" max="10" width="13.75" customWidth="1"/>
    <col min="11" max="11" width="13.25" customWidth="1"/>
    <col min="12" max="12" width="14.5" customWidth="1"/>
    <col min="13" max="13" width="11" customWidth="1"/>
    <col min="14" max="14" width="14.25" customWidth="1"/>
    <col min="15" max="15" width="13.625" customWidth="1"/>
    <col min="16" max="16" width="14.5" customWidth="1"/>
    <col min="17" max="17" width="9.75" customWidth="1"/>
    <col min="18" max="18" width="15.875" customWidth="1"/>
    <col min="19" max="19" width="11" customWidth="1"/>
    <col min="20" max="20" width="15.875" customWidth="1"/>
    <col min="21" max="256" width="11" customWidth="1"/>
  </cols>
  <sheetData>
    <row r="1" spans="1:27">
      <c r="A1" s="114" t="s">
        <v>573</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166</v>
      </c>
      <c r="J4" s="175" t="s">
        <v>167</v>
      </c>
      <c r="K4" s="176"/>
      <c r="L4" s="176"/>
      <c r="M4" s="176"/>
      <c r="N4" s="176"/>
      <c r="O4" s="176"/>
      <c r="P4" s="176"/>
    </row>
    <row r="5" spans="1:27" ht="16.5" thickBot="1">
      <c r="B5" s="174" t="s">
        <v>567</v>
      </c>
      <c r="C5" s="174" t="s">
        <v>169</v>
      </c>
      <c r="D5" s="173" t="s">
        <v>527</v>
      </c>
      <c r="E5" s="174" t="s">
        <v>169</v>
      </c>
      <c r="F5" s="173" t="s">
        <v>299</v>
      </c>
      <c r="G5" s="174" t="s">
        <v>169</v>
      </c>
      <c r="H5" s="174" t="s">
        <v>298</v>
      </c>
      <c r="I5" s="173" t="s">
        <v>173</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+'bmhvar '!B22</f>
        <v>0</v>
      </c>
      <c r="C11" s="43">
        <v>0</v>
      </c>
      <c r="D11" s="12">
        <f>+'bmhvar '!D22</f>
        <v>0</v>
      </c>
      <c r="E11" s="43">
        <v>0</v>
      </c>
      <c r="F11" s="12">
        <f>+'bmhvar '!F22</f>
        <v>0</v>
      </c>
      <c r="G11" s="43">
        <v>0</v>
      </c>
      <c r="H11" s="12">
        <f>+'bmhvar '!H22</f>
        <v>0</v>
      </c>
      <c r="I11" s="43">
        <v>0</v>
      </c>
      <c r="J11" s="12">
        <f>+'bmhvar '!J22</f>
        <v>0</v>
      </c>
      <c r="K11" s="43">
        <v>0</v>
      </c>
      <c r="L11" s="12">
        <f>+'bmhvar '!L22</f>
        <v>59863.199999999997</v>
      </c>
      <c r="M11" s="43">
        <v>0</v>
      </c>
      <c r="N11" s="43">
        <v>0</v>
      </c>
      <c r="O11" s="43">
        <v>0</v>
      </c>
      <c r="P11" s="43">
        <v>0</v>
      </c>
      <c r="Q11" s="43"/>
      <c r="R11" s="43"/>
      <c r="S11" s="43"/>
      <c r="T11" s="43"/>
      <c r="U11" s="43"/>
      <c r="V11" s="43"/>
      <c r="W11" s="43"/>
      <c r="X11" s="43"/>
      <c r="Y11" s="43"/>
      <c r="Z11" s="43"/>
      <c r="AA11" s="43"/>
    </row>
    <row r="12" spans="1:27">
      <c r="A12" t="s">
        <v>181</v>
      </c>
      <c r="B12" s="12">
        <f>+'bmhvar '!B17</f>
        <v>0</v>
      </c>
      <c r="C12" s="43">
        <v>0</v>
      </c>
      <c r="D12" s="12">
        <f>+'bmhvar '!D17</f>
        <v>0</v>
      </c>
      <c r="E12" s="43">
        <v>0</v>
      </c>
      <c r="F12" s="12">
        <f>+'bmhvar '!F17</f>
        <v>0</v>
      </c>
      <c r="G12" s="43">
        <v>0</v>
      </c>
      <c r="H12" s="12">
        <f>+'bmhvar '!H23</f>
        <v>0</v>
      </c>
      <c r="I12" s="43">
        <v>0</v>
      </c>
      <c r="J12" s="12">
        <f>+'bmhvar '!J23</f>
        <v>0</v>
      </c>
      <c r="K12" s="43">
        <v>0</v>
      </c>
      <c r="L12" s="12">
        <f>+'bmhvar '!L23</f>
        <v>0</v>
      </c>
      <c r="M12" s="43">
        <v>0</v>
      </c>
      <c r="N12" s="43">
        <v>0</v>
      </c>
      <c r="O12" s="43">
        <v>0</v>
      </c>
      <c r="P12" s="43">
        <v>0</v>
      </c>
      <c r="Q12" s="43"/>
      <c r="R12" s="43"/>
      <c r="S12" s="43"/>
      <c r="T12" s="43"/>
      <c r="U12" s="43"/>
      <c r="V12" s="43"/>
      <c r="W12" s="43"/>
      <c r="X12" s="43"/>
      <c r="Y12" s="43"/>
      <c r="Z12" s="43"/>
      <c r="AA12" s="43"/>
    </row>
    <row r="13" spans="1:27">
      <c r="A13" t="s">
        <v>182</v>
      </c>
      <c r="B13" s="12">
        <f>+'bmhvar '!B19</f>
        <v>0</v>
      </c>
      <c r="C13" s="43">
        <v>0</v>
      </c>
      <c r="D13" s="12">
        <f>+'bmhvar '!D19</f>
        <v>0</v>
      </c>
      <c r="E13" s="43">
        <v>0</v>
      </c>
      <c r="F13" s="12">
        <f>+'bmhvar '!F19</f>
        <v>0</v>
      </c>
      <c r="G13" s="43">
        <v>0</v>
      </c>
      <c r="H13" s="12">
        <f>+'bmhvar '!H19</f>
        <v>0</v>
      </c>
      <c r="I13" s="43">
        <v>0</v>
      </c>
      <c r="J13" s="12">
        <f>+'bmhvar '!J19</f>
        <v>0</v>
      </c>
      <c r="K13" s="43">
        <v>0</v>
      </c>
      <c r="L13" s="12">
        <f>+'bmhvar '!L19</f>
        <v>7244.4</v>
      </c>
      <c r="M13" s="43">
        <v>0</v>
      </c>
      <c r="N13" s="43">
        <v>0</v>
      </c>
      <c r="O13" s="43">
        <v>0</v>
      </c>
      <c r="P13" s="43">
        <v>0</v>
      </c>
      <c r="Q13" s="43"/>
      <c r="R13" s="43"/>
      <c r="S13" s="43"/>
      <c r="T13" s="43"/>
      <c r="U13" s="43"/>
      <c r="V13" s="43"/>
      <c r="W13" s="43"/>
      <c r="X13" s="43"/>
      <c r="Y13" s="43"/>
      <c r="Z13" s="43"/>
      <c r="AA13" s="43"/>
    </row>
    <row r="14" spans="1:27">
      <c r="A14" t="s">
        <v>183</v>
      </c>
      <c r="B14" s="12">
        <f>+'bmhvar '!B29</f>
        <v>0</v>
      </c>
      <c r="C14" s="43">
        <v>0</v>
      </c>
      <c r="D14" s="12">
        <f>+'bmhvar '!D29</f>
        <v>0</v>
      </c>
      <c r="E14" s="43">
        <v>0</v>
      </c>
      <c r="F14" s="12">
        <f>+'bmhvar '!F29</f>
        <v>0</v>
      </c>
      <c r="G14" s="43">
        <v>0</v>
      </c>
      <c r="H14" s="12">
        <f>+'bmhvar '!H29</f>
        <v>0</v>
      </c>
      <c r="I14" s="43">
        <v>0</v>
      </c>
      <c r="J14" s="12">
        <f>+'bmhvar '!J29</f>
        <v>0</v>
      </c>
      <c r="K14" s="43">
        <v>0</v>
      </c>
      <c r="L14" s="12">
        <f>+'bmhvar '!L29</f>
        <v>30778.2</v>
      </c>
      <c r="M14" s="43">
        <v>0</v>
      </c>
      <c r="N14" s="43">
        <v>0</v>
      </c>
      <c r="O14" s="43">
        <v>0</v>
      </c>
      <c r="P14" s="43">
        <v>0</v>
      </c>
      <c r="Q14" s="43"/>
      <c r="R14" s="43"/>
      <c r="S14" s="43"/>
      <c r="T14" s="43"/>
      <c r="U14" s="43"/>
      <c r="V14" s="43"/>
      <c r="W14" s="43"/>
      <c r="X14" s="43"/>
      <c r="Y14" s="43"/>
      <c r="Z14" s="43"/>
      <c r="AA14" s="43"/>
    </row>
    <row r="15" spans="1:27">
      <c r="A15" t="s">
        <v>184</v>
      </c>
      <c r="B15" s="12">
        <f>+'bmhvar '!B51</f>
        <v>0</v>
      </c>
      <c r="C15" s="43">
        <v>0</v>
      </c>
      <c r="D15" s="12">
        <f>+'bmhvar '!D51</f>
        <v>0</v>
      </c>
      <c r="E15" s="43">
        <v>0</v>
      </c>
      <c r="F15" s="12">
        <f>+'bmhvar '!F51</f>
        <v>0</v>
      </c>
      <c r="G15" s="43">
        <v>0</v>
      </c>
      <c r="H15" s="12">
        <f>+'bmhvar '!H51</f>
        <v>0</v>
      </c>
      <c r="I15" s="43">
        <v>0</v>
      </c>
      <c r="J15" s="12">
        <f>+'bmhvar '!J51</f>
        <v>0</v>
      </c>
      <c r="K15" s="43">
        <v>0</v>
      </c>
      <c r="L15" s="12">
        <f>+'bmhvar '!L51</f>
        <v>25402.5</v>
      </c>
      <c r="M15" s="43">
        <v>0</v>
      </c>
      <c r="N15" s="43">
        <v>0</v>
      </c>
      <c r="O15" s="43">
        <v>0</v>
      </c>
      <c r="P15" s="43">
        <v>0</v>
      </c>
      <c r="Q15" s="43"/>
      <c r="R15" s="43"/>
      <c r="S15" s="43"/>
      <c r="T15" s="43"/>
      <c r="U15" s="43"/>
      <c r="V15" s="43"/>
      <c r="W15" s="43"/>
      <c r="X15" s="43"/>
      <c r="Y15" s="43"/>
      <c r="Z15" s="43"/>
      <c r="AA15" s="43"/>
    </row>
    <row r="16" spans="1:27">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row>
    <row r="17" spans="1:27" ht="16.5" thickBot="1">
      <c r="B17" s="187"/>
      <c r="C17" s="187"/>
      <c r="D17" s="187"/>
      <c r="E17" s="187"/>
      <c r="F17" s="187"/>
      <c r="G17" s="187"/>
      <c r="H17" s="187"/>
      <c r="I17" s="187"/>
      <c r="J17" s="187"/>
      <c r="K17" s="187"/>
      <c r="L17" s="187"/>
      <c r="M17" s="187"/>
      <c r="N17" s="187"/>
      <c r="O17" s="187"/>
      <c r="P17" s="187"/>
      <c r="Q17" s="43"/>
      <c r="R17" s="43"/>
      <c r="S17" s="43"/>
      <c r="T17" s="43"/>
      <c r="U17" s="43"/>
      <c r="V17" s="43"/>
      <c r="W17" s="43"/>
      <c r="X17" s="43"/>
      <c r="Y17" s="43"/>
      <c r="Z17" s="43"/>
      <c r="AA17" s="43"/>
    </row>
    <row r="18" spans="1:27">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row>
    <row r="19" spans="1:27">
      <c r="B19" s="51" t="s">
        <v>185</v>
      </c>
      <c r="C19" s="43"/>
      <c r="D19" s="51" t="s">
        <v>174</v>
      </c>
      <c r="E19" s="43"/>
      <c r="F19" s="51" t="s">
        <v>185</v>
      </c>
      <c r="G19" s="43"/>
      <c r="H19" s="51" t="s">
        <v>174</v>
      </c>
      <c r="I19" s="43"/>
      <c r="J19" s="51" t="s">
        <v>185</v>
      </c>
      <c r="K19" s="43"/>
      <c r="L19" s="51" t="s">
        <v>174</v>
      </c>
      <c r="M19" s="43"/>
      <c r="N19" s="51" t="s">
        <v>185</v>
      </c>
      <c r="O19" s="43"/>
      <c r="P19" s="51" t="s">
        <v>174</v>
      </c>
      <c r="Q19" s="43"/>
      <c r="R19" s="51" t="s">
        <v>185</v>
      </c>
      <c r="S19" s="43"/>
      <c r="T19" s="51" t="s">
        <v>174</v>
      </c>
      <c r="U19" s="43"/>
      <c r="V19" s="43"/>
      <c r="W19" s="43"/>
      <c r="X19" s="43"/>
      <c r="Y19" s="43"/>
      <c r="Z19" s="43"/>
      <c r="AA19" s="43"/>
    </row>
    <row r="20" spans="1:27">
      <c r="B20" s="50" t="s">
        <v>186</v>
      </c>
      <c r="C20" s="50" t="s">
        <v>169</v>
      </c>
      <c r="D20" s="50" t="s">
        <v>186</v>
      </c>
      <c r="E20" s="43"/>
      <c r="F20" s="50" t="s">
        <v>187</v>
      </c>
      <c r="G20" s="50" t="s">
        <v>169</v>
      </c>
      <c r="H20" s="50" t="s">
        <v>187</v>
      </c>
      <c r="I20" s="43"/>
      <c r="J20" s="50" t="s">
        <v>188</v>
      </c>
      <c r="K20" s="50" t="s">
        <v>169</v>
      </c>
      <c r="L20" s="50" t="s">
        <v>188</v>
      </c>
      <c r="M20" s="43"/>
      <c r="N20" s="50" t="s">
        <v>189</v>
      </c>
      <c r="O20" s="50" t="s">
        <v>169</v>
      </c>
      <c r="P20" s="50" t="s">
        <v>189</v>
      </c>
      <c r="Q20" s="43"/>
      <c r="R20" s="50" t="s">
        <v>190</v>
      </c>
      <c r="S20" s="50" t="s">
        <v>169</v>
      </c>
      <c r="T20" s="50" t="s">
        <v>190</v>
      </c>
      <c r="U20" s="43"/>
      <c r="V20" s="43"/>
      <c r="W20" s="43"/>
      <c r="X20" s="43"/>
      <c r="Y20" s="43"/>
      <c r="Z20" s="43"/>
      <c r="AA20" s="43"/>
    </row>
    <row r="21" spans="1:27" ht="16.5" thickBot="1">
      <c r="B21" s="326" t="s">
        <v>191</v>
      </c>
      <c r="C21" s="326"/>
      <c r="D21" s="326" t="s">
        <v>192</v>
      </c>
      <c r="E21" s="208"/>
      <c r="F21" s="326" t="s">
        <v>193</v>
      </c>
      <c r="G21" s="326"/>
      <c r="H21" s="326" t="s">
        <v>194</v>
      </c>
      <c r="I21" s="208"/>
      <c r="J21" s="326" t="s">
        <v>195</v>
      </c>
      <c r="K21" s="326"/>
      <c r="L21" s="326" t="s">
        <v>196</v>
      </c>
      <c r="M21" s="208"/>
      <c r="N21" s="326" t="s">
        <v>197</v>
      </c>
      <c r="O21" s="326"/>
      <c r="P21" s="326" t="s">
        <v>198</v>
      </c>
      <c r="Q21" s="208"/>
      <c r="R21" s="326" t="s">
        <v>543</v>
      </c>
      <c r="S21" s="326"/>
      <c r="T21" s="326" t="s">
        <v>200</v>
      </c>
      <c r="U21" s="43"/>
      <c r="V21" s="43"/>
      <c r="W21" s="43"/>
      <c r="X21" s="43"/>
      <c r="Y21" s="43"/>
      <c r="Z21" s="43"/>
      <c r="AA21" s="43"/>
    </row>
    <row r="22" spans="1:27">
      <c r="A22" s="2" t="s">
        <v>52</v>
      </c>
      <c r="B22" s="43"/>
      <c r="C22" s="43"/>
      <c r="D22" s="43"/>
      <c r="E22" s="43"/>
      <c r="F22" s="43"/>
      <c r="G22" s="43"/>
      <c r="H22" s="43"/>
      <c r="I22" s="43"/>
      <c r="J22" s="43"/>
      <c r="K22" s="43"/>
      <c r="L22" s="43"/>
      <c r="M22" s="43"/>
      <c r="N22" s="43"/>
      <c r="O22" s="43"/>
      <c r="P22" s="43"/>
      <c r="Q22" s="43"/>
      <c r="R22" s="43"/>
      <c r="S22" s="47" t="s">
        <v>0</v>
      </c>
      <c r="T22" s="43"/>
      <c r="U22" s="43"/>
      <c r="V22" s="43"/>
      <c r="W22" s="43"/>
      <c r="X22" s="43"/>
      <c r="Y22" s="43"/>
      <c r="Z22" s="43"/>
      <c r="AA22" s="43"/>
    </row>
    <row r="23" spans="1:27">
      <c r="A23" t="s">
        <v>201</v>
      </c>
      <c r="B23" s="12">
        <f>+BMHRÉSULT!B55</f>
        <v>0</v>
      </c>
      <c r="C23" s="43">
        <v>0</v>
      </c>
      <c r="D23" s="12">
        <f>+BMHRÉSULT!D55</f>
        <v>910.59999999999991</v>
      </c>
      <c r="E23" s="43"/>
      <c r="F23" s="12">
        <f>+BMHRÉSULT!F55</f>
        <v>0</v>
      </c>
      <c r="G23" s="43">
        <v>0</v>
      </c>
      <c r="H23" s="12">
        <f>+BMHRÉSULT!H55</f>
        <v>748.5</v>
      </c>
      <c r="I23" s="43"/>
      <c r="J23" s="12">
        <f>+BMHRÉSULT!J55</f>
        <v>0</v>
      </c>
      <c r="K23" s="43">
        <v>0</v>
      </c>
      <c r="L23" s="12">
        <f>+BMHRÉSULT!L55</f>
        <v>0</v>
      </c>
      <c r="M23" s="43"/>
      <c r="N23" s="12">
        <f>+BMHRÉSULT!N55</f>
        <v>0</v>
      </c>
      <c r="O23" s="43">
        <v>0</v>
      </c>
      <c r="P23" s="12">
        <f>+BMHRÉSULT!P55</f>
        <v>0</v>
      </c>
      <c r="Q23" s="43"/>
      <c r="R23" s="12">
        <f>+BMHRÉSULT!R55</f>
        <v>0</v>
      </c>
      <c r="S23" s="89">
        <v>0</v>
      </c>
      <c r="T23" s="12">
        <f>+BMHRÉSULT!T55</f>
        <v>910.59999999999991</v>
      </c>
      <c r="U23" s="43"/>
      <c r="V23" s="43"/>
      <c r="W23" s="43"/>
      <c r="X23" s="43"/>
      <c r="Y23" s="43"/>
      <c r="Z23" s="43"/>
      <c r="AA23" s="43"/>
    </row>
    <row r="24" spans="1:27">
      <c r="A24" t="s">
        <v>202</v>
      </c>
      <c r="B24" s="12">
        <f>+BMHRÉSULT!B61</f>
        <v>0</v>
      </c>
      <c r="C24" s="43">
        <v>0</v>
      </c>
      <c r="D24" s="12">
        <f>+BMHRÉSULT!D61</f>
        <v>334</v>
      </c>
      <c r="E24" s="43"/>
      <c r="F24" s="12">
        <f>+BMHRÉSULT!F61</f>
        <v>0</v>
      </c>
      <c r="G24" s="43">
        <v>0</v>
      </c>
      <c r="H24" s="12">
        <f>+BMHRÉSULT!H61</f>
        <v>297.3</v>
      </c>
      <c r="I24" s="43"/>
      <c r="J24" s="12">
        <f>+BMHRÉSULT!J61</f>
        <v>0</v>
      </c>
      <c r="K24" s="43">
        <v>0</v>
      </c>
      <c r="L24" s="12">
        <f>+BMHRÉSULT!L61</f>
        <v>0</v>
      </c>
      <c r="M24" s="43"/>
      <c r="N24" s="12">
        <f>+BMHRÉSULT!N61</f>
        <v>0</v>
      </c>
      <c r="O24" s="43">
        <v>0</v>
      </c>
      <c r="P24" s="12">
        <f>+BMHRÉSULT!P61</f>
        <v>0</v>
      </c>
      <c r="Q24" s="43"/>
      <c r="R24" s="12">
        <f>+BMHRÉSULT!R61</f>
        <v>0</v>
      </c>
      <c r="S24" s="89">
        <v>0</v>
      </c>
      <c r="T24" s="12">
        <f>+BMHRÉSULT!T61</f>
        <v>334</v>
      </c>
      <c r="U24" s="43"/>
      <c r="V24" s="43"/>
      <c r="W24" s="43"/>
      <c r="X24" s="43"/>
      <c r="Y24" s="43"/>
      <c r="Z24" s="43"/>
      <c r="AA24" s="43"/>
    </row>
    <row r="25" spans="1:27">
      <c r="A25" t="s">
        <v>447</v>
      </c>
      <c r="B25" s="12">
        <f>+BMHRÉSULT!B65</f>
        <v>0</v>
      </c>
      <c r="C25" s="43">
        <v>0</v>
      </c>
      <c r="D25" s="12">
        <f>+BMHRÉSULT!D65</f>
        <v>0</v>
      </c>
      <c r="E25" s="43"/>
      <c r="F25" s="12">
        <f>+BMHRÉSULT!F65</f>
        <v>0</v>
      </c>
      <c r="G25" s="43">
        <v>0</v>
      </c>
      <c r="H25" s="12">
        <f>+BMHRÉSULT!H65</f>
        <v>302.3</v>
      </c>
      <c r="I25" s="43"/>
      <c r="J25" s="12">
        <f>+BMHRÉSULT!J65</f>
        <v>0</v>
      </c>
      <c r="K25" s="43">
        <v>0</v>
      </c>
      <c r="L25" s="12">
        <f>+BMHRÉSULT!L65</f>
        <v>0</v>
      </c>
      <c r="M25" s="43"/>
      <c r="N25" s="12">
        <f>+BMHRÉSULT!N65</f>
        <v>0</v>
      </c>
      <c r="O25" s="43">
        <v>0</v>
      </c>
      <c r="P25" s="12">
        <f>+BMHRÉSULT!P65</f>
        <v>0</v>
      </c>
      <c r="Q25" s="43"/>
      <c r="R25" s="12">
        <f>+BMHRÉSULT!R65</f>
        <v>0</v>
      </c>
      <c r="S25" s="43">
        <v>0</v>
      </c>
      <c r="T25" s="12">
        <f>+BMHRÉSULT!T65</f>
        <v>0</v>
      </c>
      <c r="U25" s="43"/>
      <c r="V25" s="43"/>
      <c r="W25" s="43"/>
      <c r="X25" s="43"/>
      <c r="Y25" s="43"/>
      <c r="Z25" s="43"/>
      <c r="AA25" s="43"/>
    </row>
    <row r="26" spans="1:27">
      <c r="A26" t="s">
        <v>204</v>
      </c>
      <c r="B26" s="12">
        <f>+BMHRÉSULT!B75</f>
        <v>0</v>
      </c>
      <c r="C26" s="43">
        <v>0</v>
      </c>
      <c r="D26" s="12">
        <f>+BMHRÉSULT!D75</f>
        <v>1114.5</v>
      </c>
      <c r="E26" s="43"/>
      <c r="F26" s="12">
        <f>+BMHRÉSULT!F75</f>
        <v>0</v>
      </c>
      <c r="G26" s="43">
        <v>0</v>
      </c>
      <c r="H26" s="12">
        <f>+BMHRÉSULT!H75</f>
        <v>1766.8</v>
      </c>
      <c r="I26" s="43"/>
      <c r="J26" s="12">
        <f>+BMHRÉSULT!J75</f>
        <v>0</v>
      </c>
      <c r="K26" s="43">
        <v>0</v>
      </c>
      <c r="L26" s="12">
        <f>+BMHRÉSULT!L75</f>
        <v>0</v>
      </c>
      <c r="M26" s="43"/>
      <c r="N26" s="12">
        <f>+BMHRÉSULT!N75</f>
        <v>0</v>
      </c>
      <c r="O26" s="43">
        <v>0</v>
      </c>
      <c r="P26" s="12">
        <f>+BMHRÉSULT!P75</f>
        <v>0</v>
      </c>
      <c r="Q26" s="43"/>
      <c r="R26" s="12">
        <f>+BMHRÉSULT!R75</f>
        <v>0</v>
      </c>
      <c r="S26" s="43">
        <v>0</v>
      </c>
      <c r="T26" s="12">
        <f>+BMHRÉSULT!T75</f>
        <v>1114.5</v>
      </c>
      <c r="U26" s="43"/>
      <c r="V26" s="43"/>
      <c r="W26" s="43"/>
      <c r="X26" s="43"/>
      <c r="Y26" s="43"/>
      <c r="Z26" s="43"/>
      <c r="AA26" s="43"/>
    </row>
    <row r="27" spans="1:27">
      <c r="A27" t="s">
        <v>448</v>
      </c>
      <c r="B27" s="12">
        <f>+BMHRÉSULT!B81</f>
        <v>0</v>
      </c>
      <c r="C27" s="43">
        <v>0</v>
      </c>
      <c r="D27" s="12">
        <f>+BMHRÉSULT!D81</f>
        <v>84.699999999999903</v>
      </c>
      <c r="E27" s="43"/>
      <c r="F27" s="12">
        <f>+BMHRÉSULT!F81</f>
        <v>0</v>
      </c>
      <c r="G27" s="43">
        <v>0</v>
      </c>
      <c r="H27" s="12">
        <f>+BMHRÉSULT!H81</f>
        <v>-1023.3</v>
      </c>
      <c r="I27" s="43"/>
      <c r="J27" s="12">
        <f>+BMHRÉSULT!J81</f>
        <v>0</v>
      </c>
      <c r="K27" s="43">
        <v>0</v>
      </c>
      <c r="L27" s="12">
        <f>+BMHRÉSULT!L81</f>
        <v>0</v>
      </c>
      <c r="M27" s="43"/>
      <c r="N27" s="12">
        <f>+BMHRÉSULT!N81</f>
        <v>0</v>
      </c>
      <c r="O27" s="43">
        <v>0</v>
      </c>
      <c r="P27" s="12">
        <f>+BMHRÉSULT!P81</f>
        <v>0</v>
      </c>
      <c r="Q27" s="43"/>
      <c r="R27" s="12">
        <f>+BMHRÉSULT!R81</f>
        <v>0</v>
      </c>
      <c r="S27" s="43">
        <v>0</v>
      </c>
      <c r="T27" s="12">
        <f>+BMHRÉSULT!T81</f>
        <v>84.699999999999903</v>
      </c>
      <c r="U27" s="43"/>
      <c r="V27" s="43"/>
      <c r="W27" s="43"/>
      <c r="X27" s="43"/>
      <c r="Y27" s="43"/>
      <c r="Z27" s="43"/>
      <c r="AA27" s="43"/>
    </row>
    <row r="28" spans="1:27">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row>
    <row r="30" spans="1:27" ht="16.5" thickBot="1">
      <c r="B30" s="187"/>
      <c r="C30" s="187"/>
      <c r="D30" s="187"/>
      <c r="E30" s="187"/>
      <c r="F30" s="187"/>
      <c r="G30" s="187"/>
      <c r="H30" s="187"/>
      <c r="I30" s="187"/>
      <c r="J30" s="187"/>
      <c r="K30" s="187"/>
      <c r="L30" s="187"/>
      <c r="M30" s="187"/>
      <c r="N30" s="187"/>
      <c r="O30" s="187"/>
      <c r="P30" s="187"/>
      <c r="Q30" s="187"/>
      <c r="R30" s="187"/>
      <c r="S30" s="187"/>
      <c r="T30" s="187"/>
      <c r="U30" s="43"/>
      <c r="V30" s="43"/>
      <c r="W30" s="43"/>
      <c r="X30" s="43"/>
      <c r="Y30" s="43"/>
      <c r="Z30" s="43"/>
      <c r="AA30" s="43"/>
    </row>
    <row r="31" spans="1:27">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row>
    <row r="32" spans="1:27">
      <c r="B32" s="51" t="s">
        <v>174</v>
      </c>
      <c r="C32" s="51" t="s">
        <v>175</v>
      </c>
      <c r="D32" s="43"/>
      <c r="E32" s="51" t="s">
        <v>174</v>
      </c>
      <c r="F32" s="51" t="s">
        <v>175</v>
      </c>
      <c r="G32" s="43"/>
      <c r="H32" s="51" t="s">
        <v>174</v>
      </c>
      <c r="I32" s="51" t="s">
        <v>175</v>
      </c>
      <c r="J32" s="43"/>
      <c r="K32" s="51" t="s">
        <v>174</v>
      </c>
      <c r="L32" s="51" t="s">
        <v>175</v>
      </c>
      <c r="M32" s="43"/>
      <c r="N32" s="51" t="s">
        <v>174</v>
      </c>
      <c r="O32" s="51" t="s">
        <v>175</v>
      </c>
      <c r="P32" s="43"/>
      <c r="U32" s="43"/>
      <c r="V32" s="43"/>
      <c r="W32" s="43"/>
      <c r="X32" s="43"/>
      <c r="Y32" s="43"/>
      <c r="Z32" s="43"/>
      <c r="AA32" s="43"/>
    </row>
    <row r="33" spans="1:27" ht="16.5" thickBot="1">
      <c r="B33" s="50" t="s">
        <v>186</v>
      </c>
      <c r="C33" s="50" t="s">
        <v>186</v>
      </c>
      <c r="D33" s="43"/>
      <c r="E33" s="50" t="s">
        <v>187</v>
      </c>
      <c r="F33" s="50" t="s">
        <v>187</v>
      </c>
      <c r="G33" s="43"/>
      <c r="H33" s="50" t="s">
        <v>188</v>
      </c>
      <c r="I33" s="50" t="s">
        <v>188</v>
      </c>
      <c r="J33" s="43"/>
      <c r="K33" s="50" t="s">
        <v>189</v>
      </c>
      <c r="L33" s="50" t="s">
        <v>189</v>
      </c>
      <c r="M33" s="43"/>
      <c r="N33" s="50" t="s">
        <v>190</v>
      </c>
      <c r="O33" s="50" t="s">
        <v>190</v>
      </c>
      <c r="P33" s="43"/>
      <c r="Q33" s="114" t="s">
        <v>206</v>
      </c>
      <c r="R33" s="114"/>
      <c r="S33" s="114"/>
      <c r="T33" s="114"/>
      <c r="U33" s="43"/>
      <c r="V33" s="43"/>
      <c r="W33" s="43"/>
      <c r="X33" s="43"/>
      <c r="Y33" s="43"/>
      <c r="Z33" s="43"/>
      <c r="AA33" s="43"/>
    </row>
    <row r="34" spans="1:27" ht="16.5" thickBot="1">
      <c r="B34" s="326" t="s">
        <v>192</v>
      </c>
      <c r="C34" s="326" t="s">
        <v>574</v>
      </c>
      <c r="D34" s="208"/>
      <c r="E34" s="326" t="s">
        <v>194</v>
      </c>
      <c r="F34" s="326" t="s">
        <v>575</v>
      </c>
      <c r="G34" s="208"/>
      <c r="H34" s="326" t="s">
        <v>196</v>
      </c>
      <c r="I34" s="326" t="s">
        <v>576</v>
      </c>
      <c r="J34" s="208"/>
      <c r="K34" s="326" t="s">
        <v>198</v>
      </c>
      <c r="L34" s="326" t="s">
        <v>577</v>
      </c>
      <c r="M34" s="208"/>
      <c r="N34" s="326" t="s">
        <v>578</v>
      </c>
      <c r="O34" s="326" t="s">
        <v>579</v>
      </c>
      <c r="P34" s="43"/>
      <c r="Q34" s="182" t="s">
        <v>175</v>
      </c>
      <c r="R34" s="182" t="s">
        <v>176</v>
      </c>
      <c r="S34" s="182" t="s">
        <v>177</v>
      </c>
      <c r="T34" s="182" t="s">
        <v>580</v>
      </c>
      <c r="U34" s="43"/>
      <c r="V34" s="43"/>
      <c r="W34" s="43"/>
      <c r="X34" s="43"/>
      <c r="Y34" s="43"/>
      <c r="Z34" s="43"/>
      <c r="AA34" s="43"/>
    </row>
    <row r="35" spans="1:27">
      <c r="B35" s="355"/>
      <c r="C35" s="355"/>
      <c r="D35" s="208"/>
      <c r="E35" s="355"/>
      <c r="F35" s="355"/>
      <c r="G35" s="208"/>
      <c r="H35" s="355"/>
      <c r="I35" s="355"/>
      <c r="J35" s="208"/>
      <c r="K35" s="355"/>
      <c r="L35" s="355"/>
      <c r="M35" s="208"/>
      <c r="N35" s="355"/>
      <c r="O35" s="355"/>
      <c r="P35" s="43"/>
      <c r="Q35" s="356"/>
      <c r="R35" s="356"/>
      <c r="S35" s="356"/>
      <c r="T35" s="356"/>
      <c r="U35" s="43"/>
      <c r="V35" s="43"/>
      <c r="W35" s="43"/>
      <c r="X35" s="43"/>
      <c r="Y35" s="43"/>
      <c r="Z35" s="43"/>
      <c r="AA35" s="43"/>
    </row>
    <row r="36" spans="1:27">
      <c r="A36" s="2" t="s">
        <v>207</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183" t="s">
        <v>208</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A38" s="2" t="s">
        <v>209</v>
      </c>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t="s">
        <v>211</v>
      </c>
      <c r="B40" s="57"/>
      <c r="C40" s="57"/>
      <c r="D40" s="57"/>
      <c r="E40" s="57"/>
      <c r="F40" s="57"/>
      <c r="G40" s="57"/>
      <c r="H40" s="57"/>
      <c r="I40" s="57"/>
      <c r="J40" s="57"/>
      <c r="K40" s="57"/>
      <c r="L40" s="57"/>
      <c r="M40" s="57"/>
      <c r="N40" s="57"/>
      <c r="O40" s="57"/>
      <c r="P40" s="57"/>
      <c r="Q40" s="57"/>
      <c r="R40" s="57"/>
      <c r="S40" s="57"/>
      <c r="T40" s="57"/>
      <c r="U40" s="43"/>
      <c r="V40" s="43"/>
      <c r="W40" s="43"/>
      <c r="X40" s="43"/>
      <c r="Y40" s="43"/>
      <c r="Z40" s="43"/>
      <c r="AA40" s="43"/>
    </row>
    <row r="41" spans="1:27">
      <c r="A41" t="s">
        <v>212</v>
      </c>
      <c r="B41" s="58">
        <v>0.40289999999999998</v>
      </c>
      <c r="C41" s="59">
        <v>0.23799999999999999</v>
      </c>
      <c r="D41" s="57"/>
      <c r="E41" s="362">
        <v>0.32569999999999999</v>
      </c>
      <c r="F41" s="59">
        <v>0.55430000000000001</v>
      </c>
      <c r="G41" s="57"/>
      <c r="H41" s="57">
        <v>0</v>
      </c>
      <c r="I41" s="59">
        <v>0.44819999999999999</v>
      </c>
      <c r="J41" s="57"/>
      <c r="K41" s="57">
        <v>0</v>
      </c>
      <c r="L41" s="59">
        <v>0.42430000000000001</v>
      </c>
      <c r="M41" s="57"/>
      <c r="N41" s="994">
        <f t="shared" ref="N41:O43" si="0">+H41</f>
        <v>0</v>
      </c>
      <c r="O41" s="359">
        <f t="shared" si="0"/>
        <v>0.44819999999999999</v>
      </c>
      <c r="P41" s="57"/>
      <c r="Q41" s="59">
        <v>0.42430000000000001</v>
      </c>
      <c r="R41" s="57">
        <v>0</v>
      </c>
      <c r="S41" s="59">
        <v>0.14910000000000001</v>
      </c>
      <c r="T41" s="57">
        <v>0</v>
      </c>
      <c r="U41" s="43"/>
      <c r="V41" s="43"/>
      <c r="W41" s="43"/>
      <c r="X41" s="43"/>
      <c r="Y41" s="43"/>
      <c r="Z41" s="43"/>
      <c r="AA41" s="43"/>
    </row>
    <row r="42" spans="1:27">
      <c r="B42" s="364"/>
      <c r="C42" s="57"/>
      <c r="D42" s="57"/>
      <c r="E42" s="57"/>
      <c r="F42" s="57"/>
      <c r="G42" s="57"/>
      <c r="H42" s="57"/>
      <c r="I42" s="59"/>
      <c r="J42" s="57"/>
      <c r="K42" s="57"/>
      <c r="L42" s="59"/>
      <c r="M42" s="57"/>
      <c r="N42" s="59"/>
      <c r="O42" s="57"/>
      <c r="P42" s="57"/>
      <c r="Q42" s="57"/>
      <c r="R42" s="57"/>
      <c r="S42" s="59"/>
      <c r="T42" s="57"/>
      <c r="U42" s="43"/>
      <c r="V42" s="43"/>
      <c r="W42" s="43"/>
      <c r="X42" s="43"/>
      <c r="Y42" s="43"/>
      <c r="Z42" s="43"/>
      <c r="AA42" s="43"/>
    </row>
    <row r="43" spans="1:27">
      <c r="A43" t="s">
        <v>213</v>
      </c>
      <c r="B43" s="58">
        <v>0.55479999999999996</v>
      </c>
      <c r="C43" s="57">
        <v>0</v>
      </c>
      <c r="D43" s="57"/>
      <c r="E43" s="362">
        <v>0.54159999999999997</v>
      </c>
      <c r="F43" s="59">
        <v>0.3624</v>
      </c>
      <c r="G43" s="57"/>
      <c r="H43" s="57">
        <v>0</v>
      </c>
      <c r="I43" s="59">
        <v>0.48509999999999998</v>
      </c>
      <c r="J43" s="57"/>
      <c r="K43" s="57">
        <v>0</v>
      </c>
      <c r="L43" s="59">
        <v>0.5141</v>
      </c>
      <c r="M43" s="57"/>
      <c r="N43" s="994">
        <f>+H43</f>
        <v>0</v>
      </c>
      <c r="O43" s="359">
        <f t="shared" si="0"/>
        <v>0.48509999999999998</v>
      </c>
      <c r="P43" s="57"/>
      <c r="Q43" s="59">
        <v>0.5141</v>
      </c>
      <c r="R43" s="57">
        <v>0</v>
      </c>
      <c r="S43" s="59">
        <v>0.60709999999999997</v>
      </c>
      <c r="T43" s="57">
        <v>0</v>
      </c>
      <c r="U43" s="43"/>
      <c r="V43" s="43"/>
      <c r="W43" s="43"/>
      <c r="X43" s="43"/>
      <c r="Y43" s="43"/>
      <c r="Z43" s="43"/>
      <c r="AA43" s="43"/>
    </row>
    <row r="44" spans="1:27">
      <c r="A44" t="s">
        <v>0</v>
      </c>
      <c r="B44" s="57"/>
      <c r="C44" s="57"/>
      <c r="D44" s="57"/>
      <c r="E44" s="57"/>
      <c r="F44" s="57"/>
      <c r="G44" s="57"/>
      <c r="H44" s="57"/>
      <c r="I44" s="59"/>
      <c r="J44" s="57"/>
      <c r="K44" s="57"/>
      <c r="L44" s="59"/>
      <c r="M44" s="57"/>
      <c r="N44" s="59"/>
      <c r="O44" s="57"/>
      <c r="P44" s="57"/>
      <c r="Q44" s="59"/>
      <c r="R44" s="57"/>
      <c r="S44" s="59"/>
      <c r="T44" s="57"/>
      <c r="U44" s="43"/>
      <c r="V44" s="43"/>
      <c r="W44" s="43"/>
      <c r="X44" s="43"/>
      <c r="Y44" s="43"/>
      <c r="Z44" s="43"/>
      <c r="AA44" s="43"/>
    </row>
    <row r="45" spans="1:27">
      <c r="A45" s="2" t="s">
        <v>214</v>
      </c>
      <c r="B45" s="57"/>
      <c r="C45" s="57"/>
      <c r="D45" s="57"/>
      <c r="E45" s="57"/>
      <c r="F45" s="57"/>
      <c r="G45" s="57"/>
      <c r="H45" s="57"/>
      <c r="I45" s="59"/>
      <c r="J45" s="57"/>
      <c r="K45" s="57"/>
      <c r="L45" s="59"/>
      <c r="M45" s="57"/>
      <c r="N45" s="59"/>
      <c r="O45" s="57"/>
      <c r="P45" s="57"/>
      <c r="Q45" s="59"/>
      <c r="R45" s="57"/>
      <c r="S45" s="59"/>
      <c r="T45" s="57"/>
      <c r="U45" s="43"/>
      <c r="V45" s="43"/>
      <c r="W45" s="43"/>
      <c r="X45" s="43"/>
      <c r="Y45" s="43"/>
      <c r="Z45" s="43"/>
      <c r="AA45" s="43"/>
    </row>
    <row r="46" spans="1:27">
      <c r="A46" s="2"/>
      <c r="B46" s="57"/>
      <c r="C46" s="57"/>
      <c r="D46" s="57"/>
      <c r="E46" s="57"/>
      <c r="F46" s="57"/>
      <c r="G46" s="57"/>
      <c r="H46" s="57"/>
      <c r="I46" s="59"/>
      <c r="J46" s="57"/>
      <c r="K46" s="57"/>
      <c r="L46" s="59"/>
      <c r="M46" s="57"/>
      <c r="N46" s="59"/>
      <c r="O46" s="57"/>
      <c r="P46" s="57"/>
      <c r="Q46" s="59"/>
      <c r="R46" s="57"/>
      <c r="S46" s="59"/>
      <c r="T46" s="57"/>
      <c r="U46" s="43"/>
      <c r="V46" s="43"/>
      <c r="W46" s="43"/>
      <c r="X46" s="43"/>
      <c r="Y46" s="43"/>
      <c r="Z46" s="43"/>
      <c r="AA46" s="43"/>
    </row>
    <row r="47" spans="1:27">
      <c r="A47" t="s">
        <v>215</v>
      </c>
      <c r="B47" s="57"/>
      <c r="C47" s="57"/>
      <c r="D47" s="57"/>
      <c r="E47" s="57"/>
      <c r="F47" s="57"/>
      <c r="G47" s="57"/>
      <c r="H47" s="57"/>
      <c r="I47" s="59"/>
      <c r="J47" s="57"/>
      <c r="K47" s="57"/>
      <c r="L47" s="59"/>
      <c r="M47" s="57"/>
      <c r="N47" s="59"/>
      <c r="O47" s="57"/>
      <c r="P47" s="57"/>
      <c r="Q47" s="59"/>
      <c r="R47" s="57"/>
      <c r="S47" s="59"/>
      <c r="T47" s="57"/>
      <c r="U47" s="43"/>
      <c r="V47" s="43"/>
      <c r="W47" s="43"/>
      <c r="X47" s="43"/>
      <c r="Y47" s="43"/>
      <c r="Z47" s="43"/>
      <c r="AA47" s="43"/>
    </row>
    <row r="48" spans="1:27">
      <c r="A48" t="s">
        <v>216</v>
      </c>
      <c r="B48" s="57">
        <v>0</v>
      </c>
      <c r="C48" s="57">
        <v>0</v>
      </c>
      <c r="D48" s="57"/>
      <c r="E48" s="57">
        <v>0</v>
      </c>
      <c r="F48" s="57">
        <v>0</v>
      </c>
      <c r="G48" s="57"/>
      <c r="H48" s="57">
        <v>0</v>
      </c>
      <c r="I48" s="57">
        <v>0</v>
      </c>
      <c r="J48" s="57"/>
      <c r="K48" s="57" t="e">
        <f>+'sysratfinclé '!#REF!</f>
        <v>#REF!</v>
      </c>
      <c r="L48" s="57">
        <v>0</v>
      </c>
      <c r="M48" s="57"/>
      <c r="N48" s="994">
        <f>+H48</f>
        <v>0</v>
      </c>
      <c r="O48" s="57">
        <f>+I48</f>
        <v>0</v>
      </c>
      <c r="P48" s="57"/>
      <c r="Q48" s="57">
        <v>0</v>
      </c>
      <c r="R48" s="57">
        <v>0</v>
      </c>
      <c r="S48" s="57">
        <v>0</v>
      </c>
      <c r="T48" s="57">
        <v>0</v>
      </c>
      <c r="U48" s="43"/>
      <c r="V48" s="43"/>
      <c r="W48" s="43"/>
      <c r="X48" s="43"/>
      <c r="Y48" s="43"/>
      <c r="Z48" s="43"/>
      <c r="AA48" s="43"/>
    </row>
    <row r="49" spans="1:27">
      <c r="B49" s="57"/>
      <c r="C49" s="57"/>
      <c r="D49" s="57"/>
      <c r="E49" s="57"/>
      <c r="F49" s="57"/>
      <c r="G49" s="57"/>
      <c r="H49" s="57"/>
      <c r="I49" s="57"/>
      <c r="J49" s="57"/>
      <c r="K49" s="57"/>
      <c r="L49" s="57"/>
      <c r="M49" s="57"/>
      <c r="N49" s="57"/>
      <c r="O49" s="57"/>
      <c r="P49" s="57"/>
      <c r="Q49" s="57"/>
      <c r="R49" s="57"/>
      <c r="S49" s="57"/>
      <c r="T49" s="57"/>
      <c r="U49" s="43"/>
      <c r="V49" s="43"/>
      <c r="W49" s="43"/>
      <c r="X49" s="43"/>
      <c r="Y49" s="43"/>
      <c r="Z49" s="43"/>
      <c r="AA49" s="43"/>
    </row>
    <row r="50" spans="1:27">
      <c r="A50" t="s">
        <v>217</v>
      </c>
      <c r="B50" s="57"/>
      <c r="C50" s="57"/>
      <c r="D50" s="57"/>
      <c r="E50" s="57"/>
      <c r="F50" s="57"/>
      <c r="G50" s="57"/>
      <c r="H50" s="57"/>
      <c r="I50" s="57"/>
      <c r="J50" s="57"/>
      <c r="K50" s="57"/>
      <c r="L50" s="57"/>
      <c r="M50" s="57"/>
      <c r="N50" s="57"/>
      <c r="O50" s="57"/>
      <c r="P50" s="57"/>
      <c r="Q50" s="57"/>
      <c r="R50" s="57"/>
      <c r="S50" s="57"/>
      <c r="T50" s="57"/>
      <c r="U50" s="43"/>
      <c r="V50" s="43"/>
      <c r="W50" s="43"/>
      <c r="X50" s="43"/>
      <c r="Y50" s="43"/>
      <c r="Z50" s="43"/>
      <c r="AA50" s="43"/>
    </row>
    <row r="51" spans="1:27">
      <c r="A51" t="s">
        <v>218</v>
      </c>
      <c r="B51" s="57">
        <v>0</v>
      </c>
      <c r="C51" s="57">
        <v>0</v>
      </c>
      <c r="D51" s="57"/>
      <c r="E51" s="57">
        <v>0</v>
      </c>
      <c r="F51" s="57">
        <v>0</v>
      </c>
      <c r="G51" s="57"/>
      <c r="H51" s="57">
        <v>0</v>
      </c>
      <c r="I51" s="57">
        <v>0</v>
      </c>
      <c r="J51" s="57"/>
      <c r="K51" s="57" t="e">
        <f>+'sysratfinclé '!#REF!</f>
        <v>#REF!</v>
      </c>
      <c r="L51" s="57">
        <v>0</v>
      </c>
      <c r="M51" s="57"/>
      <c r="N51" s="994">
        <f>+H51</f>
        <v>0</v>
      </c>
      <c r="O51" s="57">
        <f>+I51</f>
        <v>0</v>
      </c>
      <c r="P51" s="57"/>
      <c r="Q51" s="57">
        <v>0</v>
      </c>
      <c r="R51" s="57">
        <v>0</v>
      </c>
      <c r="S51" s="57">
        <v>0</v>
      </c>
      <c r="T51" s="57">
        <v>0</v>
      </c>
      <c r="U51" s="43"/>
      <c r="V51" s="43"/>
      <c r="W51" s="43"/>
      <c r="X51" s="43"/>
      <c r="Y51" s="43"/>
      <c r="Z51" s="43"/>
      <c r="AA51" s="43"/>
    </row>
    <row r="52" spans="1:27">
      <c r="B52" s="57"/>
      <c r="C52" s="57"/>
      <c r="D52" s="57"/>
      <c r="E52" s="57"/>
      <c r="F52" s="57"/>
      <c r="G52" s="57"/>
      <c r="H52" s="57"/>
      <c r="I52" s="57"/>
      <c r="J52" s="57"/>
      <c r="K52" s="57"/>
      <c r="L52" s="57"/>
      <c r="M52" s="57"/>
      <c r="N52" s="59"/>
      <c r="O52" s="57"/>
      <c r="P52" s="57"/>
      <c r="Q52" s="57"/>
      <c r="R52" s="57"/>
      <c r="S52" s="57"/>
      <c r="T52" s="57"/>
      <c r="U52" s="43"/>
      <c r="V52" s="43"/>
      <c r="W52" s="43"/>
      <c r="X52" s="43"/>
      <c r="Y52" s="43"/>
      <c r="Z52" s="43"/>
      <c r="AA52" s="43"/>
    </row>
    <row r="53" spans="1:27">
      <c r="A53" t="s">
        <v>219</v>
      </c>
      <c r="B53" s="57"/>
      <c r="C53" s="57"/>
      <c r="D53" s="57"/>
      <c r="E53" s="57"/>
      <c r="F53" s="57"/>
      <c r="G53" s="57"/>
      <c r="H53" s="57"/>
      <c r="I53" s="57"/>
      <c r="J53" s="57"/>
      <c r="K53" s="57"/>
      <c r="L53" s="57"/>
      <c r="M53" s="57"/>
      <c r="N53" s="59"/>
      <c r="O53" s="57"/>
      <c r="P53" s="57"/>
      <c r="Q53" s="57"/>
      <c r="R53" s="57"/>
      <c r="S53" s="57"/>
      <c r="T53" s="57"/>
      <c r="U53" s="43"/>
      <c r="V53" s="43"/>
      <c r="W53" s="43"/>
      <c r="X53" s="43"/>
      <c r="Y53" s="43"/>
      <c r="Z53" s="43"/>
      <c r="AA53" s="43"/>
    </row>
    <row r="54" spans="1:27">
      <c r="A54" t="s">
        <v>220</v>
      </c>
      <c r="B54" s="59">
        <v>-2.3E-3</v>
      </c>
      <c r="C54" s="57">
        <v>0</v>
      </c>
      <c r="D54" s="57"/>
      <c r="E54" s="359">
        <v>-9.9000000000000008E-3</v>
      </c>
      <c r="F54" s="57">
        <v>0</v>
      </c>
      <c r="G54" s="57"/>
      <c r="H54" s="57">
        <v>0</v>
      </c>
      <c r="I54" s="57">
        <v>0</v>
      </c>
      <c r="J54" s="57"/>
      <c r="K54" s="57">
        <v>0</v>
      </c>
      <c r="L54" s="57">
        <v>0</v>
      </c>
      <c r="M54" s="57"/>
      <c r="N54" s="994">
        <f>+H54</f>
        <v>0</v>
      </c>
      <c r="O54" s="57">
        <f>+I54</f>
        <v>0</v>
      </c>
      <c r="P54" s="57"/>
      <c r="Q54" s="57">
        <v>0</v>
      </c>
      <c r="R54" s="57">
        <v>0</v>
      </c>
      <c r="S54" s="57">
        <v>0</v>
      </c>
      <c r="T54" s="57">
        <v>0</v>
      </c>
      <c r="U54" s="43"/>
      <c r="V54" s="43"/>
      <c r="W54" s="43"/>
      <c r="X54" s="43"/>
      <c r="Y54" s="43"/>
      <c r="Z54" s="43"/>
      <c r="AA54" s="43"/>
    </row>
    <row r="55" spans="1:27">
      <c r="A55" t="s">
        <v>0</v>
      </c>
      <c r="B55" s="57"/>
      <c r="C55" s="57"/>
      <c r="D55" s="57"/>
      <c r="E55" s="57"/>
      <c r="F55" s="57"/>
      <c r="G55" s="57"/>
      <c r="H55" s="57"/>
      <c r="I55" s="59"/>
      <c r="J55" s="57"/>
      <c r="K55" s="57"/>
      <c r="L55" s="59"/>
      <c r="M55" s="57"/>
      <c r="N55" s="57"/>
      <c r="O55" s="57"/>
      <c r="P55" s="57"/>
      <c r="Q55" s="59"/>
      <c r="R55" s="57"/>
      <c r="S55" s="59"/>
      <c r="T55" s="57"/>
      <c r="U55" s="43"/>
      <c r="V55" s="43"/>
      <c r="W55" s="43"/>
      <c r="X55" s="43"/>
      <c r="Y55" s="43"/>
      <c r="Z55" s="43"/>
      <c r="AA55" s="43"/>
    </row>
    <row r="56" spans="1:27">
      <c r="A56" s="2" t="s">
        <v>221</v>
      </c>
      <c r="B56" s="57"/>
      <c r="C56" s="57"/>
      <c r="D56" s="57"/>
      <c r="E56" s="57"/>
      <c r="F56" s="57"/>
      <c r="G56" s="57"/>
      <c r="H56" s="57"/>
      <c r="I56" s="59"/>
      <c r="J56" s="57"/>
      <c r="K56" s="57"/>
      <c r="L56" s="59"/>
      <c r="M56" s="57"/>
      <c r="N56" s="57"/>
      <c r="O56" s="57"/>
      <c r="P56" s="57"/>
      <c r="Q56" s="59"/>
      <c r="R56" s="57"/>
      <c r="S56" s="59"/>
      <c r="T56" s="57"/>
      <c r="U56" s="43"/>
      <c r="V56" s="43"/>
      <c r="W56" s="43"/>
      <c r="X56" s="43"/>
      <c r="Y56" s="43"/>
      <c r="Z56" s="43"/>
      <c r="AA56" s="43"/>
    </row>
    <row r="57" spans="1:27">
      <c r="A57" s="2"/>
      <c r="B57" s="57"/>
      <c r="C57" s="57"/>
      <c r="D57" s="57"/>
      <c r="E57" s="57"/>
      <c r="F57" s="57"/>
      <c r="G57" s="57"/>
      <c r="H57" s="57"/>
      <c r="I57" s="59"/>
      <c r="J57" s="57"/>
      <c r="K57" s="57"/>
      <c r="L57" s="59"/>
      <c r="M57" s="57"/>
      <c r="N57" s="57"/>
      <c r="O57" s="57"/>
      <c r="P57" s="57"/>
      <c r="Q57" s="59"/>
      <c r="R57" s="57"/>
      <c r="S57" s="59"/>
      <c r="T57" s="57"/>
      <c r="U57" s="43"/>
      <c r="V57" s="43"/>
      <c r="W57" s="43"/>
      <c r="X57" s="43"/>
      <c r="Y57" s="43"/>
      <c r="Z57" s="43"/>
      <c r="AA57" s="43"/>
    </row>
    <row r="58" spans="1:27">
      <c r="A58" t="s">
        <v>222</v>
      </c>
      <c r="B58" s="59">
        <v>5.4000000000000003E-3</v>
      </c>
      <c r="C58" s="59">
        <v>-7.8E-2</v>
      </c>
      <c r="D58" s="57"/>
      <c r="E58" s="359">
        <v>-5.7200000000000001E-2</v>
      </c>
      <c r="F58" s="59">
        <v>-0.16309999999999999</v>
      </c>
      <c r="G58" s="57"/>
      <c r="H58" s="57">
        <v>0</v>
      </c>
      <c r="I58" s="59">
        <v>-0.1037</v>
      </c>
      <c r="J58" s="57"/>
      <c r="K58" s="57">
        <v>0</v>
      </c>
      <c r="L58" s="59">
        <v>-9.8599999999999993E-2</v>
      </c>
      <c r="M58" s="57"/>
      <c r="N58" s="359" t="e">
        <f>+'sysratfinclé '!#REF!</f>
        <v>#REF!</v>
      </c>
      <c r="O58" s="359" t="e">
        <f>+'sysratfinclé '!#REF!</f>
        <v>#REF!</v>
      </c>
      <c r="P58" s="57"/>
      <c r="Q58" s="59">
        <v>-0.1565</v>
      </c>
      <c r="R58" s="57">
        <v>0</v>
      </c>
      <c r="S58" s="59">
        <v>-0.10879999999999999</v>
      </c>
      <c r="T58" s="57">
        <v>0</v>
      </c>
      <c r="U58" s="43"/>
      <c r="V58" s="43"/>
      <c r="W58" s="43"/>
      <c r="X58" s="43"/>
      <c r="Y58" s="43"/>
      <c r="Z58" s="43"/>
      <c r="AA58" s="43"/>
    </row>
    <row r="59" spans="1:27" ht="7.15" customHeight="1">
      <c r="B59" s="57"/>
      <c r="C59" s="364" t="s">
        <v>0</v>
      </c>
      <c r="D59" s="57"/>
      <c r="E59" s="57"/>
      <c r="F59" s="364" t="s">
        <v>0</v>
      </c>
      <c r="G59" s="57"/>
      <c r="H59" s="57"/>
      <c r="I59" s="59"/>
      <c r="J59" s="57"/>
      <c r="K59" s="57"/>
      <c r="L59" s="59"/>
      <c r="M59" s="57"/>
      <c r="N59" s="364" t="s">
        <v>0</v>
      </c>
      <c r="O59" s="364" t="s">
        <v>0</v>
      </c>
      <c r="P59" s="57"/>
      <c r="Q59" s="59"/>
      <c r="R59" s="57"/>
      <c r="S59" s="59"/>
      <c r="T59" s="57"/>
      <c r="U59" s="43"/>
      <c r="V59" s="43"/>
      <c r="W59" s="43"/>
      <c r="X59" s="43"/>
      <c r="Y59" s="43"/>
      <c r="Z59" s="43"/>
      <c r="AA59" s="43"/>
    </row>
    <row r="60" spans="1:27">
      <c r="A60" t="s">
        <v>547</v>
      </c>
      <c r="B60" s="59">
        <v>1.3100000000000001E-2</v>
      </c>
      <c r="C60" s="59">
        <v>-0.3276</v>
      </c>
      <c r="D60" s="57"/>
      <c r="E60" s="362">
        <v>-0.15840000000000001</v>
      </c>
      <c r="F60" s="59">
        <v>-0.38069999999999998</v>
      </c>
      <c r="G60" s="57"/>
      <c r="H60" s="57">
        <v>0</v>
      </c>
      <c r="I60" s="59">
        <v>-0.20880000000000001</v>
      </c>
      <c r="J60" s="57"/>
      <c r="K60" s="57">
        <v>0</v>
      </c>
      <c r="L60" s="59">
        <v>-0.2263</v>
      </c>
      <c r="M60" s="57"/>
      <c r="N60" s="359" t="e">
        <f>+'sysratfinclé '!#REF!</f>
        <v>#REF!</v>
      </c>
      <c r="O60" s="359" t="e">
        <f>+'sysratfinclé '!#REF!</f>
        <v>#REF!</v>
      </c>
      <c r="P60" s="57"/>
      <c r="Q60" s="59">
        <v>-0.36880000000000002</v>
      </c>
      <c r="R60" s="57">
        <v>0</v>
      </c>
      <c r="S60" s="59">
        <v>-0.72940000000000005</v>
      </c>
      <c r="T60" s="57">
        <v>0</v>
      </c>
      <c r="U60" s="43"/>
      <c r="V60" s="43"/>
      <c r="W60" s="43"/>
      <c r="X60" s="43"/>
      <c r="Y60" s="43"/>
      <c r="Z60" s="43"/>
      <c r="AA60" s="43"/>
    </row>
    <row r="61" spans="1:27" ht="7.15" customHeight="1">
      <c r="B61" s="57"/>
      <c r="C61" s="57"/>
      <c r="D61" s="57"/>
      <c r="E61" s="57"/>
      <c r="F61" s="57"/>
      <c r="G61" s="57"/>
      <c r="H61" s="57"/>
      <c r="I61" s="59"/>
      <c r="J61" s="57"/>
      <c r="K61" s="57"/>
      <c r="L61" s="59"/>
      <c r="M61" s="57"/>
      <c r="N61" s="57"/>
      <c r="O61" s="57"/>
      <c r="P61" s="57"/>
      <c r="Q61" s="59"/>
      <c r="R61" s="57"/>
      <c r="S61" s="59"/>
      <c r="T61" s="57"/>
      <c r="U61" s="43"/>
      <c r="V61" s="43"/>
      <c r="W61" s="43"/>
      <c r="X61" s="43"/>
      <c r="Y61" s="43"/>
      <c r="Z61" s="43"/>
      <c r="AA61" s="43"/>
    </row>
    <row r="62" spans="1:27">
      <c r="A62" t="s">
        <v>201</v>
      </c>
      <c r="B62" s="57"/>
      <c r="C62" s="57"/>
      <c r="D62" s="57"/>
      <c r="E62" s="57"/>
      <c r="F62" s="57"/>
      <c r="G62" s="57"/>
      <c r="H62" s="57"/>
      <c r="I62" s="59"/>
      <c r="J62" s="57"/>
      <c r="K62" s="57"/>
      <c r="L62" s="59"/>
      <c r="M62" s="57"/>
      <c r="N62" s="57"/>
      <c r="O62" s="57"/>
      <c r="P62" s="57"/>
      <c r="Q62" s="59"/>
      <c r="R62" s="57"/>
      <c r="S62" s="59"/>
      <c r="T62" s="57"/>
      <c r="U62" s="43"/>
      <c r="V62" s="43"/>
      <c r="W62" s="43"/>
      <c r="X62" s="43"/>
      <c r="Y62" s="43"/>
      <c r="Z62" s="43"/>
      <c r="AA62" s="43"/>
    </row>
    <row r="63" spans="1:27">
      <c r="A63" t="s">
        <v>225</v>
      </c>
      <c r="B63" s="59">
        <v>0.81720000000000004</v>
      </c>
      <c r="C63" s="57">
        <v>0</v>
      </c>
      <c r="D63" s="57"/>
      <c r="E63" s="359">
        <v>0.77829999999999999</v>
      </c>
      <c r="F63" s="59">
        <v>-0.53720000000000001</v>
      </c>
      <c r="G63" s="57"/>
      <c r="H63" s="57">
        <v>0</v>
      </c>
      <c r="I63" s="59">
        <v>0.45250000000000001</v>
      </c>
      <c r="J63" s="57"/>
      <c r="K63" s="57">
        <v>0</v>
      </c>
      <c r="L63" s="59">
        <v>0.6966</v>
      </c>
      <c r="M63" s="57"/>
      <c r="N63" s="359" t="e">
        <f>+'sysratfinclé '!#REF!</f>
        <v>#REF!</v>
      </c>
      <c r="O63" s="359" t="e">
        <f>+'sysratfinclé '!#REF!</f>
        <v>#REF!</v>
      </c>
      <c r="P63" s="57"/>
      <c r="Q63" s="59">
        <v>0.46550000000000002</v>
      </c>
      <c r="R63" s="57">
        <v>0</v>
      </c>
      <c r="S63" s="360">
        <v>-4.6006999999999998</v>
      </c>
      <c r="T63" s="57">
        <v>0</v>
      </c>
      <c r="U63" s="43"/>
      <c r="V63" s="43"/>
      <c r="W63" s="43"/>
      <c r="X63" s="43"/>
      <c r="Y63" s="43"/>
      <c r="Z63" s="43"/>
      <c r="AA63" s="43"/>
    </row>
    <row r="64" spans="1:27" ht="7.15" customHeight="1">
      <c r="B64" s="57"/>
      <c r="C64" s="57"/>
      <c r="D64" s="57"/>
      <c r="E64" s="57"/>
      <c r="F64" s="57"/>
      <c r="G64" s="57"/>
      <c r="H64" s="57"/>
      <c r="I64" s="59"/>
      <c r="J64" s="57"/>
      <c r="K64" s="57"/>
      <c r="L64" s="59"/>
      <c r="M64" s="57"/>
      <c r="N64" s="57"/>
      <c r="O64" s="57"/>
      <c r="P64" s="57"/>
      <c r="Q64" s="59"/>
      <c r="R64" s="57"/>
      <c r="S64" s="59"/>
      <c r="T64" s="57"/>
      <c r="U64" s="43"/>
      <c r="V64" s="43"/>
      <c r="W64" s="43"/>
      <c r="X64" s="43"/>
      <c r="Y64" s="43"/>
      <c r="Z64" s="43"/>
      <c r="AA64" s="43"/>
    </row>
    <row r="65" spans="1:20">
      <c r="A65" t="s">
        <v>226</v>
      </c>
      <c r="B65" s="59">
        <v>0.28370000000000001</v>
      </c>
      <c r="C65" s="57">
        <v>0</v>
      </c>
      <c r="D65" s="9"/>
      <c r="E65" s="359">
        <v>0.1812</v>
      </c>
      <c r="F65" s="59">
        <v>0.1016</v>
      </c>
      <c r="G65" s="9"/>
      <c r="H65" s="57">
        <v>0</v>
      </c>
      <c r="I65" s="59">
        <v>0.2828</v>
      </c>
      <c r="J65" s="9"/>
      <c r="K65" s="57">
        <v>0</v>
      </c>
      <c r="L65" s="59">
        <v>0.24079999999999999</v>
      </c>
      <c r="M65" s="9"/>
      <c r="N65" s="359" t="e">
        <f>+'sysratfinclé '!#REF!</f>
        <v>#REF!</v>
      </c>
      <c r="O65" s="359" t="e">
        <f>+'sysratfinclé '!#REF!</f>
        <v>#REF!</v>
      </c>
      <c r="P65" s="9"/>
      <c r="Q65" s="59">
        <v>0.2258</v>
      </c>
      <c r="R65" s="57">
        <v>0</v>
      </c>
      <c r="S65" s="59">
        <v>1.11E-2</v>
      </c>
      <c r="T65" s="57">
        <v>0</v>
      </c>
    </row>
    <row r="66" spans="1:20" ht="7.15" customHeight="1">
      <c r="B66" s="57"/>
      <c r="C66" s="57"/>
      <c r="D66" s="9"/>
      <c r="E66" s="57"/>
      <c r="F66" s="57"/>
      <c r="G66" s="9"/>
      <c r="H66" s="57"/>
      <c r="I66" s="59"/>
      <c r="J66" s="9"/>
      <c r="K66" s="57"/>
      <c r="L66" s="59"/>
      <c r="M66" s="9"/>
      <c r="N66" s="57"/>
      <c r="O66" s="57"/>
      <c r="P66" s="9"/>
      <c r="Q66" s="59"/>
      <c r="R66" s="57"/>
      <c r="S66" s="59"/>
      <c r="T66" s="57"/>
    </row>
    <row r="67" spans="1:20">
      <c r="A67" t="s">
        <v>227</v>
      </c>
      <c r="B67" s="59">
        <v>2.4299999999999999E-2</v>
      </c>
      <c r="C67" s="59">
        <v>0.15040000000000001</v>
      </c>
      <c r="D67" s="9"/>
      <c r="E67" s="359">
        <v>2.18E-2</v>
      </c>
      <c r="F67" s="59">
        <v>7.1099999999999997E-2</v>
      </c>
      <c r="G67" s="9"/>
      <c r="H67" s="57">
        <v>0</v>
      </c>
      <c r="I67" s="59">
        <v>5.79E-2</v>
      </c>
      <c r="J67" s="9"/>
      <c r="K67" s="57">
        <v>0</v>
      </c>
      <c r="L67" s="59">
        <v>2.8899999999999999E-2</v>
      </c>
      <c r="M67" s="9"/>
      <c r="N67" s="359" t="e">
        <f>+'sysratfinclé '!#REF!</f>
        <v>#REF!</v>
      </c>
      <c r="O67" s="359" t="e">
        <f>+'sysratfinclé '!#REF!</f>
        <v>#REF!</v>
      </c>
      <c r="P67" s="9"/>
      <c r="Q67" s="59">
        <v>4.8099999999999997E-2</v>
      </c>
      <c r="R67" s="57">
        <v>0</v>
      </c>
      <c r="S67" s="59">
        <v>1.7299999999999999E-2</v>
      </c>
      <c r="T67" s="57">
        <v>0</v>
      </c>
    </row>
    <row r="68" spans="1:20" ht="6" customHeight="1">
      <c r="B68" s="57"/>
      <c r="C68" s="57"/>
      <c r="D68" s="9"/>
      <c r="E68" s="57"/>
      <c r="F68" s="57"/>
      <c r="G68" s="9"/>
      <c r="H68" s="57"/>
      <c r="I68" s="59"/>
      <c r="J68" s="9"/>
      <c r="K68" s="57"/>
      <c r="L68" s="59"/>
      <c r="M68" s="9"/>
      <c r="N68" s="57"/>
      <c r="O68" s="57"/>
      <c r="P68" s="9"/>
      <c r="Q68" s="59"/>
      <c r="R68" s="57"/>
      <c r="S68" s="59"/>
      <c r="T68" s="57"/>
    </row>
    <row r="69" spans="1:20">
      <c r="A69" t="s">
        <v>204</v>
      </c>
      <c r="B69" s="57"/>
      <c r="C69" s="57"/>
      <c r="D69" s="9"/>
      <c r="E69" s="57"/>
      <c r="F69" s="57"/>
      <c r="G69" s="9"/>
      <c r="H69" s="57"/>
      <c r="I69" s="59"/>
      <c r="J69" s="9"/>
      <c r="K69" s="57"/>
      <c r="L69" s="59"/>
      <c r="M69" s="9"/>
      <c r="N69" s="57"/>
      <c r="O69" s="57"/>
      <c r="P69" s="9"/>
      <c r="Q69" s="59"/>
      <c r="R69" s="57"/>
      <c r="S69" s="59"/>
      <c r="T69" s="57"/>
    </row>
    <row r="70" spans="1:20">
      <c r="A70" t="s">
        <v>228</v>
      </c>
      <c r="B70" s="59">
        <v>0.89549999999999996</v>
      </c>
      <c r="C70" s="59">
        <v>-10.299899999999999</v>
      </c>
      <c r="D70" s="9"/>
      <c r="E70" s="359">
        <v>1.6894</v>
      </c>
      <c r="F70" s="59">
        <v>-64.459299999999999</v>
      </c>
      <c r="G70" s="9"/>
      <c r="H70" s="57">
        <v>0</v>
      </c>
      <c r="I70" s="59">
        <v>5.0068999999999999</v>
      </c>
      <c r="J70" s="9"/>
      <c r="K70" s="57">
        <v>0</v>
      </c>
      <c r="L70" s="59">
        <v>3.5091999999999999</v>
      </c>
      <c r="M70" s="9"/>
      <c r="N70" s="359" t="e">
        <f>+'sysratfinclé '!#REF!</f>
        <v>#REF!</v>
      </c>
      <c r="O70" s="359" t="e">
        <f>+'sysratfinclé '!#REF!</f>
        <v>#REF!</v>
      </c>
      <c r="P70" s="9"/>
      <c r="Q70" s="59">
        <v>6.5012999999999996</v>
      </c>
      <c r="R70" s="57">
        <v>0</v>
      </c>
      <c r="S70" s="941">
        <v>-12.609500000000001</v>
      </c>
      <c r="T70" s="57">
        <v>0</v>
      </c>
    </row>
    <row r="71" spans="1:20">
      <c r="A71" t="s">
        <v>452</v>
      </c>
      <c r="B71" s="57"/>
      <c r="C71" s="9"/>
      <c r="D71" s="9"/>
      <c r="E71" s="57"/>
      <c r="F71" s="9"/>
      <c r="G71" s="9"/>
      <c r="H71" s="49"/>
      <c r="I71" s="56"/>
      <c r="J71" s="9"/>
      <c r="K71" s="49"/>
      <c r="L71" s="59"/>
      <c r="M71" s="9"/>
      <c r="N71" s="57"/>
      <c r="O71" s="57"/>
      <c r="P71" s="9"/>
      <c r="Q71" s="59"/>
      <c r="R71" s="49"/>
      <c r="S71" s="56"/>
      <c r="T71" s="9"/>
    </row>
    <row r="72" spans="1:20">
      <c r="B72" s="57"/>
      <c r="C72" s="9"/>
      <c r="D72" s="9"/>
      <c r="E72" s="57"/>
      <c r="F72" s="9"/>
      <c r="G72" s="9"/>
      <c r="H72" s="49"/>
      <c r="I72" s="56"/>
      <c r="J72" s="9"/>
      <c r="K72" s="49"/>
      <c r="L72" s="59"/>
      <c r="M72" s="9"/>
      <c r="N72" s="57"/>
      <c r="O72" s="57"/>
      <c r="P72" s="9"/>
      <c r="Q72" s="59"/>
      <c r="R72" s="49"/>
      <c r="S72" s="56"/>
      <c r="T72" s="9"/>
    </row>
    <row r="73" spans="1:20">
      <c r="A73" t="s">
        <v>453</v>
      </c>
      <c r="B73" s="57">
        <v>292.85000000000002</v>
      </c>
      <c r="C73" s="364">
        <v>0</v>
      </c>
      <c r="D73" s="9"/>
      <c r="E73" s="57">
        <v>246.07</v>
      </c>
      <c r="F73" s="57">
        <v>-6.56</v>
      </c>
      <c r="G73" s="9"/>
      <c r="H73" s="49">
        <v>0</v>
      </c>
      <c r="I73" s="49">
        <v>78.73</v>
      </c>
      <c r="J73" s="9"/>
      <c r="K73" s="49">
        <v>0</v>
      </c>
      <c r="L73" s="57">
        <v>133.76</v>
      </c>
      <c r="M73" s="9"/>
      <c r="N73" s="57" t="e">
        <f>+'sysratfinclé '!#REF!</f>
        <v>#REF!</v>
      </c>
      <c r="O73" s="57" t="e">
        <f>+'sysratfinclé '!#REF!</f>
        <v>#REF!</v>
      </c>
      <c r="P73" s="9"/>
      <c r="Q73" s="59">
        <v>1.0016</v>
      </c>
      <c r="R73" s="49">
        <v>0</v>
      </c>
      <c r="S73" s="49">
        <v>-8.01</v>
      </c>
      <c r="T73" s="9"/>
    </row>
    <row r="74" spans="1:20" ht="16.5" thickBot="1">
      <c r="B74" s="19"/>
      <c r="C74" s="19"/>
      <c r="D74" s="19"/>
      <c r="E74" s="19"/>
      <c r="F74" s="19"/>
      <c r="G74" s="19"/>
      <c r="H74" s="19"/>
      <c r="I74" s="19"/>
      <c r="J74" s="19"/>
      <c r="K74" s="19"/>
      <c r="L74" s="19"/>
      <c r="M74" s="19"/>
      <c r="N74" s="19"/>
      <c r="O74" s="19"/>
      <c r="P74" s="19"/>
      <c r="Q74" s="19"/>
      <c r="R74" s="19"/>
      <c r="S74" s="19"/>
      <c r="T74" s="19"/>
    </row>
    <row r="76" spans="1:20">
      <c r="A76" t="s">
        <v>581</v>
      </c>
    </row>
  </sheetData>
  <pageMargins left="0.2" right="0.2" top="0.55000000000000004" bottom="0.48" header="0.39" footer="0.27"/>
  <pageSetup scale="44"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69"/>
  <sheetViews>
    <sheetView workbookViewId="0"/>
  </sheetViews>
  <sheetFormatPr defaultRowHeight="15.75"/>
  <cols>
    <col min="1" max="1" width="33.25" customWidth="1"/>
    <col min="2" max="2" width="17.37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11.3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8" width="15.75" style="12" customWidth="1"/>
    <col min="19" max="21" width="15.75" customWidth="1"/>
    <col min="22" max="256" width="11" customWidth="1"/>
  </cols>
  <sheetData>
    <row r="1" spans="1:21">
      <c r="A1" s="114" t="s">
        <v>573</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6" spans="1:21" s="2" customFormat="1" ht="16.5" thickBot="1">
      <c r="B6" s="400" t="s">
        <v>0</v>
      </c>
      <c r="C6" s="399"/>
      <c r="D6" s="400"/>
      <c r="E6" s="399"/>
      <c r="F6" s="400"/>
      <c r="G6" s="399"/>
      <c r="H6" s="400"/>
      <c r="I6" s="67" t="s">
        <v>166</v>
      </c>
      <c r="J6" s="123" t="s">
        <v>167</v>
      </c>
      <c r="K6" s="230"/>
      <c r="L6" s="123"/>
      <c r="M6" s="230"/>
      <c r="N6" s="123"/>
      <c r="O6" s="230"/>
      <c r="P6" s="123"/>
      <c r="Q6" s="4"/>
      <c r="R6" s="4"/>
    </row>
    <row r="7" spans="1:21" s="2" customFormat="1" ht="16.5" thickBot="1">
      <c r="B7" s="225" t="s">
        <v>168</v>
      </c>
      <c r="C7" s="224" t="s">
        <v>169</v>
      </c>
      <c r="D7" s="225" t="s">
        <v>170</v>
      </c>
      <c r="E7" s="224" t="s">
        <v>169</v>
      </c>
      <c r="F7" s="225" t="s">
        <v>171</v>
      </c>
      <c r="G7" s="224" t="s">
        <v>169</v>
      </c>
      <c r="H7" s="225" t="s">
        <v>172</v>
      </c>
      <c r="I7" s="445" t="s">
        <v>173</v>
      </c>
      <c r="J7" s="228" t="s">
        <v>174</v>
      </c>
      <c r="K7" s="227" t="s">
        <v>169</v>
      </c>
      <c r="L7" s="228" t="s">
        <v>175</v>
      </c>
      <c r="M7" s="227" t="s">
        <v>169</v>
      </c>
      <c r="N7" s="228" t="s">
        <v>176</v>
      </c>
      <c r="O7" s="227" t="s">
        <v>169</v>
      </c>
      <c r="P7" s="228" t="s">
        <v>177</v>
      </c>
      <c r="Q7" s="80"/>
      <c r="R7" s="80"/>
      <c r="S7" s="18"/>
      <c r="T7" s="18"/>
      <c r="U7" s="18"/>
    </row>
    <row r="8" spans="1:21">
      <c r="A8" s="87" t="s">
        <v>243</v>
      </c>
      <c r="B8" s="125"/>
      <c r="C8" s="124"/>
      <c r="D8" s="125"/>
      <c r="E8" s="124"/>
      <c r="F8" s="125"/>
      <c r="G8" s="124"/>
      <c r="H8" s="125"/>
      <c r="I8" s="386"/>
      <c r="J8" s="219"/>
      <c r="K8" s="124"/>
      <c r="L8" s="219"/>
      <c r="M8" s="124"/>
      <c r="N8" s="219"/>
      <c r="O8" s="124"/>
      <c r="P8" s="219"/>
      <c r="Q8" s="14"/>
      <c r="R8" s="14"/>
      <c r="S8" s="9"/>
      <c r="T8" s="9"/>
      <c r="U8" s="9"/>
    </row>
    <row r="9" spans="1:21">
      <c r="A9" s="1" t="s">
        <v>264</v>
      </c>
      <c r="B9"/>
    </row>
    <row r="10" spans="1:21">
      <c r="A10" s="1" t="s">
        <v>265</v>
      </c>
      <c r="B10" s="12">
        <v>0</v>
      </c>
      <c r="C10" s="44">
        <v>0</v>
      </c>
      <c r="D10" s="12">
        <v>0</v>
      </c>
      <c r="E10" s="44">
        <v>0</v>
      </c>
      <c r="F10" s="12">
        <v>0</v>
      </c>
      <c r="G10" s="44">
        <v>0</v>
      </c>
      <c r="H10" s="12">
        <v>0</v>
      </c>
      <c r="I10" s="44">
        <v>0</v>
      </c>
      <c r="J10" s="12">
        <v>0</v>
      </c>
      <c r="K10" s="12">
        <v>0</v>
      </c>
      <c r="L10" s="12">
        <v>4080.4</v>
      </c>
      <c r="M10" s="44">
        <v>0</v>
      </c>
      <c r="N10" s="12">
        <v>0</v>
      </c>
      <c r="O10" s="44">
        <v>0</v>
      </c>
      <c r="P10" s="12">
        <v>3177.1</v>
      </c>
    </row>
    <row r="11" spans="1:21">
      <c r="A11" s="1" t="s">
        <v>266</v>
      </c>
      <c r="B11" s="12">
        <v>0</v>
      </c>
      <c r="C11" s="44">
        <v>0</v>
      </c>
      <c r="D11" s="12">
        <v>0</v>
      </c>
      <c r="E11" s="44">
        <v>0</v>
      </c>
      <c r="F11" s="12">
        <v>0</v>
      </c>
      <c r="G11" s="44">
        <v>0</v>
      </c>
      <c r="H11" s="12">
        <v>0</v>
      </c>
      <c r="I11" s="44">
        <v>0</v>
      </c>
      <c r="J11" s="12">
        <v>0</v>
      </c>
      <c r="K11" s="12">
        <v>0</v>
      </c>
      <c r="L11" s="12">
        <v>1735.9</v>
      </c>
      <c r="M11" s="44">
        <v>0</v>
      </c>
      <c r="N11" s="12">
        <v>0</v>
      </c>
      <c r="O11" s="44">
        <v>0</v>
      </c>
      <c r="P11" s="12">
        <v>5303.6</v>
      </c>
    </row>
    <row r="12" spans="1:21">
      <c r="A12" s="1" t="s">
        <v>267</v>
      </c>
      <c r="B12" s="12">
        <v>0</v>
      </c>
      <c r="C12" s="44">
        <v>0</v>
      </c>
      <c r="D12" s="12">
        <v>0</v>
      </c>
      <c r="E12" s="44">
        <v>0</v>
      </c>
      <c r="F12" s="12">
        <v>0</v>
      </c>
      <c r="G12" s="44">
        <v>0</v>
      </c>
      <c r="H12" s="12">
        <v>0</v>
      </c>
      <c r="I12" s="44">
        <v>0</v>
      </c>
      <c r="J12" s="12">
        <v>0</v>
      </c>
      <c r="K12" s="12">
        <v>0</v>
      </c>
      <c r="L12" s="12">
        <v>4675.5</v>
      </c>
      <c r="M12" s="44">
        <v>0</v>
      </c>
      <c r="N12" s="12">
        <v>0</v>
      </c>
      <c r="O12" s="44">
        <v>0</v>
      </c>
      <c r="P12" s="12">
        <v>10469.200000000001</v>
      </c>
    </row>
    <row r="13" spans="1:21">
      <c r="A13" s="1" t="s">
        <v>268</v>
      </c>
      <c r="B13" s="12">
        <v>0</v>
      </c>
      <c r="C13" s="44">
        <v>0</v>
      </c>
      <c r="D13" s="12">
        <v>0</v>
      </c>
      <c r="E13" s="44">
        <v>0</v>
      </c>
      <c r="F13" s="12">
        <f>+F75</f>
        <v>0</v>
      </c>
      <c r="G13" s="44">
        <v>0</v>
      </c>
      <c r="H13" s="12">
        <v>0</v>
      </c>
      <c r="I13" s="44">
        <v>0</v>
      </c>
      <c r="J13" s="12">
        <v>0</v>
      </c>
      <c r="K13" s="12">
        <v>0</v>
      </c>
      <c r="L13" s="12">
        <v>14500</v>
      </c>
      <c r="M13" s="44">
        <v>0</v>
      </c>
      <c r="N13" s="12">
        <v>0</v>
      </c>
      <c r="O13" s="44">
        <v>0</v>
      </c>
      <c r="P13" s="12">
        <v>663.3</v>
      </c>
    </row>
    <row r="14" spans="1:21">
      <c r="A14" s="1" t="s">
        <v>269</v>
      </c>
      <c r="B14" s="221">
        <v>0</v>
      </c>
      <c r="C14" s="44">
        <v>0</v>
      </c>
      <c r="D14" s="221">
        <v>0</v>
      </c>
      <c r="E14" s="44">
        <v>0</v>
      </c>
      <c r="F14" s="221">
        <v>0</v>
      </c>
      <c r="G14" s="44">
        <v>0</v>
      </c>
      <c r="H14" s="221">
        <v>0</v>
      </c>
      <c r="I14" s="44">
        <v>0</v>
      </c>
      <c r="J14" s="221">
        <v>0</v>
      </c>
      <c r="K14" s="221">
        <v>0</v>
      </c>
      <c r="L14" s="221">
        <f>1701.2+116.1</f>
        <v>1817.3</v>
      </c>
      <c r="M14" s="44">
        <v>0</v>
      </c>
      <c r="N14" s="221">
        <v>0</v>
      </c>
      <c r="O14" s="44">
        <v>0</v>
      </c>
      <c r="P14" s="221">
        <v>1009.9</v>
      </c>
    </row>
    <row r="15" spans="1:21" ht="15.6" customHeight="1">
      <c r="A15" s="1"/>
      <c r="B15" s="12">
        <f>SUM(B10:B14)</f>
        <v>0</v>
      </c>
      <c r="C15" s="44">
        <v>0</v>
      </c>
      <c r="D15" s="12">
        <f>SUM(D10:D14)</f>
        <v>0</v>
      </c>
      <c r="E15" s="44">
        <v>0</v>
      </c>
      <c r="F15" s="12">
        <f>SUM(F10:F14)</f>
        <v>0</v>
      </c>
      <c r="G15" s="44">
        <v>0</v>
      </c>
      <c r="H15" s="12">
        <f>SUM(H10:H14)</f>
        <v>0</v>
      </c>
      <c r="I15" s="44">
        <v>0</v>
      </c>
      <c r="J15" s="12">
        <f>SUM(J10:J14)</f>
        <v>0</v>
      </c>
      <c r="K15" s="12">
        <f>SUM(K10:K14)</f>
        <v>0</v>
      </c>
      <c r="L15" s="12">
        <f>SUM(L10:L14)</f>
        <v>26809.1</v>
      </c>
      <c r="M15" s="44">
        <v>0</v>
      </c>
      <c r="N15" s="12">
        <f>SUM(N10:N14)</f>
        <v>0</v>
      </c>
      <c r="O15" s="44">
        <v>0</v>
      </c>
      <c r="P15" s="12">
        <f>SUM(P10:P14)</f>
        <v>20623.100000000002</v>
      </c>
    </row>
    <row r="16" spans="1:21" ht="7.9" customHeight="1">
      <c r="A16" s="1"/>
      <c r="C16" s="44" t="s">
        <v>0</v>
      </c>
      <c r="E16" s="44" t="s">
        <v>0</v>
      </c>
      <c r="G16" s="44" t="s">
        <v>0</v>
      </c>
      <c r="I16" s="44" t="s">
        <v>0</v>
      </c>
      <c r="K16" s="12"/>
      <c r="M16" s="44" t="s">
        <v>0</v>
      </c>
      <c r="O16" s="44" t="s">
        <v>0</v>
      </c>
    </row>
    <row r="17" spans="1:16" ht="15.6" customHeight="1">
      <c r="A17" s="1" t="s">
        <v>270</v>
      </c>
      <c r="B17" s="12">
        <v>0</v>
      </c>
      <c r="C17" s="44">
        <v>0</v>
      </c>
      <c r="D17" s="12">
        <v>0</v>
      </c>
      <c r="E17" s="44">
        <v>0</v>
      </c>
      <c r="F17" s="12">
        <v>0</v>
      </c>
      <c r="G17" s="44">
        <v>0</v>
      </c>
      <c r="H17" s="12">
        <v>0</v>
      </c>
      <c r="I17" s="44">
        <v>0</v>
      </c>
      <c r="J17" s="12">
        <v>0</v>
      </c>
      <c r="K17" s="12">
        <v>0</v>
      </c>
      <c r="L17" s="12">
        <v>10000</v>
      </c>
      <c r="M17" s="44">
        <v>0</v>
      </c>
      <c r="N17" s="12">
        <v>0</v>
      </c>
      <c r="O17" s="44">
        <v>0</v>
      </c>
      <c r="P17" s="12">
        <v>0</v>
      </c>
    </row>
    <row r="18" spans="1:16">
      <c r="A18" s="1" t="s">
        <v>271</v>
      </c>
      <c r="B18" s="12">
        <f>+B80</f>
        <v>0</v>
      </c>
      <c r="C18" s="44">
        <v>0</v>
      </c>
      <c r="D18" s="12">
        <f>+D80</f>
        <v>0</v>
      </c>
      <c r="E18" s="44">
        <v>0</v>
      </c>
      <c r="F18" s="12">
        <f>+F80</f>
        <v>0</v>
      </c>
      <c r="G18" s="44">
        <v>0</v>
      </c>
      <c r="H18" s="12">
        <f>+H80</f>
        <v>0</v>
      </c>
      <c r="I18" s="44">
        <v>0</v>
      </c>
      <c r="J18" s="12">
        <f>+J80</f>
        <v>0</v>
      </c>
      <c r="K18" s="12">
        <v>0</v>
      </c>
      <c r="L18" s="12">
        <f>+L80</f>
        <v>0</v>
      </c>
      <c r="M18" s="44">
        <v>0</v>
      </c>
      <c r="N18" s="12">
        <v>0</v>
      </c>
      <c r="O18" s="44">
        <v>0</v>
      </c>
      <c r="P18" s="12">
        <v>0</v>
      </c>
    </row>
    <row r="19" spans="1:16">
      <c r="A19" s="1" t="s">
        <v>272</v>
      </c>
      <c r="B19" s="12">
        <v>0</v>
      </c>
      <c r="C19" s="44">
        <v>0</v>
      </c>
      <c r="D19" s="12">
        <v>0</v>
      </c>
      <c r="E19" s="44">
        <v>0</v>
      </c>
      <c r="F19" s="12">
        <v>0</v>
      </c>
      <c r="G19" s="44">
        <v>0</v>
      </c>
      <c r="H19" s="12">
        <v>0</v>
      </c>
      <c r="I19" s="44">
        <v>0</v>
      </c>
      <c r="J19" s="12">
        <v>0</v>
      </c>
      <c r="K19" s="12">
        <v>0</v>
      </c>
      <c r="L19" s="12">
        <v>7244.4</v>
      </c>
      <c r="M19" s="44">
        <v>0</v>
      </c>
      <c r="N19" s="12">
        <v>0</v>
      </c>
      <c r="O19" s="44">
        <v>0</v>
      </c>
      <c r="P19" s="12">
        <v>11758.3</v>
      </c>
    </row>
    <row r="20" spans="1:16">
      <c r="A20" s="1" t="s">
        <v>273</v>
      </c>
      <c r="B20" s="12">
        <v>0</v>
      </c>
      <c r="C20" s="44">
        <v>0</v>
      </c>
      <c r="D20" s="12">
        <v>0</v>
      </c>
      <c r="E20" s="44">
        <v>0</v>
      </c>
      <c r="F20" s="12">
        <v>0</v>
      </c>
      <c r="G20" s="44">
        <v>0</v>
      </c>
      <c r="H20" s="12">
        <v>0</v>
      </c>
      <c r="I20" s="44">
        <v>0</v>
      </c>
      <c r="J20" s="12">
        <v>0</v>
      </c>
      <c r="K20" s="12">
        <v>0</v>
      </c>
      <c r="L20" s="12">
        <v>6646</v>
      </c>
      <c r="M20" s="44">
        <v>0</v>
      </c>
      <c r="N20" s="12">
        <v>0</v>
      </c>
      <c r="O20" s="44">
        <v>0</v>
      </c>
      <c r="P20" s="12">
        <v>21696.3</v>
      </c>
    </row>
    <row r="21" spans="1:16" ht="16.5" thickBot="1">
      <c r="A21" s="1" t="s">
        <v>274</v>
      </c>
      <c r="B21" s="99">
        <v>0</v>
      </c>
      <c r="C21" s="44">
        <v>0</v>
      </c>
      <c r="D21" s="99">
        <v>0</v>
      </c>
      <c r="E21" s="44">
        <v>0</v>
      </c>
      <c r="F21" s="99">
        <v>0</v>
      </c>
      <c r="G21" s="44">
        <v>0</v>
      </c>
      <c r="H21" s="99">
        <v>0</v>
      </c>
      <c r="I21" s="44">
        <v>0</v>
      </c>
      <c r="J21" s="99">
        <v>0</v>
      </c>
      <c r="K21" s="99">
        <v>0</v>
      </c>
      <c r="L21" s="99">
        <v>9163.7000000000007</v>
      </c>
      <c r="M21" s="44">
        <v>0</v>
      </c>
      <c r="N21" s="99">
        <v>0</v>
      </c>
      <c r="O21" s="44">
        <v>0</v>
      </c>
      <c r="P21" s="99">
        <v>15557.4</v>
      </c>
    </row>
    <row r="22" spans="1:16">
      <c r="A22" s="1" t="s">
        <v>275</v>
      </c>
      <c r="B22" s="4">
        <f>SUM(B15:B21)</f>
        <v>0</v>
      </c>
      <c r="C22" s="44">
        <v>0</v>
      </c>
      <c r="D22" s="4">
        <f>SUM(D15:D21)</f>
        <v>0</v>
      </c>
      <c r="E22" s="42">
        <v>0</v>
      </c>
      <c r="F22" s="4">
        <f>SUM(F15:F21)</f>
        <v>0</v>
      </c>
      <c r="G22" s="42">
        <v>0</v>
      </c>
      <c r="H22" s="4">
        <f>SUM(H15:H21)</f>
        <v>0</v>
      </c>
      <c r="I22" s="44">
        <v>0</v>
      </c>
      <c r="J22" s="4">
        <f>SUM(J15:J21)</f>
        <v>0</v>
      </c>
      <c r="K22" s="4">
        <f>SUM(K15:K21)</f>
        <v>0</v>
      </c>
      <c r="L22" s="4">
        <f>SUM(L15:L21)</f>
        <v>59863.199999999997</v>
      </c>
      <c r="M22" s="44">
        <v>0</v>
      </c>
      <c r="N22" s="4">
        <f>SUM(N15:N21)</f>
        <v>0</v>
      </c>
      <c r="O22" s="44">
        <v>0</v>
      </c>
      <c r="P22" s="4">
        <f>SUM(P15:P21)</f>
        <v>69635.099999999991</v>
      </c>
    </row>
    <row r="23" spans="1:16" ht="7.9" customHeight="1">
      <c r="A23" s="1"/>
      <c r="C23" s="44" t="s">
        <v>0</v>
      </c>
      <c r="E23" s="44" t="s">
        <v>0</v>
      </c>
      <c r="G23" s="44" t="s">
        <v>0</v>
      </c>
      <c r="I23" s="44" t="s">
        <v>0</v>
      </c>
      <c r="K23" s="12"/>
      <c r="M23" s="44" t="s">
        <v>0</v>
      </c>
      <c r="O23" s="44" t="s">
        <v>0</v>
      </c>
    </row>
    <row r="24" spans="1:16">
      <c r="A24" s="87" t="s">
        <v>276</v>
      </c>
      <c r="C24" s="44" t="s">
        <v>0</v>
      </c>
      <c r="E24" s="44" t="s">
        <v>0</v>
      </c>
      <c r="G24" s="44" t="s">
        <v>0</v>
      </c>
      <c r="I24" s="44" t="s">
        <v>0</v>
      </c>
      <c r="K24" s="12"/>
      <c r="M24" s="44" t="s">
        <v>0</v>
      </c>
      <c r="O24" s="44" t="s">
        <v>0</v>
      </c>
    </row>
    <row r="25" spans="1:16">
      <c r="A25" s="1" t="s">
        <v>277</v>
      </c>
      <c r="C25" s="44" t="s">
        <v>0</v>
      </c>
      <c r="E25" s="44" t="s">
        <v>0</v>
      </c>
      <c r="G25" s="44" t="s">
        <v>0</v>
      </c>
      <c r="I25" s="44" t="s">
        <v>0</v>
      </c>
      <c r="K25" s="12"/>
      <c r="M25" s="44" t="s">
        <v>0</v>
      </c>
      <c r="O25" s="44" t="s">
        <v>0</v>
      </c>
    </row>
    <row r="26" spans="1:16">
      <c r="A26" s="1" t="s">
        <v>278</v>
      </c>
      <c r="B26" s="12">
        <v>0</v>
      </c>
      <c r="C26" s="44">
        <v>0</v>
      </c>
      <c r="D26" s="12">
        <v>0</v>
      </c>
      <c r="E26" s="44">
        <v>0</v>
      </c>
      <c r="F26" s="12">
        <v>0</v>
      </c>
      <c r="G26" s="44">
        <v>0</v>
      </c>
      <c r="H26" s="12">
        <v>0</v>
      </c>
      <c r="I26" s="44">
        <v>0</v>
      </c>
      <c r="J26" s="12">
        <v>0</v>
      </c>
      <c r="K26" s="12">
        <v>0</v>
      </c>
      <c r="L26" s="12">
        <v>6920.8</v>
      </c>
      <c r="M26" s="44">
        <v>0</v>
      </c>
      <c r="N26" s="12">
        <v>0</v>
      </c>
      <c r="O26" s="44">
        <v>0</v>
      </c>
      <c r="P26" s="12">
        <v>17543.599999999999</v>
      </c>
    </row>
    <row r="27" spans="1:16">
      <c r="A27" s="1" t="s">
        <v>279</v>
      </c>
      <c r="B27" s="12">
        <v>0</v>
      </c>
      <c r="C27" s="44">
        <v>0</v>
      </c>
      <c r="D27" s="12">
        <v>0</v>
      </c>
      <c r="E27" s="44">
        <v>0</v>
      </c>
      <c r="F27" s="12">
        <v>0</v>
      </c>
      <c r="G27" s="44">
        <v>0</v>
      </c>
      <c r="H27" s="12">
        <v>0</v>
      </c>
      <c r="I27" s="44">
        <v>0</v>
      </c>
      <c r="J27" s="12">
        <v>0</v>
      </c>
      <c r="K27" s="12">
        <v>0</v>
      </c>
      <c r="L27" s="12">
        <v>21299.9</v>
      </c>
      <c r="M27" s="44">
        <v>0</v>
      </c>
      <c r="N27" s="12">
        <v>0</v>
      </c>
      <c r="O27" s="44">
        <v>0</v>
      </c>
      <c r="P27" s="12">
        <v>6002.7</v>
      </c>
    </row>
    <row r="28" spans="1:16">
      <c r="A28" s="1" t="s">
        <v>280</v>
      </c>
      <c r="B28" s="221">
        <v>0</v>
      </c>
      <c r="C28" s="44">
        <v>0</v>
      </c>
      <c r="D28" s="221">
        <v>0</v>
      </c>
      <c r="E28" s="44">
        <v>0</v>
      </c>
      <c r="F28" s="221">
        <v>0</v>
      </c>
      <c r="G28" s="44">
        <v>0</v>
      </c>
      <c r="H28" s="221">
        <v>0</v>
      </c>
      <c r="I28" s="44">
        <v>0</v>
      </c>
      <c r="J28" s="221">
        <v>0</v>
      </c>
      <c r="K28" s="221">
        <v>0</v>
      </c>
      <c r="L28" s="221">
        <v>2557.5</v>
      </c>
      <c r="M28" s="44">
        <v>0</v>
      </c>
      <c r="N28" s="221">
        <v>0</v>
      </c>
      <c r="O28" s="44">
        <v>0</v>
      </c>
      <c r="P28" s="221">
        <v>18732</v>
      </c>
    </row>
    <row r="29" spans="1:16">
      <c r="A29" s="1"/>
      <c r="B29" s="12">
        <f>SUM(B26:B28)</f>
        <v>0</v>
      </c>
      <c r="C29" s="44">
        <v>0</v>
      </c>
      <c r="D29" s="12">
        <f>SUM(D26:D28)</f>
        <v>0</v>
      </c>
      <c r="E29" s="44">
        <v>0</v>
      </c>
      <c r="F29" s="12">
        <f>SUM(F26:F28)</f>
        <v>0</v>
      </c>
      <c r="G29" s="44">
        <v>0</v>
      </c>
      <c r="H29" s="12">
        <f>SUM(H26:H28)</f>
        <v>0</v>
      </c>
      <c r="I29" s="44">
        <v>0</v>
      </c>
      <c r="J29" s="12">
        <f>SUM(J26:J28)</f>
        <v>0</v>
      </c>
      <c r="K29" s="12">
        <f>SUM(K26:K28)</f>
        <v>0</v>
      </c>
      <c r="L29" s="12">
        <f>SUM(L26:L28)</f>
        <v>30778.2</v>
      </c>
      <c r="M29" s="44">
        <v>0</v>
      </c>
      <c r="N29" s="12">
        <f>SUM(N26:N28)</f>
        <v>0</v>
      </c>
      <c r="O29" s="44">
        <v>0</v>
      </c>
      <c r="P29" s="12">
        <f>SUM(P26:P28)</f>
        <v>42278.3</v>
      </c>
    </row>
    <row r="30" spans="1:16" ht="7.9" customHeight="1">
      <c r="A30" s="1"/>
      <c r="C30" s="44" t="s">
        <v>0</v>
      </c>
      <c r="E30" s="44" t="s">
        <v>0</v>
      </c>
      <c r="G30" s="44" t="s">
        <v>0</v>
      </c>
      <c r="I30" s="44" t="s">
        <v>0</v>
      </c>
      <c r="K30" s="12"/>
      <c r="M30" s="44" t="s">
        <v>0</v>
      </c>
      <c r="O30" s="44" t="s">
        <v>0</v>
      </c>
    </row>
    <row r="31" spans="1:16">
      <c r="A31" s="1" t="s">
        <v>281</v>
      </c>
      <c r="C31" s="44" t="s">
        <v>0</v>
      </c>
      <c r="E31" s="44" t="s">
        <v>0</v>
      </c>
      <c r="G31" s="44" t="s">
        <v>0</v>
      </c>
      <c r="I31" s="44" t="s">
        <v>0</v>
      </c>
      <c r="K31" s="12"/>
      <c r="M31" s="44" t="s">
        <v>0</v>
      </c>
      <c r="O31" s="44" t="s">
        <v>0</v>
      </c>
    </row>
    <row r="32" spans="1:16">
      <c r="A32" s="1" t="s">
        <v>282</v>
      </c>
      <c r="B32" s="12">
        <f>+B138</f>
        <v>0</v>
      </c>
      <c r="C32" s="44">
        <v>0</v>
      </c>
      <c r="D32" s="12">
        <f>+D138</f>
        <v>0</v>
      </c>
      <c r="E32" s="44">
        <v>0</v>
      </c>
      <c r="F32" s="12">
        <f>+F138</f>
        <v>0</v>
      </c>
      <c r="G32" s="44">
        <v>0</v>
      </c>
      <c r="H32" s="12">
        <f t="shared" ref="H32:J33" si="0">+H138</f>
        <v>0</v>
      </c>
      <c r="I32" s="44">
        <v>0</v>
      </c>
      <c r="J32" s="12">
        <f t="shared" si="0"/>
        <v>0</v>
      </c>
      <c r="K32" s="12">
        <v>0</v>
      </c>
      <c r="L32" s="12">
        <f>+L138</f>
        <v>0</v>
      </c>
      <c r="M32" s="44">
        <v>0</v>
      </c>
      <c r="N32" s="12">
        <v>0</v>
      </c>
      <c r="O32" s="44">
        <v>0</v>
      </c>
      <c r="P32" s="12">
        <v>0</v>
      </c>
    </row>
    <row r="33" spans="1:21">
      <c r="A33" s="1" t="s">
        <v>283</v>
      </c>
      <c r="B33" s="12">
        <f>+B139</f>
        <v>0</v>
      </c>
      <c r="C33" s="44">
        <v>0</v>
      </c>
      <c r="D33" s="12">
        <f>+D139</f>
        <v>0</v>
      </c>
      <c r="E33" s="44">
        <v>0</v>
      </c>
      <c r="F33" s="12">
        <f>+F139</f>
        <v>0</v>
      </c>
      <c r="G33" s="44">
        <v>0</v>
      </c>
      <c r="H33" s="12">
        <f t="shared" si="0"/>
        <v>0</v>
      </c>
      <c r="I33" s="44">
        <v>0</v>
      </c>
      <c r="J33" s="12">
        <f t="shared" si="0"/>
        <v>0</v>
      </c>
      <c r="K33" s="12">
        <v>0</v>
      </c>
      <c r="L33" s="12">
        <f>+L139</f>
        <v>0</v>
      </c>
      <c r="M33" s="44">
        <v>0</v>
      </c>
      <c r="N33" s="12">
        <v>0</v>
      </c>
      <c r="O33" s="44">
        <v>0</v>
      </c>
      <c r="P33" s="12">
        <v>0</v>
      </c>
    </row>
    <row r="34" spans="1:21" ht="18">
      <c r="A34" s="1" t="s">
        <v>284</v>
      </c>
      <c r="B34" s="221">
        <v>0</v>
      </c>
      <c r="C34" s="44">
        <v>0</v>
      </c>
      <c r="D34" s="221">
        <v>0</v>
      </c>
      <c r="E34" s="44">
        <v>0</v>
      </c>
      <c r="F34" s="221">
        <v>0</v>
      </c>
      <c r="G34" s="44">
        <v>0</v>
      </c>
      <c r="H34" s="221">
        <v>0</v>
      </c>
      <c r="I34" s="44">
        <v>0</v>
      </c>
      <c r="J34" s="221">
        <v>0</v>
      </c>
      <c r="K34" s="221">
        <v>0</v>
      </c>
      <c r="L34" s="221">
        <v>1207.4000000000001</v>
      </c>
      <c r="M34" s="44">
        <v>0</v>
      </c>
      <c r="N34" s="221">
        <v>0</v>
      </c>
      <c r="O34" s="44">
        <v>0</v>
      </c>
      <c r="P34" s="221">
        <v>7048.8</v>
      </c>
      <c r="Q34" s="6"/>
      <c r="R34" s="6"/>
      <c r="S34" s="7"/>
      <c r="T34" s="7"/>
      <c r="U34" s="7"/>
    </row>
    <row r="35" spans="1:21">
      <c r="A35" s="1"/>
      <c r="B35" s="12">
        <f>SUM(B32:B34)</f>
        <v>0</v>
      </c>
      <c r="C35" s="44">
        <v>0</v>
      </c>
      <c r="D35" s="12">
        <f>SUM(D32:D34)</f>
        <v>0</v>
      </c>
      <c r="E35" s="44">
        <v>0</v>
      </c>
      <c r="F35" s="12">
        <f>SUM(F32:F34)</f>
        <v>0</v>
      </c>
      <c r="G35" s="44">
        <v>0</v>
      </c>
      <c r="H35" s="12">
        <f>SUM(H32:H34)</f>
        <v>0</v>
      </c>
      <c r="I35" s="44">
        <v>0</v>
      </c>
      <c r="J35" s="12">
        <f>SUM(J32:J34)</f>
        <v>0</v>
      </c>
      <c r="K35" s="12">
        <f>SUM(K32:K34)</f>
        <v>0</v>
      </c>
      <c r="L35" s="12">
        <f>SUM(L32:L34)</f>
        <v>1207.4000000000001</v>
      </c>
      <c r="M35" s="44">
        <v>0</v>
      </c>
      <c r="N35" s="12">
        <f>SUM(N32:N34)</f>
        <v>0</v>
      </c>
      <c r="O35" s="44">
        <v>0</v>
      </c>
      <c r="P35" s="12">
        <f>SUM(P32:P34)</f>
        <v>7048.8</v>
      </c>
    </row>
    <row r="36" spans="1:21" ht="7.15" customHeight="1">
      <c r="A36" s="1"/>
      <c r="C36" s="44" t="s">
        <v>0</v>
      </c>
      <c r="E36" s="44" t="s">
        <v>0</v>
      </c>
      <c r="G36" s="44" t="s">
        <v>0</v>
      </c>
      <c r="I36" s="44" t="s">
        <v>0</v>
      </c>
      <c r="K36" s="12"/>
      <c r="M36" s="44" t="s">
        <v>0</v>
      </c>
      <c r="O36" s="44" t="s">
        <v>0</v>
      </c>
    </row>
    <row r="37" spans="1:21">
      <c r="A37" s="1" t="s">
        <v>285</v>
      </c>
      <c r="C37" s="44" t="s">
        <v>0</v>
      </c>
      <c r="E37" s="44" t="s">
        <v>0</v>
      </c>
      <c r="G37" s="44" t="s">
        <v>0</v>
      </c>
      <c r="I37" s="44" t="s">
        <v>0</v>
      </c>
      <c r="K37" s="12"/>
      <c r="M37" s="44" t="s">
        <v>0</v>
      </c>
      <c r="O37" s="44" t="s">
        <v>0</v>
      </c>
    </row>
    <row r="38" spans="1:21">
      <c r="A38" s="1" t="s">
        <v>282</v>
      </c>
      <c r="B38" s="12">
        <f>+B145</f>
        <v>0</v>
      </c>
      <c r="C38" s="44">
        <v>0</v>
      </c>
      <c r="D38" s="12">
        <f>+D145</f>
        <v>0</v>
      </c>
      <c r="E38" s="44">
        <v>0</v>
      </c>
      <c r="F38" s="12">
        <f>+F145</f>
        <v>0</v>
      </c>
      <c r="G38" s="44">
        <v>0</v>
      </c>
      <c r="H38" s="12">
        <v>0</v>
      </c>
      <c r="I38" s="44">
        <v>0</v>
      </c>
      <c r="J38" s="12">
        <v>0</v>
      </c>
      <c r="K38" s="12">
        <v>0</v>
      </c>
      <c r="L38" s="12">
        <v>2000</v>
      </c>
      <c r="M38" s="44">
        <v>0</v>
      </c>
      <c r="N38" s="12">
        <v>0</v>
      </c>
      <c r="O38" s="44">
        <v>0</v>
      </c>
      <c r="P38" s="12">
        <v>0</v>
      </c>
    </row>
    <row r="39" spans="1:21">
      <c r="A39" s="1" t="s">
        <v>286</v>
      </c>
      <c r="B39" s="12">
        <f>+B146</f>
        <v>0</v>
      </c>
      <c r="C39" s="44">
        <v>0</v>
      </c>
      <c r="D39" s="12">
        <f>+D146</f>
        <v>0</v>
      </c>
      <c r="E39" s="44">
        <v>0</v>
      </c>
      <c r="F39" s="12">
        <f>+F146</f>
        <v>0</v>
      </c>
      <c r="G39" s="44">
        <v>0</v>
      </c>
      <c r="H39" s="12">
        <f>+H146</f>
        <v>0</v>
      </c>
      <c r="I39" s="44">
        <v>0</v>
      </c>
      <c r="J39" s="12">
        <f>+J146</f>
        <v>0</v>
      </c>
      <c r="K39" s="12">
        <v>0</v>
      </c>
      <c r="L39" s="12">
        <f>+L146</f>
        <v>0</v>
      </c>
      <c r="M39" s="44">
        <v>0</v>
      </c>
      <c r="N39" s="12">
        <v>0</v>
      </c>
      <c r="O39" s="44">
        <v>0</v>
      </c>
      <c r="P39" s="12">
        <v>0</v>
      </c>
    </row>
    <row r="40" spans="1:21">
      <c r="A40" s="1" t="s">
        <v>284</v>
      </c>
      <c r="B40" s="221">
        <v>0</v>
      </c>
      <c r="C40" s="44">
        <v>0</v>
      </c>
      <c r="D40" s="221">
        <v>0</v>
      </c>
      <c r="E40" s="44">
        <v>0</v>
      </c>
      <c r="F40" s="221">
        <v>0</v>
      </c>
      <c r="G40" s="44">
        <v>0</v>
      </c>
      <c r="H40" s="221">
        <v>0</v>
      </c>
      <c r="I40" s="44">
        <v>0</v>
      </c>
      <c r="J40" s="221">
        <v>0</v>
      </c>
      <c r="K40" s="221">
        <v>0</v>
      </c>
      <c r="L40" s="221">
        <v>475.1</v>
      </c>
      <c r="M40" s="44">
        <v>0</v>
      </c>
      <c r="N40" s="221">
        <v>0</v>
      </c>
      <c r="O40" s="44">
        <v>0</v>
      </c>
      <c r="P40" s="221">
        <v>9925.1</v>
      </c>
    </row>
    <row r="41" spans="1:21">
      <c r="A41" s="1"/>
      <c r="B41" s="12">
        <f>SUM(B38:B40)</f>
        <v>0</v>
      </c>
      <c r="C41" s="44">
        <v>0</v>
      </c>
      <c r="D41" s="12">
        <f>SUM(D38:D40)</f>
        <v>0</v>
      </c>
      <c r="E41" s="44">
        <v>0</v>
      </c>
      <c r="F41" s="12">
        <f>SUM(F38:F40)</f>
        <v>0</v>
      </c>
      <c r="G41" s="44">
        <v>0</v>
      </c>
      <c r="H41" s="12">
        <f>SUM(H38:H40)</f>
        <v>0</v>
      </c>
      <c r="I41" s="44">
        <v>0</v>
      </c>
      <c r="J41" s="12">
        <f>SUM(J38:J40)</f>
        <v>0</v>
      </c>
      <c r="K41" s="12">
        <f>SUM(K38:K40)</f>
        <v>0</v>
      </c>
      <c r="L41" s="12">
        <f>SUM(L38:L40)</f>
        <v>2475.1</v>
      </c>
      <c r="M41" s="44">
        <v>0</v>
      </c>
      <c r="N41" s="12">
        <f>SUM(N38:N40)</f>
        <v>0</v>
      </c>
      <c r="O41" s="44">
        <v>0</v>
      </c>
      <c r="P41" s="12">
        <f>SUM(P38:P40)</f>
        <v>9925.1</v>
      </c>
    </row>
    <row r="42" spans="1:21" ht="8.4499999999999993" customHeight="1">
      <c r="A42" s="1"/>
      <c r="C42" s="44" t="s">
        <v>0</v>
      </c>
      <c r="E42" s="44" t="s">
        <v>0</v>
      </c>
      <c r="G42" s="44" t="s">
        <v>0</v>
      </c>
      <c r="I42" s="44" t="s">
        <v>0</v>
      </c>
      <c r="K42" s="12"/>
      <c r="M42" s="44" t="s">
        <v>0</v>
      </c>
      <c r="O42" s="44" t="s">
        <v>0</v>
      </c>
    </row>
    <row r="43" spans="1:21" ht="18">
      <c r="A43" s="1" t="s">
        <v>287</v>
      </c>
      <c r="B43" s="221">
        <v>0</v>
      </c>
      <c r="C43" s="44">
        <v>0</v>
      </c>
      <c r="D43" s="221">
        <v>0</v>
      </c>
      <c r="E43" s="44">
        <v>0</v>
      </c>
      <c r="F43" s="221">
        <f>+F151+F153+F155</f>
        <v>0</v>
      </c>
      <c r="G43" s="44">
        <v>0</v>
      </c>
      <c r="H43" s="221">
        <f>+H151+H153+H155</f>
        <v>0</v>
      </c>
      <c r="I43" s="44">
        <v>0</v>
      </c>
      <c r="J43" s="221">
        <f>+J151+J153+J155</f>
        <v>0</v>
      </c>
      <c r="K43" s="221">
        <v>0</v>
      </c>
      <c r="L43" s="221">
        <f>+L151+L153+L155</f>
        <v>0</v>
      </c>
      <c r="M43" s="44">
        <v>0</v>
      </c>
      <c r="N43" s="221">
        <v>0</v>
      </c>
      <c r="O43" s="44">
        <v>0</v>
      </c>
      <c r="P43" s="221">
        <v>0</v>
      </c>
      <c r="Q43" s="6"/>
      <c r="R43" s="6"/>
    </row>
    <row r="44" spans="1:21">
      <c r="A44" s="1"/>
      <c r="B44" s="12">
        <f>+B29+B35+B41+B43</f>
        <v>0</v>
      </c>
      <c r="C44" s="44">
        <v>0</v>
      </c>
      <c r="D44" s="12">
        <f t="shared" ref="D44:L44" si="1">+D29+D35+D41+D43</f>
        <v>0</v>
      </c>
      <c r="E44" s="44">
        <v>0</v>
      </c>
      <c r="F44" s="12">
        <f t="shared" si="1"/>
        <v>0</v>
      </c>
      <c r="G44" s="44">
        <v>0</v>
      </c>
      <c r="H44" s="12">
        <f t="shared" si="1"/>
        <v>0</v>
      </c>
      <c r="I44" s="44">
        <v>0</v>
      </c>
      <c r="J44" s="12">
        <f t="shared" si="1"/>
        <v>0</v>
      </c>
      <c r="K44" s="12">
        <f t="shared" ref="K44:P44" si="2">+K29+K35+K41+K43</f>
        <v>0</v>
      </c>
      <c r="L44" s="12">
        <f t="shared" si="1"/>
        <v>34460.700000000004</v>
      </c>
      <c r="M44" s="12">
        <f t="shared" si="2"/>
        <v>0</v>
      </c>
      <c r="N44" s="12">
        <f t="shared" si="2"/>
        <v>0</v>
      </c>
      <c r="O44" s="12">
        <f t="shared" si="2"/>
        <v>0</v>
      </c>
      <c r="P44" s="12">
        <f t="shared" si="2"/>
        <v>59252.200000000004</v>
      </c>
    </row>
    <row r="45" spans="1:21" ht="8.4499999999999993" customHeight="1">
      <c r="A45" s="1"/>
      <c r="C45" s="44" t="s">
        <v>0</v>
      </c>
      <c r="E45" s="44" t="s">
        <v>0</v>
      </c>
      <c r="G45" s="44" t="s">
        <v>0</v>
      </c>
      <c r="I45" s="44" t="s">
        <v>0</v>
      </c>
      <c r="K45" s="12"/>
      <c r="M45" s="44" t="s">
        <v>0</v>
      </c>
      <c r="O45" s="44" t="s">
        <v>0</v>
      </c>
    </row>
    <row r="46" spans="1:21">
      <c r="A46" s="87" t="s">
        <v>288</v>
      </c>
      <c r="C46" s="44" t="s">
        <v>0</v>
      </c>
      <c r="E46" s="44" t="s">
        <v>0</v>
      </c>
      <c r="G46" s="44" t="s">
        <v>0</v>
      </c>
      <c r="I46" s="44" t="s">
        <v>0</v>
      </c>
      <c r="K46" s="12"/>
      <c r="M46" s="44" t="s">
        <v>0</v>
      </c>
      <c r="O46" s="44" t="s">
        <v>0</v>
      </c>
    </row>
    <row r="47" spans="1:21">
      <c r="A47" s="1" t="s">
        <v>289</v>
      </c>
      <c r="B47" s="12">
        <v>0</v>
      </c>
      <c r="C47" s="44">
        <v>0</v>
      </c>
      <c r="D47" s="12">
        <v>0</v>
      </c>
      <c r="E47" s="44">
        <v>0</v>
      </c>
      <c r="F47" s="12">
        <v>0</v>
      </c>
      <c r="G47" s="44">
        <v>0</v>
      </c>
      <c r="H47" s="12">
        <v>0</v>
      </c>
      <c r="I47" s="44">
        <v>0</v>
      </c>
      <c r="J47" s="12">
        <v>0</v>
      </c>
      <c r="K47" s="12">
        <v>0</v>
      </c>
      <c r="L47" s="12">
        <v>33469</v>
      </c>
      <c r="M47" s="44">
        <v>0</v>
      </c>
      <c r="N47" s="12">
        <v>0</v>
      </c>
      <c r="O47" s="44">
        <v>0</v>
      </c>
      <c r="P47" s="12">
        <v>26705.3</v>
      </c>
    </row>
    <row r="48" spans="1:21">
      <c r="A48" s="1" t="s">
        <v>290</v>
      </c>
      <c r="B48" s="12">
        <f>+B165</f>
        <v>0</v>
      </c>
      <c r="C48" s="44">
        <v>0</v>
      </c>
      <c r="D48" s="12">
        <f>+D165</f>
        <v>0</v>
      </c>
      <c r="E48" s="44">
        <v>0</v>
      </c>
      <c r="F48" s="12">
        <f>+F165</f>
        <v>0</v>
      </c>
      <c r="G48" s="44">
        <v>0</v>
      </c>
      <c r="H48" s="12">
        <f>+H165</f>
        <v>0</v>
      </c>
      <c r="I48" s="44">
        <v>0</v>
      </c>
      <c r="J48" s="12">
        <f>+J165</f>
        <v>0</v>
      </c>
      <c r="K48" s="12">
        <v>0</v>
      </c>
      <c r="L48" s="12">
        <f>+L165</f>
        <v>0</v>
      </c>
      <c r="M48" s="44">
        <v>0</v>
      </c>
      <c r="N48" s="12">
        <v>0</v>
      </c>
      <c r="O48" s="44">
        <v>0</v>
      </c>
      <c r="P48" s="12">
        <v>0</v>
      </c>
    </row>
    <row r="49" spans="1:21">
      <c r="A49" s="1" t="s">
        <v>302</v>
      </c>
      <c r="B49" s="12">
        <f>+B160</f>
        <v>0</v>
      </c>
      <c r="C49" s="44">
        <v>0</v>
      </c>
      <c r="D49" s="12">
        <f>+D160</f>
        <v>0</v>
      </c>
      <c r="E49" s="44">
        <v>0</v>
      </c>
      <c r="F49" s="12">
        <f>+F160</f>
        <v>0</v>
      </c>
      <c r="G49" s="44">
        <v>0</v>
      </c>
      <c r="H49" s="12">
        <f>+H160</f>
        <v>0</v>
      </c>
      <c r="I49" s="44">
        <v>0</v>
      </c>
      <c r="J49" s="12">
        <f>+J160</f>
        <v>0</v>
      </c>
      <c r="K49" s="12">
        <v>0</v>
      </c>
      <c r="L49" s="12">
        <f>+L160</f>
        <v>0</v>
      </c>
      <c r="M49" s="44">
        <v>0</v>
      </c>
      <c r="N49" s="12">
        <v>0</v>
      </c>
      <c r="O49" s="44">
        <v>0</v>
      </c>
      <c r="P49" s="12">
        <v>0</v>
      </c>
    </row>
    <row r="50" spans="1:21" ht="18">
      <c r="A50" s="1" t="s">
        <v>292</v>
      </c>
      <c r="B50" s="221">
        <v>0</v>
      </c>
      <c r="C50" s="44">
        <v>0</v>
      </c>
      <c r="D50" s="221">
        <v>0</v>
      </c>
      <c r="E50" s="44">
        <v>0</v>
      </c>
      <c r="F50" s="221">
        <v>0</v>
      </c>
      <c r="G50" s="44">
        <v>0</v>
      </c>
      <c r="H50" s="221">
        <v>0</v>
      </c>
      <c r="I50" s="44">
        <v>0</v>
      </c>
      <c r="J50" s="221">
        <v>0</v>
      </c>
      <c r="K50" s="221">
        <v>0</v>
      </c>
      <c r="L50" s="221">
        <v>-8066.5</v>
      </c>
      <c r="M50" s="44">
        <v>0</v>
      </c>
      <c r="N50" s="221">
        <v>0</v>
      </c>
      <c r="O50" s="44">
        <v>0</v>
      </c>
      <c r="P50" s="221">
        <v>-16322.4</v>
      </c>
      <c r="Q50" s="6"/>
      <c r="R50" s="6"/>
      <c r="S50" s="7"/>
      <c r="T50" s="7"/>
      <c r="U50" s="7"/>
    </row>
    <row r="51" spans="1:21" ht="16.5" thickBot="1">
      <c r="A51" s="1" t="s">
        <v>275</v>
      </c>
      <c r="B51" s="76">
        <f>SUM(B47:B50)</f>
        <v>0</v>
      </c>
      <c r="C51" s="44">
        <v>0</v>
      </c>
      <c r="D51" s="76">
        <f>SUM(D47:D50)</f>
        <v>0</v>
      </c>
      <c r="E51" s="44">
        <v>0</v>
      </c>
      <c r="F51" s="76">
        <f>SUM(F47:F50)</f>
        <v>0</v>
      </c>
      <c r="G51" s="44">
        <v>0</v>
      </c>
      <c r="H51" s="76">
        <f>SUM(H47:H50)</f>
        <v>0</v>
      </c>
      <c r="I51" s="44">
        <v>0</v>
      </c>
      <c r="J51" s="76">
        <f>SUM(J47:J50)</f>
        <v>0</v>
      </c>
      <c r="K51" s="76">
        <f>SUM(K47:K50)</f>
        <v>0</v>
      </c>
      <c r="L51" s="76">
        <f>SUM(L47:L50)</f>
        <v>25402.5</v>
      </c>
      <c r="M51" s="44">
        <v>0</v>
      </c>
      <c r="N51" s="76">
        <f>SUM(N47:N50)</f>
        <v>0</v>
      </c>
      <c r="O51" s="44">
        <v>0</v>
      </c>
      <c r="P51" s="76">
        <f>SUM(P47:P50)</f>
        <v>10382.9</v>
      </c>
    </row>
    <row r="52" spans="1:21">
      <c r="A52" s="1" t="s">
        <v>0</v>
      </c>
      <c r="B52" s="4">
        <f>+B29+B35+B41+B43+B51</f>
        <v>0</v>
      </c>
      <c r="C52" s="44">
        <v>0</v>
      </c>
      <c r="D52" s="4">
        <f>+D29+D35+D41+D43+D51</f>
        <v>0</v>
      </c>
      <c r="E52" s="42">
        <v>0</v>
      </c>
      <c r="F52" s="4">
        <f>+F29+F35+F41+F43+F51</f>
        <v>0</v>
      </c>
      <c r="G52" s="42">
        <v>0</v>
      </c>
      <c r="H52" s="4">
        <f>+H29+H35+H41+H43+H51</f>
        <v>0</v>
      </c>
      <c r="I52" s="44">
        <v>0</v>
      </c>
      <c r="J52" s="4">
        <f>+J29+J35+J41+J43+J51</f>
        <v>0</v>
      </c>
      <c r="K52" s="4">
        <f>+K29+K35+K41+K43+K51</f>
        <v>0</v>
      </c>
      <c r="L52" s="4">
        <f>+L29+L35+L41+L43+L51</f>
        <v>59863.200000000004</v>
      </c>
      <c r="M52" s="44">
        <v>0</v>
      </c>
      <c r="N52" s="4">
        <f>+N29+N35+N41+N43+N51</f>
        <v>0</v>
      </c>
      <c r="O52" s="44">
        <v>0</v>
      </c>
      <c r="P52" s="4">
        <f>+P29+P35+P41+P43+P51</f>
        <v>69635.100000000006</v>
      </c>
    </row>
    <row r="53" spans="1:21">
      <c r="I53" s="47" t="s">
        <v>0</v>
      </c>
      <c r="K53" s="12"/>
    </row>
    <row r="54" spans="1:21">
      <c r="K54" s="12"/>
    </row>
    <row r="55" spans="1:21">
      <c r="A55" s="185" t="s">
        <v>293</v>
      </c>
      <c r="K55" s="12"/>
    </row>
    <row r="56" spans="1:21">
      <c r="A56" t="s">
        <v>294</v>
      </c>
      <c r="B56" s="12">
        <v>0</v>
      </c>
      <c r="D56" s="43">
        <v>0</v>
      </c>
      <c r="E56" s="43"/>
      <c r="F56" s="43">
        <v>0</v>
      </c>
      <c r="G56" s="43"/>
      <c r="H56" s="43">
        <v>0</v>
      </c>
      <c r="J56" s="43">
        <v>0</v>
      </c>
      <c r="K56" s="43">
        <v>0</v>
      </c>
      <c r="L56" s="43">
        <v>0</v>
      </c>
      <c r="M56" s="43">
        <v>0</v>
      </c>
      <c r="N56" s="43">
        <v>0</v>
      </c>
      <c r="O56" s="43">
        <v>0</v>
      </c>
      <c r="P56" s="43">
        <v>0</v>
      </c>
    </row>
    <row r="57" spans="1:21">
      <c r="A57" t="s">
        <v>295</v>
      </c>
      <c r="B57" s="12">
        <v>0</v>
      </c>
      <c r="D57" s="43">
        <v>0</v>
      </c>
      <c r="E57" s="43"/>
      <c r="F57" s="43">
        <v>0</v>
      </c>
      <c r="G57" s="43"/>
      <c r="H57" s="43">
        <v>0</v>
      </c>
      <c r="J57" s="43">
        <v>0</v>
      </c>
      <c r="K57" s="43">
        <v>0</v>
      </c>
      <c r="L57" s="43">
        <v>0</v>
      </c>
      <c r="M57" s="43">
        <v>0</v>
      </c>
      <c r="N57" s="43">
        <v>0</v>
      </c>
      <c r="O57" s="43">
        <v>0</v>
      </c>
      <c r="P57" s="43">
        <v>0</v>
      </c>
    </row>
    <row r="58" spans="1:21">
      <c r="A58" t="s">
        <v>284</v>
      </c>
      <c r="B58" s="12">
        <v>0</v>
      </c>
      <c r="D58" s="12">
        <v>0</v>
      </c>
      <c r="E58" s="43"/>
      <c r="F58" s="12">
        <v>0</v>
      </c>
      <c r="G58" s="43"/>
      <c r="H58" s="43">
        <v>0</v>
      </c>
      <c r="J58" s="43">
        <v>0</v>
      </c>
      <c r="K58" s="43">
        <v>0</v>
      </c>
      <c r="L58" s="12">
        <v>42.1</v>
      </c>
      <c r="M58" s="43">
        <v>0</v>
      </c>
      <c r="N58" s="43">
        <v>0</v>
      </c>
      <c r="O58" s="43">
        <v>0</v>
      </c>
      <c r="P58" s="43">
        <v>0</v>
      </c>
    </row>
    <row r="59" spans="1:21">
      <c r="D59" s="43"/>
      <c r="E59" s="43"/>
      <c r="F59" s="43"/>
      <c r="G59" s="43"/>
      <c r="H59" s="43"/>
      <c r="J59" s="43"/>
      <c r="K59" s="43"/>
      <c r="M59" s="43"/>
      <c r="N59" s="43"/>
      <c r="O59" s="43"/>
      <c r="P59" s="43"/>
    </row>
    <row r="60" spans="1:21" ht="18.75">
      <c r="A60" s="122" t="s">
        <v>303</v>
      </c>
      <c r="B60" s="12">
        <v>0</v>
      </c>
      <c r="D60" s="12">
        <v>0</v>
      </c>
      <c r="E60" s="43"/>
      <c r="F60" s="12">
        <v>0</v>
      </c>
      <c r="G60" s="43"/>
      <c r="H60" s="43">
        <v>0</v>
      </c>
      <c r="J60" s="43">
        <v>0</v>
      </c>
      <c r="K60" s="12">
        <v>0</v>
      </c>
      <c r="L60" s="12">
        <v>7244.4</v>
      </c>
      <c r="M60" s="43">
        <v>0</v>
      </c>
      <c r="N60" s="12">
        <v>0</v>
      </c>
      <c r="O60" s="43">
        <v>0</v>
      </c>
      <c r="P60" s="12">
        <v>11758.3</v>
      </c>
    </row>
    <row r="61" spans="1:21">
      <c r="A61" t="s">
        <v>217</v>
      </c>
      <c r="B61" s="12">
        <v>0</v>
      </c>
      <c r="D61" s="12">
        <v>0</v>
      </c>
      <c r="E61" s="43"/>
      <c r="F61" s="43">
        <v>0</v>
      </c>
      <c r="G61" s="43"/>
      <c r="H61" s="43">
        <v>0</v>
      </c>
      <c r="J61" s="43">
        <v>0</v>
      </c>
      <c r="K61" s="12">
        <v>0</v>
      </c>
      <c r="L61" s="43">
        <v>0</v>
      </c>
      <c r="M61" s="43">
        <v>0</v>
      </c>
      <c r="N61" s="12">
        <v>0</v>
      </c>
      <c r="O61" s="43">
        <v>0</v>
      </c>
      <c r="P61" s="12">
        <v>0</v>
      </c>
    </row>
    <row r="62" spans="1:21">
      <c r="A62" t="s">
        <v>297</v>
      </c>
      <c r="B62" s="12">
        <f>+B93</f>
        <v>0</v>
      </c>
      <c r="D62" s="12">
        <v>0</v>
      </c>
      <c r="E62" s="43"/>
      <c r="F62" s="43">
        <v>0</v>
      </c>
      <c r="G62" s="43"/>
      <c r="H62" s="43">
        <v>0</v>
      </c>
      <c r="J62" s="43">
        <v>0</v>
      </c>
      <c r="K62" s="43">
        <v>0</v>
      </c>
      <c r="L62" s="43">
        <v>0</v>
      </c>
      <c r="M62" s="43">
        <v>0</v>
      </c>
      <c r="N62" s="43">
        <v>0</v>
      </c>
      <c r="O62" s="43">
        <v>0</v>
      </c>
      <c r="P62" s="43">
        <v>0</v>
      </c>
    </row>
    <row r="63" spans="1:21">
      <c r="D63" s="16" t="s">
        <v>0</v>
      </c>
    </row>
    <row r="67" spans="1:15">
      <c r="B67" s="17" t="s">
        <v>548</v>
      </c>
      <c r="D67" s="427" t="s">
        <v>549</v>
      </c>
      <c r="F67" s="427" t="s">
        <v>138</v>
      </c>
      <c r="H67" s="427" t="s">
        <v>528</v>
      </c>
    </row>
    <row r="69" spans="1:15">
      <c r="A69" t="s">
        <v>414</v>
      </c>
      <c r="B69" s="4">
        <f>SUM(B70:B78)</f>
        <v>2816.0010000000002</v>
      </c>
      <c r="C69" s="11" t="s">
        <v>0</v>
      </c>
      <c r="D69" s="4">
        <f>SUM(D70:D78)</f>
        <v>0</v>
      </c>
      <c r="E69" s="11" t="s">
        <v>0</v>
      </c>
      <c r="F69" s="4">
        <f t="shared" ref="F69:M69" si="3">SUM(F70:F78)</f>
        <v>0</v>
      </c>
      <c r="G69" s="11">
        <f t="shared" si="3"/>
        <v>0</v>
      </c>
      <c r="H69" s="4">
        <f t="shared" si="3"/>
        <v>0</v>
      </c>
      <c r="I69" s="11">
        <f t="shared" si="3"/>
        <v>0</v>
      </c>
      <c r="J69" s="4">
        <f t="shared" si="3"/>
        <v>0</v>
      </c>
      <c r="K69" s="11">
        <f t="shared" si="3"/>
        <v>0</v>
      </c>
      <c r="L69" s="4">
        <f t="shared" si="3"/>
        <v>0</v>
      </c>
      <c r="M69" s="11">
        <f t="shared" si="3"/>
        <v>0</v>
      </c>
      <c r="O69" s="11">
        <f>SUM(O70:O78)</f>
        <v>0</v>
      </c>
    </row>
    <row r="70" spans="1:15">
      <c r="A70" t="s">
        <v>461</v>
      </c>
      <c r="B70" s="12">
        <v>0</v>
      </c>
      <c r="D70" s="12">
        <v>0</v>
      </c>
    </row>
    <row r="71" spans="1:15">
      <c r="A71" t="s">
        <v>462</v>
      </c>
      <c r="B71" s="12">
        <v>0</v>
      </c>
      <c r="D71" s="12">
        <v>0</v>
      </c>
    </row>
    <row r="72" spans="1:15">
      <c r="A72" t="s">
        <v>463</v>
      </c>
      <c r="B72" s="12">
        <v>0</v>
      </c>
      <c r="D72" s="12">
        <v>0</v>
      </c>
    </row>
    <row r="73" spans="1:15">
      <c r="A73" t="s">
        <v>464</v>
      </c>
      <c r="B73" s="12">
        <f>2816001/1000</f>
        <v>2816.0010000000002</v>
      </c>
      <c r="D73" s="12">
        <v>0</v>
      </c>
    </row>
    <row r="74" spans="1:15">
      <c r="A74" t="s">
        <v>465</v>
      </c>
      <c r="B74" s="12">
        <v>0</v>
      </c>
      <c r="D74" s="12">
        <v>0</v>
      </c>
    </row>
    <row r="75" spans="1:15">
      <c r="A75" t="s">
        <v>466</v>
      </c>
      <c r="B75" s="12">
        <v>0</v>
      </c>
      <c r="D75" s="12">
        <v>0</v>
      </c>
    </row>
    <row r="76" spans="1:15">
      <c r="A76" t="s">
        <v>467</v>
      </c>
      <c r="B76" s="12">
        <v>0</v>
      </c>
      <c r="D76" s="12">
        <v>0</v>
      </c>
    </row>
    <row r="77" spans="1:15">
      <c r="A77" t="s">
        <v>468</v>
      </c>
      <c r="B77" s="12">
        <v>0</v>
      </c>
      <c r="D77" s="12">
        <v>0</v>
      </c>
    </row>
    <row r="78" spans="1:15">
      <c r="A78" t="s">
        <v>469</v>
      </c>
      <c r="B78" s="12">
        <v>0</v>
      </c>
      <c r="D78" s="12">
        <v>0</v>
      </c>
    </row>
    <row r="80" spans="1:15">
      <c r="A80" t="s">
        <v>470</v>
      </c>
      <c r="B80" s="4">
        <f>SUM(B81:B82)</f>
        <v>0</v>
      </c>
      <c r="C80" s="11" t="s">
        <v>0</v>
      </c>
      <c r="D80" s="4">
        <f>SUM(D81:D82)</f>
        <v>0</v>
      </c>
      <c r="E80" s="11" t="s">
        <v>0</v>
      </c>
      <c r="F80" s="4">
        <f t="shared" ref="F80:M80" si="4">SUM(F81:F82)</f>
        <v>0</v>
      </c>
      <c r="G80" s="11">
        <f t="shared" si="4"/>
        <v>0</v>
      </c>
      <c r="H80" s="4">
        <f t="shared" si="4"/>
        <v>0</v>
      </c>
      <c r="I80" s="11">
        <f t="shared" si="4"/>
        <v>0</v>
      </c>
      <c r="J80" s="4">
        <f t="shared" si="4"/>
        <v>0</v>
      </c>
      <c r="K80" s="11">
        <f t="shared" si="4"/>
        <v>0</v>
      </c>
      <c r="L80" s="4">
        <f t="shared" si="4"/>
        <v>0</v>
      </c>
      <c r="M80" s="11">
        <f t="shared" si="4"/>
        <v>0</v>
      </c>
      <c r="O80" s="11">
        <f>SUM(O81:O82)</f>
        <v>0</v>
      </c>
    </row>
    <row r="81" spans="1:15">
      <c r="A81" t="s">
        <v>471</v>
      </c>
      <c r="B81" s="12">
        <v>0</v>
      </c>
    </row>
    <row r="82" spans="1:15">
      <c r="A82" t="s">
        <v>472</v>
      </c>
      <c r="B82" s="12">
        <v>0</v>
      </c>
      <c r="D82" s="12">
        <v>0</v>
      </c>
    </row>
    <row r="84" spans="1:15">
      <c r="A84" t="s">
        <v>473</v>
      </c>
      <c r="B84" s="4">
        <f>SUM(B85:B94)</f>
        <v>0</v>
      </c>
      <c r="C84" s="11" t="s">
        <v>0</v>
      </c>
      <c r="D84" s="4">
        <f>SUM(D85:D94)</f>
        <v>0</v>
      </c>
      <c r="E84" s="11" t="s">
        <v>0</v>
      </c>
      <c r="F84" s="4">
        <f t="shared" ref="F84:M84" si="5">SUM(F85:F94)</f>
        <v>0</v>
      </c>
      <c r="G84" s="11">
        <f t="shared" si="5"/>
        <v>0</v>
      </c>
      <c r="H84" s="4">
        <f t="shared" si="5"/>
        <v>0</v>
      </c>
      <c r="I84" s="11">
        <f t="shared" si="5"/>
        <v>0</v>
      </c>
      <c r="J84" s="4">
        <f t="shared" si="5"/>
        <v>0</v>
      </c>
      <c r="K84" s="11">
        <f t="shared" si="5"/>
        <v>0</v>
      </c>
      <c r="L84" s="4">
        <f t="shared" si="5"/>
        <v>0</v>
      </c>
      <c r="M84" s="11">
        <f t="shared" si="5"/>
        <v>0</v>
      </c>
      <c r="O84" s="11">
        <f>SUM(O85:O94)</f>
        <v>0</v>
      </c>
    </row>
    <row r="85" spans="1:15">
      <c r="A85" t="s">
        <v>474</v>
      </c>
      <c r="B85" s="12">
        <v>0</v>
      </c>
      <c r="D85" s="12">
        <v>0</v>
      </c>
    </row>
    <row r="86" spans="1:15">
      <c r="A86" t="s">
        <v>475</v>
      </c>
      <c r="B86" s="12">
        <v>0</v>
      </c>
      <c r="D86" s="12">
        <v>0</v>
      </c>
    </row>
    <row r="87" spans="1:15">
      <c r="A87" t="s">
        <v>477</v>
      </c>
      <c r="B87" s="12">
        <v>0</v>
      </c>
      <c r="D87" s="12">
        <v>0</v>
      </c>
    </row>
    <row r="88" spans="1:15">
      <c r="A88" t="s">
        <v>478</v>
      </c>
      <c r="B88" s="12">
        <v>0</v>
      </c>
      <c r="D88" s="12">
        <v>0</v>
      </c>
    </row>
    <row r="89" spans="1:15">
      <c r="A89" t="s">
        <v>479</v>
      </c>
      <c r="B89" s="12">
        <v>0</v>
      </c>
      <c r="D89" s="12">
        <v>0</v>
      </c>
    </row>
    <row r="90" spans="1:15">
      <c r="A90" t="s">
        <v>480</v>
      </c>
      <c r="B90" s="12">
        <v>0</v>
      </c>
      <c r="D90" s="12">
        <v>0</v>
      </c>
    </row>
    <row r="91" spans="1:15">
      <c r="A91" t="s">
        <v>481</v>
      </c>
      <c r="B91" s="12">
        <v>0</v>
      </c>
      <c r="D91" s="12">
        <v>0</v>
      </c>
    </row>
    <row r="92" spans="1:15">
      <c r="A92" t="s">
        <v>482</v>
      </c>
      <c r="B92" s="12">
        <v>0</v>
      </c>
      <c r="D92" s="12">
        <v>0</v>
      </c>
    </row>
    <row r="93" spans="1:15">
      <c r="A93" t="s">
        <v>483</v>
      </c>
      <c r="B93" s="12">
        <v>0</v>
      </c>
      <c r="D93" s="12">
        <v>0</v>
      </c>
    </row>
    <row r="94" spans="1:15">
      <c r="A94" t="s">
        <v>484</v>
      </c>
      <c r="B94" s="16">
        <v>0</v>
      </c>
      <c r="D94" s="12">
        <v>0</v>
      </c>
    </row>
    <row r="96" spans="1:15">
      <c r="A96" t="s">
        <v>485</v>
      </c>
      <c r="B96" s="4">
        <f>SUM(B97:B100)</f>
        <v>16194.353999999999</v>
      </c>
      <c r="C96" s="11" t="s">
        <v>0</v>
      </c>
      <c r="D96" s="4">
        <f>SUM(D97:D100)</f>
        <v>0</v>
      </c>
      <c r="E96" s="11" t="s">
        <v>0</v>
      </c>
      <c r="F96" s="4">
        <f t="shared" ref="F96:M96" si="6">SUM(F97:F100)</f>
        <v>0</v>
      </c>
      <c r="G96" s="11">
        <f t="shared" si="6"/>
        <v>0</v>
      </c>
      <c r="H96" s="4">
        <f t="shared" si="6"/>
        <v>0</v>
      </c>
      <c r="I96" s="11">
        <f t="shared" si="6"/>
        <v>0</v>
      </c>
      <c r="J96" s="4">
        <f t="shared" si="6"/>
        <v>0</v>
      </c>
      <c r="K96" s="11">
        <f t="shared" si="6"/>
        <v>0</v>
      </c>
      <c r="L96" s="4">
        <f t="shared" si="6"/>
        <v>0</v>
      </c>
      <c r="M96" s="11">
        <f t="shared" si="6"/>
        <v>0</v>
      </c>
      <c r="O96" s="11">
        <f>SUM(O97:O100)</f>
        <v>0</v>
      </c>
    </row>
    <row r="97" spans="1:15">
      <c r="A97" t="s">
        <v>486</v>
      </c>
      <c r="B97" s="12">
        <f>196354/1000</f>
        <v>196.35400000000001</v>
      </c>
      <c r="D97" s="12">
        <v>0</v>
      </c>
    </row>
    <row r="98" spans="1:15">
      <c r="A98" t="s">
        <v>487</v>
      </c>
      <c r="B98" s="12">
        <v>0</v>
      </c>
      <c r="D98" s="12">
        <v>0</v>
      </c>
    </row>
    <row r="99" spans="1:15">
      <c r="A99" t="s">
        <v>488</v>
      </c>
      <c r="B99" s="12">
        <v>0</v>
      </c>
      <c r="D99" s="12">
        <v>0</v>
      </c>
    </row>
    <row r="100" spans="1:15">
      <c r="A100" t="s">
        <v>489</v>
      </c>
      <c r="B100" s="12">
        <f>15998000/1000</f>
        <v>15998</v>
      </c>
      <c r="D100" s="12">
        <v>0</v>
      </c>
    </row>
    <row r="102" spans="1:15">
      <c r="A102" t="s">
        <v>490</v>
      </c>
      <c r="B102" s="4">
        <f>2253093/1000</f>
        <v>2253.0929999999998</v>
      </c>
      <c r="C102" s="11" t="s">
        <v>0</v>
      </c>
      <c r="D102" s="4">
        <v>0</v>
      </c>
      <c r="E102" s="11" t="s">
        <v>0</v>
      </c>
      <c r="F102" s="4">
        <v>0</v>
      </c>
      <c r="G102" s="11">
        <v>0</v>
      </c>
      <c r="H102" s="4">
        <v>0</v>
      </c>
      <c r="I102" s="11">
        <v>0</v>
      </c>
      <c r="J102" s="4">
        <v>0</v>
      </c>
      <c r="K102" s="11">
        <v>0</v>
      </c>
      <c r="L102" s="4">
        <v>0</v>
      </c>
      <c r="M102" s="11">
        <v>0</v>
      </c>
      <c r="N102" s="12">
        <v>0</v>
      </c>
      <c r="O102" s="11">
        <v>0</v>
      </c>
    </row>
    <row r="103" spans="1:15">
      <c r="B103" s="16" t="s">
        <v>0</v>
      </c>
    </row>
    <row r="104" spans="1:15">
      <c r="A104" t="s">
        <v>491</v>
      </c>
      <c r="B104" s="4">
        <v>0</v>
      </c>
    </row>
    <row r="106" spans="1:15">
      <c r="A106" t="s">
        <v>492</v>
      </c>
      <c r="B106" s="4">
        <f>SUM(B107:B110)</f>
        <v>10165.004000000001</v>
      </c>
      <c r="C106" s="11" t="s">
        <v>0</v>
      </c>
      <c r="D106" s="4">
        <f>SUM(D107:D110)</f>
        <v>0</v>
      </c>
      <c r="E106" s="11" t="s">
        <v>0</v>
      </c>
      <c r="F106" s="4">
        <f t="shared" ref="F106:M106" si="7">SUM(F107:F110)</f>
        <v>0</v>
      </c>
      <c r="G106" s="11">
        <f t="shared" si="7"/>
        <v>0</v>
      </c>
      <c r="H106" s="4">
        <f t="shared" si="7"/>
        <v>0</v>
      </c>
      <c r="I106" s="11">
        <f t="shared" si="7"/>
        <v>0</v>
      </c>
      <c r="J106" s="4">
        <f t="shared" si="7"/>
        <v>0</v>
      </c>
      <c r="K106" s="11">
        <f t="shared" si="7"/>
        <v>0</v>
      </c>
      <c r="L106" s="4">
        <f t="shared" si="7"/>
        <v>0</v>
      </c>
      <c r="M106" s="11">
        <f t="shared" si="7"/>
        <v>0</v>
      </c>
      <c r="O106" s="11">
        <f>SUM(O107:O110)</f>
        <v>0</v>
      </c>
    </row>
    <row r="107" spans="1:15">
      <c r="A107" t="s">
        <v>493</v>
      </c>
      <c r="B107" s="12">
        <f>6204593/1000</f>
        <v>6204.5929999999998</v>
      </c>
      <c r="D107" s="12">
        <v>0</v>
      </c>
    </row>
    <row r="108" spans="1:15">
      <c r="A108" t="s">
        <v>494</v>
      </c>
      <c r="B108" s="12">
        <v>0</v>
      </c>
    </row>
    <row r="109" spans="1:15">
      <c r="A109" t="s">
        <v>495</v>
      </c>
      <c r="B109" s="12">
        <v>0</v>
      </c>
    </row>
    <row r="110" spans="1:15">
      <c r="A110" t="s">
        <v>496</v>
      </c>
      <c r="B110" s="12">
        <f>3960411/1000</f>
        <v>3960.4110000000001</v>
      </c>
      <c r="D110" s="12">
        <v>0</v>
      </c>
    </row>
    <row r="112" spans="1:15">
      <c r="A112" t="s">
        <v>497</v>
      </c>
      <c r="B112" s="12">
        <v>0</v>
      </c>
    </row>
    <row r="114" spans="1:15">
      <c r="A114" s="2" t="s">
        <v>498</v>
      </c>
      <c r="B114" s="4">
        <f>+B69+B80+B84+B96+B102+B104+B106+B112</f>
        <v>31428.452000000001</v>
      </c>
      <c r="C114" s="11" t="s">
        <v>0</v>
      </c>
      <c r="D114" s="4">
        <v>0</v>
      </c>
      <c r="E114" s="11" t="s">
        <v>0</v>
      </c>
      <c r="F114" s="4">
        <f t="shared" ref="F114:M114" si="8">+F69+F80+F84+F96+F102+F104+F106+F112</f>
        <v>0</v>
      </c>
      <c r="G114" s="11">
        <f t="shared" si="8"/>
        <v>0</v>
      </c>
      <c r="H114" s="4">
        <f t="shared" si="8"/>
        <v>0</v>
      </c>
      <c r="I114" s="11">
        <f t="shared" si="8"/>
        <v>0</v>
      </c>
      <c r="J114" s="4">
        <f t="shared" si="8"/>
        <v>0</v>
      </c>
      <c r="K114" s="11">
        <f t="shared" si="8"/>
        <v>0</v>
      </c>
      <c r="L114" s="4">
        <f t="shared" si="8"/>
        <v>0</v>
      </c>
      <c r="M114" s="11">
        <f t="shared" si="8"/>
        <v>0</v>
      </c>
      <c r="O114" s="11">
        <f>+O69+O80+O84+O96+O102+O104+O106+O112</f>
        <v>0</v>
      </c>
    </row>
    <row r="117" spans="1:15">
      <c r="A117" t="s">
        <v>276</v>
      </c>
    </row>
    <row r="119" spans="1:15">
      <c r="A119" t="s">
        <v>499</v>
      </c>
      <c r="B119" s="4">
        <f>SUM(B120:B121)</f>
        <v>0</v>
      </c>
      <c r="C119" s="11"/>
      <c r="D119" s="4">
        <f>SUM(D120:D121)</f>
        <v>0</v>
      </c>
      <c r="E119" s="11"/>
      <c r="F119" s="4"/>
      <c r="G119" s="11"/>
      <c r="H119" s="4"/>
      <c r="I119" s="11"/>
      <c r="J119" s="4"/>
      <c r="K119" s="11"/>
      <c r="L119" s="4"/>
      <c r="M119" s="11"/>
      <c r="O119" s="11"/>
    </row>
    <row r="120" spans="1:15">
      <c r="A120" t="s">
        <v>500</v>
      </c>
      <c r="B120" s="12">
        <v>0</v>
      </c>
      <c r="D120" s="12">
        <v>0</v>
      </c>
    </row>
    <row r="121" spans="1:15">
      <c r="A121" t="s">
        <v>501</v>
      </c>
      <c r="B121" s="12">
        <v>0</v>
      </c>
      <c r="D121" s="12">
        <v>0</v>
      </c>
    </row>
    <row r="122" spans="1:15">
      <c r="A122" t="s">
        <v>0</v>
      </c>
    </row>
    <row r="123" spans="1:15">
      <c r="A123" t="s">
        <v>502</v>
      </c>
      <c r="B123" s="4">
        <v>0</v>
      </c>
      <c r="C123" s="11"/>
      <c r="D123" s="4">
        <v>0</v>
      </c>
      <c r="E123" s="11"/>
      <c r="F123" s="4"/>
      <c r="G123" s="11"/>
      <c r="H123" s="4"/>
      <c r="I123" s="11"/>
      <c r="J123" s="4"/>
      <c r="K123" s="11"/>
      <c r="L123" s="4"/>
      <c r="M123" s="11"/>
      <c r="O123" s="11"/>
    </row>
    <row r="125" spans="1:15">
      <c r="A125" t="s">
        <v>503</v>
      </c>
      <c r="B125" s="4">
        <f>2091509/1000</f>
        <v>2091.509</v>
      </c>
      <c r="C125" s="11"/>
      <c r="D125" s="4">
        <v>0</v>
      </c>
      <c r="E125" s="11"/>
      <c r="F125" s="4"/>
      <c r="G125" s="11"/>
      <c r="H125" s="4"/>
      <c r="I125" s="11"/>
      <c r="J125" s="4"/>
      <c r="K125" s="11"/>
      <c r="L125" s="4"/>
      <c r="M125" s="11"/>
      <c r="O125" s="11"/>
    </row>
    <row r="127" spans="1:15">
      <c r="A127" t="s">
        <v>504</v>
      </c>
      <c r="B127" s="4">
        <f>SUM(B128:B140)</f>
        <v>19352.785</v>
      </c>
      <c r="C127" s="11"/>
      <c r="D127" s="4">
        <f>SUM(D128:D140)</f>
        <v>0</v>
      </c>
      <c r="E127" s="11"/>
      <c r="F127" s="4"/>
      <c r="G127" s="11"/>
      <c r="H127" s="4"/>
      <c r="I127" s="11"/>
      <c r="J127" s="4"/>
      <c r="K127" s="11"/>
      <c r="L127" s="4"/>
      <c r="M127" s="11"/>
      <c r="O127" s="11"/>
    </row>
    <row r="128" spans="1:15">
      <c r="A128" t="s">
        <v>505</v>
      </c>
      <c r="B128" s="12">
        <v>0</v>
      </c>
      <c r="D128" s="12">
        <v>0</v>
      </c>
    </row>
    <row r="129" spans="1:15">
      <c r="A129" t="s">
        <v>506</v>
      </c>
      <c r="B129" s="12">
        <v>0</v>
      </c>
      <c r="D129" s="12">
        <v>0</v>
      </c>
    </row>
    <row r="130" spans="1:15">
      <c r="A130" t="s">
        <v>507</v>
      </c>
      <c r="B130" s="12">
        <v>0</v>
      </c>
      <c r="D130" s="12">
        <v>0</v>
      </c>
    </row>
    <row r="131" spans="1:15">
      <c r="A131" t="s">
        <v>508</v>
      </c>
      <c r="B131" s="12">
        <v>0</v>
      </c>
      <c r="D131" s="12">
        <v>0</v>
      </c>
    </row>
    <row r="132" spans="1:15">
      <c r="A132" t="s">
        <v>509</v>
      </c>
      <c r="B132" s="12">
        <v>0</v>
      </c>
      <c r="D132" s="12">
        <v>0</v>
      </c>
    </row>
    <row r="133" spans="1:15">
      <c r="A133" t="s">
        <v>510</v>
      </c>
      <c r="B133" s="12">
        <v>0</v>
      </c>
      <c r="D133" s="12">
        <v>0</v>
      </c>
    </row>
    <row r="134" spans="1:15">
      <c r="A134" t="s">
        <v>511</v>
      </c>
      <c r="B134" s="12">
        <v>0</v>
      </c>
      <c r="D134" s="12">
        <v>0</v>
      </c>
    </row>
    <row r="135" spans="1:15">
      <c r="A135" t="s">
        <v>512</v>
      </c>
      <c r="B135" s="12">
        <f>19106932/1000</f>
        <v>19106.932000000001</v>
      </c>
      <c r="D135" s="12">
        <v>0</v>
      </c>
    </row>
    <row r="136" spans="1:15">
      <c r="A136" t="s">
        <v>513</v>
      </c>
      <c r="B136" s="12">
        <f>245853/1000</f>
        <v>245.85300000000001</v>
      </c>
      <c r="D136" s="12">
        <v>0</v>
      </c>
    </row>
    <row r="137" spans="1:15">
      <c r="A137" t="s">
        <v>514</v>
      </c>
      <c r="B137" s="12">
        <v>0</v>
      </c>
      <c r="D137" s="12">
        <v>0</v>
      </c>
    </row>
    <row r="138" spans="1:15">
      <c r="A138" t="s">
        <v>515</v>
      </c>
      <c r="B138" s="12">
        <v>0</v>
      </c>
      <c r="D138" s="12">
        <v>0</v>
      </c>
    </row>
    <row r="139" spans="1:15">
      <c r="A139" t="s">
        <v>516</v>
      </c>
      <c r="B139" s="12">
        <v>0</v>
      </c>
      <c r="D139" s="12">
        <v>0</v>
      </c>
    </row>
    <row r="140" spans="1:15">
      <c r="A140" t="s">
        <v>273</v>
      </c>
      <c r="B140" s="12">
        <v>0</v>
      </c>
      <c r="D140" s="12">
        <v>0</v>
      </c>
    </row>
    <row r="142" spans="1:15">
      <c r="A142" t="s">
        <v>517</v>
      </c>
      <c r="B142" s="4">
        <f>SUM(B143:B149)</f>
        <v>2505.6280000000002</v>
      </c>
      <c r="C142" s="11"/>
      <c r="D142" s="4">
        <f>SUM(D143:D149)</f>
        <v>0</v>
      </c>
      <c r="E142" s="11"/>
      <c r="F142" s="4"/>
      <c r="G142" s="11"/>
      <c r="H142" s="4"/>
      <c r="I142" s="11"/>
      <c r="J142" s="4"/>
      <c r="K142" s="11"/>
      <c r="L142" s="4"/>
      <c r="M142" s="11"/>
      <c r="O142" s="11"/>
    </row>
    <row r="143" spans="1:15">
      <c r="A143" t="s">
        <v>518</v>
      </c>
      <c r="B143" s="12">
        <v>0</v>
      </c>
      <c r="D143" s="12">
        <v>0</v>
      </c>
    </row>
    <row r="144" spans="1:15">
      <c r="A144" t="s">
        <v>519</v>
      </c>
      <c r="B144" s="12">
        <v>0</v>
      </c>
      <c r="D144" s="12">
        <v>0</v>
      </c>
    </row>
    <row r="145" spans="1:15">
      <c r="A145" t="s">
        <v>520</v>
      </c>
      <c r="B145" s="12">
        <v>0</v>
      </c>
      <c r="D145" s="12">
        <v>0</v>
      </c>
    </row>
    <row r="146" spans="1:15">
      <c r="A146" t="s">
        <v>521</v>
      </c>
      <c r="B146" s="12">
        <v>0</v>
      </c>
      <c r="D146" s="12">
        <v>0</v>
      </c>
    </row>
    <row r="147" spans="1:15">
      <c r="A147" t="s">
        <v>522</v>
      </c>
      <c r="B147" s="12">
        <v>0</v>
      </c>
      <c r="D147" s="12">
        <v>0</v>
      </c>
    </row>
    <row r="148" spans="1:15">
      <c r="A148" t="s">
        <v>523</v>
      </c>
      <c r="B148" s="12">
        <v>0</v>
      </c>
      <c r="D148" s="12">
        <v>0</v>
      </c>
    </row>
    <row r="149" spans="1:15">
      <c r="A149" t="s">
        <v>524</v>
      </c>
      <c r="B149" s="12">
        <f>2505628/1000</f>
        <v>2505.6280000000002</v>
      </c>
      <c r="D149" s="12">
        <v>0</v>
      </c>
    </row>
    <row r="151" spans="1:15">
      <c r="A151" t="s">
        <v>525</v>
      </c>
      <c r="B151" s="4">
        <v>0</v>
      </c>
      <c r="C151" s="11"/>
      <c r="D151" s="4"/>
      <c r="E151" s="11"/>
      <c r="F151" s="4"/>
      <c r="G151" s="11"/>
      <c r="H151" s="4"/>
      <c r="I151" s="11"/>
      <c r="J151" s="4"/>
      <c r="K151" s="11"/>
      <c r="L151" s="4"/>
      <c r="M151" s="11"/>
      <c r="O151" s="11"/>
    </row>
    <row r="153" spans="1:15">
      <c r="A153" t="s">
        <v>374</v>
      </c>
      <c r="B153" s="4">
        <v>0</v>
      </c>
      <c r="C153" s="11"/>
      <c r="D153" s="4">
        <v>0</v>
      </c>
      <c r="E153" s="11"/>
      <c r="F153" s="4"/>
      <c r="G153" s="11"/>
      <c r="H153" s="4"/>
      <c r="I153" s="11"/>
      <c r="J153" s="4"/>
      <c r="K153" s="11"/>
      <c r="L153" s="4"/>
      <c r="M153" s="11"/>
      <c r="O153" s="11"/>
    </row>
    <row r="155" spans="1:15">
      <c r="A155" t="s">
        <v>375</v>
      </c>
      <c r="B155" s="4">
        <v>0</v>
      </c>
      <c r="C155" s="11"/>
      <c r="D155" s="4"/>
      <c r="E155" s="11"/>
      <c r="F155" s="4"/>
      <c r="G155" s="11"/>
      <c r="H155" s="4"/>
      <c r="I155" s="11"/>
      <c r="J155" s="4"/>
      <c r="K155" s="11"/>
      <c r="L155" s="4"/>
      <c r="M155" s="11"/>
      <c r="O155" s="11"/>
    </row>
    <row r="157" spans="1:15">
      <c r="A157" t="s">
        <v>376</v>
      </c>
      <c r="B157" s="4">
        <f>+B161+B162+B163</f>
        <v>7478.5290000000005</v>
      </c>
      <c r="C157" s="11"/>
      <c r="D157" s="4">
        <f>+D160+D161+D162+D163</f>
        <v>0</v>
      </c>
      <c r="E157" s="11"/>
      <c r="F157" s="4"/>
      <c r="G157" s="11"/>
      <c r="H157" s="4"/>
      <c r="I157" s="11"/>
      <c r="J157" s="4"/>
      <c r="K157" s="11"/>
      <c r="L157" s="4"/>
      <c r="M157" s="11"/>
      <c r="O157" s="11"/>
    </row>
    <row r="158" spans="1:15">
      <c r="A158" t="s">
        <v>377</v>
      </c>
      <c r="B158" s="12">
        <f>11170000/1000</f>
        <v>11170</v>
      </c>
      <c r="D158" s="12">
        <v>0</v>
      </c>
    </row>
    <row r="159" spans="1:15">
      <c r="A159" t="s">
        <v>378</v>
      </c>
      <c r="B159" s="12">
        <v>0</v>
      </c>
      <c r="D159" s="12">
        <v>0</v>
      </c>
    </row>
    <row r="160" spans="1:15">
      <c r="A160" t="s">
        <v>302</v>
      </c>
      <c r="B160" s="12">
        <v>0</v>
      </c>
      <c r="D160" s="12">
        <v>0</v>
      </c>
    </row>
    <row r="161" spans="1:15">
      <c r="A161" t="s">
        <v>289</v>
      </c>
      <c r="B161" s="4">
        <f>+B158+B159</f>
        <v>11170</v>
      </c>
      <c r="D161" s="4">
        <f>+D158+D159</f>
        <v>0</v>
      </c>
    </row>
    <row r="162" spans="1:15">
      <c r="A162" t="s">
        <v>379</v>
      </c>
      <c r="B162" s="12">
        <v>0</v>
      </c>
      <c r="D162" s="12">
        <v>0</v>
      </c>
    </row>
    <row r="163" spans="1:15">
      <c r="A163" t="s">
        <v>380</v>
      </c>
      <c r="B163" s="12">
        <f>-3691471/1000</f>
        <v>-3691.471</v>
      </c>
      <c r="D163" s="12">
        <v>0</v>
      </c>
    </row>
    <row r="165" spans="1:15">
      <c r="A165" t="s">
        <v>381</v>
      </c>
      <c r="B165" s="4">
        <f>SUM(B166:B167)</f>
        <v>0</v>
      </c>
      <c r="C165" s="11"/>
      <c r="D165" s="4">
        <f>SUM(D166:D167)</f>
        <v>0</v>
      </c>
      <c r="E165" s="11"/>
      <c r="F165" s="4"/>
      <c r="G165" s="11"/>
      <c r="H165" s="4"/>
      <c r="I165" s="11"/>
      <c r="J165" s="4"/>
      <c r="K165" s="11"/>
      <c r="L165" s="4"/>
      <c r="M165" s="11"/>
      <c r="O165" s="11"/>
    </row>
    <row r="166" spans="1:15">
      <c r="A166" t="s">
        <v>382</v>
      </c>
      <c r="B166" s="12">
        <v>0</v>
      </c>
      <c r="D166" s="12">
        <v>0</v>
      </c>
    </row>
    <row r="167" spans="1:15">
      <c r="A167" t="s">
        <v>383</v>
      </c>
      <c r="B167" s="12">
        <v>0</v>
      </c>
      <c r="D167" s="12">
        <v>0</v>
      </c>
    </row>
    <row r="169" spans="1:15">
      <c r="A169" t="s">
        <v>384</v>
      </c>
      <c r="B169" s="4">
        <f>+B119+B123+B125+B127+B142+B151+B153+B155+B157+B165</f>
        <v>31428.451000000001</v>
      </c>
      <c r="C169" s="11" t="s">
        <v>0</v>
      </c>
      <c r="D169" s="4">
        <f>+D119+D123+D125+D127+D142+D151+D153+D155+D157+D165</f>
        <v>0</v>
      </c>
      <c r="E169" s="11" t="s">
        <v>0</v>
      </c>
      <c r="F169" s="4">
        <f t="shared" ref="F169:M169" si="9">+F119+F123+F125+F127+F142+F151+F153+F155+F157+F165</f>
        <v>0</v>
      </c>
      <c r="G169" s="11">
        <f t="shared" si="9"/>
        <v>0</v>
      </c>
      <c r="H169" s="4">
        <f t="shared" si="9"/>
        <v>0</v>
      </c>
      <c r="I169" s="11">
        <f t="shared" si="9"/>
        <v>0</v>
      </c>
      <c r="J169" s="4">
        <f t="shared" si="9"/>
        <v>0</v>
      </c>
      <c r="K169" s="11">
        <f t="shared" si="9"/>
        <v>0</v>
      </c>
      <c r="L169" s="4">
        <f t="shared" si="9"/>
        <v>0</v>
      </c>
      <c r="M169" s="11">
        <f t="shared" si="9"/>
        <v>0</v>
      </c>
      <c r="O169" s="11">
        <f>+O119+O123+O125+O127+O142+O151+O153+O155+O157+O165</f>
        <v>0</v>
      </c>
    </row>
  </sheetData>
  <pageMargins left="0.2" right="0.21" top="0.55000000000000004" bottom="0.52" header="0.36" footer="0.3"/>
  <pageSetup scale="54" orientation="landscape" r:id="rId1"/>
  <headerFooter alignWithMargins="0">
    <oddFooter>&amp;L* L'actif net de cette banque a été acheté par la sogebank au cours du Trim 1 99. Au cours du Trim 3 99, l'actif de la Sogebank inclut celui de cette banque.&amp;R&amp;P</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8"/>
  <sheetViews>
    <sheetView workbookViewId="0"/>
  </sheetViews>
  <sheetFormatPr defaultRowHeight="15.75"/>
  <cols>
    <col min="1" max="1" width="33.25" customWidth="1"/>
    <col min="2" max="2" width="17.62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9.75" style="13" customWidth="1"/>
    <col min="18" max="18" width="15.75" style="12" customWidth="1"/>
    <col min="19" max="21" width="15.75" customWidth="1"/>
    <col min="22" max="256" width="11" customWidth="1"/>
  </cols>
  <sheetData>
    <row r="1" spans="1:21">
      <c r="A1" s="114" t="s">
        <v>573</v>
      </c>
      <c r="B1" s="37"/>
      <c r="C1" s="38"/>
      <c r="D1" s="37"/>
      <c r="E1" s="38"/>
      <c r="F1" s="37"/>
      <c r="G1" s="38"/>
      <c r="H1" s="37"/>
      <c r="I1" s="38"/>
      <c r="J1" s="37"/>
      <c r="K1" s="38"/>
      <c r="L1" s="37"/>
      <c r="M1" s="38"/>
      <c r="N1" s="37"/>
      <c r="O1" s="38"/>
      <c r="P1" s="37"/>
      <c r="Q1" s="38"/>
    </row>
    <row r="2" spans="1:21">
      <c r="A2" s="114" t="s">
        <v>305</v>
      </c>
      <c r="B2" s="37"/>
      <c r="C2" s="38"/>
      <c r="D2" s="37"/>
      <c r="E2" s="38"/>
      <c r="F2" s="37"/>
      <c r="G2" s="38"/>
      <c r="H2" s="37"/>
      <c r="I2" s="38"/>
      <c r="J2" s="37"/>
      <c r="K2" s="38"/>
      <c r="L2" s="37"/>
      <c r="M2" s="38"/>
      <c r="N2" s="37"/>
      <c r="O2" s="38"/>
      <c r="P2" s="37"/>
      <c r="Q2" s="38"/>
    </row>
    <row r="3" spans="1:21">
      <c r="A3" s="114" t="s">
        <v>526</v>
      </c>
      <c r="B3" s="37"/>
      <c r="C3" s="38"/>
      <c r="D3" s="37"/>
      <c r="E3" s="38"/>
      <c r="F3" s="37"/>
      <c r="G3" s="38"/>
      <c r="H3" s="37"/>
      <c r="I3" s="38"/>
      <c r="J3" s="37"/>
      <c r="K3" s="38"/>
      <c r="L3" s="37"/>
      <c r="M3" s="38"/>
      <c r="N3" s="37"/>
      <c r="O3" s="38"/>
      <c r="P3" s="37"/>
      <c r="Q3" s="38"/>
    </row>
    <row r="4" spans="1:21">
      <c r="A4" s="114" t="s">
        <v>179</v>
      </c>
      <c r="B4" s="37"/>
      <c r="C4" s="38"/>
      <c r="D4" s="37"/>
      <c r="E4" s="38"/>
      <c r="F4" s="37"/>
      <c r="G4" s="38"/>
      <c r="H4" s="37"/>
      <c r="I4" s="38"/>
      <c r="J4" s="37"/>
      <c r="K4" s="38"/>
      <c r="L4" s="37"/>
      <c r="M4" s="38"/>
      <c r="N4" s="37"/>
      <c r="O4" s="38"/>
      <c r="P4" s="37"/>
      <c r="Q4" s="38"/>
    </row>
    <row r="6" spans="1:21" s="2" customFormat="1" ht="16.5" thickBot="1">
      <c r="B6" s="400" t="s">
        <v>0</v>
      </c>
      <c r="C6" s="399"/>
      <c r="D6" s="400"/>
      <c r="E6" s="399"/>
      <c r="F6" s="400"/>
      <c r="G6" s="399"/>
      <c r="H6" s="400"/>
      <c r="I6" s="11"/>
      <c r="J6" s="123" t="s">
        <v>167</v>
      </c>
      <c r="K6" s="230"/>
      <c r="L6" s="123"/>
      <c r="M6" s="230"/>
      <c r="N6" s="123"/>
      <c r="O6" s="230"/>
      <c r="P6" s="123"/>
      <c r="Q6" s="230"/>
      <c r="R6" s="4"/>
    </row>
    <row r="7" spans="1:21" s="2" customFormat="1" ht="16.5" thickBot="1">
      <c r="B7" s="223" t="s">
        <v>168</v>
      </c>
      <c r="C7" s="224" t="s">
        <v>301</v>
      </c>
      <c r="D7" s="225" t="s">
        <v>170</v>
      </c>
      <c r="E7" s="224" t="s">
        <v>301</v>
      </c>
      <c r="F7" s="225" t="s">
        <v>171</v>
      </c>
      <c r="G7" s="224" t="s">
        <v>301</v>
      </c>
      <c r="H7" s="225" t="s">
        <v>172</v>
      </c>
      <c r="I7" s="224" t="s">
        <v>301</v>
      </c>
      <c r="J7" s="228" t="s">
        <v>174</v>
      </c>
      <c r="K7" s="227" t="s">
        <v>301</v>
      </c>
      <c r="L7" s="228" t="s">
        <v>175</v>
      </c>
      <c r="M7" s="227" t="s">
        <v>301</v>
      </c>
      <c r="N7" s="228" t="s">
        <v>176</v>
      </c>
      <c r="O7" s="227" t="s">
        <v>301</v>
      </c>
      <c r="P7" s="228" t="s">
        <v>177</v>
      </c>
      <c r="Q7" s="227" t="s">
        <v>301</v>
      </c>
      <c r="R7" s="80"/>
      <c r="S7" s="18"/>
      <c r="T7" s="18"/>
      <c r="U7" s="18"/>
    </row>
    <row r="8" spans="1:21">
      <c r="A8" s="87" t="s">
        <v>243</v>
      </c>
      <c r="B8" s="125"/>
      <c r="C8" s="124"/>
      <c r="D8" s="125"/>
      <c r="E8" s="124"/>
      <c r="F8" s="125"/>
      <c r="G8" s="124"/>
      <c r="H8" s="125"/>
      <c r="I8" s="124"/>
      <c r="J8" s="219"/>
      <c r="K8" s="124"/>
      <c r="L8" s="219"/>
      <c r="M8" s="124"/>
      <c r="N8" s="219"/>
      <c r="O8" s="124"/>
      <c r="P8" s="219"/>
      <c r="Q8" s="124"/>
      <c r="R8" s="14"/>
      <c r="S8" s="9"/>
      <c r="T8" s="9"/>
      <c r="U8" s="9"/>
    </row>
    <row r="9" spans="1:21">
      <c r="A9" s="1" t="s">
        <v>264</v>
      </c>
      <c r="B9"/>
      <c r="O9" s="43"/>
    </row>
    <row r="10" spans="1:21">
      <c r="A10" s="1" t="s">
        <v>265</v>
      </c>
      <c r="B10" s="12">
        <f>+'bmhvar '!B10</f>
        <v>0</v>
      </c>
      <c r="C10" s="44">
        <v>0</v>
      </c>
      <c r="D10" s="12">
        <f>+'bmhvar '!D10</f>
        <v>0</v>
      </c>
      <c r="E10" s="44">
        <v>0</v>
      </c>
      <c r="F10" s="12">
        <f>+'bmhvar '!F10</f>
        <v>0</v>
      </c>
      <c r="G10" s="44">
        <v>0</v>
      </c>
      <c r="H10" s="12">
        <f>+'bmhvar '!H10</f>
        <v>0</v>
      </c>
      <c r="I10" s="44">
        <v>0</v>
      </c>
      <c r="J10" s="16">
        <f>+'bmhvar '!J10</f>
        <v>0</v>
      </c>
      <c r="K10" s="44">
        <v>0</v>
      </c>
      <c r="L10" s="16">
        <f>+'bmhvar '!L10</f>
        <v>4080.4</v>
      </c>
      <c r="M10" s="47">
        <f t="shared" ref="M10:M15" si="0">+L10/$L$22</f>
        <v>6.8162076200403598E-2</v>
      </c>
      <c r="N10" s="16">
        <f>+'bmhvar '!N10</f>
        <v>0</v>
      </c>
      <c r="O10" s="44">
        <v>0</v>
      </c>
      <c r="P10" s="16">
        <f>+'bmhvar '!P10</f>
        <v>3177.1</v>
      </c>
      <c r="Q10" s="47">
        <f t="shared" ref="Q10:Q15" si="1">+P10/$P$22</f>
        <v>4.5624979356675012E-2</v>
      </c>
    </row>
    <row r="11" spans="1:21">
      <c r="A11" s="1" t="s">
        <v>266</v>
      </c>
      <c r="B11" s="12">
        <f>+'bmhvar '!B11</f>
        <v>0</v>
      </c>
      <c r="C11" s="44">
        <v>0</v>
      </c>
      <c r="D11" s="12">
        <f>+'bmhvar '!D11</f>
        <v>0</v>
      </c>
      <c r="E11" s="44">
        <v>0</v>
      </c>
      <c r="F11" s="12">
        <f>+'bmhvar '!F11</f>
        <v>0</v>
      </c>
      <c r="G11" s="44">
        <v>0</v>
      </c>
      <c r="H11" s="12">
        <f>+'bmhvar '!H11</f>
        <v>0</v>
      </c>
      <c r="I11" s="44">
        <v>0</v>
      </c>
      <c r="J11" s="16">
        <f>+'bmhvar '!J11</f>
        <v>0</v>
      </c>
      <c r="K11" s="44">
        <v>0</v>
      </c>
      <c r="L11" s="16">
        <f>+'bmhvar '!L11</f>
        <v>1735.9</v>
      </c>
      <c r="M11" s="47">
        <f t="shared" si="0"/>
        <v>2.8997781608734584E-2</v>
      </c>
      <c r="N11" s="16">
        <f>+'bmhvar '!N11</f>
        <v>0</v>
      </c>
      <c r="O11" s="44">
        <v>0</v>
      </c>
      <c r="P11" s="16">
        <f>+'bmhvar '!P11</f>
        <v>5303.6</v>
      </c>
      <c r="Q11" s="47">
        <f t="shared" si="1"/>
        <v>7.6162739767732093E-2</v>
      </c>
    </row>
    <row r="12" spans="1:21">
      <c r="A12" s="1" t="s">
        <v>267</v>
      </c>
      <c r="B12" s="12">
        <f>+'bmhvar '!B12</f>
        <v>0</v>
      </c>
      <c r="C12" s="44">
        <v>0</v>
      </c>
      <c r="D12" s="12">
        <f>+'bmhvar '!D12</f>
        <v>0</v>
      </c>
      <c r="E12" s="44">
        <v>0</v>
      </c>
      <c r="F12" s="12">
        <f>+'bmhvar '!F12</f>
        <v>0</v>
      </c>
      <c r="G12" s="44">
        <v>0</v>
      </c>
      <c r="H12" s="12">
        <f>+'bmhvar '!H12</f>
        <v>0</v>
      </c>
      <c r="I12" s="44">
        <v>0</v>
      </c>
      <c r="J12" s="16">
        <f>+'bmhvar '!J12</f>
        <v>0</v>
      </c>
      <c r="K12" s="44">
        <v>0</v>
      </c>
      <c r="L12" s="16">
        <f>+'bmhvar '!L12</f>
        <v>4675.5</v>
      </c>
      <c r="M12" s="47">
        <f t="shared" si="0"/>
        <v>7.8103075011025147E-2</v>
      </c>
      <c r="N12" s="16">
        <f>+'bmhvar '!N12</f>
        <v>0</v>
      </c>
      <c r="O12" s="44">
        <v>0</v>
      </c>
      <c r="P12" s="16">
        <f>+'bmhvar '!P12</f>
        <v>10469.200000000001</v>
      </c>
      <c r="Q12" s="47">
        <f t="shared" si="1"/>
        <v>0.15034372033643956</v>
      </c>
    </row>
    <row r="13" spans="1:21">
      <c r="A13" s="1" t="s">
        <v>268</v>
      </c>
      <c r="B13" s="12">
        <f>+'bmhvar '!B13</f>
        <v>0</v>
      </c>
      <c r="C13" s="44">
        <v>0</v>
      </c>
      <c r="D13" s="12">
        <f>+'bmhvar '!D13</f>
        <v>0</v>
      </c>
      <c r="E13" s="44">
        <v>0</v>
      </c>
      <c r="F13" s="12">
        <f>+'bmhvar '!F13</f>
        <v>0</v>
      </c>
      <c r="G13" s="44">
        <v>0</v>
      </c>
      <c r="H13" s="12">
        <f>+'bmhvar '!H13</f>
        <v>0</v>
      </c>
      <c r="I13" s="44">
        <v>0</v>
      </c>
      <c r="J13" s="16">
        <f>+'bmhvar '!J13</f>
        <v>0</v>
      </c>
      <c r="K13" s="44">
        <v>0</v>
      </c>
      <c r="L13" s="16">
        <f>+'bmhvar '!L13</f>
        <v>14500</v>
      </c>
      <c r="M13" s="47">
        <f t="shared" si="0"/>
        <v>0.24221892581753066</v>
      </c>
      <c r="N13" s="16">
        <f>+'bmhvar '!N13</f>
        <v>0</v>
      </c>
      <c r="O13" s="44">
        <v>0</v>
      </c>
      <c r="P13" s="16">
        <f>+'bmhvar '!P13</f>
        <v>663.3</v>
      </c>
      <c r="Q13" s="47">
        <f t="shared" si="1"/>
        <v>9.525368671833602E-3</v>
      </c>
    </row>
    <row r="14" spans="1:21">
      <c r="A14" s="1" t="s">
        <v>269</v>
      </c>
      <c r="B14" s="240">
        <f>+'bmhvar '!B14</f>
        <v>0</v>
      </c>
      <c r="C14" s="545">
        <v>0</v>
      </c>
      <c r="D14" s="240">
        <f>+'bmhvar '!D14</f>
        <v>0</v>
      </c>
      <c r="E14" s="545">
        <v>0</v>
      </c>
      <c r="F14" s="240">
        <f>+'bmhvar '!F14</f>
        <v>0</v>
      </c>
      <c r="G14" s="545">
        <v>0</v>
      </c>
      <c r="H14" s="240">
        <f>+'bmhvar '!H14</f>
        <v>0</v>
      </c>
      <c r="I14" s="545">
        <v>0</v>
      </c>
      <c r="J14" s="248">
        <f>+'bmhvar '!J14</f>
        <v>0</v>
      </c>
      <c r="K14" s="545">
        <v>0</v>
      </c>
      <c r="L14" s="248">
        <f>+'bmhvar '!L14</f>
        <v>1817.3</v>
      </c>
      <c r="M14" s="236">
        <f t="shared" si="0"/>
        <v>3.0357548544013686E-2</v>
      </c>
      <c r="N14" s="248">
        <f>+'bmhvar '!N14</f>
        <v>0</v>
      </c>
      <c r="O14" s="545">
        <v>0</v>
      </c>
      <c r="P14" s="248">
        <f>+'bmhvar '!P14</f>
        <v>1009.9</v>
      </c>
      <c r="Q14" s="236">
        <f t="shared" si="1"/>
        <v>1.4502743587644739E-2</v>
      </c>
    </row>
    <row r="15" spans="1:21" ht="15.6" customHeight="1">
      <c r="A15" s="1"/>
      <c r="B15" s="12">
        <f>SUM(B10:B14)</f>
        <v>0</v>
      </c>
      <c r="C15" s="44">
        <v>0</v>
      </c>
      <c r="D15" s="12">
        <f>SUM(D10:D14)</f>
        <v>0</v>
      </c>
      <c r="E15" s="44">
        <v>0</v>
      </c>
      <c r="F15" s="12">
        <f>SUM(F10:F14)</f>
        <v>0</v>
      </c>
      <c r="G15" s="44">
        <v>0</v>
      </c>
      <c r="H15" s="12">
        <f>SUM(H10:H14)</f>
        <v>0</v>
      </c>
      <c r="I15" s="44">
        <v>0</v>
      </c>
      <c r="J15" s="12">
        <f>SUM(J10:J14)</f>
        <v>0</v>
      </c>
      <c r="K15" s="44">
        <v>0</v>
      </c>
      <c r="L15" s="12">
        <f>SUM(L10:L14)</f>
        <v>26809.1</v>
      </c>
      <c r="M15" s="47">
        <f t="shared" si="0"/>
        <v>0.44783940718170762</v>
      </c>
      <c r="N15" s="12">
        <f>SUM(N10:N14)</f>
        <v>0</v>
      </c>
      <c r="O15" s="44">
        <v>0</v>
      </c>
      <c r="P15" s="12">
        <f>SUM(P10:P14)</f>
        <v>20623.100000000002</v>
      </c>
      <c r="Q15" s="47">
        <f t="shared" si="1"/>
        <v>0.29615955172032504</v>
      </c>
    </row>
    <row r="16" spans="1:21" ht="7.9" customHeight="1">
      <c r="A16" s="1"/>
      <c r="C16" s="44" t="s">
        <v>0</v>
      </c>
      <c r="D16" s="44" t="s">
        <v>0</v>
      </c>
      <c r="E16" s="44" t="s">
        <v>0</v>
      </c>
      <c r="F16" s="44" t="s">
        <v>0</v>
      </c>
      <c r="G16" s="44" t="s">
        <v>0</v>
      </c>
      <c r="H16" s="44" t="s">
        <v>0</v>
      </c>
      <c r="I16" s="44" t="s">
        <v>0</v>
      </c>
      <c r="J16" s="44" t="s">
        <v>0</v>
      </c>
      <c r="K16" s="44" t="s">
        <v>0</v>
      </c>
      <c r="L16" s="44" t="s">
        <v>0</v>
      </c>
      <c r="M16" s="44" t="s">
        <v>0</v>
      </c>
      <c r="N16" s="44" t="s">
        <v>0</v>
      </c>
      <c r="O16" s="44" t="s">
        <v>0</v>
      </c>
      <c r="P16" s="44" t="s">
        <v>0</v>
      </c>
      <c r="Q16" s="44" t="s">
        <v>0</v>
      </c>
    </row>
    <row r="17" spans="1:17" ht="15.6" customHeight="1">
      <c r="A17" s="1" t="s">
        <v>270</v>
      </c>
      <c r="B17" s="12">
        <f>+'bmhvar '!B17</f>
        <v>0</v>
      </c>
      <c r="C17" s="44">
        <v>0</v>
      </c>
      <c r="D17" s="12">
        <f>+'bmhvar '!D17</f>
        <v>0</v>
      </c>
      <c r="E17" s="44">
        <v>0</v>
      </c>
      <c r="F17" s="12">
        <f>+'bmhvar '!F17</f>
        <v>0</v>
      </c>
      <c r="G17" s="44">
        <v>0</v>
      </c>
      <c r="H17" s="12">
        <f>+'bmhvar '!H17</f>
        <v>0</v>
      </c>
      <c r="I17" s="44">
        <v>0</v>
      </c>
      <c r="J17" s="16">
        <f>+'bmhvar '!J17</f>
        <v>0</v>
      </c>
      <c r="K17" s="44">
        <v>0</v>
      </c>
      <c r="L17" s="44">
        <f>+'bmhvar '!L17</f>
        <v>10000</v>
      </c>
      <c r="M17" s="47">
        <f t="shared" ref="M17:M22" si="2">+L17/$L$22</f>
        <v>0.16704753504657285</v>
      </c>
      <c r="N17" s="16">
        <f>+'bmhvar '!N17</f>
        <v>0</v>
      </c>
      <c r="O17" s="44">
        <v>0</v>
      </c>
      <c r="P17" s="16">
        <f>+'bmhvar '!P17</f>
        <v>0</v>
      </c>
      <c r="Q17" s="47">
        <f t="shared" ref="Q17:Q22" si="3">+P17/$P$22</f>
        <v>0</v>
      </c>
    </row>
    <row r="18" spans="1:17">
      <c r="A18" s="1" t="s">
        <v>271</v>
      </c>
      <c r="B18" s="12">
        <f>+'bmhvar '!B18</f>
        <v>0</v>
      </c>
      <c r="C18" s="44">
        <v>0</v>
      </c>
      <c r="D18" s="12">
        <f>+'bmhvar '!D18</f>
        <v>0</v>
      </c>
      <c r="E18" s="44">
        <v>0</v>
      </c>
      <c r="F18" s="12">
        <f>+'bmhvar '!F18</f>
        <v>0</v>
      </c>
      <c r="G18" s="44">
        <v>0</v>
      </c>
      <c r="H18" s="12">
        <f>+'bmhvar '!H18</f>
        <v>0</v>
      </c>
      <c r="I18" s="44">
        <v>0</v>
      </c>
      <c r="J18" s="16">
        <f>+'bmhvar '!J18</f>
        <v>0</v>
      </c>
      <c r="K18" s="44">
        <v>0</v>
      </c>
      <c r="L18" s="44">
        <f>+'bmhvar '!L18</f>
        <v>0</v>
      </c>
      <c r="M18" s="47">
        <f t="shared" si="2"/>
        <v>0</v>
      </c>
      <c r="N18" s="16">
        <f>+'bmhvar '!N18</f>
        <v>0</v>
      </c>
      <c r="O18" s="44">
        <v>0</v>
      </c>
      <c r="P18" s="16">
        <f>+'bmhvar '!P18</f>
        <v>0</v>
      </c>
      <c r="Q18" s="47">
        <f t="shared" si="3"/>
        <v>0</v>
      </c>
    </row>
    <row r="19" spans="1:17">
      <c r="A19" s="1" t="s">
        <v>272</v>
      </c>
      <c r="B19" s="12">
        <f>+'bmhvar '!B19</f>
        <v>0</v>
      </c>
      <c r="C19" s="44">
        <v>0</v>
      </c>
      <c r="D19" s="12">
        <f>+'bmhvar '!D19</f>
        <v>0</v>
      </c>
      <c r="E19" s="44">
        <v>0</v>
      </c>
      <c r="F19" s="12">
        <f>+'bmhvar '!F19</f>
        <v>0</v>
      </c>
      <c r="G19" s="44">
        <v>0</v>
      </c>
      <c r="H19" s="12">
        <f>+'bmhvar '!H19</f>
        <v>0</v>
      </c>
      <c r="I19" s="44">
        <v>0</v>
      </c>
      <c r="J19" s="16">
        <f>+'bmhvar '!J19</f>
        <v>0</v>
      </c>
      <c r="K19" s="44">
        <v>0</v>
      </c>
      <c r="L19" s="16">
        <f>+'bmhvar '!L19</f>
        <v>7244.4</v>
      </c>
      <c r="M19" s="47">
        <f t="shared" si="2"/>
        <v>0.12101591628913924</v>
      </c>
      <c r="N19" s="16">
        <f>+'bmhvar '!N19</f>
        <v>0</v>
      </c>
      <c r="O19" s="44">
        <v>0</v>
      </c>
      <c r="P19" s="16">
        <f>+'bmhvar '!P19</f>
        <v>11758.3</v>
      </c>
      <c r="Q19" s="47">
        <f t="shared" si="3"/>
        <v>0.16885593615863265</v>
      </c>
    </row>
    <row r="20" spans="1:17">
      <c r="A20" s="1" t="s">
        <v>273</v>
      </c>
      <c r="B20" s="12">
        <f>+'bmhvar '!B20</f>
        <v>0</v>
      </c>
      <c r="C20" s="44">
        <v>0</v>
      </c>
      <c r="D20" s="12">
        <f>+'bmhvar '!D20</f>
        <v>0</v>
      </c>
      <c r="E20" s="44">
        <v>0</v>
      </c>
      <c r="F20" s="12">
        <f>+'bmhvar '!F20</f>
        <v>0</v>
      </c>
      <c r="G20" s="44">
        <v>0</v>
      </c>
      <c r="H20" s="12">
        <f>+'bmhvar '!H20</f>
        <v>0</v>
      </c>
      <c r="I20" s="44">
        <v>0</v>
      </c>
      <c r="J20" s="16">
        <f>+'bmhvar '!J20</f>
        <v>0</v>
      </c>
      <c r="K20" s="44">
        <v>0</v>
      </c>
      <c r="L20" s="16">
        <f>+'bmhvar '!L20</f>
        <v>6646</v>
      </c>
      <c r="M20" s="47">
        <f t="shared" si="2"/>
        <v>0.11101979179195233</v>
      </c>
      <c r="N20" s="16">
        <f>+'bmhvar '!N20</f>
        <v>0</v>
      </c>
      <c r="O20" s="44">
        <v>0</v>
      </c>
      <c r="P20" s="16">
        <f>+'bmhvar '!P20</f>
        <v>21696.3</v>
      </c>
      <c r="Q20" s="47">
        <f t="shared" si="3"/>
        <v>0.31157131963621798</v>
      </c>
    </row>
    <row r="21" spans="1:17" ht="16.5" thickBot="1">
      <c r="A21" s="1" t="s">
        <v>274</v>
      </c>
      <c r="B21" s="76">
        <f>+'bmhvar '!B21</f>
        <v>0</v>
      </c>
      <c r="C21" s="232">
        <v>0</v>
      </c>
      <c r="D21" s="76">
        <f>+'bmhvar '!D21</f>
        <v>0</v>
      </c>
      <c r="E21" s="232">
        <v>0</v>
      </c>
      <c r="F21" s="76">
        <f>+'bmhvar '!F21</f>
        <v>0</v>
      </c>
      <c r="G21" s="232">
        <v>0</v>
      </c>
      <c r="H21" s="76">
        <f>+'bmhvar '!H21</f>
        <v>0</v>
      </c>
      <c r="I21" s="232">
        <v>0</v>
      </c>
      <c r="J21" s="77">
        <f>+'bmhvar '!J21</f>
        <v>0</v>
      </c>
      <c r="K21" s="232">
        <v>0</v>
      </c>
      <c r="L21" s="77">
        <f>+'bmhvar '!L21</f>
        <v>9163.7000000000007</v>
      </c>
      <c r="M21" s="231">
        <f t="shared" si="2"/>
        <v>0.15307734969062797</v>
      </c>
      <c r="N21" s="77">
        <f>+'bmhvar '!N21</f>
        <v>0</v>
      </c>
      <c r="O21" s="232">
        <v>0</v>
      </c>
      <c r="P21" s="77">
        <f>+'bmhvar '!P21</f>
        <v>15557.4</v>
      </c>
      <c r="Q21" s="231">
        <f t="shared" si="3"/>
        <v>0.2234131924848245</v>
      </c>
    </row>
    <row r="22" spans="1:17">
      <c r="A22" s="1" t="s">
        <v>275</v>
      </c>
      <c r="B22" s="4">
        <f>SUM(B15:B21)</f>
        <v>0</v>
      </c>
      <c r="C22" s="42">
        <v>0</v>
      </c>
      <c r="D22" s="4">
        <f>SUM(D15:D21)</f>
        <v>0</v>
      </c>
      <c r="E22" s="42">
        <v>0</v>
      </c>
      <c r="F22" s="4">
        <f>SUM(F15:F21)</f>
        <v>0</v>
      </c>
      <c r="G22" s="44">
        <v>0</v>
      </c>
      <c r="H22" s="4">
        <f>SUM(H15:H21)</f>
        <v>0</v>
      </c>
      <c r="I22" s="42">
        <v>0</v>
      </c>
      <c r="J22" s="4">
        <f>SUM(J15:J21)</f>
        <v>0</v>
      </c>
      <c r="K22" s="42">
        <v>0</v>
      </c>
      <c r="L22" s="4">
        <f>SUM(L15:L21)</f>
        <v>59863.199999999997</v>
      </c>
      <c r="M22" s="106">
        <f t="shared" si="2"/>
        <v>1</v>
      </c>
      <c r="N22" s="4">
        <f>SUM(N15:N21)</f>
        <v>0</v>
      </c>
      <c r="O22" s="42">
        <v>0</v>
      </c>
      <c r="P22" s="4">
        <f>SUM(P15:P21)</f>
        <v>69635.099999999991</v>
      </c>
      <c r="Q22" s="106">
        <f t="shared" si="3"/>
        <v>1</v>
      </c>
    </row>
    <row r="23" spans="1:17" ht="7.9" customHeight="1">
      <c r="A23" s="1"/>
      <c r="C23" s="44" t="s">
        <v>0</v>
      </c>
      <c r="D23" s="44" t="s">
        <v>0</v>
      </c>
      <c r="E23" s="44" t="s">
        <v>0</v>
      </c>
      <c r="F23" s="44" t="s">
        <v>0</v>
      </c>
      <c r="G23" s="44" t="s">
        <v>0</v>
      </c>
      <c r="H23" s="44" t="s">
        <v>0</v>
      </c>
      <c r="I23" s="44" t="s">
        <v>0</v>
      </c>
      <c r="J23" s="44" t="s">
        <v>0</v>
      </c>
      <c r="K23" s="44" t="s">
        <v>0</v>
      </c>
      <c r="L23" s="44" t="s">
        <v>0</v>
      </c>
      <c r="M23" s="44" t="s">
        <v>0</v>
      </c>
      <c r="N23" s="44" t="s">
        <v>0</v>
      </c>
      <c r="O23" s="44" t="s">
        <v>0</v>
      </c>
      <c r="P23" s="44" t="s">
        <v>0</v>
      </c>
      <c r="Q23" s="44" t="s">
        <v>0</v>
      </c>
    </row>
    <row r="24" spans="1:17">
      <c r="A24" s="87" t="s">
        <v>276</v>
      </c>
      <c r="C24" s="44" t="s">
        <v>0</v>
      </c>
      <c r="D24" s="44" t="s">
        <v>0</v>
      </c>
      <c r="E24" s="44" t="s">
        <v>0</v>
      </c>
      <c r="F24" s="44" t="s">
        <v>0</v>
      </c>
      <c r="G24" s="44" t="s">
        <v>0</v>
      </c>
      <c r="H24" s="44" t="s">
        <v>0</v>
      </c>
      <c r="I24" s="44" t="s">
        <v>0</v>
      </c>
      <c r="J24" s="44" t="s">
        <v>0</v>
      </c>
      <c r="K24" s="44" t="s">
        <v>0</v>
      </c>
      <c r="L24" s="44" t="s">
        <v>0</v>
      </c>
      <c r="M24" s="44" t="s">
        <v>0</v>
      </c>
      <c r="N24" s="44" t="s">
        <v>0</v>
      </c>
      <c r="O24" s="44" t="s">
        <v>0</v>
      </c>
      <c r="P24" s="44" t="s">
        <v>0</v>
      </c>
      <c r="Q24" s="44" t="s">
        <v>0</v>
      </c>
    </row>
    <row r="25" spans="1:17">
      <c r="A25" s="1" t="s">
        <v>277</v>
      </c>
      <c r="C25" s="44" t="s">
        <v>0</v>
      </c>
      <c r="D25" s="44" t="s">
        <v>0</v>
      </c>
      <c r="E25" s="44" t="s">
        <v>0</v>
      </c>
      <c r="F25" s="44" t="s">
        <v>0</v>
      </c>
      <c r="G25" s="44" t="s">
        <v>0</v>
      </c>
      <c r="H25" s="44" t="s">
        <v>0</v>
      </c>
      <c r="I25" s="44" t="s">
        <v>0</v>
      </c>
      <c r="J25" s="44" t="s">
        <v>0</v>
      </c>
      <c r="K25" s="44" t="s">
        <v>0</v>
      </c>
      <c r="L25" s="44" t="s">
        <v>0</v>
      </c>
      <c r="M25" s="44" t="s">
        <v>0</v>
      </c>
      <c r="N25" s="44" t="s">
        <v>0</v>
      </c>
      <c r="O25" s="44" t="s">
        <v>0</v>
      </c>
      <c r="P25" s="44" t="s">
        <v>0</v>
      </c>
      <c r="Q25" s="44" t="s">
        <v>0</v>
      </c>
    </row>
    <row r="26" spans="1:17">
      <c r="A26" s="1" t="s">
        <v>278</v>
      </c>
      <c r="B26" s="12">
        <f>+'bmhvar '!B26</f>
        <v>0</v>
      </c>
      <c r="C26" s="44">
        <v>0</v>
      </c>
      <c r="D26" s="12">
        <f>+'bmhvar '!D26</f>
        <v>0</v>
      </c>
      <c r="E26" s="44">
        <v>0</v>
      </c>
      <c r="F26" s="12">
        <f>+'bmhvar '!F26</f>
        <v>0</v>
      </c>
      <c r="G26" s="44">
        <v>0</v>
      </c>
      <c r="H26" s="12">
        <f>+'bmhvar '!H26</f>
        <v>0</v>
      </c>
      <c r="I26" s="44">
        <v>0</v>
      </c>
      <c r="J26" s="16">
        <f>+'bmhvar '!J26</f>
        <v>0</v>
      </c>
      <c r="K26" s="44">
        <v>0</v>
      </c>
      <c r="L26" s="16">
        <f>+'bmhvar '!L26</f>
        <v>6920.8</v>
      </c>
      <c r="M26" s="47">
        <f>+L26/$L$22</f>
        <v>0.11561025805503215</v>
      </c>
      <c r="N26" s="16">
        <f>+'bmhvar '!N26</f>
        <v>0</v>
      </c>
      <c r="O26" s="44">
        <v>0</v>
      </c>
      <c r="P26" s="16">
        <f>+'bmhvar '!P26</f>
        <v>17543.599999999999</v>
      </c>
      <c r="Q26" s="47">
        <f>+P26/$P$22</f>
        <v>0.25193616437687316</v>
      </c>
    </row>
    <row r="27" spans="1:17">
      <c r="A27" s="1" t="s">
        <v>279</v>
      </c>
      <c r="B27" s="12">
        <f>+'bmhvar '!B27</f>
        <v>0</v>
      </c>
      <c r="C27" s="44">
        <v>0</v>
      </c>
      <c r="D27" s="12">
        <f>+'bmhvar '!D27</f>
        <v>0</v>
      </c>
      <c r="E27" s="44">
        <v>0</v>
      </c>
      <c r="F27" s="12">
        <f>+'bmhvar '!F27</f>
        <v>0</v>
      </c>
      <c r="G27" s="44">
        <v>0</v>
      </c>
      <c r="H27" s="12">
        <f>+'bmhvar '!H27</f>
        <v>0</v>
      </c>
      <c r="I27" s="44">
        <v>0</v>
      </c>
      <c r="J27" s="16">
        <f>+'bmhvar '!J27</f>
        <v>0</v>
      </c>
      <c r="K27" s="44">
        <v>0</v>
      </c>
      <c r="L27" s="16">
        <f>+'bmhvar '!L27</f>
        <v>21299.9</v>
      </c>
      <c r="M27" s="47">
        <f>+L27/$L$22</f>
        <v>0.35580957917384975</v>
      </c>
      <c r="N27" s="16">
        <f>+'bmhvar '!N27</f>
        <v>0</v>
      </c>
      <c r="O27" s="44">
        <v>0</v>
      </c>
      <c r="P27" s="16">
        <f>+'bmhvar '!P27</f>
        <v>6002.7</v>
      </c>
      <c r="Q27" s="47">
        <f>+P27/$P$22</f>
        <v>8.6202216985399607E-2</v>
      </c>
    </row>
    <row r="28" spans="1:17">
      <c r="A28" s="1" t="s">
        <v>280</v>
      </c>
      <c r="B28" s="240">
        <f>+'bmhvar '!B28</f>
        <v>0</v>
      </c>
      <c r="C28" s="545">
        <v>0</v>
      </c>
      <c r="D28" s="240">
        <f>+'bmhvar '!D28</f>
        <v>0</v>
      </c>
      <c r="E28" s="545">
        <v>0</v>
      </c>
      <c r="F28" s="240">
        <f>+'bmhvar '!F28</f>
        <v>0</v>
      </c>
      <c r="G28" s="545">
        <v>0</v>
      </c>
      <c r="H28" s="240">
        <f>+'bmhvar '!H28</f>
        <v>0</v>
      </c>
      <c r="I28" s="545">
        <v>0</v>
      </c>
      <c r="J28" s="248">
        <f>+'bmhvar '!J28</f>
        <v>0</v>
      </c>
      <c r="K28" s="545">
        <v>0</v>
      </c>
      <c r="L28" s="248">
        <f>+'bmhvar '!L28</f>
        <v>2557.5</v>
      </c>
      <c r="M28" s="236">
        <f>+L28/$L$22</f>
        <v>4.272240708816101E-2</v>
      </c>
      <c r="N28" s="248">
        <f>+'bmhvar '!N28</f>
        <v>0</v>
      </c>
      <c r="O28" s="545">
        <v>0</v>
      </c>
      <c r="P28" s="248">
        <f>+'bmhvar '!P28</f>
        <v>18732</v>
      </c>
      <c r="Q28" s="236">
        <f>+P28/$P$22</f>
        <v>0.26900227040673458</v>
      </c>
    </row>
    <row r="29" spans="1:17">
      <c r="A29" s="1"/>
      <c r="B29" s="12">
        <f>SUM(B26:B28)</f>
        <v>0</v>
      </c>
      <c r="C29" s="44">
        <v>0</v>
      </c>
      <c r="D29" s="12">
        <f>SUM(D26:D28)</f>
        <v>0</v>
      </c>
      <c r="E29" s="44">
        <v>0</v>
      </c>
      <c r="F29" s="12">
        <f>SUM(F26:F28)</f>
        <v>0</v>
      </c>
      <c r="G29" s="44">
        <v>0</v>
      </c>
      <c r="H29" s="12">
        <f>SUM(H26:H28)</f>
        <v>0</v>
      </c>
      <c r="I29" s="44">
        <v>0</v>
      </c>
      <c r="J29" s="12">
        <f>SUM(J26:J28)</f>
        <v>0</v>
      </c>
      <c r="K29" s="44">
        <v>0</v>
      </c>
      <c r="L29" s="12">
        <f>SUM(L26:L28)</f>
        <v>30778.2</v>
      </c>
      <c r="M29" s="47">
        <f>+L29/$L$22</f>
        <v>0.51414224431704292</v>
      </c>
      <c r="N29" s="12">
        <f>SUM(N26:N28)</f>
        <v>0</v>
      </c>
      <c r="O29" s="44">
        <v>0</v>
      </c>
      <c r="P29" s="12">
        <f>SUM(P26:P28)</f>
        <v>42278.3</v>
      </c>
      <c r="Q29" s="47">
        <f>+P29/$P$22</f>
        <v>0.60714065176900744</v>
      </c>
    </row>
    <row r="30" spans="1:17" ht="7.9" customHeight="1">
      <c r="A30" s="1"/>
      <c r="C30" s="44" t="s">
        <v>0</v>
      </c>
      <c r="D30" s="44" t="s">
        <v>0</v>
      </c>
      <c r="E30" s="44" t="s">
        <v>0</v>
      </c>
      <c r="F30" s="44" t="s">
        <v>0</v>
      </c>
      <c r="G30" s="44" t="s">
        <v>0</v>
      </c>
      <c r="H30" s="44" t="s">
        <v>0</v>
      </c>
      <c r="I30" s="44" t="s">
        <v>0</v>
      </c>
      <c r="J30" s="44" t="s">
        <v>0</v>
      </c>
      <c r="K30" s="44" t="s">
        <v>0</v>
      </c>
      <c r="L30" s="44" t="s">
        <v>0</v>
      </c>
      <c r="M30" s="44" t="s">
        <v>0</v>
      </c>
      <c r="N30" s="44" t="s">
        <v>0</v>
      </c>
      <c r="O30" s="44" t="s">
        <v>0</v>
      </c>
      <c r="P30" s="44" t="s">
        <v>0</v>
      </c>
      <c r="Q30" s="44" t="s">
        <v>0</v>
      </c>
    </row>
    <row r="31" spans="1:17">
      <c r="A31" s="1" t="s">
        <v>281</v>
      </c>
      <c r="C31" s="44" t="s">
        <v>0</v>
      </c>
      <c r="D31" s="44" t="s">
        <v>0</v>
      </c>
      <c r="E31" s="44" t="s">
        <v>0</v>
      </c>
      <c r="F31" s="44" t="s">
        <v>0</v>
      </c>
      <c r="G31" s="44" t="s">
        <v>0</v>
      </c>
      <c r="H31" s="44" t="s">
        <v>0</v>
      </c>
      <c r="I31" s="44" t="s">
        <v>0</v>
      </c>
      <c r="J31" s="44" t="s">
        <v>0</v>
      </c>
      <c r="K31" s="44" t="s">
        <v>0</v>
      </c>
      <c r="L31" s="44" t="s">
        <v>0</v>
      </c>
      <c r="M31" s="44" t="s">
        <v>0</v>
      </c>
      <c r="N31" s="44" t="s">
        <v>0</v>
      </c>
      <c r="O31" s="44" t="s">
        <v>0</v>
      </c>
      <c r="P31" s="44" t="s">
        <v>0</v>
      </c>
      <c r="Q31" s="44" t="s">
        <v>0</v>
      </c>
    </row>
    <row r="32" spans="1:17">
      <c r="A32" s="1" t="s">
        <v>282</v>
      </c>
      <c r="B32" s="12">
        <f>+'bmhvar '!B32</f>
        <v>0</v>
      </c>
      <c r="C32" s="44">
        <v>0</v>
      </c>
      <c r="D32" s="12">
        <f>+'bmhvar '!D32</f>
        <v>0</v>
      </c>
      <c r="E32" s="44">
        <v>0</v>
      </c>
      <c r="F32" s="12">
        <f>+'bmhvar '!F32</f>
        <v>0</v>
      </c>
      <c r="G32" s="44">
        <v>0</v>
      </c>
      <c r="H32" s="12">
        <f>+'bmhvar '!H32</f>
        <v>0</v>
      </c>
      <c r="I32" s="44">
        <v>0</v>
      </c>
      <c r="J32" s="16">
        <f>+'bmhvar '!J32</f>
        <v>0</v>
      </c>
      <c r="K32" s="44">
        <v>0</v>
      </c>
      <c r="L32" s="44">
        <f>+'bmhvar '!L32</f>
        <v>0</v>
      </c>
      <c r="M32" s="47">
        <f>+L32/$L$22</f>
        <v>0</v>
      </c>
      <c r="N32" s="16">
        <f>+'bmhvar '!N32</f>
        <v>0</v>
      </c>
      <c r="O32" s="44">
        <v>0</v>
      </c>
      <c r="P32" s="16">
        <f>+'bmhvar '!P32</f>
        <v>0</v>
      </c>
      <c r="Q32" s="47">
        <f>+P32/$P$22</f>
        <v>0</v>
      </c>
    </row>
    <row r="33" spans="1:21">
      <c r="A33" s="1" t="s">
        <v>283</v>
      </c>
      <c r="B33" s="12">
        <f>+'bmhvar '!B33</f>
        <v>0</v>
      </c>
      <c r="C33" s="44">
        <v>0</v>
      </c>
      <c r="D33" s="12">
        <f>+'bmhvar '!D33</f>
        <v>0</v>
      </c>
      <c r="E33" s="44">
        <v>0</v>
      </c>
      <c r="F33" s="12">
        <f>+'bmhvar '!F33</f>
        <v>0</v>
      </c>
      <c r="G33" s="44">
        <v>0</v>
      </c>
      <c r="H33" s="12">
        <f>+'bmhvar '!H33</f>
        <v>0</v>
      </c>
      <c r="I33" s="44">
        <v>0</v>
      </c>
      <c r="J33" s="16">
        <f>+'bmhvar '!J33</f>
        <v>0</v>
      </c>
      <c r="K33" s="44">
        <v>0</v>
      </c>
      <c r="L33" s="44">
        <f>+'bmhvar '!L33</f>
        <v>0</v>
      </c>
      <c r="M33" s="47">
        <f>+L33/$L$22</f>
        <v>0</v>
      </c>
      <c r="N33" s="16">
        <f>+'bmhvar '!N33</f>
        <v>0</v>
      </c>
      <c r="O33" s="44">
        <v>0</v>
      </c>
      <c r="P33" s="16">
        <f>+'bmhvar '!P33</f>
        <v>0</v>
      </c>
      <c r="Q33" s="47">
        <f>+P33/$P$22</f>
        <v>0</v>
      </c>
    </row>
    <row r="34" spans="1:21" ht="18">
      <c r="A34" s="1" t="s">
        <v>284</v>
      </c>
      <c r="B34" s="240">
        <f>+'bmhvar '!B34</f>
        <v>0</v>
      </c>
      <c r="C34" s="545">
        <v>0</v>
      </c>
      <c r="D34" s="240">
        <f>+'bmhvar '!D34</f>
        <v>0</v>
      </c>
      <c r="E34" s="545">
        <v>0</v>
      </c>
      <c r="F34" s="240">
        <f>+'bmhvar '!F34</f>
        <v>0</v>
      </c>
      <c r="G34" s="545">
        <v>0</v>
      </c>
      <c r="H34" s="240">
        <f>+'bmhvar '!H34</f>
        <v>0</v>
      </c>
      <c r="I34" s="545">
        <v>0</v>
      </c>
      <c r="J34" s="248">
        <f>+'bmhvar '!J34</f>
        <v>0</v>
      </c>
      <c r="K34" s="545">
        <v>0</v>
      </c>
      <c r="L34" s="248">
        <f>+'bmhvar '!L34</f>
        <v>1207.4000000000001</v>
      </c>
      <c r="M34" s="236">
        <f>+L34/$L$22</f>
        <v>2.016931938152321E-2</v>
      </c>
      <c r="N34" s="248">
        <f>+'bmhvar '!N34</f>
        <v>0</v>
      </c>
      <c r="O34" s="545">
        <v>0</v>
      </c>
      <c r="P34" s="248">
        <f>+'bmhvar '!P34</f>
        <v>7048.8</v>
      </c>
      <c r="Q34" s="236">
        <f>+P34/$P$22</f>
        <v>0.10122481334844068</v>
      </c>
      <c r="R34" s="6"/>
      <c r="S34" s="7"/>
      <c r="T34" s="7"/>
      <c r="U34" s="7"/>
    </row>
    <row r="35" spans="1:21">
      <c r="A35" s="1"/>
      <c r="B35" s="12">
        <f>SUM(B32:B34)</f>
        <v>0</v>
      </c>
      <c r="C35" s="44">
        <v>0</v>
      </c>
      <c r="D35" s="12">
        <f>SUM(D32:D34)</f>
        <v>0</v>
      </c>
      <c r="E35" s="44">
        <v>0</v>
      </c>
      <c r="F35" s="12">
        <f>SUM(F32:F34)</f>
        <v>0</v>
      </c>
      <c r="G35" s="44">
        <v>0</v>
      </c>
      <c r="H35" s="12">
        <f>SUM(H32:H34)</f>
        <v>0</v>
      </c>
      <c r="I35" s="44">
        <v>0</v>
      </c>
      <c r="J35" s="12">
        <f>SUM(J32:J34)</f>
        <v>0</v>
      </c>
      <c r="K35" s="44">
        <v>0</v>
      </c>
      <c r="L35" s="12">
        <f>SUM(L32:L34)</f>
        <v>1207.4000000000001</v>
      </c>
      <c r="M35" s="47">
        <f>+L35/$L$22</f>
        <v>2.016931938152321E-2</v>
      </c>
      <c r="N35" s="12">
        <f>SUM(N32:N34)</f>
        <v>0</v>
      </c>
      <c r="O35" s="44">
        <v>0</v>
      </c>
      <c r="P35" s="12">
        <f>SUM(P32:P34)</f>
        <v>7048.8</v>
      </c>
      <c r="Q35" s="47">
        <f>+P35/$P$22</f>
        <v>0.10122481334844068</v>
      </c>
    </row>
    <row r="36" spans="1:21" ht="7.15" customHeight="1">
      <c r="A36" s="1"/>
      <c r="C36" s="44" t="s">
        <v>0</v>
      </c>
      <c r="D36" s="44" t="s">
        <v>0</v>
      </c>
      <c r="E36" s="44" t="s">
        <v>0</v>
      </c>
      <c r="F36" s="44" t="s">
        <v>0</v>
      </c>
      <c r="G36" s="44" t="s">
        <v>0</v>
      </c>
      <c r="H36" s="44" t="s">
        <v>0</v>
      </c>
      <c r="I36" s="44" t="s">
        <v>0</v>
      </c>
      <c r="J36" s="44" t="s">
        <v>0</v>
      </c>
      <c r="K36" s="44" t="s">
        <v>0</v>
      </c>
      <c r="L36" s="44" t="s">
        <v>0</v>
      </c>
      <c r="M36" s="44" t="s">
        <v>0</v>
      </c>
      <c r="N36" s="44" t="s">
        <v>0</v>
      </c>
      <c r="O36" s="44" t="s">
        <v>0</v>
      </c>
      <c r="P36" s="44" t="s">
        <v>0</v>
      </c>
      <c r="Q36" s="44" t="s">
        <v>0</v>
      </c>
    </row>
    <row r="37" spans="1:21">
      <c r="A37" s="1" t="s">
        <v>285</v>
      </c>
      <c r="C37" s="44" t="s">
        <v>0</v>
      </c>
      <c r="D37" s="44" t="s">
        <v>0</v>
      </c>
      <c r="E37" s="44" t="s">
        <v>0</v>
      </c>
      <c r="F37" s="44" t="s">
        <v>0</v>
      </c>
      <c r="G37" s="44" t="s">
        <v>0</v>
      </c>
      <c r="H37" s="44" t="s">
        <v>0</v>
      </c>
      <c r="I37" s="44" t="s">
        <v>0</v>
      </c>
      <c r="J37" s="44" t="s">
        <v>0</v>
      </c>
      <c r="K37" s="44" t="s">
        <v>0</v>
      </c>
      <c r="L37" s="44" t="s">
        <v>0</v>
      </c>
      <c r="M37" s="44" t="s">
        <v>0</v>
      </c>
      <c r="N37" s="44" t="s">
        <v>0</v>
      </c>
      <c r="O37" s="44" t="s">
        <v>0</v>
      </c>
      <c r="P37" s="44" t="s">
        <v>0</v>
      </c>
      <c r="Q37" s="44" t="s">
        <v>0</v>
      </c>
    </row>
    <row r="38" spans="1:21">
      <c r="A38" s="1" t="s">
        <v>282</v>
      </c>
      <c r="B38" s="12">
        <f>+'bmhvar '!B38</f>
        <v>0</v>
      </c>
      <c r="C38" s="44">
        <v>0</v>
      </c>
      <c r="D38" s="12">
        <f>+'bmhvar '!D38</f>
        <v>0</v>
      </c>
      <c r="E38" s="44">
        <v>0</v>
      </c>
      <c r="F38" s="12">
        <f>+'bmhvar '!F38</f>
        <v>0</v>
      </c>
      <c r="G38" s="44">
        <v>0</v>
      </c>
      <c r="H38" s="12">
        <f>+'bmhvar '!H38</f>
        <v>0</v>
      </c>
      <c r="I38" s="44">
        <v>0</v>
      </c>
      <c r="J38" s="16">
        <f>+'bmhvar '!J38</f>
        <v>0</v>
      </c>
      <c r="K38" s="44">
        <v>0</v>
      </c>
      <c r="L38" s="44">
        <f>+'bmhvar '!L38</f>
        <v>2000</v>
      </c>
      <c r="M38" s="47">
        <f>+L38/$L$22</f>
        <v>3.3409507009314575E-2</v>
      </c>
      <c r="N38" s="16">
        <f>+'bmhvar '!N38</f>
        <v>0</v>
      </c>
      <c r="O38" s="44">
        <v>0</v>
      </c>
      <c r="P38" s="16">
        <f>+'bmhvar '!P38</f>
        <v>0</v>
      </c>
      <c r="Q38" s="47">
        <f>+P38/$P$22</f>
        <v>0</v>
      </c>
    </row>
    <row r="39" spans="1:21">
      <c r="A39" s="1" t="s">
        <v>286</v>
      </c>
      <c r="B39" s="12">
        <f>+'bmhvar '!B39</f>
        <v>0</v>
      </c>
      <c r="C39" s="44">
        <v>0</v>
      </c>
      <c r="D39" s="12">
        <f>+'bmhvar '!D39</f>
        <v>0</v>
      </c>
      <c r="E39" s="44">
        <v>0</v>
      </c>
      <c r="F39" s="12">
        <f>+'bmhvar '!F39</f>
        <v>0</v>
      </c>
      <c r="G39" s="44">
        <v>0</v>
      </c>
      <c r="H39" s="12">
        <f>+'bmhvar '!H39</f>
        <v>0</v>
      </c>
      <c r="I39" s="44">
        <v>0</v>
      </c>
      <c r="J39" s="16">
        <f>+'bmhvar '!J39</f>
        <v>0</v>
      </c>
      <c r="K39" s="44">
        <v>0</v>
      </c>
      <c r="L39" s="44">
        <f>+'bmhvar '!L39</f>
        <v>0</v>
      </c>
      <c r="M39" s="47">
        <f>+L39/$L$22</f>
        <v>0</v>
      </c>
      <c r="N39" s="16">
        <f>+'bmhvar '!N39</f>
        <v>0</v>
      </c>
      <c r="O39" s="44">
        <v>0</v>
      </c>
      <c r="P39" s="16">
        <f>+'bmhvar '!P39</f>
        <v>0</v>
      </c>
      <c r="Q39" s="47">
        <f>+P39/$P$22</f>
        <v>0</v>
      </c>
    </row>
    <row r="40" spans="1:21">
      <c r="A40" s="1" t="s">
        <v>284</v>
      </c>
      <c r="B40" s="240">
        <f>+'bmhvar '!B40</f>
        <v>0</v>
      </c>
      <c r="C40" s="545">
        <v>0</v>
      </c>
      <c r="D40" s="240">
        <f>+'bmhvar '!D40</f>
        <v>0</v>
      </c>
      <c r="E40" s="545">
        <v>0</v>
      </c>
      <c r="F40" s="240">
        <f>+'bmhvar '!F40</f>
        <v>0</v>
      </c>
      <c r="G40" s="545">
        <v>0</v>
      </c>
      <c r="H40" s="240">
        <f>+'bmhvar '!H40</f>
        <v>0</v>
      </c>
      <c r="I40" s="545">
        <v>0</v>
      </c>
      <c r="J40" s="248">
        <f>+'bmhvar '!J40</f>
        <v>0</v>
      </c>
      <c r="K40" s="545">
        <v>0</v>
      </c>
      <c r="L40" s="248">
        <f>+'bmhvar '!L40</f>
        <v>475.1</v>
      </c>
      <c r="M40" s="236">
        <f>+L40/$L$22</f>
        <v>7.9364283900626772E-3</v>
      </c>
      <c r="N40" s="248">
        <f>+'bmhvar '!N40</f>
        <v>0</v>
      </c>
      <c r="O40" s="545">
        <v>0</v>
      </c>
      <c r="P40" s="248">
        <f>+'bmhvar '!P40</f>
        <v>9925.1</v>
      </c>
      <c r="Q40" s="236">
        <f>+P40/$P$22</f>
        <v>0.14253013207419823</v>
      </c>
    </row>
    <row r="41" spans="1:21">
      <c r="A41" s="1"/>
      <c r="B41" s="12">
        <f>SUM(B38:B40)</f>
        <v>0</v>
      </c>
      <c r="C41" s="44">
        <v>0</v>
      </c>
      <c r="D41" s="12">
        <f>SUM(D38:D40)</f>
        <v>0</v>
      </c>
      <c r="E41" s="44">
        <v>0</v>
      </c>
      <c r="F41" s="12">
        <f>SUM(F38:F40)</f>
        <v>0</v>
      </c>
      <c r="G41" s="44">
        <v>0</v>
      </c>
      <c r="H41" s="12">
        <f>SUM(H38:H40)</f>
        <v>0</v>
      </c>
      <c r="I41" s="44">
        <v>0</v>
      </c>
      <c r="J41" s="12">
        <f>SUM(J38:J40)</f>
        <v>0</v>
      </c>
      <c r="K41" s="44">
        <v>0</v>
      </c>
      <c r="L41" s="12">
        <f>SUM(L38:L40)</f>
        <v>2475.1</v>
      </c>
      <c r="M41" s="47">
        <f>+L41/$L$22</f>
        <v>4.1345935399377247E-2</v>
      </c>
      <c r="N41" s="12">
        <f>SUM(N38:N40)</f>
        <v>0</v>
      </c>
      <c r="O41" s="44">
        <v>0</v>
      </c>
      <c r="P41" s="12">
        <f>SUM(P38:P40)</f>
        <v>9925.1</v>
      </c>
      <c r="Q41" s="47">
        <f>+P41/$P$22</f>
        <v>0.14253013207419823</v>
      </c>
    </row>
    <row r="42" spans="1:21" ht="8.4499999999999993" customHeight="1">
      <c r="A42" s="1"/>
      <c r="C42" s="44" t="s">
        <v>0</v>
      </c>
      <c r="D42" s="44" t="s">
        <v>0</v>
      </c>
      <c r="E42" s="44" t="s">
        <v>0</v>
      </c>
      <c r="F42" s="44" t="s">
        <v>0</v>
      </c>
      <c r="G42" s="44" t="s">
        <v>0</v>
      </c>
      <c r="H42" s="44" t="s">
        <v>0</v>
      </c>
      <c r="I42" s="44" t="s">
        <v>0</v>
      </c>
      <c r="J42" s="44" t="s">
        <v>0</v>
      </c>
      <c r="K42" s="44" t="s">
        <v>0</v>
      </c>
      <c r="L42" s="44" t="s">
        <v>0</v>
      </c>
      <c r="M42" s="44" t="s">
        <v>0</v>
      </c>
      <c r="N42" s="44" t="s">
        <v>0</v>
      </c>
      <c r="O42" s="44" t="s">
        <v>0</v>
      </c>
      <c r="P42" s="44" t="s">
        <v>0</v>
      </c>
      <c r="Q42" s="44" t="s">
        <v>0</v>
      </c>
    </row>
    <row r="43" spans="1:21" ht="18">
      <c r="A43" s="1" t="s">
        <v>287</v>
      </c>
      <c r="B43" s="240">
        <f>+'bmhvar '!B43</f>
        <v>0</v>
      </c>
      <c r="C43" s="545">
        <v>0</v>
      </c>
      <c r="D43" s="240">
        <f>+'bmhvar '!D43</f>
        <v>0</v>
      </c>
      <c r="E43" s="545">
        <v>0</v>
      </c>
      <c r="F43" s="240">
        <f>+'bmhvar '!F43</f>
        <v>0</v>
      </c>
      <c r="G43" s="545">
        <v>0</v>
      </c>
      <c r="H43" s="240">
        <f>+'bmhvar '!H43</f>
        <v>0</v>
      </c>
      <c r="I43" s="545">
        <v>0</v>
      </c>
      <c r="J43" s="248">
        <f>+'bmhvar '!J43</f>
        <v>0</v>
      </c>
      <c r="K43" s="545">
        <v>0</v>
      </c>
      <c r="L43" s="545">
        <f>+'bmhvar '!L43</f>
        <v>0</v>
      </c>
      <c r="M43" s="236">
        <f>+L43/$L$22</f>
        <v>0</v>
      </c>
      <c r="N43" s="248">
        <f>+'bmhvar '!N43</f>
        <v>0</v>
      </c>
      <c r="O43" s="545">
        <v>0</v>
      </c>
      <c r="P43" s="248">
        <f>+'bmhvar '!P43</f>
        <v>0</v>
      </c>
      <c r="Q43" s="236">
        <f>+P43/$P$22</f>
        <v>0</v>
      </c>
      <c r="R43" s="6"/>
    </row>
    <row r="44" spans="1:21">
      <c r="A44" s="1"/>
      <c r="B44" s="12">
        <f>+B29+B35+B41+B43</f>
        <v>0</v>
      </c>
      <c r="C44" s="44">
        <v>0</v>
      </c>
      <c r="D44" s="12">
        <f>+D29+D35+D41+D43</f>
        <v>0</v>
      </c>
      <c r="E44" s="44">
        <v>0</v>
      </c>
      <c r="F44" s="12">
        <f>+F29+F35+F41+F43</f>
        <v>0</v>
      </c>
      <c r="G44" s="44">
        <v>0</v>
      </c>
      <c r="H44" s="12">
        <f>+H29+H35+H41+H43</f>
        <v>0</v>
      </c>
      <c r="I44" s="44">
        <v>0</v>
      </c>
      <c r="J44" s="12">
        <f>+J29+J35+J41+J43</f>
        <v>0</v>
      </c>
      <c r="K44" s="44">
        <v>0</v>
      </c>
      <c r="L44" s="12">
        <f>+L29+L35+L41+L43</f>
        <v>34460.700000000004</v>
      </c>
      <c r="M44" s="47">
        <f>+L44/$L$22</f>
        <v>0.57565749909794339</v>
      </c>
      <c r="N44" s="12">
        <f>+N29+N35+N41+N43</f>
        <v>0</v>
      </c>
      <c r="O44" s="44">
        <v>0</v>
      </c>
      <c r="P44" s="12">
        <f>+P29+P35+P41+P43</f>
        <v>59252.200000000004</v>
      </c>
      <c r="Q44" s="47">
        <f>+P44/$P$22</f>
        <v>0.85089559719164631</v>
      </c>
    </row>
    <row r="45" spans="1:21" ht="8.4499999999999993" customHeight="1">
      <c r="A45" s="1"/>
      <c r="C45" s="44" t="s">
        <v>0</v>
      </c>
      <c r="D45" s="44" t="s">
        <v>0</v>
      </c>
      <c r="E45" s="44" t="s">
        <v>0</v>
      </c>
      <c r="F45" s="44" t="s">
        <v>0</v>
      </c>
      <c r="G45" s="44" t="s">
        <v>0</v>
      </c>
      <c r="H45" s="44" t="s">
        <v>0</v>
      </c>
      <c r="I45" s="44" t="s">
        <v>0</v>
      </c>
      <c r="J45" s="44" t="s">
        <v>0</v>
      </c>
      <c r="K45" s="44" t="s">
        <v>0</v>
      </c>
      <c r="L45" s="44" t="s">
        <v>0</v>
      </c>
      <c r="M45" s="44" t="s">
        <v>0</v>
      </c>
      <c r="N45" s="44" t="s">
        <v>0</v>
      </c>
      <c r="O45" s="44" t="s">
        <v>0</v>
      </c>
      <c r="P45" s="44" t="s">
        <v>0</v>
      </c>
      <c r="Q45" s="44" t="s">
        <v>0</v>
      </c>
    </row>
    <row r="46" spans="1:21">
      <c r="A46" s="87" t="s">
        <v>288</v>
      </c>
      <c r="C46" s="44" t="s">
        <v>0</v>
      </c>
      <c r="D46" s="44" t="s">
        <v>0</v>
      </c>
      <c r="E46" s="44" t="s">
        <v>0</v>
      </c>
      <c r="F46" s="44" t="s">
        <v>0</v>
      </c>
      <c r="G46" s="44" t="s">
        <v>0</v>
      </c>
      <c r="H46" s="44" t="s">
        <v>0</v>
      </c>
      <c r="I46" s="44" t="s">
        <v>0</v>
      </c>
      <c r="J46" s="44" t="s">
        <v>0</v>
      </c>
      <c r="K46" s="44" t="s">
        <v>0</v>
      </c>
      <c r="L46" s="44" t="s">
        <v>0</v>
      </c>
      <c r="M46" s="44" t="s">
        <v>0</v>
      </c>
      <c r="N46" s="44" t="s">
        <v>0</v>
      </c>
      <c r="O46" s="44" t="s">
        <v>0</v>
      </c>
      <c r="P46" s="44" t="s">
        <v>0</v>
      </c>
      <c r="Q46" s="44" t="s">
        <v>0</v>
      </c>
    </row>
    <row r="47" spans="1:21">
      <c r="A47" s="1" t="s">
        <v>289</v>
      </c>
      <c r="B47" s="12">
        <f>+'bmhvar '!B47</f>
        <v>0</v>
      </c>
      <c r="C47" s="44">
        <v>0</v>
      </c>
      <c r="D47" s="12">
        <f>+'bmhvar '!D47</f>
        <v>0</v>
      </c>
      <c r="E47" s="44">
        <v>0</v>
      </c>
      <c r="F47" s="12">
        <f>+'bmhvar '!F47</f>
        <v>0</v>
      </c>
      <c r="G47" s="44">
        <v>0</v>
      </c>
      <c r="H47" s="12">
        <f>+'bmhvar '!H47</f>
        <v>0</v>
      </c>
      <c r="I47" s="44">
        <v>0</v>
      </c>
      <c r="J47" s="16">
        <f>+'bmhvar '!J47</f>
        <v>0</v>
      </c>
      <c r="K47" s="44">
        <v>0</v>
      </c>
      <c r="L47" s="16">
        <f>+'bmhvar '!L47</f>
        <v>33469</v>
      </c>
      <c r="M47" s="47">
        <f t="shared" ref="M47:M52" si="4">+L47/$L$22</f>
        <v>0.55909139504737471</v>
      </c>
      <c r="N47" s="16">
        <f>+'bmhvar '!N47</f>
        <v>0</v>
      </c>
      <c r="O47" s="44">
        <v>0</v>
      </c>
      <c r="P47" s="16">
        <f>+'bmhvar '!P47</f>
        <v>26705.3</v>
      </c>
      <c r="Q47" s="47">
        <f t="shared" ref="Q47:Q52" si="5">+P47/$P$22</f>
        <v>0.38350343433124967</v>
      </c>
    </row>
    <row r="48" spans="1:21">
      <c r="A48" s="1" t="s">
        <v>290</v>
      </c>
      <c r="B48" s="12">
        <f>+'bmhvar '!B48</f>
        <v>0</v>
      </c>
      <c r="C48" s="44">
        <v>0</v>
      </c>
      <c r="D48" s="12">
        <f>+'bmhvar '!D48</f>
        <v>0</v>
      </c>
      <c r="E48" s="44">
        <v>0</v>
      </c>
      <c r="F48" s="12">
        <f>+'bmhvar '!F48</f>
        <v>0</v>
      </c>
      <c r="G48" s="44">
        <v>0</v>
      </c>
      <c r="H48" s="12">
        <f>+'bmhvar '!H48</f>
        <v>0</v>
      </c>
      <c r="I48" s="44">
        <v>0</v>
      </c>
      <c r="J48" s="16">
        <f>+'bmhvar '!J48</f>
        <v>0</v>
      </c>
      <c r="K48" s="44">
        <v>0</v>
      </c>
      <c r="L48" s="44">
        <f>+'bmhvar '!L48</f>
        <v>0</v>
      </c>
      <c r="M48" s="47">
        <f t="shared" si="4"/>
        <v>0</v>
      </c>
      <c r="N48" s="16">
        <f>+'bmhvar '!N48</f>
        <v>0</v>
      </c>
      <c r="O48" s="44">
        <v>0</v>
      </c>
      <c r="P48" s="16">
        <f>+'bmhvar '!P48</f>
        <v>0</v>
      </c>
      <c r="Q48" s="47">
        <f t="shared" si="5"/>
        <v>0</v>
      </c>
    </row>
    <row r="49" spans="1:21">
      <c r="A49" s="1" t="s">
        <v>302</v>
      </c>
      <c r="B49" s="12">
        <f>+'bmhvar '!B49</f>
        <v>0</v>
      </c>
      <c r="C49" s="44">
        <v>0</v>
      </c>
      <c r="D49" s="12">
        <f>+'bmhvar '!D49</f>
        <v>0</v>
      </c>
      <c r="E49" s="44">
        <v>0</v>
      </c>
      <c r="F49" s="12">
        <f>+'bmhvar '!F49</f>
        <v>0</v>
      </c>
      <c r="G49" s="44">
        <v>0</v>
      </c>
      <c r="H49" s="12">
        <f>+'bmhvar '!H49</f>
        <v>0</v>
      </c>
      <c r="I49" s="44">
        <v>0</v>
      </c>
      <c r="J49" s="16">
        <f>+'bmhvar '!J49</f>
        <v>0</v>
      </c>
      <c r="K49" s="44">
        <v>0</v>
      </c>
      <c r="L49" s="44">
        <f>+'bmhvar '!L49</f>
        <v>0</v>
      </c>
      <c r="M49" s="47">
        <f t="shared" si="4"/>
        <v>0</v>
      </c>
      <c r="N49" s="16">
        <f>+'bmhvar '!N49</f>
        <v>0</v>
      </c>
      <c r="O49" s="44">
        <v>0</v>
      </c>
      <c r="P49" s="16">
        <f>+'bmhvar '!P49</f>
        <v>0</v>
      </c>
      <c r="Q49" s="47">
        <f t="shared" si="5"/>
        <v>0</v>
      </c>
    </row>
    <row r="50" spans="1:21" ht="18">
      <c r="A50" s="1" t="s">
        <v>292</v>
      </c>
      <c r="B50" s="240">
        <f>+'bmhvar '!B50</f>
        <v>0</v>
      </c>
      <c r="C50" s="545">
        <v>0</v>
      </c>
      <c r="D50" s="240">
        <f>+'bmhvar '!D50</f>
        <v>0</v>
      </c>
      <c r="E50" s="545">
        <v>0</v>
      </c>
      <c r="F50" s="240">
        <f>+'bmhvar '!F50</f>
        <v>0</v>
      </c>
      <c r="G50" s="545">
        <v>0</v>
      </c>
      <c r="H50" s="240">
        <f>+'bmhvar '!H50</f>
        <v>0</v>
      </c>
      <c r="I50" s="545">
        <v>0</v>
      </c>
      <c r="J50" s="248">
        <f>+'bmhvar '!J50</f>
        <v>0</v>
      </c>
      <c r="K50" s="545">
        <v>0</v>
      </c>
      <c r="L50" s="248">
        <f>+'bmhvar '!L50</f>
        <v>-8066.5</v>
      </c>
      <c r="M50" s="236">
        <f t="shared" si="4"/>
        <v>-0.13474889414531799</v>
      </c>
      <c r="N50" s="248">
        <f>+'bmhvar '!N50</f>
        <v>0</v>
      </c>
      <c r="O50" s="545">
        <v>0</v>
      </c>
      <c r="P50" s="248">
        <f>+'bmhvar '!P50</f>
        <v>-16322.4</v>
      </c>
      <c r="Q50" s="236">
        <f t="shared" si="5"/>
        <v>-0.23439903152289582</v>
      </c>
      <c r="R50" s="6"/>
      <c r="S50" s="7"/>
      <c r="T50" s="7"/>
      <c r="U50" s="7"/>
    </row>
    <row r="51" spans="1:21" ht="16.5" thickBot="1">
      <c r="A51" s="1" t="s">
        <v>275</v>
      </c>
      <c r="B51" s="76">
        <f>SUM(B47:B50)</f>
        <v>0</v>
      </c>
      <c r="C51" s="232">
        <v>0</v>
      </c>
      <c r="D51" s="76">
        <f>SUM(D47:D50)</f>
        <v>0</v>
      </c>
      <c r="E51" s="232">
        <v>0</v>
      </c>
      <c r="F51" s="76">
        <f>SUM(F47:F50)</f>
        <v>0</v>
      </c>
      <c r="G51" s="232">
        <v>0</v>
      </c>
      <c r="H51" s="76">
        <f>SUM(H47:H50)</f>
        <v>0</v>
      </c>
      <c r="I51" s="232">
        <v>0</v>
      </c>
      <c r="J51" s="76">
        <f>SUM(J47:J50)</f>
        <v>0</v>
      </c>
      <c r="K51" s="232">
        <v>0</v>
      </c>
      <c r="L51" s="76">
        <f>SUM(L47:L50)</f>
        <v>25402.5</v>
      </c>
      <c r="M51" s="1102">
        <f t="shared" si="4"/>
        <v>0.42434250090205672</v>
      </c>
      <c r="N51" s="76">
        <f>SUM(N47:N50)</f>
        <v>0</v>
      </c>
      <c r="O51" s="232">
        <v>0</v>
      </c>
      <c r="P51" s="76">
        <f>SUM(P47:P50)</f>
        <v>10382.9</v>
      </c>
      <c r="Q51" s="1102">
        <f t="shared" si="5"/>
        <v>0.14910440280835385</v>
      </c>
    </row>
    <row r="52" spans="1:21">
      <c r="A52" s="1" t="s">
        <v>0</v>
      </c>
      <c r="B52" s="4">
        <f>+B29+B35+B41+B43+B51</f>
        <v>0</v>
      </c>
      <c r="C52" s="42">
        <v>0</v>
      </c>
      <c r="D52" s="4">
        <f>+D29+D35+D41+D43+D51</f>
        <v>0</v>
      </c>
      <c r="E52" s="42">
        <v>0</v>
      </c>
      <c r="F52" s="4">
        <f>+F29+F35+F41+F43+F51</f>
        <v>0</v>
      </c>
      <c r="G52" s="42">
        <v>0</v>
      </c>
      <c r="H52" s="4">
        <f>+H29+H35+H41+H43+H51</f>
        <v>0</v>
      </c>
      <c r="I52" s="42">
        <v>0</v>
      </c>
      <c r="J52" s="4">
        <f>+J29+J35+J41+J43+J51</f>
        <v>0</v>
      </c>
      <c r="K52" s="42">
        <v>0</v>
      </c>
      <c r="L52" s="4">
        <f>+L29+L35+L41+L43+L51</f>
        <v>59863.200000000004</v>
      </c>
      <c r="M52" s="106">
        <f t="shared" si="4"/>
        <v>1.0000000000000002</v>
      </c>
      <c r="N52" s="4">
        <f>+N29+N35+N41+N43+N51</f>
        <v>0</v>
      </c>
      <c r="O52" s="42">
        <v>0</v>
      </c>
      <c r="P52" s="4">
        <f>+P29+P35+P41+P43+P51</f>
        <v>69635.100000000006</v>
      </c>
      <c r="Q52" s="106">
        <f t="shared" si="5"/>
        <v>1.0000000000000002</v>
      </c>
    </row>
    <row r="55" spans="1:21">
      <c r="B55"/>
      <c r="C55"/>
      <c r="D55"/>
      <c r="E55"/>
      <c r="F55"/>
      <c r="G55"/>
      <c r="H55"/>
      <c r="I55"/>
      <c r="J55"/>
      <c r="K55"/>
      <c r="L55"/>
      <c r="M55"/>
      <c r="N55"/>
      <c r="O55"/>
      <c r="P55"/>
      <c r="Q55"/>
      <c r="R55"/>
    </row>
    <row r="56" spans="1:21">
      <c r="A56" s="185" t="s">
        <v>293</v>
      </c>
      <c r="B56"/>
      <c r="C56"/>
      <c r="D56"/>
      <c r="E56"/>
      <c r="F56"/>
      <c r="G56"/>
      <c r="H56"/>
      <c r="I56"/>
      <c r="J56"/>
      <c r="K56"/>
      <c r="L56"/>
      <c r="M56"/>
      <c r="N56"/>
      <c r="O56"/>
      <c r="P56"/>
      <c r="Q56"/>
      <c r="R56"/>
    </row>
    <row r="57" spans="1:21">
      <c r="A57" t="s">
        <v>294</v>
      </c>
      <c r="B57" s="12">
        <f>+'bmhvar '!B57</f>
        <v>0</v>
      </c>
      <c r="C57"/>
      <c r="D57" s="43">
        <v>0</v>
      </c>
      <c r="E57"/>
      <c r="F57" s="43">
        <v>0</v>
      </c>
      <c r="G57"/>
      <c r="H57" s="43">
        <v>0</v>
      </c>
      <c r="I57"/>
      <c r="J57" s="43">
        <v>0</v>
      </c>
      <c r="K57"/>
      <c r="L57" s="44">
        <f>+'bmhvar '!L57</f>
        <v>0</v>
      </c>
      <c r="M57"/>
      <c r="N57" s="43">
        <v>0</v>
      </c>
      <c r="O57"/>
      <c r="P57" s="43">
        <v>0</v>
      </c>
      <c r="Q57"/>
      <c r="R57"/>
    </row>
    <row r="58" spans="1:21">
      <c r="A58" t="s">
        <v>295</v>
      </c>
      <c r="B58" s="12">
        <f>+'bmhvar '!B58</f>
        <v>0</v>
      </c>
      <c r="C58"/>
      <c r="D58" s="43">
        <v>0</v>
      </c>
      <c r="E58"/>
      <c r="F58" s="43">
        <v>0</v>
      </c>
      <c r="G58"/>
      <c r="H58" s="43">
        <v>0</v>
      </c>
      <c r="I58"/>
      <c r="J58" s="43">
        <v>0</v>
      </c>
      <c r="K58"/>
      <c r="L58" s="44">
        <f>+'bmhvar '!L58</f>
        <v>42.1</v>
      </c>
      <c r="M58"/>
      <c r="N58" s="43">
        <v>0</v>
      </c>
      <c r="O58"/>
      <c r="P58" s="43">
        <v>0</v>
      </c>
      <c r="Q58"/>
      <c r="R58"/>
    </row>
    <row r="59" spans="1:21">
      <c r="A59" t="s">
        <v>284</v>
      </c>
      <c r="B59" s="12">
        <f>+'bmhvar '!B59</f>
        <v>0</v>
      </c>
      <c r="C59"/>
      <c r="D59" s="12">
        <f>+'bmhvar '!D58</f>
        <v>0</v>
      </c>
      <c r="E59"/>
      <c r="F59" s="43">
        <v>0</v>
      </c>
      <c r="G59"/>
      <c r="H59" s="43">
        <v>0</v>
      </c>
      <c r="I59"/>
      <c r="J59" s="43">
        <v>0</v>
      </c>
      <c r="K59"/>
      <c r="L59" s="44">
        <f>+'bmhvar '!L59</f>
        <v>0</v>
      </c>
      <c r="M59"/>
      <c r="N59" s="43">
        <v>0</v>
      </c>
      <c r="O59"/>
      <c r="P59" s="43">
        <v>0</v>
      </c>
      <c r="Q59"/>
      <c r="R59"/>
    </row>
    <row r="60" spans="1:21">
      <c r="C60"/>
      <c r="D60" s="43"/>
      <c r="E60"/>
      <c r="F60" s="43"/>
      <c r="G60"/>
      <c r="H60" s="43"/>
      <c r="I60"/>
      <c r="J60" s="43"/>
      <c r="K60"/>
      <c r="L60" s="43"/>
      <c r="M60"/>
      <c r="N60" s="43"/>
      <c r="O60"/>
      <c r="P60" s="43"/>
      <c r="Q60"/>
      <c r="R60"/>
    </row>
    <row r="61" spans="1:21" ht="18.75">
      <c r="A61" s="122" t="s">
        <v>303</v>
      </c>
      <c r="B61" s="12">
        <f>+'bmhvar '!B60</f>
        <v>0</v>
      </c>
      <c r="C61"/>
      <c r="D61" s="12">
        <f>+'bmhvar '!D60</f>
        <v>0</v>
      </c>
      <c r="E61"/>
      <c r="F61" s="12">
        <f>+'bmhvar '!F60</f>
        <v>0</v>
      </c>
      <c r="G61"/>
      <c r="H61" s="43">
        <v>0</v>
      </c>
      <c r="I61"/>
      <c r="J61" s="43">
        <v>0</v>
      </c>
      <c r="K61"/>
      <c r="L61" s="12">
        <f>+'bmhvar '!L60</f>
        <v>7244.4</v>
      </c>
      <c r="M61"/>
      <c r="N61" s="43">
        <v>0</v>
      </c>
      <c r="O61"/>
      <c r="P61" s="43">
        <v>0</v>
      </c>
      <c r="Q61"/>
      <c r="R61"/>
    </row>
    <row r="62" spans="1:21">
      <c r="A62" t="s">
        <v>217</v>
      </c>
      <c r="B62" s="12">
        <f>+'bmhvar '!B61</f>
        <v>0</v>
      </c>
      <c r="C62"/>
      <c r="D62" s="12">
        <f>+'bmhvar '!D61</f>
        <v>0</v>
      </c>
      <c r="E62"/>
      <c r="F62" s="43">
        <v>0</v>
      </c>
      <c r="G62"/>
      <c r="H62" s="43">
        <v>0</v>
      </c>
      <c r="I62"/>
      <c r="J62" s="43">
        <v>0</v>
      </c>
      <c r="K62"/>
      <c r="L62" s="12">
        <f>+'bmhvar '!L61</f>
        <v>0</v>
      </c>
      <c r="M62"/>
      <c r="N62" s="43">
        <v>0</v>
      </c>
      <c r="O62"/>
      <c r="P62" s="43">
        <v>0</v>
      </c>
      <c r="Q62"/>
      <c r="R62"/>
    </row>
    <row r="63" spans="1:21">
      <c r="A63" t="s">
        <v>297</v>
      </c>
      <c r="B63" s="12">
        <f>+'bmhvar '!B63</f>
        <v>0</v>
      </c>
      <c r="C63"/>
      <c r="D63" s="12">
        <f>+'bmhvar '!D62</f>
        <v>0</v>
      </c>
      <c r="E63"/>
      <c r="F63" s="43">
        <v>0</v>
      </c>
      <c r="G63"/>
      <c r="H63" s="43">
        <v>0</v>
      </c>
      <c r="I63"/>
      <c r="J63" s="43">
        <v>0</v>
      </c>
      <c r="K63"/>
      <c r="L63" s="12">
        <f>+'bmhvar '!L62</f>
        <v>0</v>
      </c>
      <c r="M63"/>
      <c r="N63" s="43">
        <v>0</v>
      </c>
      <c r="O63"/>
      <c r="P63" s="43">
        <v>0</v>
      </c>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row r="156" spans="2:18">
      <c r="B156"/>
      <c r="C156"/>
      <c r="D156"/>
      <c r="E156"/>
      <c r="F156"/>
      <c r="G156"/>
      <c r="H156"/>
      <c r="I156"/>
      <c r="J156"/>
      <c r="K156"/>
      <c r="L156"/>
      <c r="M156"/>
      <c r="N156"/>
      <c r="O156"/>
      <c r="P156"/>
      <c r="Q156"/>
      <c r="R156"/>
    </row>
    <row r="157" spans="2:18">
      <c r="B157"/>
      <c r="C157"/>
      <c r="D157"/>
      <c r="E157"/>
      <c r="F157"/>
      <c r="G157"/>
      <c r="H157"/>
      <c r="I157"/>
      <c r="J157"/>
      <c r="K157"/>
      <c r="L157"/>
      <c r="M157"/>
      <c r="N157"/>
      <c r="O157"/>
      <c r="P157"/>
      <c r="Q157"/>
      <c r="R157"/>
    </row>
    <row r="158" spans="2:18">
      <c r="B158"/>
      <c r="C158"/>
      <c r="D158"/>
      <c r="E158"/>
      <c r="F158"/>
      <c r="G158"/>
      <c r="H158"/>
      <c r="I158"/>
      <c r="J158"/>
      <c r="K158"/>
      <c r="L158"/>
      <c r="M158"/>
      <c r="N158"/>
      <c r="O158"/>
      <c r="P158"/>
      <c r="Q158"/>
      <c r="R158"/>
    </row>
  </sheetData>
  <pageMargins left="0.2" right="0.23" top="0.55000000000000004" bottom="0.5" header="0.34" footer="0.25"/>
  <pageSetup scale="52" orientation="landscape" r:id="rId1"/>
  <headerFooter alignWithMargins="0">
    <oddFooter>&amp;L* L'actif net de cette banque a été acheté par la Sogebank au cours du Trim 1 99. Au cours du Trim 3 99, l'actif de la Sogebank inclut celui de cette banque.&amp;R&amp;P</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0"/>
  <sheetViews>
    <sheetView workbookViewId="0"/>
  </sheetViews>
  <sheetFormatPr defaultRowHeight="15.75"/>
  <cols>
    <col min="1" max="1" width="33.25" customWidth="1"/>
    <col min="2" max="2" width="16.25" style="12" customWidth="1"/>
    <col min="3" max="3" width="15.75" style="13" customWidth="1"/>
    <col min="4" max="4" width="15.75" style="12" customWidth="1"/>
    <col min="5" max="5" width="14.75" style="13" customWidth="1"/>
    <col min="6" max="6" width="10.25" style="12" customWidth="1"/>
    <col min="7" max="7" width="8.5" style="13" customWidth="1"/>
    <col min="8" max="8" width="16.875"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582</v>
      </c>
      <c r="B1" s="37"/>
      <c r="C1" s="38"/>
      <c r="D1" s="37"/>
      <c r="E1" s="38"/>
      <c r="F1" s="37"/>
      <c r="G1" s="38"/>
      <c r="H1" s="37"/>
      <c r="I1" s="37"/>
      <c r="J1" s="38"/>
    </row>
    <row r="2" spans="1:15">
      <c r="A2" s="114" t="s">
        <v>305</v>
      </c>
      <c r="B2" s="37"/>
      <c r="C2" s="38"/>
      <c r="D2" s="37"/>
      <c r="E2" s="38"/>
      <c r="F2" s="37"/>
      <c r="G2" s="38"/>
      <c r="H2" s="37"/>
      <c r="I2" s="37"/>
      <c r="J2" s="38"/>
    </row>
    <row r="3" spans="1:15">
      <c r="A3" s="114" t="s">
        <v>306</v>
      </c>
      <c r="B3" s="37"/>
      <c r="C3" s="38"/>
      <c r="D3" s="37"/>
      <c r="E3" s="38"/>
      <c r="F3" s="37"/>
      <c r="G3" s="38"/>
      <c r="H3" s="37"/>
      <c r="I3" s="37"/>
      <c r="J3" s="38"/>
    </row>
    <row r="4" spans="1:15">
      <c r="A4" s="114" t="s">
        <v>179</v>
      </c>
      <c r="B4" s="37"/>
      <c r="C4" s="38"/>
      <c r="D4" s="37"/>
      <c r="E4" s="38"/>
      <c r="F4" s="37"/>
      <c r="G4" s="38"/>
      <c r="H4" s="37"/>
      <c r="I4" s="37"/>
      <c r="J4" s="38"/>
    </row>
    <row r="5" spans="1:15">
      <c r="A5" s="34"/>
      <c r="B5" s="37"/>
      <c r="C5" s="38"/>
      <c r="D5" s="37"/>
      <c r="E5" s="38"/>
      <c r="F5" s="37"/>
      <c r="G5" s="38"/>
      <c r="H5" s="37"/>
      <c r="I5" s="37"/>
      <c r="J5" s="38"/>
    </row>
    <row r="6" spans="1:15">
      <c r="B6" s="238" t="s">
        <v>0</v>
      </c>
      <c r="C6" s="215"/>
      <c r="D6" s="216"/>
    </row>
    <row r="7" spans="1:15" ht="16.5" thickBot="1">
      <c r="B7" s="123" t="s">
        <v>307</v>
      </c>
      <c r="C7" s="38"/>
      <c r="D7" s="37"/>
      <c r="E7" s="38"/>
      <c r="H7" s="377" t="s">
        <v>308</v>
      </c>
      <c r="I7" s="215"/>
      <c r="J7" s="216"/>
      <c r="K7" s="37"/>
    </row>
    <row r="8" spans="1:15" ht="16.5" thickTop="1">
      <c r="A8" s="87" t="s">
        <v>243</v>
      </c>
      <c r="B8" s="402" t="s">
        <v>550</v>
      </c>
      <c r="C8" s="403" t="s">
        <v>310</v>
      </c>
      <c r="D8" s="408" t="s">
        <v>311</v>
      </c>
      <c r="E8" s="407" t="s">
        <v>312</v>
      </c>
      <c r="F8" s="125" t="s">
        <v>0</v>
      </c>
      <c r="G8" s="124" t="s">
        <v>0</v>
      </c>
      <c r="H8" s="402" t="s">
        <v>550</v>
      </c>
      <c r="I8" s="404" t="s">
        <v>310</v>
      </c>
      <c r="J8" s="406" t="s">
        <v>311</v>
      </c>
      <c r="K8" s="407" t="s">
        <v>312</v>
      </c>
      <c r="L8" s="14"/>
      <c r="M8" s="9"/>
      <c r="N8" s="9"/>
      <c r="O8" s="9"/>
    </row>
    <row r="9" spans="1:15">
      <c r="A9" s="1" t="s">
        <v>264</v>
      </c>
      <c r="B9" s="126" t="s">
        <v>0</v>
      </c>
      <c r="C9" s="127"/>
      <c r="D9" s="365"/>
      <c r="E9" s="372" t="s">
        <v>0</v>
      </c>
      <c r="H9" s="135"/>
      <c r="I9" s="78"/>
      <c r="J9" s="370" t="s">
        <v>0</v>
      </c>
      <c r="K9" s="372" t="s">
        <v>0</v>
      </c>
    </row>
    <row r="10" spans="1:15">
      <c r="A10" s="1" t="s">
        <v>265</v>
      </c>
      <c r="B10" s="129">
        <v>0</v>
      </c>
      <c r="C10" s="92">
        <v>0</v>
      </c>
      <c r="D10" s="366">
        <f t="shared" ref="D10:D15" si="0">SUM(B10:C10)</f>
        <v>0</v>
      </c>
      <c r="E10" s="136">
        <v>0</v>
      </c>
      <c r="F10" s="88" t="s">
        <v>0</v>
      </c>
      <c r="G10" s="100" t="s">
        <v>0</v>
      </c>
      <c r="H10" s="129">
        <v>0</v>
      </c>
      <c r="I10" s="92">
        <v>0</v>
      </c>
      <c r="J10" s="366">
        <f t="shared" ref="J10:J15" si="1">SUM(H10:I10)</f>
        <v>0</v>
      </c>
      <c r="K10" s="136">
        <v>0</v>
      </c>
    </row>
    <row r="11" spans="1:15">
      <c r="A11" s="1" t="s">
        <v>266</v>
      </c>
      <c r="B11" s="129">
        <v>0</v>
      </c>
      <c r="C11" s="92">
        <v>0</v>
      </c>
      <c r="D11" s="366">
        <f t="shared" si="0"/>
        <v>0</v>
      </c>
      <c r="E11" s="136">
        <v>0</v>
      </c>
      <c r="F11" s="88" t="s">
        <v>0</v>
      </c>
      <c r="G11" s="100" t="s">
        <v>0</v>
      </c>
      <c r="H11" s="129">
        <v>0</v>
      </c>
      <c r="I11" s="92">
        <v>0</v>
      </c>
      <c r="J11" s="366">
        <f t="shared" si="1"/>
        <v>0</v>
      </c>
      <c r="K11" s="136">
        <v>0</v>
      </c>
    </row>
    <row r="12" spans="1:15">
      <c r="A12" s="1" t="s">
        <v>267</v>
      </c>
      <c r="B12" s="129">
        <v>0</v>
      </c>
      <c r="C12" s="92">
        <v>0</v>
      </c>
      <c r="D12" s="366">
        <f t="shared" si="0"/>
        <v>0</v>
      </c>
      <c r="E12" s="136">
        <v>0</v>
      </c>
      <c r="F12" s="88" t="s">
        <v>0</v>
      </c>
      <c r="G12" s="100" t="s">
        <v>0</v>
      </c>
      <c r="H12" s="129">
        <v>0</v>
      </c>
      <c r="I12" s="92">
        <v>0</v>
      </c>
      <c r="J12" s="366">
        <f t="shared" si="1"/>
        <v>0</v>
      </c>
      <c r="K12" s="136">
        <v>0</v>
      </c>
    </row>
    <row r="13" spans="1:15">
      <c r="A13" s="1" t="s">
        <v>268</v>
      </c>
      <c r="B13" s="129">
        <v>0</v>
      </c>
      <c r="C13" s="92">
        <v>0</v>
      </c>
      <c r="D13" s="366">
        <f t="shared" si="0"/>
        <v>0</v>
      </c>
      <c r="E13" s="136">
        <v>0</v>
      </c>
      <c r="F13" s="88" t="s">
        <v>0</v>
      </c>
      <c r="G13" s="100" t="s">
        <v>0</v>
      </c>
      <c r="H13" s="129">
        <v>0</v>
      </c>
      <c r="I13" s="92">
        <v>0</v>
      </c>
      <c r="J13" s="366">
        <f t="shared" si="1"/>
        <v>0</v>
      </c>
      <c r="K13" s="136">
        <v>0</v>
      </c>
    </row>
    <row r="14" spans="1:15" ht="18">
      <c r="A14" s="1" t="s">
        <v>269</v>
      </c>
      <c r="B14" s="130">
        <v>0</v>
      </c>
      <c r="C14" s="137">
        <v>0</v>
      </c>
      <c r="D14" s="367">
        <f t="shared" si="0"/>
        <v>0</v>
      </c>
      <c r="E14" s="136">
        <v>0</v>
      </c>
      <c r="F14" s="88" t="s">
        <v>0</v>
      </c>
      <c r="G14" s="100" t="s">
        <v>0</v>
      </c>
      <c r="H14" s="130">
        <v>0</v>
      </c>
      <c r="I14" s="137">
        <v>0</v>
      </c>
      <c r="J14" s="367">
        <f t="shared" si="1"/>
        <v>0</v>
      </c>
      <c r="K14" s="136">
        <v>0</v>
      </c>
    </row>
    <row r="15" spans="1:15" ht="15.6" customHeight="1">
      <c r="A15" s="1"/>
      <c r="B15" s="129">
        <f>SUM(B10:B14)</f>
        <v>0</v>
      </c>
      <c r="C15" s="92">
        <f>SUM(C10:C14)</f>
        <v>0</v>
      </c>
      <c r="D15" s="366">
        <f t="shared" si="0"/>
        <v>0</v>
      </c>
      <c r="E15" s="136">
        <v>0</v>
      </c>
      <c r="F15" s="88" t="s">
        <v>0</v>
      </c>
      <c r="G15" s="100" t="s">
        <v>0</v>
      </c>
      <c r="H15" s="129">
        <f>SUM(H10:H14)</f>
        <v>0</v>
      </c>
      <c r="I15" s="92">
        <f>SUM(I10:I14)</f>
        <v>0</v>
      </c>
      <c r="J15" s="366">
        <f t="shared" si="1"/>
        <v>0</v>
      </c>
      <c r="K15" s="136">
        <v>0</v>
      </c>
    </row>
    <row r="16" spans="1:15" ht="7.9" customHeight="1">
      <c r="A16" s="1"/>
      <c r="B16" s="129"/>
      <c r="C16" s="92" t="s">
        <v>0</v>
      </c>
      <c r="D16" s="366"/>
      <c r="E16" s="136" t="s">
        <v>0</v>
      </c>
      <c r="F16" s="88"/>
      <c r="G16" s="100" t="s">
        <v>0</v>
      </c>
      <c r="H16" s="129"/>
      <c r="I16" s="92" t="s">
        <v>0</v>
      </c>
      <c r="J16" s="366" t="s">
        <v>0</v>
      </c>
      <c r="K16" s="136" t="s">
        <v>0</v>
      </c>
    </row>
    <row r="17" spans="1:11" ht="15.6" customHeight="1">
      <c r="A17" s="1" t="s">
        <v>270</v>
      </c>
      <c r="B17" s="129">
        <v>0</v>
      </c>
      <c r="C17" s="92">
        <v>0</v>
      </c>
      <c r="D17" s="366">
        <f t="shared" ref="D17:D22" si="2">SUM(B17:C17)</f>
        <v>0</v>
      </c>
      <c r="E17" s="136">
        <v>0</v>
      </c>
      <c r="F17"/>
      <c r="G17"/>
      <c r="H17" s="129">
        <v>0</v>
      </c>
      <c r="I17" s="92">
        <v>0</v>
      </c>
      <c r="J17" s="366">
        <f t="shared" ref="J17:J22" si="3">SUM(H17:I17)</f>
        <v>0</v>
      </c>
      <c r="K17" s="136">
        <v>0</v>
      </c>
    </row>
    <row r="18" spans="1:11">
      <c r="A18" s="1" t="s">
        <v>271</v>
      </c>
      <c r="B18" s="129">
        <v>0</v>
      </c>
      <c r="C18" s="92">
        <v>0</v>
      </c>
      <c r="D18" s="366">
        <f t="shared" si="2"/>
        <v>0</v>
      </c>
      <c r="E18" s="136">
        <v>0</v>
      </c>
      <c r="F18"/>
      <c r="G18"/>
      <c r="H18" s="129">
        <v>0</v>
      </c>
      <c r="I18" s="92">
        <v>0</v>
      </c>
      <c r="J18" s="366">
        <f t="shared" si="3"/>
        <v>0</v>
      </c>
      <c r="K18" s="136">
        <v>0</v>
      </c>
    </row>
    <row r="19" spans="1:11">
      <c r="A19" s="1" t="s">
        <v>314</v>
      </c>
      <c r="B19" s="129">
        <v>0</v>
      </c>
      <c r="C19" s="92">
        <v>0</v>
      </c>
      <c r="D19" s="366">
        <f t="shared" si="2"/>
        <v>0</v>
      </c>
      <c r="E19" s="136">
        <v>0</v>
      </c>
      <c r="F19"/>
      <c r="G19"/>
      <c r="H19" s="129">
        <v>0</v>
      </c>
      <c r="I19" s="92">
        <v>0</v>
      </c>
      <c r="J19" s="366">
        <f t="shared" si="3"/>
        <v>0</v>
      </c>
      <c r="K19" s="136">
        <v>0</v>
      </c>
    </row>
    <row r="20" spans="1:11">
      <c r="A20" s="1" t="s">
        <v>273</v>
      </c>
      <c r="B20" s="129">
        <v>0</v>
      </c>
      <c r="C20" s="92">
        <v>0</v>
      </c>
      <c r="D20" s="366">
        <f t="shared" si="2"/>
        <v>0</v>
      </c>
      <c r="E20" s="136">
        <v>0</v>
      </c>
      <c r="F20"/>
      <c r="G20"/>
      <c r="H20" s="129">
        <v>0</v>
      </c>
      <c r="I20" s="92">
        <v>0</v>
      </c>
      <c r="J20" s="366">
        <f t="shared" si="3"/>
        <v>0</v>
      </c>
      <c r="K20" s="136">
        <v>0</v>
      </c>
    </row>
    <row r="21" spans="1:11" ht="18">
      <c r="A21" s="1" t="s">
        <v>274</v>
      </c>
      <c r="B21" s="130">
        <v>0</v>
      </c>
      <c r="C21" s="137">
        <v>0</v>
      </c>
      <c r="D21" s="367">
        <f t="shared" si="2"/>
        <v>0</v>
      </c>
      <c r="E21" s="136">
        <v>0</v>
      </c>
      <c r="F21"/>
      <c r="G21"/>
      <c r="H21" s="130">
        <v>0</v>
      </c>
      <c r="I21" s="137">
        <v>0</v>
      </c>
      <c r="J21" s="367">
        <f t="shared" si="3"/>
        <v>0</v>
      </c>
      <c r="K21" s="136">
        <v>0</v>
      </c>
    </row>
    <row r="22" spans="1:11">
      <c r="A22" s="1" t="s">
        <v>275</v>
      </c>
      <c r="B22" s="132">
        <f>SUM(B15:B21)</f>
        <v>0</v>
      </c>
      <c r="C22" s="95">
        <f>SUM(C15:C21)</f>
        <v>0</v>
      </c>
      <c r="D22" s="368">
        <f t="shared" si="2"/>
        <v>0</v>
      </c>
      <c r="E22" s="1043">
        <v>0</v>
      </c>
      <c r="F22"/>
      <c r="G22"/>
      <c r="H22" s="132">
        <f>SUM(H15:H21)</f>
        <v>0</v>
      </c>
      <c r="I22" s="95">
        <f>SUM(I15:I21)</f>
        <v>0</v>
      </c>
      <c r="J22" s="368">
        <f t="shared" si="3"/>
        <v>0</v>
      </c>
      <c r="K22" s="1043">
        <v>0</v>
      </c>
    </row>
    <row r="23" spans="1:11" ht="7.9" customHeight="1">
      <c r="A23" s="1"/>
      <c r="B23" s="129"/>
      <c r="C23" s="93" t="s">
        <v>0</v>
      </c>
      <c r="D23" s="366"/>
      <c r="E23" s="136" t="s">
        <v>0</v>
      </c>
      <c r="F23"/>
      <c r="G23"/>
      <c r="H23" s="129"/>
      <c r="I23" s="93" t="s">
        <v>0</v>
      </c>
      <c r="J23" s="371" t="s">
        <v>0</v>
      </c>
      <c r="K23" s="136" t="s">
        <v>0</v>
      </c>
    </row>
    <row r="24" spans="1:11">
      <c r="A24" s="87" t="s">
        <v>276</v>
      </c>
      <c r="B24" s="129"/>
      <c r="C24" s="93" t="s">
        <v>0</v>
      </c>
      <c r="D24" s="366"/>
      <c r="E24" s="136" t="s">
        <v>0</v>
      </c>
      <c r="F24"/>
      <c r="G24"/>
      <c r="H24" s="129"/>
      <c r="I24" s="93" t="s">
        <v>0</v>
      </c>
      <c r="J24" s="371" t="s">
        <v>0</v>
      </c>
      <c r="K24" s="136" t="s">
        <v>0</v>
      </c>
    </row>
    <row r="25" spans="1:11">
      <c r="A25" s="1" t="s">
        <v>277</v>
      </c>
      <c r="B25" s="129"/>
      <c r="C25" s="93" t="s">
        <v>0</v>
      </c>
      <c r="D25" s="366"/>
      <c r="E25" s="136" t="s">
        <v>0</v>
      </c>
      <c r="F25"/>
      <c r="G25"/>
      <c r="H25" s="129"/>
      <c r="I25" s="93" t="s">
        <v>0</v>
      </c>
      <c r="J25" s="371" t="s">
        <v>0</v>
      </c>
      <c r="K25" s="136" t="s">
        <v>0</v>
      </c>
    </row>
    <row r="26" spans="1:11">
      <c r="A26" s="1" t="s">
        <v>278</v>
      </c>
      <c r="B26" s="129">
        <v>0</v>
      </c>
      <c r="C26" s="92">
        <v>0</v>
      </c>
      <c r="D26" s="366">
        <f>SUM(B26:C26)</f>
        <v>0</v>
      </c>
      <c r="E26" s="136">
        <v>0</v>
      </c>
      <c r="F26"/>
      <c r="G26"/>
      <c r="H26" s="129">
        <v>0</v>
      </c>
      <c r="I26" s="92">
        <v>0</v>
      </c>
      <c r="J26" s="366">
        <f>SUM(H26:I26)</f>
        <v>0</v>
      </c>
      <c r="K26" s="136">
        <v>0</v>
      </c>
    </row>
    <row r="27" spans="1:11">
      <c r="A27" s="1" t="s">
        <v>279</v>
      </c>
      <c r="B27" s="129">
        <v>0</v>
      </c>
      <c r="C27" s="92">
        <v>0</v>
      </c>
      <c r="D27" s="366">
        <f>SUM(B27:C27)</f>
        <v>0</v>
      </c>
      <c r="E27" s="136">
        <v>0</v>
      </c>
      <c r="F27"/>
      <c r="G27"/>
      <c r="H27" s="129">
        <v>0</v>
      </c>
      <c r="I27" s="92">
        <v>0</v>
      </c>
      <c r="J27" s="366">
        <f>SUM(H27:I27)</f>
        <v>0</v>
      </c>
      <c r="K27" s="136">
        <v>0</v>
      </c>
    </row>
    <row r="28" spans="1:11" ht="18">
      <c r="A28" s="1" t="s">
        <v>280</v>
      </c>
      <c r="B28" s="130">
        <v>0</v>
      </c>
      <c r="C28" s="137">
        <v>0</v>
      </c>
      <c r="D28" s="367">
        <f>SUM(B28:C28)</f>
        <v>0</v>
      </c>
      <c r="E28" s="136">
        <v>0</v>
      </c>
      <c r="F28"/>
      <c r="G28"/>
      <c r="H28" s="130">
        <v>0</v>
      </c>
      <c r="I28" s="137">
        <v>0</v>
      </c>
      <c r="J28" s="367">
        <f>SUM(H28:I28)</f>
        <v>0</v>
      </c>
      <c r="K28" s="136">
        <v>0</v>
      </c>
    </row>
    <row r="29" spans="1:11">
      <c r="A29" s="1"/>
      <c r="B29" s="129">
        <f>SUM(B26:B28)</f>
        <v>0</v>
      </c>
      <c r="C29" s="92">
        <f>SUM(C26:C28)</f>
        <v>0</v>
      </c>
      <c r="D29" s="366">
        <f>SUM(B29:C29)</f>
        <v>0</v>
      </c>
      <c r="E29" s="136">
        <v>0</v>
      </c>
      <c r="F29"/>
      <c r="G29"/>
      <c r="H29" s="129">
        <f>SUM(H26:H28)</f>
        <v>0</v>
      </c>
      <c r="I29" s="92">
        <f>SUM(I26:I28)</f>
        <v>0</v>
      </c>
      <c r="J29" s="371">
        <f>SUM(H29:I29)</f>
        <v>0</v>
      </c>
      <c r="K29" s="136">
        <v>0</v>
      </c>
    </row>
    <row r="30" spans="1:11" ht="7.9" customHeight="1">
      <c r="A30" s="1"/>
      <c r="B30" s="129"/>
      <c r="C30" s="93" t="s">
        <v>0</v>
      </c>
      <c r="D30" s="366"/>
      <c r="E30" s="136" t="s">
        <v>0</v>
      </c>
      <c r="F30"/>
      <c r="G30"/>
      <c r="H30" s="129"/>
      <c r="I30" s="93" t="s">
        <v>0</v>
      </c>
      <c r="J30" s="371" t="s">
        <v>0</v>
      </c>
      <c r="K30" s="136" t="s">
        <v>0</v>
      </c>
    </row>
    <row r="31" spans="1:11">
      <c r="A31" s="1" t="s">
        <v>281</v>
      </c>
      <c r="B31" s="129"/>
      <c r="C31" s="93" t="s">
        <v>0</v>
      </c>
      <c r="D31" s="366"/>
      <c r="E31" s="136" t="s">
        <v>0</v>
      </c>
      <c r="F31"/>
      <c r="G31"/>
      <c r="H31" s="129"/>
      <c r="I31" s="93" t="s">
        <v>0</v>
      </c>
      <c r="J31" s="371" t="s">
        <v>0</v>
      </c>
      <c r="K31" s="136" t="s">
        <v>0</v>
      </c>
    </row>
    <row r="32" spans="1:11">
      <c r="A32" s="1" t="s">
        <v>282</v>
      </c>
      <c r="B32" s="129">
        <v>0</v>
      </c>
      <c r="C32" s="92">
        <v>0</v>
      </c>
      <c r="D32" s="366">
        <f>SUM(B32:C32)</f>
        <v>0</v>
      </c>
      <c r="E32" s="136">
        <v>0</v>
      </c>
      <c r="F32"/>
      <c r="G32"/>
      <c r="H32" s="129">
        <v>0</v>
      </c>
      <c r="I32" s="92">
        <v>0</v>
      </c>
      <c r="J32" s="366">
        <f>SUM(H32:I32)</f>
        <v>0</v>
      </c>
      <c r="K32" s="136">
        <v>0</v>
      </c>
    </row>
    <row r="33" spans="1:15">
      <c r="A33" s="1" t="s">
        <v>283</v>
      </c>
      <c r="B33" s="129">
        <v>0</v>
      </c>
      <c r="C33" s="92">
        <v>0</v>
      </c>
      <c r="D33" s="366">
        <f>SUM(B33:C33)</f>
        <v>0</v>
      </c>
      <c r="E33" s="136">
        <v>0</v>
      </c>
      <c r="F33"/>
      <c r="G33"/>
      <c r="H33" s="129">
        <v>0</v>
      </c>
      <c r="I33" s="92">
        <v>0</v>
      </c>
      <c r="J33" s="366">
        <f>SUM(H33:I33)</f>
        <v>0</v>
      </c>
      <c r="K33" s="136">
        <v>0</v>
      </c>
    </row>
    <row r="34" spans="1:15" ht="18">
      <c r="A34" s="1" t="s">
        <v>284</v>
      </c>
      <c r="B34" s="130">
        <v>0</v>
      </c>
      <c r="C34" s="137">
        <v>0</v>
      </c>
      <c r="D34" s="367">
        <f>SUM(B34:C34)</f>
        <v>0</v>
      </c>
      <c r="E34" s="136">
        <v>0</v>
      </c>
      <c r="F34"/>
      <c r="G34"/>
      <c r="H34" s="130">
        <v>0</v>
      </c>
      <c r="I34" s="137">
        <v>0</v>
      </c>
      <c r="J34" s="367">
        <f>SUM(H34:I34)</f>
        <v>0</v>
      </c>
      <c r="K34" s="136">
        <v>0</v>
      </c>
      <c r="L34" s="6"/>
      <c r="M34" s="7"/>
      <c r="N34" s="7"/>
      <c r="O34" s="7"/>
    </row>
    <row r="35" spans="1:15">
      <c r="A35" s="1"/>
      <c r="B35" s="129">
        <f>SUM(B32:B34)</f>
        <v>0</v>
      </c>
      <c r="C35" s="92">
        <f>SUM(C32:C34)</f>
        <v>0</v>
      </c>
      <c r="D35" s="366">
        <f>SUM(B35:C35)</f>
        <v>0</v>
      </c>
      <c r="E35" s="136">
        <v>0</v>
      </c>
      <c r="F35"/>
      <c r="G35"/>
      <c r="H35" s="129">
        <f>SUM(H32:H34)</f>
        <v>0</v>
      </c>
      <c r="I35" s="92">
        <f>SUM(I32:I34)</f>
        <v>0</v>
      </c>
      <c r="J35" s="366">
        <f>SUM(H35:I35)</f>
        <v>0</v>
      </c>
      <c r="K35" s="136">
        <v>0</v>
      </c>
    </row>
    <row r="36" spans="1:15" ht="7.15" customHeight="1">
      <c r="A36" s="1"/>
      <c r="B36" s="129"/>
      <c r="C36" s="93" t="s">
        <v>0</v>
      </c>
      <c r="D36" s="366"/>
      <c r="E36" s="136" t="s">
        <v>275</v>
      </c>
      <c r="F36"/>
      <c r="G36"/>
      <c r="H36" s="129"/>
      <c r="I36" s="93" t="s">
        <v>0</v>
      </c>
      <c r="J36" s="371" t="s">
        <v>0</v>
      </c>
      <c r="K36" s="136" t="s">
        <v>275</v>
      </c>
    </row>
    <row r="37" spans="1:15">
      <c r="A37" s="1" t="s">
        <v>285</v>
      </c>
      <c r="B37" s="129"/>
      <c r="C37" s="93" t="s">
        <v>0</v>
      </c>
      <c r="D37" s="366"/>
      <c r="E37" s="136" t="s">
        <v>0</v>
      </c>
      <c r="F37"/>
      <c r="G37"/>
      <c r="H37" s="129"/>
      <c r="I37" s="93" t="s">
        <v>0</v>
      </c>
      <c r="J37" s="371" t="s">
        <v>0</v>
      </c>
      <c r="K37" s="136" t="s">
        <v>0</v>
      </c>
    </row>
    <row r="38" spans="1:15">
      <c r="A38" s="1" t="s">
        <v>282</v>
      </c>
      <c r="B38" s="129">
        <v>0</v>
      </c>
      <c r="C38" s="92">
        <v>0</v>
      </c>
      <c r="D38" s="366">
        <f>SUM(B38:C38)</f>
        <v>0</v>
      </c>
      <c r="E38" s="136">
        <v>0</v>
      </c>
      <c r="F38"/>
      <c r="G38"/>
      <c r="H38" s="129">
        <v>0</v>
      </c>
      <c r="I38" s="92">
        <v>0</v>
      </c>
      <c r="J38" s="366">
        <f>SUM(H38:I38)</f>
        <v>0</v>
      </c>
      <c r="K38" s="136">
        <v>0</v>
      </c>
    </row>
    <row r="39" spans="1:15">
      <c r="A39" s="1" t="s">
        <v>286</v>
      </c>
      <c r="B39" s="129">
        <v>0</v>
      </c>
      <c r="C39" s="92">
        <v>0</v>
      </c>
      <c r="D39" s="366">
        <f>SUM(B39:C39)</f>
        <v>0</v>
      </c>
      <c r="E39" s="136">
        <v>0</v>
      </c>
      <c r="F39"/>
      <c r="G39"/>
      <c r="H39" s="129">
        <v>0</v>
      </c>
      <c r="I39" s="92">
        <v>0</v>
      </c>
      <c r="J39" s="366">
        <f>SUM(H39:I39)</f>
        <v>0</v>
      </c>
      <c r="K39" s="136">
        <v>0</v>
      </c>
    </row>
    <row r="40" spans="1:15" ht="18">
      <c r="A40" s="1" t="s">
        <v>284</v>
      </c>
      <c r="B40" s="130">
        <v>0</v>
      </c>
      <c r="C40" s="137">
        <v>0</v>
      </c>
      <c r="D40" s="367">
        <f>SUM(B40:C40)</f>
        <v>0</v>
      </c>
      <c r="E40" s="136">
        <v>0</v>
      </c>
      <c r="F40"/>
      <c r="G40"/>
      <c r="H40" s="130">
        <v>0</v>
      </c>
      <c r="I40" s="137">
        <v>0</v>
      </c>
      <c r="J40" s="940">
        <f>SUM(H40:I40)</f>
        <v>0</v>
      </c>
      <c r="K40" s="136">
        <v>0</v>
      </c>
    </row>
    <row r="41" spans="1:15">
      <c r="A41" s="1"/>
      <c r="B41" s="129">
        <f>SUM(B38:B40)</f>
        <v>0</v>
      </c>
      <c r="C41" s="92">
        <f>SUM(C38:C40)</f>
        <v>0</v>
      </c>
      <c r="D41" s="366">
        <f>SUM(B41:C41)</f>
        <v>0</v>
      </c>
      <c r="E41" s="136">
        <v>0</v>
      </c>
      <c r="F41"/>
      <c r="G41"/>
      <c r="H41" s="129">
        <f>SUM(H38:H40)</f>
        <v>0</v>
      </c>
      <c r="I41" s="92">
        <f>SUM(I38:I40)</f>
        <v>0</v>
      </c>
      <c r="J41" s="366">
        <f>SUM(H41:I41)</f>
        <v>0</v>
      </c>
      <c r="K41" s="136">
        <v>0</v>
      </c>
    </row>
    <row r="42" spans="1:15" ht="8.4499999999999993" customHeight="1">
      <c r="A42" s="1"/>
      <c r="B42" s="129"/>
      <c r="C42" s="93" t="s">
        <v>0</v>
      </c>
      <c r="D42" s="366"/>
      <c r="E42" s="136" t="s">
        <v>0</v>
      </c>
      <c r="F42"/>
      <c r="G42"/>
      <c r="H42" s="129"/>
      <c r="I42" s="93" t="s">
        <v>0</v>
      </c>
      <c r="J42" s="371" t="s">
        <v>0</v>
      </c>
      <c r="K42" s="136" t="s">
        <v>0</v>
      </c>
    </row>
    <row r="43" spans="1:15" ht="18">
      <c r="A43" s="1" t="s">
        <v>287</v>
      </c>
      <c r="B43" s="130">
        <v>0</v>
      </c>
      <c r="C43" s="137">
        <v>0</v>
      </c>
      <c r="D43" s="367">
        <f>SUM(B43:C43)</f>
        <v>0</v>
      </c>
      <c r="E43" s="136">
        <v>0</v>
      </c>
      <c r="F43"/>
      <c r="G43"/>
      <c r="H43" s="130">
        <v>0</v>
      </c>
      <c r="I43" s="137">
        <v>0</v>
      </c>
      <c r="J43" s="394">
        <f>SUM(H43:I43)</f>
        <v>0</v>
      </c>
      <c r="K43" s="136">
        <v>0</v>
      </c>
      <c r="L43" s="6"/>
    </row>
    <row r="44" spans="1:15">
      <c r="A44" s="1"/>
      <c r="B44" s="129">
        <f>+B29+B35+B41+B43</f>
        <v>0</v>
      </c>
      <c r="C44" s="92">
        <f>+C29+C35+C41+C43</f>
        <v>0</v>
      </c>
      <c r="D44" s="366">
        <f>+D29+D35+D41+D43</f>
        <v>0</v>
      </c>
      <c r="E44" s="136">
        <v>0</v>
      </c>
      <c r="F44"/>
      <c r="G44"/>
      <c r="H44" s="129">
        <f>+H29+H35+H41+H43</f>
        <v>0</v>
      </c>
      <c r="I44" s="92">
        <f>+I29+I35+I41+I43</f>
        <v>0</v>
      </c>
      <c r="J44" s="366">
        <f>SUM(H44:I44)</f>
        <v>0</v>
      </c>
      <c r="K44" s="136">
        <v>0</v>
      </c>
    </row>
    <row r="45" spans="1:15" ht="8.4499999999999993" customHeight="1">
      <c r="A45" s="1"/>
      <c r="B45" s="129"/>
      <c r="C45" s="93" t="s">
        <v>0</v>
      </c>
      <c r="D45" s="366"/>
      <c r="E45" s="136" t="s">
        <v>0</v>
      </c>
      <c r="F45"/>
      <c r="G45"/>
      <c r="H45" s="129"/>
      <c r="I45" s="93" t="s">
        <v>0</v>
      </c>
      <c r="J45" s="371" t="s">
        <v>0</v>
      </c>
      <c r="K45" s="136" t="s">
        <v>0</v>
      </c>
    </row>
    <row r="46" spans="1:15">
      <c r="A46" s="87" t="s">
        <v>288</v>
      </c>
      <c r="B46" s="129"/>
      <c r="C46" s="93" t="s">
        <v>0</v>
      </c>
      <c r="D46" s="366"/>
      <c r="E46" s="136" t="s">
        <v>0</v>
      </c>
      <c r="F46"/>
      <c r="G46"/>
      <c r="H46" s="129"/>
      <c r="I46" s="93" t="s">
        <v>0</v>
      </c>
      <c r="J46" s="371" t="s">
        <v>0</v>
      </c>
      <c r="K46" s="136" t="s">
        <v>0</v>
      </c>
    </row>
    <row r="47" spans="1:15">
      <c r="A47" s="1" t="s">
        <v>289</v>
      </c>
      <c r="B47" s="129">
        <v>0</v>
      </c>
      <c r="C47" s="92">
        <v>0</v>
      </c>
      <c r="D47" s="366">
        <f>SUM(B47:C47)</f>
        <v>0</v>
      </c>
      <c r="E47" s="136">
        <v>0</v>
      </c>
      <c r="F47"/>
      <c r="G47"/>
      <c r="H47" s="129">
        <v>0</v>
      </c>
      <c r="I47" s="92">
        <v>0</v>
      </c>
      <c r="J47" s="366">
        <f>SUM(H47:I47)</f>
        <v>0</v>
      </c>
      <c r="K47" s="136">
        <v>0</v>
      </c>
    </row>
    <row r="48" spans="1:15">
      <c r="A48" s="1" t="s">
        <v>290</v>
      </c>
      <c r="B48" s="129">
        <v>0</v>
      </c>
      <c r="C48" s="92">
        <v>0</v>
      </c>
      <c r="D48" s="393">
        <f>SUM(B48:C48)</f>
        <v>0</v>
      </c>
      <c r="E48" s="136">
        <v>0</v>
      </c>
      <c r="F48"/>
      <c r="G48"/>
      <c r="H48" s="129">
        <v>0</v>
      </c>
      <c r="I48" s="92">
        <v>0</v>
      </c>
      <c r="J48" s="366">
        <f>SUM(H48:I48)</f>
        <v>0</v>
      </c>
      <c r="K48" s="136">
        <v>0</v>
      </c>
    </row>
    <row r="49" spans="1:15">
      <c r="A49" s="1" t="s">
        <v>302</v>
      </c>
      <c r="B49" s="129">
        <v>0</v>
      </c>
      <c r="C49" s="92">
        <v>0</v>
      </c>
      <c r="D49" s="366">
        <f>SUM(B49:C49)</f>
        <v>0</v>
      </c>
      <c r="E49" s="136">
        <v>0</v>
      </c>
      <c r="F49"/>
      <c r="G49"/>
      <c r="H49" s="129">
        <v>0</v>
      </c>
      <c r="I49" s="92">
        <v>0</v>
      </c>
      <c r="J49" s="366">
        <f>SUM(H49:I49)</f>
        <v>0</v>
      </c>
      <c r="K49" s="136">
        <v>0</v>
      </c>
    </row>
    <row r="50" spans="1:15" ht="18">
      <c r="A50" s="1" t="s">
        <v>292</v>
      </c>
      <c r="B50" s="130">
        <v>0</v>
      </c>
      <c r="C50" s="137">
        <v>0</v>
      </c>
      <c r="D50" s="367">
        <f>SUM(B50:C50)</f>
        <v>0</v>
      </c>
      <c r="E50" s="136">
        <v>0</v>
      </c>
      <c r="F50"/>
      <c r="G50"/>
      <c r="H50" s="130">
        <v>0</v>
      </c>
      <c r="I50" s="137">
        <v>0</v>
      </c>
      <c r="J50" s="367">
        <f>SUM(H50:I50)</f>
        <v>0</v>
      </c>
      <c r="K50" s="136">
        <v>0</v>
      </c>
      <c r="L50" s="6"/>
      <c r="M50" s="7"/>
      <c r="N50" s="7"/>
      <c r="O50" s="7"/>
    </row>
    <row r="51" spans="1:15">
      <c r="A51" s="1" t="s">
        <v>275</v>
      </c>
      <c r="B51" s="129">
        <f>SUM(B47:B50)</f>
        <v>0</v>
      </c>
      <c r="C51" s="92">
        <f>SUM(C47:C50)</f>
        <v>0</v>
      </c>
      <c r="D51" s="366">
        <f>SUM(B51:C51)</f>
        <v>0</v>
      </c>
      <c r="E51" s="136">
        <v>0</v>
      </c>
      <c r="F51"/>
      <c r="G51"/>
      <c r="H51" s="129">
        <f>SUM(H47:H50)</f>
        <v>0</v>
      </c>
      <c r="I51" s="92">
        <f>SUM(I47:I50)</f>
        <v>0</v>
      </c>
      <c r="J51" s="366">
        <f>SUM(H51:I51)</f>
        <v>0</v>
      </c>
      <c r="K51" s="136">
        <v>0</v>
      </c>
    </row>
    <row r="52" spans="1:15">
      <c r="A52" s="1" t="s">
        <v>0</v>
      </c>
      <c r="B52" s="129"/>
      <c r="C52" s="93" t="s">
        <v>0</v>
      </c>
      <c r="D52" s="366"/>
      <c r="E52" s="136" t="s">
        <v>0</v>
      </c>
      <c r="F52"/>
      <c r="G52"/>
      <c r="H52" s="129"/>
      <c r="I52" s="93" t="s">
        <v>0</v>
      </c>
      <c r="J52" s="371" t="s">
        <v>0</v>
      </c>
      <c r="K52" s="136" t="s">
        <v>0</v>
      </c>
    </row>
    <row r="53" spans="1:15" ht="16.5" thickBot="1">
      <c r="A53" s="1" t="s">
        <v>0</v>
      </c>
      <c r="B53" s="133">
        <f>+B29+B35+B41+B43+B51</f>
        <v>0</v>
      </c>
      <c r="C53" s="134">
        <f>+C29+C35+C41+C43+C51</f>
        <v>0</v>
      </c>
      <c r="D53" s="369">
        <f>SUM(B53:C53)</f>
        <v>0</v>
      </c>
      <c r="E53" s="1057">
        <v>0</v>
      </c>
      <c r="F53"/>
      <c r="G53"/>
      <c r="H53" s="133">
        <f>+H29+H35+H41+H43+H51</f>
        <v>0</v>
      </c>
      <c r="I53" s="134">
        <f>+I29+I35+I41+I43+I51</f>
        <v>0</v>
      </c>
      <c r="J53" s="369">
        <f>SUM(H53:I53)</f>
        <v>0</v>
      </c>
      <c r="K53" s="1057">
        <v>0</v>
      </c>
    </row>
    <row r="54" spans="1:15" ht="16.5" thickTop="1">
      <c r="A54" s="1"/>
      <c r="B54" s="91"/>
      <c r="C54" s="89" t="s">
        <v>0</v>
      </c>
      <c r="D54" s="91"/>
      <c r="E54" s="100" t="s">
        <v>0</v>
      </c>
      <c r="F54"/>
      <c r="G54"/>
      <c r="H54" s="91"/>
      <c r="I54" s="89" t="s">
        <v>0</v>
      </c>
      <c r="J54" s="89" t="s">
        <v>0</v>
      </c>
    </row>
    <row r="55" spans="1:15">
      <c r="B55" s="91" t="s">
        <v>0</v>
      </c>
      <c r="C55" s="43"/>
      <c r="E55" s="115" t="s">
        <v>0</v>
      </c>
      <c r="F55"/>
      <c r="G55"/>
      <c r="H55" s="91" t="s">
        <v>569</v>
      </c>
      <c r="I55" s="43"/>
      <c r="J55" s="43"/>
    </row>
    <row r="56" spans="1:15">
      <c r="A56" s="18" t="s">
        <v>319</v>
      </c>
      <c r="C56" s="43"/>
      <c r="E56" s="115" t="s">
        <v>0</v>
      </c>
      <c r="F56"/>
      <c r="G56"/>
      <c r="H56"/>
      <c r="J56" s="43"/>
    </row>
    <row r="57" spans="1:15">
      <c r="A57" t="s">
        <v>294</v>
      </c>
      <c r="B57" s="12" t="e">
        <f>+#REF!</f>
        <v>#REF!</v>
      </c>
      <c r="C57" s="43"/>
      <c r="E57" s="115" t="s">
        <v>0</v>
      </c>
      <c r="F57"/>
      <c r="G57"/>
      <c r="H57"/>
      <c r="J57" s="43"/>
    </row>
    <row r="58" spans="1:15">
      <c r="A58" t="s">
        <v>295</v>
      </c>
      <c r="B58" s="12" t="e">
        <f>+#REF!</f>
        <v>#REF!</v>
      </c>
      <c r="C58" s="43"/>
      <c r="E58" s="115" t="s">
        <v>0</v>
      </c>
      <c r="F58"/>
      <c r="G58"/>
      <c r="H58"/>
      <c r="J58" s="43"/>
    </row>
    <row r="59" spans="1:15">
      <c r="A59" t="s">
        <v>284</v>
      </c>
      <c r="B59" s="12" t="e">
        <f>+#REF!</f>
        <v>#REF!</v>
      </c>
      <c r="C59" s="43"/>
      <c r="E59" s="115" t="s">
        <v>0</v>
      </c>
      <c r="F59"/>
      <c r="G59"/>
      <c r="H59"/>
      <c r="J59" s="43"/>
    </row>
    <row r="60" spans="1:15">
      <c r="C60" s="43"/>
      <c r="E60" s="115" t="s">
        <v>0</v>
      </c>
      <c r="F60"/>
      <c r="G60"/>
      <c r="H60"/>
      <c r="J60" s="43"/>
    </row>
    <row r="61" spans="1:15" ht="18.75">
      <c r="A61" s="122" t="s">
        <v>303</v>
      </c>
      <c r="B61" s="12" t="e">
        <f>+#REF!</f>
        <v>#REF!</v>
      </c>
      <c r="C61" s="43"/>
      <c r="E61" s="115" t="s">
        <v>0</v>
      </c>
      <c r="F61"/>
      <c r="G61"/>
      <c r="H61" s="43">
        <v>0</v>
      </c>
      <c r="I61" s="43">
        <v>0</v>
      </c>
      <c r="J61" s="12">
        <f>+J19</f>
        <v>0</v>
      </c>
    </row>
    <row r="62" spans="1:15">
      <c r="A62" t="s">
        <v>217</v>
      </c>
      <c r="B62" s="12" t="e">
        <f>+#REF!</f>
        <v>#REF!</v>
      </c>
      <c r="C62" s="43"/>
      <c r="E62" s="115" t="s">
        <v>0</v>
      </c>
      <c r="F62"/>
      <c r="G62"/>
      <c r="H62" s="43">
        <v>0</v>
      </c>
      <c r="I62" s="43">
        <v>0</v>
      </c>
      <c r="J62" s="43">
        <v>0</v>
      </c>
    </row>
    <row r="63" spans="1:15">
      <c r="A63" t="s">
        <v>320</v>
      </c>
      <c r="B63" s="12" t="e">
        <f>+#REF!</f>
        <v>#REF!</v>
      </c>
      <c r="C63" s="43"/>
      <c r="E63" s="115" t="s">
        <v>0</v>
      </c>
      <c r="F63"/>
      <c r="G63"/>
      <c r="H63" s="43">
        <v>0</v>
      </c>
      <c r="I63" s="43">
        <v>0</v>
      </c>
      <c r="J63" s="43">
        <v>0</v>
      </c>
    </row>
    <row r="68" spans="2:12">
      <c r="B68"/>
      <c r="C68"/>
      <c r="D68"/>
      <c r="E68"/>
      <c r="F68"/>
      <c r="G68"/>
      <c r="H68"/>
      <c r="I68"/>
      <c r="J68"/>
      <c r="K68"/>
      <c r="L68"/>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sheetData>
  <pageMargins left="0.7" right="0.28999999999999998" top="0.52" bottom="0.54" header="0.34" footer="0.23"/>
  <pageSetup scale="64" orientation="landscape" r:id="rId1"/>
  <headerFooter alignWithMargins="0">
    <oddFooter>&amp;L* L'actif net de cette banque a été acheté par la Sogebank au cours du Trim 1 99. Au cours du Trim 3 99, l'actif de la Sogebank inclut celui de cette banque.
&amp;R&amp;P</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121"/>
  <sheetViews>
    <sheetView workbookViewId="0"/>
  </sheetViews>
  <sheetFormatPr defaultRowHeight="15.75"/>
  <cols>
    <col min="1" max="1" width="50" customWidth="1"/>
    <col min="2" max="2" width="15.75" style="27" customWidth="1"/>
    <col min="3" max="3" width="9.12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 style="27" customWidth="1"/>
    <col min="14" max="14" width="15.75" style="27" customWidth="1"/>
    <col min="15" max="15" width="11" style="27" customWidth="1"/>
    <col min="16" max="16" width="15.75" style="27" customWidth="1"/>
    <col min="17" max="17" width="11" style="27" customWidth="1"/>
    <col min="18" max="18" width="15.75" style="27" customWidth="1"/>
    <col min="19" max="19" width="9.625" style="27" customWidth="1"/>
    <col min="20" max="20" width="16.5" style="27" customWidth="1"/>
    <col min="21" max="21" width="12.25" style="27" customWidth="1"/>
    <col min="22" max="256" width="11" customWidth="1"/>
  </cols>
  <sheetData>
    <row r="1" spans="1:22">
      <c r="A1" s="114" t="s">
        <v>573</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6" spans="1:22" s="2" customFormat="1" ht="16.5" thickBot="1">
      <c r="B6" s="377" t="s">
        <v>185</v>
      </c>
      <c r="C6" s="399"/>
      <c r="D6" s="400"/>
      <c r="E6" s="399"/>
      <c r="F6" s="400"/>
      <c r="G6" s="399"/>
      <c r="H6" s="400"/>
      <c r="I6" s="401"/>
      <c r="J6" s="377" t="s">
        <v>174</v>
      </c>
      <c r="K6" s="399"/>
      <c r="L6" s="400"/>
      <c r="M6" s="399"/>
      <c r="N6" s="400"/>
      <c r="O6" s="399"/>
      <c r="P6" s="400"/>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7" t="s">
        <v>0</v>
      </c>
      <c r="D9" s="29" t="s">
        <v>0</v>
      </c>
      <c r="E9" s="29" t="s">
        <v>0</v>
      </c>
      <c r="F9" s="29" t="s">
        <v>0</v>
      </c>
      <c r="G9" s="29" t="s">
        <v>0</v>
      </c>
      <c r="H9" s="29" t="s">
        <v>0</v>
      </c>
      <c r="I9" s="29" t="s">
        <v>0</v>
      </c>
      <c r="J9" s="29" t="s">
        <v>0</v>
      </c>
      <c r="K9" s="29" t="s">
        <v>0</v>
      </c>
      <c r="L9" s="29" t="s">
        <v>0</v>
      </c>
      <c r="M9" s="29" t="s">
        <v>0</v>
      </c>
      <c r="N9" s="29" t="s">
        <v>0</v>
      </c>
      <c r="O9" s="29" t="s">
        <v>0</v>
      </c>
      <c r="P9" s="16" t="s">
        <v>0</v>
      </c>
    </row>
    <row r="10" spans="1:22">
      <c r="A10" t="s">
        <v>552</v>
      </c>
      <c r="B10" s="92">
        <f>+B50</f>
        <v>0</v>
      </c>
      <c r="C10" s="44">
        <v>0</v>
      </c>
      <c r="D10" s="92">
        <f>+F50</f>
        <v>0</v>
      </c>
      <c r="E10" s="44">
        <v>0</v>
      </c>
      <c r="F10" s="92">
        <f>+J50</f>
        <v>0</v>
      </c>
      <c r="G10" s="44">
        <v>0</v>
      </c>
      <c r="H10" s="92">
        <f>+N50</f>
        <v>0</v>
      </c>
      <c r="I10" s="29"/>
      <c r="J10" s="78">
        <f>+D50</f>
        <v>517.79999999999995</v>
      </c>
      <c r="K10" s="47">
        <f t="shared" ref="K10:K15" si="0">+(L10-J10)/ABS(J10)</f>
        <v>-0.30938586326767081</v>
      </c>
      <c r="L10" s="92">
        <f>+H50</f>
        <v>357.6</v>
      </c>
      <c r="M10" s="44">
        <v>0</v>
      </c>
      <c r="N10" s="92">
        <f>+L50</f>
        <v>0</v>
      </c>
      <c r="O10" s="44">
        <v>0</v>
      </c>
      <c r="P10" s="92">
        <f>+P50</f>
        <v>0</v>
      </c>
    </row>
    <row r="11" spans="1:22">
      <c r="A11" t="s">
        <v>553</v>
      </c>
      <c r="B11" s="92">
        <f>+B51</f>
        <v>0</v>
      </c>
      <c r="C11" s="44">
        <v>0</v>
      </c>
      <c r="D11" s="92">
        <f>+F51</f>
        <v>0</v>
      </c>
      <c r="E11" s="44">
        <v>0</v>
      </c>
      <c r="F11" s="92">
        <v>0</v>
      </c>
      <c r="G11" s="44">
        <v>0</v>
      </c>
      <c r="H11" s="92">
        <v>0</v>
      </c>
      <c r="I11" s="29"/>
      <c r="J11" s="78">
        <f>+D51</f>
        <v>499.4</v>
      </c>
      <c r="K11" s="47">
        <f t="shared" si="0"/>
        <v>0.10572687224669618</v>
      </c>
      <c r="L11" s="92">
        <f>+H51</f>
        <v>552.20000000000005</v>
      </c>
      <c r="M11" s="44">
        <v>0</v>
      </c>
      <c r="N11" s="92">
        <f>+L51</f>
        <v>0</v>
      </c>
      <c r="O11" s="44">
        <v>0</v>
      </c>
      <c r="P11" s="92">
        <f>+P51</f>
        <v>0</v>
      </c>
    </row>
    <row r="12" spans="1:22">
      <c r="A12" t="s">
        <v>332</v>
      </c>
      <c r="B12" s="221">
        <f>+B52</f>
        <v>0</v>
      </c>
      <c r="C12" s="44">
        <v>0</v>
      </c>
      <c r="D12" s="221">
        <f>+F52</f>
        <v>0</v>
      </c>
      <c r="E12" s="44">
        <v>0</v>
      </c>
      <c r="F12" s="221">
        <f>+J52</f>
        <v>0</v>
      </c>
      <c r="G12" s="44">
        <v>0</v>
      </c>
      <c r="H12" s="221">
        <f>+N52</f>
        <v>0</v>
      </c>
      <c r="J12" s="379">
        <f>+D52</f>
        <v>97.1</v>
      </c>
      <c r="K12" s="47">
        <f t="shared" si="0"/>
        <v>-0.46549948506694133</v>
      </c>
      <c r="L12" s="221">
        <f>+H52</f>
        <v>51.899999999999991</v>
      </c>
      <c r="M12" s="44">
        <v>0</v>
      </c>
      <c r="N12" s="221">
        <f>+L52</f>
        <v>0</v>
      </c>
      <c r="O12" s="44">
        <v>0</v>
      </c>
      <c r="P12" s="221">
        <f>+P52</f>
        <v>0</v>
      </c>
    </row>
    <row r="13" spans="1:22">
      <c r="B13" s="12">
        <f>SUM(B10:B12)</f>
        <v>0</v>
      </c>
      <c r="C13" s="44">
        <v>0</v>
      </c>
      <c r="D13" s="12">
        <f>SUM(D10:D12)</f>
        <v>0</v>
      </c>
      <c r="E13" s="44">
        <v>0</v>
      </c>
      <c r="F13" s="12">
        <f>SUM(F10:F12)</f>
        <v>0</v>
      </c>
      <c r="G13" s="44">
        <v>0</v>
      </c>
      <c r="H13" s="12">
        <f>SUM(H10:H12)</f>
        <v>0</v>
      </c>
      <c r="J13" s="12">
        <f>SUM(J10:J12)</f>
        <v>1114.3</v>
      </c>
      <c r="K13" s="47">
        <f t="shared" si="0"/>
        <v>-0.13694696221843303</v>
      </c>
      <c r="L13" s="12">
        <f>SUM(L10:L12)</f>
        <v>961.7</v>
      </c>
      <c r="M13" s="44">
        <v>0</v>
      </c>
      <c r="N13" s="12">
        <f>SUM(N10:N12)</f>
        <v>0</v>
      </c>
      <c r="O13" s="44">
        <v>0</v>
      </c>
      <c r="P13" s="12">
        <f>SUM(P10:P12)</f>
        <v>0</v>
      </c>
    </row>
    <row r="14" spans="1:22">
      <c r="A14" t="s">
        <v>333</v>
      </c>
      <c r="B14" s="221">
        <f>+B54</f>
        <v>0</v>
      </c>
      <c r="C14" s="44">
        <v>0</v>
      </c>
      <c r="D14" s="221">
        <f>+F54</f>
        <v>0</v>
      </c>
      <c r="E14" s="44">
        <v>0</v>
      </c>
      <c r="F14" s="221">
        <f>+J54</f>
        <v>0</v>
      </c>
      <c r="G14" s="44">
        <v>0</v>
      </c>
      <c r="H14" s="221">
        <f>+N54</f>
        <v>0</v>
      </c>
      <c r="J14" s="240">
        <f>+D54</f>
        <v>203.7</v>
      </c>
      <c r="K14" s="47">
        <f t="shared" si="0"/>
        <v>4.6637211585665195E-2</v>
      </c>
      <c r="L14" s="240">
        <f>+H54</f>
        <v>213.2</v>
      </c>
      <c r="M14" s="44">
        <v>0</v>
      </c>
      <c r="N14" s="221">
        <f>+L54</f>
        <v>0</v>
      </c>
      <c r="O14" s="44">
        <v>0</v>
      </c>
      <c r="P14" s="221">
        <f>+P54</f>
        <v>0</v>
      </c>
    </row>
    <row r="15" spans="1:22">
      <c r="B15" s="12">
        <f>+B13-B14</f>
        <v>0</v>
      </c>
      <c r="C15" s="44">
        <v>0</v>
      </c>
      <c r="D15" s="12">
        <f>+D13-D14</f>
        <v>0</v>
      </c>
      <c r="E15" s="44">
        <v>0</v>
      </c>
      <c r="F15" s="12">
        <f>+F13-F14</f>
        <v>0</v>
      </c>
      <c r="G15" s="44">
        <v>0</v>
      </c>
      <c r="H15" s="12">
        <f>+H13-H14</f>
        <v>0</v>
      </c>
      <c r="J15" s="12">
        <f>+J13-J14</f>
        <v>910.59999999999991</v>
      </c>
      <c r="K15" s="47">
        <f t="shared" si="0"/>
        <v>-0.17801449593674493</v>
      </c>
      <c r="L15" s="12">
        <f>+L13-L14</f>
        <v>748.5</v>
      </c>
      <c r="M15" s="44">
        <v>0</v>
      </c>
      <c r="N15" s="12">
        <f>+N13-N14</f>
        <v>0</v>
      </c>
      <c r="O15" s="44">
        <v>0</v>
      </c>
      <c r="P15" s="12">
        <f>+P13-P14</f>
        <v>0</v>
      </c>
    </row>
    <row r="16" spans="1:22" ht="9" customHeight="1">
      <c r="B16" s="12"/>
      <c r="C16" s="44" t="s">
        <v>0</v>
      </c>
      <c r="D16" s="12"/>
      <c r="E16" s="44" t="s">
        <v>0</v>
      </c>
      <c r="G16" s="44" t="s">
        <v>0</v>
      </c>
      <c r="K16" s="44" t="s">
        <v>0</v>
      </c>
      <c r="M16" s="44" t="s">
        <v>0</v>
      </c>
      <c r="O16" s="44" t="s">
        <v>0</v>
      </c>
      <c r="P16" s="12"/>
    </row>
    <row r="17" spans="1:16">
      <c r="A17" t="s">
        <v>334</v>
      </c>
      <c r="B17" s="12"/>
      <c r="C17" s="44" t="s">
        <v>0</v>
      </c>
      <c r="D17" s="12"/>
      <c r="E17" s="44" t="s">
        <v>0</v>
      </c>
      <c r="G17" s="44" t="s">
        <v>0</v>
      </c>
      <c r="K17" s="44" t="s">
        <v>0</v>
      </c>
      <c r="M17" s="44" t="s">
        <v>0</v>
      </c>
      <c r="O17" s="44" t="s">
        <v>0</v>
      </c>
      <c r="P17" s="12"/>
    </row>
    <row r="18" spans="1:16">
      <c r="A18" t="s">
        <v>335</v>
      </c>
      <c r="B18" s="92">
        <f>+B58</f>
        <v>0</v>
      </c>
      <c r="C18" s="44">
        <v>0</v>
      </c>
      <c r="D18" s="92">
        <f>+F58</f>
        <v>0</v>
      </c>
      <c r="E18" s="44">
        <v>0</v>
      </c>
      <c r="F18" s="92">
        <f>+J58</f>
        <v>0</v>
      </c>
      <c r="G18" s="44">
        <v>0</v>
      </c>
      <c r="H18" s="92">
        <f>+N58</f>
        <v>0</v>
      </c>
      <c r="J18" s="12">
        <f>+D58</f>
        <v>27.1</v>
      </c>
      <c r="K18" s="47">
        <f>+(L18-J18)/ABS(J18)</f>
        <v>0.75276752767527666</v>
      </c>
      <c r="L18" s="12">
        <f>+H58</f>
        <v>47.5</v>
      </c>
      <c r="M18" s="44">
        <v>0</v>
      </c>
      <c r="N18" s="12">
        <f>+L58</f>
        <v>0</v>
      </c>
      <c r="O18" s="44">
        <v>0</v>
      </c>
      <c r="P18" s="92">
        <f>+P58</f>
        <v>0</v>
      </c>
    </row>
    <row r="19" spans="1:16">
      <c r="A19" t="s">
        <v>336</v>
      </c>
      <c r="B19" s="92">
        <f>+B59</f>
        <v>0</v>
      </c>
      <c r="C19" s="44">
        <v>0</v>
      </c>
      <c r="D19" s="92">
        <f>+F59</f>
        <v>0</v>
      </c>
      <c r="E19" s="44">
        <v>0</v>
      </c>
      <c r="F19" s="92">
        <f>+J59</f>
        <v>0</v>
      </c>
      <c r="G19" s="44">
        <v>0</v>
      </c>
      <c r="H19" s="92">
        <f>+N59</f>
        <v>0</v>
      </c>
      <c r="J19" s="12">
        <f>+D59</f>
        <v>289.89999999999998</v>
      </c>
      <c r="K19" s="47">
        <f>+(L19-J19)/ABS(J19)</f>
        <v>-0.17005864091065881</v>
      </c>
      <c r="L19" s="27">
        <f>+H59</f>
        <v>240.6</v>
      </c>
      <c r="M19" s="44">
        <v>0</v>
      </c>
      <c r="N19" s="12">
        <f>+L59</f>
        <v>0</v>
      </c>
      <c r="O19" s="44">
        <v>0</v>
      </c>
      <c r="P19" s="92">
        <f>+P59</f>
        <v>0</v>
      </c>
    </row>
    <row r="20" spans="1:16">
      <c r="A20" t="s">
        <v>284</v>
      </c>
      <c r="B20" s="221">
        <f>+B60</f>
        <v>0</v>
      </c>
      <c r="C20" s="44">
        <v>0</v>
      </c>
      <c r="D20" s="221">
        <f>+F60</f>
        <v>0</v>
      </c>
      <c r="E20" s="44">
        <v>0</v>
      </c>
      <c r="F20" s="221">
        <f>+J60</f>
        <v>0</v>
      </c>
      <c r="G20" s="44">
        <v>0</v>
      </c>
      <c r="H20" s="221">
        <f>+N60</f>
        <v>0</v>
      </c>
      <c r="J20" s="240">
        <f>+D60</f>
        <v>17</v>
      </c>
      <c r="K20" s="47">
        <f>+(L20-J20)/ABS(J20)</f>
        <v>-0.45882352941176474</v>
      </c>
      <c r="L20" s="240">
        <f>+H60</f>
        <v>9.1999999999999993</v>
      </c>
      <c r="M20" s="44">
        <v>0</v>
      </c>
      <c r="N20" s="240">
        <f>+L60</f>
        <v>0</v>
      </c>
      <c r="O20" s="44">
        <v>0</v>
      </c>
      <c r="P20" s="221">
        <f>+P60</f>
        <v>0</v>
      </c>
    </row>
    <row r="21" spans="1:16">
      <c r="B21" s="12">
        <f>SUM(B18:B20)</f>
        <v>0</v>
      </c>
      <c r="C21" s="44">
        <v>0</v>
      </c>
      <c r="D21" s="12">
        <f>SUM(D18:D20)</f>
        <v>0</v>
      </c>
      <c r="E21" s="44">
        <v>0</v>
      </c>
      <c r="F21" s="12">
        <f>SUM(F18:F20)</f>
        <v>0</v>
      </c>
      <c r="G21" s="44">
        <v>0</v>
      </c>
      <c r="H21" s="12">
        <f>SUM(H18:H20)</f>
        <v>0</v>
      </c>
      <c r="J21" s="12">
        <f>SUM(J18:J20)</f>
        <v>334</v>
      </c>
      <c r="K21" s="47">
        <f>+(L21-J21)/ABS(J21)</f>
        <v>-0.10988023952095805</v>
      </c>
      <c r="L21" s="12">
        <f>SUM(L18:L20)</f>
        <v>297.3</v>
      </c>
      <c r="M21" s="44">
        <v>0</v>
      </c>
      <c r="N21" s="12">
        <f>SUM(N18:N20)</f>
        <v>0</v>
      </c>
      <c r="O21" s="44">
        <v>0</v>
      </c>
      <c r="P21" s="12">
        <f>SUM(P18:P20)</f>
        <v>0</v>
      </c>
    </row>
    <row r="22" spans="1:16">
      <c r="B22" s="240"/>
      <c r="C22" s="44" t="s">
        <v>0</v>
      </c>
      <c r="D22" s="240"/>
      <c r="E22" s="44" t="s">
        <v>0</v>
      </c>
      <c r="F22" s="379"/>
      <c r="G22" s="44" t="s">
        <v>0</v>
      </c>
      <c r="H22" s="240"/>
      <c r="J22" s="379"/>
      <c r="K22" s="44" t="s">
        <v>0</v>
      </c>
      <c r="L22" s="379"/>
      <c r="M22" s="44" t="s">
        <v>0</v>
      </c>
      <c r="N22" s="379"/>
      <c r="O22" s="44" t="s">
        <v>0</v>
      </c>
      <c r="P22" s="240"/>
    </row>
    <row r="23" spans="1:16">
      <c r="A23" t="s">
        <v>337</v>
      </c>
      <c r="B23" s="12">
        <f>+B15+B21</f>
        <v>0</v>
      </c>
      <c r="C23" s="44">
        <v>0</v>
      </c>
      <c r="D23" s="12">
        <f>+D15+D21</f>
        <v>0</v>
      </c>
      <c r="E23" s="44">
        <v>0</v>
      </c>
      <c r="F23" s="12">
        <f>+F15+F21</f>
        <v>0</v>
      </c>
      <c r="G23" s="44">
        <v>0</v>
      </c>
      <c r="H23" s="12">
        <f>+H15+H21</f>
        <v>0</v>
      </c>
      <c r="J23" s="12">
        <f>+J15+J21</f>
        <v>1244.5999999999999</v>
      </c>
      <c r="K23" s="47">
        <f>+(L23-J23)/ABS(J23)</f>
        <v>-0.15973003374578176</v>
      </c>
      <c r="L23" s="12">
        <f>+L15+L21</f>
        <v>1045.8</v>
      </c>
      <c r="M23" s="44">
        <v>0</v>
      </c>
      <c r="N23" s="12">
        <f>+N15+N21</f>
        <v>0</v>
      </c>
      <c r="O23" s="44">
        <v>0</v>
      </c>
      <c r="P23" s="12">
        <f>+P15+P21</f>
        <v>0</v>
      </c>
    </row>
    <row r="24" spans="1:16">
      <c r="B24" s="12"/>
      <c r="C24" s="44" t="s">
        <v>0</v>
      </c>
      <c r="D24" s="12"/>
      <c r="E24" s="44" t="s">
        <v>0</v>
      </c>
      <c r="G24" s="44" t="s">
        <v>0</v>
      </c>
      <c r="K24" s="44" t="s">
        <v>0</v>
      </c>
      <c r="M24" s="44" t="s">
        <v>0</v>
      </c>
      <c r="O24" s="44" t="s">
        <v>0</v>
      </c>
      <c r="P24" s="12"/>
    </row>
    <row r="25" spans="1:16">
      <c r="A25" t="s">
        <v>338</v>
      </c>
      <c r="B25" s="92">
        <f>+B65</f>
        <v>0</v>
      </c>
      <c r="C25" s="44">
        <v>0</v>
      </c>
      <c r="D25" s="92">
        <f>+F65</f>
        <v>0</v>
      </c>
      <c r="E25" s="43">
        <v>0</v>
      </c>
      <c r="F25" s="547">
        <f>+J65</f>
        <v>0</v>
      </c>
      <c r="G25" s="43">
        <v>0</v>
      </c>
      <c r="H25" s="547">
        <f>+N65</f>
        <v>0</v>
      </c>
      <c r="J25" s="27">
        <f>+D65</f>
        <v>0</v>
      </c>
      <c r="K25" s="43">
        <v>0</v>
      </c>
      <c r="L25" s="27">
        <f>+H65</f>
        <v>302.3</v>
      </c>
      <c r="M25" s="43">
        <v>0</v>
      </c>
      <c r="N25" s="27">
        <f>+L65</f>
        <v>0</v>
      </c>
      <c r="O25" s="43">
        <v>0</v>
      </c>
      <c r="P25" s="92">
        <f>+P65</f>
        <v>0</v>
      </c>
    </row>
    <row r="26" spans="1:16">
      <c r="B26" s="12"/>
      <c r="C26" s="44" t="s">
        <v>0</v>
      </c>
      <c r="D26" s="12"/>
      <c r="E26" s="44" t="s">
        <v>0</v>
      </c>
      <c r="G26" s="44" t="s">
        <v>0</v>
      </c>
      <c r="K26" s="44" t="s">
        <v>0</v>
      </c>
      <c r="M26" s="44" t="s">
        <v>0</v>
      </c>
      <c r="O26" s="44" t="s">
        <v>0</v>
      </c>
      <c r="P26" s="12"/>
    </row>
    <row r="27" spans="1:16">
      <c r="A27" t="s">
        <v>339</v>
      </c>
      <c r="B27" s="240"/>
      <c r="C27" s="44" t="s">
        <v>0</v>
      </c>
      <c r="D27" s="240"/>
      <c r="E27" s="44" t="s">
        <v>0</v>
      </c>
      <c r="F27" s="379"/>
      <c r="G27" s="44" t="s">
        <v>0</v>
      </c>
      <c r="H27" s="379"/>
      <c r="J27" s="379"/>
      <c r="K27" s="44" t="s">
        <v>0</v>
      </c>
      <c r="L27" s="379"/>
      <c r="M27" s="44" t="s">
        <v>0</v>
      </c>
      <c r="N27" s="379"/>
      <c r="O27" s="44" t="s">
        <v>0</v>
      </c>
      <c r="P27" s="240"/>
    </row>
    <row r="28" spans="1:16">
      <c r="A28" t="s">
        <v>340</v>
      </c>
      <c r="B28" s="12">
        <f>+B23-B25</f>
        <v>0</v>
      </c>
      <c r="C28" s="44">
        <v>0</v>
      </c>
      <c r="D28" s="12">
        <f>+D23-D25</f>
        <v>0</v>
      </c>
      <c r="E28" s="44">
        <v>0</v>
      </c>
      <c r="F28" s="12">
        <f>+F23-F25</f>
        <v>0</v>
      </c>
      <c r="G28" s="44">
        <v>0</v>
      </c>
      <c r="H28" s="12">
        <f>+H23-H25</f>
        <v>0</v>
      </c>
      <c r="J28" s="12">
        <f>+J23-J25</f>
        <v>1244.5999999999999</v>
      </c>
      <c r="K28" s="47">
        <f>+(L28-J28)/ABS(J28)</f>
        <v>-0.40261931544271246</v>
      </c>
      <c r="L28" s="12">
        <f>+L23-L25</f>
        <v>743.5</v>
      </c>
      <c r="M28" s="44">
        <v>0</v>
      </c>
      <c r="N28" s="12">
        <f>+N23-N25</f>
        <v>0</v>
      </c>
      <c r="O28" s="44">
        <v>0</v>
      </c>
      <c r="P28" s="12">
        <f>+P23-P25</f>
        <v>0</v>
      </c>
    </row>
    <row r="29" spans="1:16">
      <c r="B29" s="12"/>
      <c r="C29" s="44" t="s">
        <v>0</v>
      </c>
      <c r="D29" s="12"/>
      <c r="E29" s="44" t="s">
        <v>0</v>
      </c>
      <c r="G29" s="44" t="s">
        <v>0</v>
      </c>
      <c r="H29" s="12"/>
      <c r="K29" s="44" t="s">
        <v>0</v>
      </c>
      <c r="M29" s="44" t="s">
        <v>0</v>
      </c>
      <c r="O29" s="44" t="s">
        <v>0</v>
      </c>
      <c r="P29" s="12"/>
    </row>
    <row r="30" spans="1:16">
      <c r="A30" t="s">
        <v>341</v>
      </c>
      <c r="B30" s="12"/>
      <c r="C30" s="44" t="s">
        <v>0</v>
      </c>
      <c r="D30" s="12"/>
      <c r="E30" s="44" t="s">
        <v>0</v>
      </c>
      <c r="G30" s="44" t="s">
        <v>0</v>
      </c>
      <c r="H30" s="12"/>
      <c r="K30" s="44" t="s">
        <v>0</v>
      </c>
      <c r="M30" s="44" t="s">
        <v>0</v>
      </c>
      <c r="O30" s="44" t="s">
        <v>0</v>
      </c>
      <c r="P30" s="12"/>
    </row>
    <row r="31" spans="1:16">
      <c r="A31" t="s">
        <v>342</v>
      </c>
      <c r="B31" s="92">
        <f>+B71</f>
        <v>0</v>
      </c>
      <c r="C31" s="44">
        <v>0</v>
      </c>
      <c r="D31" s="92">
        <f>+F71</f>
        <v>0</v>
      </c>
      <c r="E31" s="44">
        <v>0</v>
      </c>
      <c r="F31" s="92">
        <f>+J71</f>
        <v>0</v>
      </c>
      <c r="G31" s="44">
        <v>0</v>
      </c>
      <c r="H31" s="92">
        <f>+N71</f>
        <v>0</v>
      </c>
      <c r="J31" s="12">
        <f>+D71</f>
        <v>454.70000000000005</v>
      </c>
      <c r="K31" s="47">
        <f>+(L31-J31)/ABS(J31)</f>
        <v>0.11612051902353189</v>
      </c>
      <c r="L31" s="12">
        <f>+H71</f>
        <v>507.5</v>
      </c>
      <c r="M31" s="44">
        <v>0</v>
      </c>
      <c r="N31" s="12">
        <f>+L71</f>
        <v>0</v>
      </c>
      <c r="O31" s="44">
        <v>0</v>
      </c>
      <c r="P31" s="92">
        <f>+P71</f>
        <v>0</v>
      </c>
    </row>
    <row r="32" spans="1:16">
      <c r="A32" t="s">
        <v>343</v>
      </c>
      <c r="B32" s="92">
        <f>+B72</f>
        <v>0</v>
      </c>
      <c r="C32" s="44">
        <v>0</v>
      </c>
      <c r="D32" s="92">
        <f>+F72</f>
        <v>0</v>
      </c>
      <c r="E32" s="44">
        <v>0</v>
      </c>
      <c r="F32" s="92">
        <f>+J72</f>
        <v>0</v>
      </c>
      <c r="G32" s="44">
        <v>0</v>
      </c>
      <c r="H32" s="92">
        <f>+N72</f>
        <v>0</v>
      </c>
      <c r="J32" s="12">
        <f>+D72</f>
        <v>23.4</v>
      </c>
      <c r="K32" s="47">
        <f>+(L32-J32)/ABS(J32)</f>
        <v>0.41025641025641035</v>
      </c>
      <c r="L32" s="12">
        <f>+H72</f>
        <v>33</v>
      </c>
      <c r="M32" s="44">
        <v>0</v>
      </c>
      <c r="N32" s="12">
        <f>+L72</f>
        <v>0</v>
      </c>
      <c r="O32" s="44">
        <v>0</v>
      </c>
      <c r="P32" s="92">
        <f>+P72</f>
        <v>0</v>
      </c>
    </row>
    <row r="33" spans="1:22">
      <c r="A33" t="s">
        <v>344</v>
      </c>
      <c r="B33" s="92">
        <f>+B73</f>
        <v>0</v>
      </c>
      <c r="C33" s="44">
        <v>0</v>
      </c>
      <c r="D33" s="92">
        <f>+F73</f>
        <v>0</v>
      </c>
      <c r="E33" s="44">
        <v>0</v>
      </c>
      <c r="F33" s="92">
        <f>+J73</f>
        <v>0</v>
      </c>
      <c r="G33" s="44">
        <v>0</v>
      </c>
      <c r="H33" s="92">
        <f>+N73</f>
        <v>0</v>
      </c>
      <c r="J33" s="12">
        <f>+D73</f>
        <v>369.5</v>
      </c>
      <c r="K33" s="47">
        <f>+(L33-J33)/ABS(J33)</f>
        <v>5.1420838971582604E-3</v>
      </c>
      <c r="L33" s="27">
        <f>+H73</f>
        <v>371.4</v>
      </c>
      <c r="M33" s="44">
        <v>0</v>
      </c>
      <c r="N33" s="12">
        <f>+L73</f>
        <v>0</v>
      </c>
      <c r="O33" s="44">
        <v>0</v>
      </c>
      <c r="P33" s="92">
        <f>+P73</f>
        <v>0</v>
      </c>
    </row>
    <row r="34" spans="1:22">
      <c r="A34" t="s">
        <v>345</v>
      </c>
      <c r="B34" s="221">
        <f>+B74</f>
        <v>0</v>
      </c>
      <c r="C34" s="44">
        <v>0</v>
      </c>
      <c r="D34" s="221">
        <f>+F74</f>
        <v>0</v>
      </c>
      <c r="E34" s="44">
        <v>0</v>
      </c>
      <c r="F34" s="221">
        <f>+J74</f>
        <v>0</v>
      </c>
      <c r="G34" s="44">
        <v>0</v>
      </c>
      <c r="H34" s="221">
        <f>+N74</f>
        <v>0</v>
      </c>
      <c r="J34" s="240">
        <f>+D74</f>
        <v>266.89999999999998</v>
      </c>
      <c r="K34" s="116">
        <f>+(L34-J34)/ABS(J34)</f>
        <v>2.2030723117272388</v>
      </c>
      <c r="L34" s="240">
        <f>+H74</f>
        <v>854.9</v>
      </c>
      <c r="M34" s="44">
        <v>0</v>
      </c>
      <c r="N34" s="240">
        <f>+L74</f>
        <v>0</v>
      </c>
      <c r="O34" s="44">
        <v>0</v>
      </c>
      <c r="P34" s="221">
        <f>+P74</f>
        <v>0</v>
      </c>
    </row>
    <row r="35" spans="1:22">
      <c r="B35" s="12">
        <f>SUM(B31:B34)</f>
        <v>0</v>
      </c>
      <c r="C35" s="44">
        <v>0</v>
      </c>
      <c r="D35" s="12">
        <f>SUM(D31:D34)</f>
        <v>0</v>
      </c>
      <c r="E35" s="44">
        <v>0</v>
      </c>
      <c r="F35" s="12">
        <f>SUM(F31:F34)</f>
        <v>0</v>
      </c>
      <c r="G35" s="44">
        <v>0</v>
      </c>
      <c r="H35" s="12">
        <f>SUM(H31:H34)</f>
        <v>0</v>
      </c>
      <c r="J35" s="12">
        <f>SUM(J31:J34)</f>
        <v>1114.5</v>
      </c>
      <c r="K35" s="47">
        <f>+(L35-J35)/ABS(J35)</f>
        <v>0.58528488111260646</v>
      </c>
      <c r="L35" s="12">
        <f>SUM(L31:L34)</f>
        <v>1766.8</v>
      </c>
      <c r="M35" s="44">
        <v>0</v>
      </c>
      <c r="N35" s="12">
        <f>SUM(N31:N34)</f>
        <v>0</v>
      </c>
      <c r="O35" s="44">
        <v>0</v>
      </c>
      <c r="P35" s="12">
        <f>SUM(P31:P34)</f>
        <v>0</v>
      </c>
    </row>
    <row r="36" spans="1:22">
      <c r="B36" s="240"/>
      <c r="C36" s="43"/>
      <c r="D36" s="240"/>
      <c r="E36" s="43"/>
      <c r="F36" s="379"/>
      <c r="G36" s="43"/>
      <c r="H36" s="379"/>
      <c r="J36" s="379"/>
      <c r="K36" s="43"/>
      <c r="L36" s="379"/>
      <c r="M36" s="43"/>
      <c r="N36" s="379"/>
      <c r="O36" s="43"/>
      <c r="P36" s="240"/>
    </row>
    <row r="37" spans="1:22">
      <c r="A37" t="s">
        <v>346</v>
      </c>
      <c r="B37" s="12">
        <f>+B28-B35</f>
        <v>0</v>
      </c>
      <c r="C37" s="44">
        <v>0</v>
      </c>
      <c r="D37" s="12">
        <f>+D28-D35</f>
        <v>0</v>
      </c>
      <c r="E37" s="44">
        <v>0</v>
      </c>
      <c r="F37" s="12">
        <f>+F28-F35</f>
        <v>0</v>
      </c>
      <c r="G37" s="44">
        <v>0</v>
      </c>
      <c r="H37" s="12">
        <f>+H28-H35</f>
        <v>0</v>
      </c>
      <c r="J37" s="12">
        <f>+J28-J35</f>
        <v>130.09999999999991</v>
      </c>
      <c r="K37" s="47">
        <f>+(L37-J37)/ABS(J37)</f>
        <v>-8.8654880860876304</v>
      </c>
      <c r="L37" s="12">
        <f>+L28-L35</f>
        <v>-1023.3</v>
      </c>
      <c r="M37" s="44">
        <v>0</v>
      </c>
      <c r="N37" s="12">
        <f>+N28-N35</f>
        <v>0</v>
      </c>
      <c r="O37" s="44">
        <v>0</v>
      </c>
      <c r="P37" s="12">
        <f>+P28-P35</f>
        <v>0</v>
      </c>
    </row>
    <row r="38" spans="1:22">
      <c r="B38" s="12"/>
      <c r="C38" s="44" t="s">
        <v>0</v>
      </c>
      <c r="D38" s="12"/>
      <c r="E38" s="44" t="s">
        <v>0</v>
      </c>
      <c r="G38" s="44" t="s">
        <v>0</v>
      </c>
      <c r="K38" s="44" t="s">
        <v>0</v>
      </c>
      <c r="M38" s="44" t="s">
        <v>0</v>
      </c>
      <c r="O38" s="44" t="s">
        <v>0</v>
      </c>
      <c r="P38" s="12"/>
    </row>
    <row r="39" spans="1:22">
      <c r="A39" t="s">
        <v>347</v>
      </c>
      <c r="B39" s="92">
        <f>+B79</f>
        <v>0</v>
      </c>
      <c r="C39" s="44">
        <v>0</v>
      </c>
      <c r="D39" s="92">
        <f>+F79</f>
        <v>0</v>
      </c>
      <c r="E39" s="43">
        <v>0</v>
      </c>
      <c r="F39" s="547">
        <f>+J79</f>
        <v>0</v>
      </c>
      <c r="G39" s="43">
        <v>0</v>
      </c>
      <c r="H39" s="547">
        <f>+N79</f>
        <v>0</v>
      </c>
      <c r="J39" s="12">
        <f>+D79</f>
        <v>45.4</v>
      </c>
      <c r="K39" s="294">
        <v>0</v>
      </c>
      <c r="L39" s="12">
        <f>+H79</f>
        <v>0</v>
      </c>
      <c r="M39" s="43">
        <v>0</v>
      </c>
      <c r="N39" s="27">
        <f>+L79</f>
        <v>0</v>
      </c>
      <c r="O39" s="43">
        <v>0</v>
      </c>
      <c r="P39" s="12">
        <v>0</v>
      </c>
    </row>
    <row r="40" spans="1:22" ht="16.5" thickBot="1">
      <c r="A40" t="s">
        <v>0</v>
      </c>
      <c r="B40" s="77" t="s">
        <v>0</v>
      </c>
      <c r="C40" s="44" t="s">
        <v>0</v>
      </c>
      <c r="D40" s="77" t="s">
        <v>0</v>
      </c>
      <c r="E40" s="44" t="s">
        <v>0</v>
      </c>
      <c r="F40" s="31" t="s">
        <v>0</v>
      </c>
      <c r="G40" s="44" t="s">
        <v>0</v>
      </c>
      <c r="H40" s="30"/>
      <c r="J40" s="30"/>
      <c r="K40" s="44" t="s">
        <v>0</v>
      </c>
      <c r="L40" s="30"/>
      <c r="M40" s="44" t="s">
        <v>0</v>
      </c>
      <c r="N40" s="30"/>
      <c r="O40" s="44" t="s">
        <v>0</v>
      </c>
      <c r="P40" s="76"/>
    </row>
    <row r="41" spans="1:22" s="2" customFormat="1">
      <c r="A41" s="2" t="s">
        <v>427</v>
      </c>
      <c r="B41" s="4">
        <f>+B37-B39</f>
        <v>0</v>
      </c>
      <c r="C41" s="42">
        <v>0</v>
      </c>
      <c r="D41" s="4">
        <f>+D37-D39</f>
        <v>0</v>
      </c>
      <c r="E41" s="42">
        <v>0</v>
      </c>
      <c r="F41" s="4">
        <f>+F37-F39</f>
        <v>0</v>
      </c>
      <c r="G41" s="42">
        <v>0</v>
      </c>
      <c r="H41" s="4">
        <f>+H37-H39</f>
        <v>0</v>
      </c>
      <c r="I41" s="146"/>
      <c r="J41" s="4">
        <f>+J37-J39</f>
        <v>84.699999999999903</v>
      </c>
      <c r="K41" s="112">
        <f>+(L41-J41)/ABS(J41)</f>
        <v>-13.081463990554912</v>
      </c>
      <c r="L41" s="4">
        <f>+L37-L39</f>
        <v>-1023.3</v>
      </c>
      <c r="M41" s="42">
        <v>0</v>
      </c>
      <c r="N41" s="4">
        <f>+N37-N39</f>
        <v>0</v>
      </c>
      <c r="O41" s="42">
        <v>0</v>
      </c>
      <c r="P41" s="4">
        <f>+P37-P39</f>
        <v>0</v>
      </c>
      <c r="Q41" s="146"/>
      <c r="R41" s="146"/>
      <c r="S41" s="146"/>
      <c r="T41" s="146"/>
      <c r="U41" s="146"/>
    </row>
    <row r="42" spans="1:22" ht="5.45" customHeight="1">
      <c r="C42" s="29"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s="2" customFormat="1">
      <c r="B46" s="241" t="s">
        <v>349</v>
      </c>
      <c r="C46" s="146" t="s">
        <v>0</v>
      </c>
      <c r="D46" s="241" t="s">
        <v>350</v>
      </c>
      <c r="E46" s="146"/>
      <c r="F46" s="241" t="s">
        <v>349</v>
      </c>
      <c r="G46" s="22" t="s">
        <v>0</v>
      </c>
      <c r="H46" s="241" t="s">
        <v>350</v>
      </c>
      <c r="I46" s="146"/>
      <c r="J46" s="241" t="s">
        <v>349</v>
      </c>
      <c r="K46" s="146" t="s">
        <v>0</v>
      </c>
      <c r="L46" s="241" t="s">
        <v>350</v>
      </c>
      <c r="M46" s="146"/>
      <c r="N46" s="241" t="s">
        <v>349</v>
      </c>
      <c r="O46" s="146" t="s">
        <v>0</v>
      </c>
      <c r="P46" s="241" t="s">
        <v>350</v>
      </c>
      <c r="Q46" s="146"/>
      <c r="R46" s="993" t="s">
        <v>351</v>
      </c>
      <c r="S46" s="146"/>
      <c r="T46" s="993" t="s">
        <v>532</v>
      </c>
      <c r="U46" s="241" t="s">
        <v>263</v>
      </c>
    </row>
    <row r="47" spans="1:22" ht="16.5" thickBot="1">
      <c r="B47" s="243" t="s">
        <v>353</v>
      </c>
      <c r="C47" s="244"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190</v>
      </c>
      <c r="V47" s="18"/>
    </row>
    <row r="48" spans="1:22">
      <c r="A48" t="s">
        <v>328</v>
      </c>
      <c r="B48" s="29" t="s">
        <v>0</v>
      </c>
    </row>
    <row r="49" spans="1:23">
      <c r="A49" t="s">
        <v>329</v>
      </c>
      <c r="B49" s="16" t="s">
        <v>0</v>
      </c>
      <c r="C49" s="47" t="s">
        <v>0</v>
      </c>
      <c r="D49" s="29" t="s">
        <v>0</v>
      </c>
      <c r="E49" s="29" t="s">
        <v>0</v>
      </c>
      <c r="F49" s="29" t="s">
        <v>0</v>
      </c>
      <c r="G49" s="47" t="s">
        <v>0</v>
      </c>
      <c r="H49" s="29" t="s">
        <v>0</v>
      </c>
      <c r="I49" s="29" t="s">
        <v>0</v>
      </c>
      <c r="J49" s="29" t="s">
        <v>0</v>
      </c>
      <c r="K49" s="47" t="s">
        <v>0</v>
      </c>
      <c r="L49" s="29" t="s">
        <v>0</v>
      </c>
      <c r="M49" s="29" t="s">
        <v>0</v>
      </c>
      <c r="N49" s="29" t="s">
        <v>0</v>
      </c>
      <c r="O49" s="47" t="s">
        <v>0</v>
      </c>
      <c r="P49" s="16" t="s">
        <v>0</v>
      </c>
      <c r="Q49" s="29" t="s">
        <v>0</v>
      </c>
      <c r="R49" s="16" t="s">
        <v>0</v>
      </c>
      <c r="S49" s="47" t="s">
        <v>0</v>
      </c>
      <c r="T49" s="16" t="s">
        <v>0</v>
      </c>
      <c r="U49" s="16" t="s">
        <v>0</v>
      </c>
      <c r="V49" t="s">
        <v>0</v>
      </c>
      <c r="W49" t="s">
        <v>0</v>
      </c>
    </row>
    <row r="50" spans="1:23">
      <c r="A50" t="s">
        <v>330</v>
      </c>
      <c r="B50" s="12">
        <v>0</v>
      </c>
      <c r="C50" s="43">
        <v>0</v>
      </c>
      <c r="D50" s="12">
        <v>517.79999999999995</v>
      </c>
      <c r="E50" s="29"/>
      <c r="F50" s="12">
        <v>0</v>
      </c>
      <c r="G50" s="43">
        <v>0</v>
      </c>
      <c r="H50" s="12">
        <f>125.8+109.5+122.3</f>
        <v>357.6</v>
      </c>
      <c r="J50" s="12">
        <v>0</v>
      </c>
      <c r="K50" s="43">
        <v>0</v>
      </c>
      <c r="L50" s="12">
        <v>0</v>
      </c>
      <c r="M50" s="29"/>
      <c r="N50" s="12">
        <v>0</v>
      </c>
      <c r="O50" s="43">
        <v>0</v>
      </c>
      <c r="P50" s="12">
        <v>0</v>
      </c>
      <c r="R50" s="12">
        <f>+B50</f>
        <v>0</v>
      </c>
      <c r="S50" s="43">
        <v>0</v>
      </c>
      <c r="T50" s="12">
        <f>+D50</f>
        <v>517.79999999999995</v>
      </c>
      <c r="U50" s="12">
        <f>+D50+H50+L50+P50</f>
        <v>875.4</v>
      </c>
    </row>
    <row r="51" spans="1:23">
      <c r="A51" t="s">
        <v>354</v>
      </c>
      <c r="B51" s="12">
        <v>0</v>
      </c>
      <c r="C51" s="43">
        <v>0</v>
      </c>
      <c r="D51" s="12">
        <f>596.5-97.1</f>
        <v>499.4</v>
      </c>
      <c r="E51" s="29"/>
      <c r="F51" s="12">
        <v>0</v>
      </c>
      <c r="G51" s="43">
        <v>0</v>
      </c>
      <c r="H51" s="12">
        <f>187.9+134.1+230.2</f>
        <v>552.20000000000005</v>
      </c>
      <c r="J51" s="12">
        <v>0</v>
      </c>
      <c r="K51" s="43"/>
      <c r="L51" s="12">
        <v>0</v>
      </c>
      <c r="M51" s="29"/>
      <c r="N51" s="12">
        <v>0</v>
      </c>
      <c r="O51" s="43"/>
      <c r="P51" s="12">
        <v>0</v>
      </c>
      <c r="R51" s="12">
        <f>+B51</f>
        <v>0</v>
      </c>
      <c r="S51" s="43">
        <v>0</v>
      </c>
      <c r="T51" s="12">
        <f>+D51</f>
        <v>499.4</v>
      </c>
      <c r="U51" s="12">
        <f>+D51+H51+L51+P51</f>
        <v>1051.5999999999999</v>
      </c>
    </row>
    <row r="52" spans="1:23">
      <c r="A52" t="s">
        <v>332</v>
      </c>
      <c r="B52" s="221">
        <v>0</v>
      </c>
      <c r="C52" s="43">
        <v>0</v>
      </c>
      <c r="D52" s="221">
        <f>72.4+0.1+24.6</f>
        <v>97.1</v>
      </c>
      <c r="E52" s="29"/>
      <c r="F52" s="221">
        <v>0</v>
      </c>
      <c r="G52" s="43">
        <v>0</v>
      </c>
      <c r="H52" s="221">
        <f>26.7+23.4+1.8</f>
        <v>51.899999999999991</v>
      </c>
      <c r="J52" s="221">
        <v>0</v>
      </c>
      <c r="K52" s="43">
        <v>0</v>
      </c>
      <c r="L52" s="221">
        <v>0</v>
      </c>
      <c r="M52" s="29"/>
      <c r="N52" s="221">
        <v>0</v>
      </c>
      <c r="O52" s="43">
        <v>0</v>
      </c>
      <c r="P52" s="221">
        <v>0</v>
      </c>
      <c r="R52" s="240">
        <f>+B52</f>
        <v>0</v>
      </c>
      <c r="S52" s="43">
        <v>0</v>
      </c>
      <c r="T52" s="240">
        <f>+D52</f>
        <v>97.1</v>
      </c>
      <c r="U52" s="240">
        <f>+D52+H52+L52+P52</f>
        <v>149</v>
      </c>
    </row>
    <row r="53" spans="1:23">
      <c r="B53" s="12">
        <f>SUM(B50:B52)</f>
        <v>0</v>
      </c>
      <c r="C53" s="43">
        <v>0</v>
      </c>
      <c r="D53" s="12">
        <f>SUM(D50:D52)</f>
        <v>1114.3</v>
      </c>
      <c r="E53" s="29"/>
      <c r="F53" s="12">
        <f>SUM(F50:F52)</f>
        <v>0</v>
      </c>
      <c r="G53" s="43">
        <v>0</v>
      </c>
      <c r="H53" s="12">
        <f>SUM(H50:H52)</f>
        <v>961.7</v>
      </c>
      <c r="J53" s="12">
        <f>SUM(J50:J52)</f>
        <v>0</v>
      </c>
      <c r="K53" s="43">
        <v>0</v>
      </c>
      <c r="L53" s="12">
        <f>SUM(L50:L52)</f>
        <v>0</v>
      </c>
      <c r="M53" s="29"/>
      <c r="N53" s="12">
        <f>SUM(N50:N52)</f>
        <v>0</v>
      </c>
      <c r="O53" s="43">
        <v>0</v>
      </c>
      <c r="P53" s="12">
        <f>SUM(P50:P52)</f>
        <v>0</v>
      </c>
      <c r="R53" s="12">
        <f>SUM(R50:R52)</f>
        <v>0</v>
      </c>
      <c r="S53" s="43">
        <v>0</v>
      </c>
      <c r="T53" s="12">
        <f>SUM(T50:T52)</f>
        <v>1114.3</v>
      </c>
      <c r="U53" s="12">
        <f>SUM(U50:U52)</f>
        <v>2076</v>
      </c>
    </row>
    <row r="54" spans="1:23">
      <c r="A54" t="s">
        <v>333</v>
      </c>
      <c r="B54" s="240">
        <v>0</v>
      </c>
      <c r="C54" s="43">
        <v>0</v>
      </c>
      <c r="D54" s="240">
        <v>203.7</v>
      </c>
      <c r="E54" s="29" t="s">
        <v>0</v>
      </c>
      <c r="F54" s="240">
        <v>0</v>
      </c>
      <c r="G54" s="43">
        <v>0</v>
      </c>
      <c r="H54" s="240">
        <f>68+66.4+78.8</f>
        <v>213.2</v>
      </c>
      <c r="J54" s="240">
        <v>0</v>
      </c>
      <c r="K54" s="43">
        <v>0</v>
      </c>
      <c r="L54" s="240">
        <v>0</v>
      </c>
      <c r="M54" s="29" t="s">
        <v>0</v>
      </c>
      <c r="N54" s="240">
        <v>0</v>
      </c>
      <c r="O54" s="43">
        <v>0</v>
      </c>
      <c r="P54" s="240">
        <v>0</v>
      </c>
      <c r="R54" s="240">
        <f>+B54</f>
        <v>0</v>
      </c>
      <c r="S54" s="43">
        <v>0</v>
      </c>
      <c r="T54" s="240">
        <f>+D54</f>
        <v>203.7</v>
      </c>
      <c r="U54" s="240">
        <f>+D54+H54+L54+P54</f>
        <v>416.9</v>
      </c>
    </row>
    <row r="55" spans="1:23">
      <c r="B55" s="12">
        <f>+B53-B54</f>
        <v>0</v>
      </c>
      <c r="C55" s="43">
        <v>0</v>
      </c>
      <c r="D55" s="12">
        <f>+D53-D54</f>
        <v>910.59999999999991</v>
      </c>
      <c r="E55" s="29" t="s">
        <v>0</v>
      </c>
      <c r="F55" s="12">
        <f>+F53-F54</f>
        <v>0</v>
      </c>
      <c r="G55" s="43">
        <v>0</v>
      </c>
      <c r="H55" s="12">
        <f>+H53-H54</f>
        <v>748.5</v>
      </c>
      <c r="J55" s="12">
        <f>+J53-J54</f>
        <v>0</v>
      </c>
      <c r="K55" s="43">
        <v>0</v>
      </c>
      <c r="L55" s="12">
        <f>+L53-L54</f>
        <v>0</v>
      </c>
      <c r="M55" s="29" t="s">
        <v>0</v>
      </c>
      <c r="N55" s="12">
        <f>+N53-N54</f>
        <v>0</v>
      </c>
      <c r="O55" s="43">
        <v>0</v>
      </c>
      <c r="P55" s="12">
        <f>+P53-P54</f>
        <v>0</v>
      </c>
      <c r="R55" s="12">
        <f>+R53-R54</f>
        <v>0</v>
      </c>
      <c r="S55" s="208">
        <v>0</v>
      </c>
      <c r="T55" s="12">
        <f>+T53-T54</f>
        <v>910.59999999999991</v>
      </c>
      <c r="U55" s="12">
        <f>+U53-U54</f>
        <v>1659.1</v>
      </c>
    </row>
    <row r="56" spans="1:23">
      <c r="B56" s="12"/>
      <c r="C56" s="44" t="s">
        <v>0</v>
      </c>
      <c r="D56" s="12"/>
      <c r="E56" s="29" t="s">
        <v>0</v>
      </c>
      <c r="G56" s="44" t="s">
        <v>0</v>
      </c>
      <c r="K56" s="44" t="s">
        <v>0</v>
      </c>
      <c r="M56" s="29" t="s">
        <v>0</v>
      </c>
      <c r="O56" s="44" t="s">
        <v>0</v>
      </c>
      <c r="R56" s="12"/>
      <c r="S56" s="43"/>
      <c r="U56" s="12"/>
    </row>
    <row r="57" spans="1:23">
      <c r="A57" t="s">
        <v>334</v>
      </c>
      <c r="B57" s="12"/>
      <c r="C57" s="44" t="s">
        <v>0</v>
      </c>
      <c r="D57" s="12"/>
      <c r="E57" s="29" t="s">
        <v>0</v>
      </c>
      <c r="G57" s="44" t="s">
        <v>0</v>
      </c>
      <c r="K57" s="44" t="s">
        <v>0</v>
      </c>
      <c r="M57" s="29" t="s">
        <v>0</v>
      </c>
      <c r="O57" s="44" t="s">
        <v>0</v>
      </c>
      <c r="R57" s="12"/>
      <c r="S57" s="44" t="s">
        <v>0</v>
      </c>
      <c r="U57" s="12"/>
    </row>
    <row r="58" spans="1:23">
      <c r="A58" t="s">
        <v>335</v>
      </c>
      <c r="B58" s="12">
        <v>0</v>
      </c>
      <c r="C58" s="43">
        <v>0</v>
      </c>
      <c r="D58" s="12">
        <v>27.1</v>
      </c>
      <c r="E58" s="29" t="s">
        <v>0</v>
      </c>
      <c r="F58" s="12">
        <v>0</v>
      </c>
      <c r="G58" s="43">
        <v>0</v>
      </c>
      <c r="H58" s="12">
        <f>17.1+13+17.4</f>
        <v>47.5</v>
      </c>
      <c r="J58" s="12">
        <v>0</v>
      </c>
      <c r="K58" s="43">
        <v>0</v>
      </c>
      <c r="L58" s="12">
        <v>0</v>
      </c>
      <c r="M58" s="29" t="s">
        <v>0</v>
      </c>
      <c r="N58" s="12">
        <v>0</v>
      </c>
      <c r="O58" s="43">
        <v>0</v>
      </c>
      <c r="P58" s="12">
        <v>0</v>
      </c>
      <c r="R58" s="12">
        <f>+B58</f>
        <v>0</v>
      </c>
      <c r="S58" s="43">
        <v>0</v>
      </c>
      <c r="T58" s="12">
        <f>+D58</f>
        <v>27.1</v>
      </c>
      <c r="U58" s="12">
        <f>+D58+H58+L58+P58</f>
        <v>74.599999999999994</v>
      </c>
    </row>
    <row r="59" spans="1:23">
      <c r="A59" t="s">
        <v>336</v>
      </c>
      <c r="B59" s="12">
        <v>0</v>
      </c>
      <c r="C59" s="43">
        <v>0</v>
      </c>
      <c r="D59" s="12">
        <f>183.7+66+40.2</f>
        <v>289.89999999999998</v>
      </c>
      <c r="E59" s="29" t="s">
        <v>0</v>
      </c>
      <c r="F59" s="12">
        <v>0</v>
      </c>
      <c r="G59" s="43">
        <v>0</v>
      </c>
      <c r="H59" s="12">
        <f>121.7+27.5+91.4</f>
        <v>240.6</v>
      </c>
      <c r="J59" s="12">
        <v>0</v>
      </c>
      <c r="K59" s="43">
        <v>0</v>
      </c>
      <c r="L59" s="12">
        <v>0</v>
      </c>
      <c r="M59" s="29" t="s">
        <v>0</v>
      </c>
      <c r="N59" s="12">
        <v>0</v>
      </c>
      <c r="O59" s="43">
        <v>0</v>
      </c>
      <c r="P59" s="12">
        <v>0</v>
      </c>
      <c r="R59" s="12">
        <f>+B59</f>
        <v>0</v>
      </c>
      <c r="S59" s="43">
        <v>0</v>
      </c>
      <c r="T59" s="12">
        <f>+D59</f>
        <v>289.89999999999998</v>
      </c>
      <c r="U59" s="12">
        <f>+D59+H59+L59+P59</f>
        <v>530.5</v>
      </c>
    </row>
    <row r="60" spans="1:23">
      <c r="A60" t="s">
        <v>284</v>
      </c>
      <c r="B60" s="240">
        <v>0</v>
      </c>
      <c r="C60" s="43">
        <v>0</v>
      </c>
      <c r="D60" s="240">
        <v>17</v>
      </c>
      <c r="E60" s="29" t="s">
        <v>0</v>
      </c>
      <c r="F60" s="240">
        <v>0</v>
      </c>
      <c r="G60" s="43">
        <v>0</v>
      </c>
      <c r="H60" s="240">
        <f>4.7+4.5</f>
        <v>9.1999999999999993</v>
      </c>
      <c r="J60" s="240">
        <v>0</v>
      </c>
      <c r="K60" s="43">
        <v>0</v>
      </c>
      <c r="L60" s="240">
        <v>0</v>
      </c>
      <c r="M60" s="29" t="s">
        <v>0</v>
      </c>
      <c r="N60" s="248">
        <v>0</v>
      </c>
      <c r="O60" s="43">
        <v>0</v>
      </c>
      <c r="P60" s="248">
        <v>0</v>
      </c>
      <c r="R60" s="240">
        <f>+B60</f>
        <v>0</v>
      </c>
      <c r="S60" s="43">
        <v>0</v>
      </c>
      <c r="T60" s="240">
        <f>+D60</f>
        <v>17</v>
      </c>
      <c r="U60" s="240">
        <f>+D60+H60+L60+P60</f>
        <v>26.2</v>
      </c>
    </row>
    <row r="61" spans="1:23">
      <c r="B61" s="12">
        <f>SUM(B58:B60)</f>
        <v>0</v>
      </c>
      <c r="C61" s="43">
        <v>0</v>
      </c>
      <c r="D61" s="12">
        <f>SUM(D58:D60)</f>
        <v>334</v>
      </c>
      <c r="E61" s="29" t="s">
        <v>0</v>
      </c>
      <c r="F61" s="12">
        <f>SUM(F58:F60)</f>
        <v>0</v>
      </c>
      <c r="G61" s="43">
        <v>0</v>
      </c>
      <c r="H61" s="12">
        <f>SUM(H58:H60)</f>
        <v>297.3</v>
      </c>
      <c r="J61" s="12">
        <f>SUM(J58:J60)</f>
        <v>0</v>
      </c>
      <c r="K61" s="43">
        <v>0</v>
      </c>
      <c r="L61" s="12">
        <f>SUM(L58:L60)</f>
        <v>0</v>
      </c>
      <c r="M61" s="29" t="s">
        <v>0</v>
      </c>
      <c r="N61" s="12">
        <f>SUM(N58:N60)</f>
        <v>0</v>
      </c>
      <c r="O61" s="43">
        <v>0</v>
      </c>
      <c r="P61" s="12">
        <f>SUM(P58:P60)</f>
        <v>0</v>
      </c>
      <c r="R61" s="12">
        <f>SUM(R58:R60)</f>
        <v>0</v>
      </c>
      <c r="S61" s="208">
        <v>0</v>
      </c>
      <c r="T61" s="12">
        <f>SUM(T58:T60)</f>
        <v>334</v>
      </c>
      <c r="U61" s="12">
        <f>SUM(U58:U60)</f>
        <v>631.30000000000007</v>
      </c>
    </row>
    <row r="62" spans="1:23">
      <c r="B62" s="240"/>
      <c r="C62" s="44" t="s">
        <v>0</v>
      </c>
      <c r="D62" s="240"/>
      <c r="E62" s="29" t="s">
        <v>0</v>
      </c>
      <c r="F62" s="379"/>
      <c r="G62" s="44" t="s">
        <v>0</v>
      </c>
      <c r="H62" s="379"/>
      <c r="J62" s="379"/>
      <c r="K62" s="44" t="s">
        <v>0</v>
      </c>
      <c r="L62" s="379"/>
      <c r="M62" s="29" t="s">
        <v>0</v>
      </c>
      <c r="N62" s="379"/>
      <c r="O62" s="44" t="s">
        <v>0</v>
      </c>
      <c r="P62" s="379"/>
      <c r="R62" s="240"/>
      <c r="S62" s="43"/>
      <c r="T62" s="379"/>
      <c r="U62" s="240"/>
    </row>
    <row r="63" spans="1:23">
      <c r="A63" t="s">
        <v>337</v>
      </c>
      <c r="B63" s="12">
        <f>+B55+B61</f>
        <v>0</v>
      </c>
      <c r="C63" s="43">
        <v>0</v>
      </c>
      <c r="D63" s="12">
        <f>+D55+D61</f>
        <v>1244.5999999999999</v>
      </c>
      <c r="E63" s="29" t="s">
        <v>0</v>
      </c>
      <c r="F63" s="12">
        <f>+F55+F61</f>
        <v>0</v>
      </c>
      <c r="G63" s="43">
        <v>0</v>
      </c>
      <c r="H63" s="12">
        <f>+H55+H61</f>
        <v>1045.8</v>
      </c>
      <c r="J63" s="12">
        <f>+J55+J61</f>
        <v>0</v>
      </c>
      <c r="K63" s="43">
        <v>0</v>
      </c>
      <c r="L63" s="12">
        <f>+L55+L61</f>
        <v>0</v>
      </c>
      <c r="M63" s="29" t="s">
        <v>0</v>
      </c>
      <c r="N63" s="12">
        <f>+N55+N61</f>
        <v>0</v>
      </c>
      <c r="O63" s="43">
        <v>0</v>
      </c>
      <c r="P63" s="12">
        <f>+P55+P61</f>
        <v>0</v>
      </c>
      <c r="R63" s="12">
        <f>+R55+R61</f>
        <v>0</v>
      </c>
      <c r="S63" s="43">
        <v>0</v>
      </c>
      <c r="T63" s="12">
        <f>+T55+T61</f>
        <v>1244.5999999999999</v>
      </c>
      <c r="U63" s="12">
        <f>+U55+U61</f>
        <v>2290.4</v>
      </c>
    </row>
    <row r="64" spans="1:23">
      <c r="B64" s="12"/>
      <c r="C64" s="44" t="s">
        <v>0</v>
      </c>
      <c r="D64" s="12"/>
      <c r="E64" s="29" t="s">
        <v>0</v>
      </c>
      <c r="G64" s="44" t="s">
        <v>0</v>
      </c>
      <c r="K64" s="44" t="s">
        <v>0</v>
      </c>
      <c r="M64" s="29" t="s">
        <v>0</v>
      </c>
      <c r="O64" s="44" t="s">
        <v>0</v>
      </c>
      <c r="R64" s="12"/>
      <c r="S64" s="43"/>
      <c r="U64" s="12"/>
    </row>
    <row r="65" spans="1:21">
      <c r="A65" t="s">
        <v>338</v>
      </c>
      <c r="B65" s="12">
        <v>0</v>
      </c>
      <c r="C65" s="43">
        <v>0</v>
      </c>
      <c r="D65" s="12">
        <v>0</v>
      </c>
      <c r="E65" s="29" t="s">
        <v>0</v>
      </c>
      <c r="F65" s="12">
        <v>0</v>
      </c>
      <c r="G65" s="43">
        <v>0</v>
      </c>
      <c r="H65" s="12">
        <v>302.3</v>
      </c>
      <c r="J65" s="27">
        <f>+F102</f>
        <v>0</v>
      </c>
      <c r="K65" s="43">
        <v>0</v>
      </c>
      <c r="L65" s="27">
        <f>+H102</f>
        <v>0</v>
      </c>
      <c r="M65" s="29" t="s">
        <v>0</v>
      </c>
      <c r="N65" s="27">
        <f>+H102</f>
        <v>0</v>
      </c>
      <c r="O65" s="43">
        <v>0</v>
      </c>
      <c r="P65" s="27">
        <f>+J102</f>
        <v>0</v>
      </c>
      <c r="R65" s="12">
        <f>+B65</f>
        <v>0</v>
      </c>
      <c r="S65" s="43">
        <v>0</v>
      </c>
      <c r="T65" s="12">
        <f>+D65</f>
        <v>0</v>
      </c>
      <c r="U65" s="12">
        <f>+D65+H65+L65+P65</f>
        <v>302.3</v>
      </c>
    </row>
    <row r="66" spans="1:21">
      <c r="B66" s="12"/>
      <c r="C66" s="44" t="s">
        <v>0</v>
      </c>
      <c r="D66" s="12"/>
      <c r="E66" s="29" t="s">
        <v>0</v>
      </c>
      <c r="G66" s="44" t="s">
        <v>0</v>
      </c>
      <c r="K66" s="44" t="s">
        <v>0</v>
      </c>
      <c r="M66" s="29" t="s">
        <v>0</v>
      </c>
      <c r="O66" s="44" t="s">
        <v>0</v>
      </c>
      <c r="R66" s="12"/>
      <c r="S66" s="43"/>
      <c r="U66" s="12"/>
    </row>
    <row r="67" spans="1:21">
      <c r="A67" t="s">
        <v>339</v>
      </c>
      <c r="B67" s="240"/>
      <c r="C67" s="44" t="s">
        <v>0</v>
      </c>
      <c r="D67" s="240"/>
      <c r="E67" s="29" t="s">
        <v>0</v>
      </c>
      <c r="F67" s="379"/>
      <c r="G67" s="44" t="s">
        <v>0</v>
      </c>
      <c r="H67" s="379"/>
      <c r="J67" s="379"/>
      <c r="K67" s="44" t="s">
        <v>0</v>
      </c>
      <c r="L67" s="379"/>
      <c r="M67" s="29" t="s">
        <v>0</v>
      </c>
      <c r="N67" s="379"/>
      <c r="O67" s="44" t="s">
        <v>0</v>
      </c>
      <c r="P67" s="379"/>
      <c r="R67" s="240"/>
      <c r="S67" s="43"/>
      <c r="T67" s="379"/>
      <c r="U67" s="240"/>
    </row>
    <row r="68" spans="1:21">
      <c r="A68" t="s">
        <v>340</v>
      </c>
      <c r="B68" s="12">
        <f>+B63-B65</f>
        <v>0</v>
      </c>
      <c r="C68" s="43">
        <v>0</v>
      </c>
      <c r="D68" s="12">
        <f>+D63-D65</f>
        <v>1244.5999999999999</v>
      </c>
      <c r="E68" s="29" t="s">
        <v>0</v>
      </c>
      <c r="F68" s="12">
        <f>+F63-F65</f>
        <v>0</v>
      </c>
      <c r="G68" s="43">
        <v>0</v>
      </c>
      <c r="H68" s="12">
        <f>+H63-H65</f>
        <v>743.5</v>
      </c>
      <c r="J68" s="12">
        <f>+J63-J65</f>
        <v>0</v>
      </c>
      <c r="K68" s="43">
        <v>0</v>
      </c>
      <c r="L68" s="12">
        <f>+L63-L65</f>
        <v>0</v>
      </c>
      <c r="M68" s="29" t="s">
        <v>0</v>
      </c>
      <c r="N68" s="12">
        <f>+N63-N65</f>
        <v>0</v>
      </c>
      <c r="O68" s="43">
        <v>0</v>
      </c>
      <c r="P68" s="12">
        <f>+P63-P65</f>
        <v>0</v>
      </c>
      <c r="R68" s="12">
        <f>+R63-R65</f>
        <v>0</v>
      </c>
      <c r="S68" s="43">
        <v>0</v>
      </c>
      <c r="T68" s="12">
        <f>+T63-T65</f>
        <v>1244.5999999999999</v>
      </c>
      <c r="U68" s="12">
        <f>+U63-U65</f>
        <v>1988.1000000000001</v>
      </c>
    </row>
    <row r="69" spans="1:21">
      <c r="B69" s="12"/>
      <c r="C69" s="44" t="s">
        <v>0</v>
      </c>
      <c r="D69" s="12"/>
      <c r="E69" s="29" t="s">
        <v>0</v>
      </c>
      <c r="G69" s="44" t="s">
        <v>0</v>
      </c>
      <c r="K69" s="44" t="s">
        <v>0</v>
      </c>
      <c r="M69" s="29" t="s">
        <v>0</v>
      </c>
      <c r="O69" s="44" t="s">
        <v>0</v>
      </c>
      <c r="R69" s="12"/>
      <c r="S69" s="43"/>
      <c r="U69" s="12"/>
    </row>
    <row r="70" spans="1:21">
      <c r="A70" t="s">
        <v>341</v>
      </c>
      <c r="B70" s="12"/>
      <c r="C70" s="44" t="s">
        <v>0</v>
      </c>
      <c r="D70" s="12"/>
      <c r="E70" s="29" t="s">
        <v>0</v>
      </c>
      <c r="G70" s="44" t="s">
        <v>0</v>
      </c>
      <c r="K70" s="44" t="s">
        <v>0</v>
      </c>
      <c r="M70" s="29" t="s">
        <v>0</v>
      </c>
      <c r="O70" s="44" t="s">
        <v>0</v>
      </c>
      <c r="R70" s="12"/>
      <c r="S70" s="43"/>
      <c r="U70" s="12"/>
    </row>
    <row r="71" spans="1:21">
      <c r="A71" t="s">
        <v>342</v>
      </c>
      <c r="B71" s="12">
        <v>0</v>
      </c>
      <c r="C71" s="43">
        <v>0</v>
      </c>
      <c r="D71" s="12">
        <f>149.8+155.8+149.1</f>
        <v>454.70000000000005</v>
      </c>
      <c r="E71" s="29" t="s">
        <v>0</v>
      </c>
      <c r="F71" s="12">
        <v>0</v>
      </c>
      <c r="G71" s="43">
        <v>0</v>
      </c>
      <c r="H71" s="12">
        <f>189.9+158.7+158.9</f>
        <v>507.5</v>
      </c>
      <c r="J71" s="12">
        <v>0</v>
      </c>
      <c r="K71" s="43">
        <v>0</v>
      </c>
      <c r="L71" s="12">
        <v>0</v>
      </c>
      <c r="M71" s="29" t="s">
        <v>0</v>
      </c>
      <c r="N71" s="12">
        <v>0</v>
      </c>
      <c r="O71" s="43">
        <v>0</v>
      </c>
      <c r="P71" s="12">
        <v>0</v>
      </c>
      <c r="R71" s="12">
        <f>+B71</f>
        <v>0</v>
      </c>
      <c r="S71" s="43">
        <v>0</v>
      </c>
      <c r="T71" s="12">
        <f>+D71</f>
        <v>454.70000000000005</v>
      </c>
      <c r="U71" s="12">
        <f>+D71+H71+L71+P71</f>
        <v>962.2</v>
      </c>
    </row>
    <row r="72" spans="1:21">
      <c r="A72" t="s">
        <v>343</v>
      </c>
      <c r="B72" s="12">
        <v>0</v>
      </c>
      <c r="C72" s="43">
        <v>0</v>
      </c>
      <c r="D72" s="12">
        <f>12+6+5.4</f>
        <v>23.4</v>
      </c>
      <c r="E72" s="29" t="s">
        <v>0</v>
      </c>
      <c r="F72" s="12">
        <v>0</v>
      </c>
      <c r="G72" s="43">
        <v>0</v>
      </c>
      <c r="H72" s="12">
        <f>5.4+5.4+22.2</f>
        <v>33</v>
      </c>
      <c r="J72" s="12">
        <v>0</v>
      </c>
      <c r="K72" s="43">
        <v>0</v>
      </c>
      <c r="L72" s="12">
        <v>0</v>
      </c>
      <c r="M72" s="29" t="s">
        <v>0</v>
      </c>
      <c r="N72" s="12">
        <v>0</v>
      </c>
      <c r="O72" s="43">
        <v>0</v>
      </c>
      <c r="P72" s="12">
        <v>0</v>
      </c>
      <c r="R72" s="12">
        <f>+B72</f>
        <v>0</v>
      </c>
      <c r="S72" s="43">
        <v>0</v>
      </c>
      <c r="T72" s="12">
        <f>+D72</f>
        <v>23.4</v>
      </c>
      <c r="U72" s="12">
        <f>+D72+H72+L72+P72</f>
        <v>56.4</v>
      </c>
    </row>
    <row r="73" spans="1:21">
      <c r="A73" t="s">
        <v>344</v>
      </c>
      <c r="B73" s="12">
        <v>0</v>
      </c>
      <c r="C73" s="43">
        <v>0</v>
      </c>
      <c r="D73" s="12">
        <v>369.5</v>
      </c>
      <c r="E73" s="29" t="s">
        <v>0</v>
      </c>
      <c r="F73" s="12">
        <v>0</v>
      </c>
      <c r="G73" s="43">
        <v>0</v>
      </c>
      <c r="H73" s="12">
        <f>123.8+123.8+123.8</f>
        <v>371.4</v>
      </c>
      <c r="J73" s="12">
        <v>0</v>
      </c>
      <c r="K73" s="43">
        <v>0</v>
      </c>
      <c r="L73" s="12">
        <v>0</v>
      </c>
      <c r="M73" s="29" t="s">
        <v>0</v>
      </c>
      <c r="N73" s="12">
        <v>0</v>
      </c>
      <c r="O73" s="43">
        <v>0</v>
      </c>
      <c r="P73" s="12">
        <v>0</v>
      </c>
      <c r="R73" s="12">
        <f>+B73</f>
        <v>0</v>
      </c>
      <c r="S73" s="43">
        <v>0</v>
      </c>
      <c r="T73" s="12">
        <f>+D73</f>
        <v>369.5</v>
      </c>
      <c r="U73" s="12">
        <f>+D73+H73+L73+P73</f>
        <v>740.9</v>
      </c>
    </row>
    <row r="74" spans="1:21">
      <c r="A74" t="s">
        <v>345</v>
      </c>
      <c r="B74" s="240">
        <v>0</v>
      </c>
      <c r="C74" s="208">
        <v>0</v>
      </c>
      <c r="D74" s="240">
        <v>266.89999999999998</v>
      </c>
      <c r="E74" s="29" t="s">
        <v>0</v>
      </c>
      <c r="F74" s="240">
        <v>0</v>
      </c>
      <c r="G74" s="43">
        <v>0</v>
      </c>
      <c r="H74" s="240">
        <f>259.2+269.2+326.5</f>
        <v>854.9</v>
      </c>
      <c r="J74" s="240">
        <v>0</v>
      </c>
      <c r="K74" s="43">
        <v>0</v>
      </c>
      <c r="L74" s="240">
        <v>0</v>
      </c>
      <c r="M74" s="29" t="s">
        <v>0</v>
      </c>
      <c r="N74" s="240">
        <v>0</v>
      </c>
      <c r="O74" s="43">
        <v>0</v>
      </c>
      <c r="P74" s="240">
        <v>0</v>
      </c>
      <c r="R74" s="240">
        <f>+B74</f>
        <v>0</v>
      </c>
      <c r="S74" s="208">
        <v>0</v>
      </c>
      <c r="T74" s="240">
        <f>+D74</f>
        <v>266.89999999999998</v>
      </c>
      <c r="U74" s="240">
        <f>+D74+H74+L74+P74</f>
        <v>1121.8</v>
      </c>
    </row>
    <row r="75" spans="1:21">
      <c r="B75" s="12">
        <f>SUM(B71:B74)</f>
        <v>0</v>
      </c>
      <c r="C75" s="43">
        <v>0</v>
      </c>
      <c r="D75" s="12">
        <f>SUM(D71:D74)</f>
        <v>1114.5</v>
      </c>
      <c r="E75" s="29" t="s">
        <v>0</v>
      </c>
      <c r="F75" s="12">
        <f>SUM(F71:F74)</f>
        <v>0</v>
      </c>
      <c r="G75" s="43">
        <v>0</v>
      </c>
      <c r="H75" s="12">
        <f>SUM(H71:H74)</f>
        <v>1766.8</v>
      </c>
      <c r="J75" s="12">
        <f>SUM(J71:J74)</f>
        <v>0</v>
      </c>
      <c r="K75" s="43">
        <v>0</v>
      </c>
      <c r="L75" s="12">
        <f>SUM(L71:L74)</f>
        <v>0</v>
      </c>
      <c r="M75" s="29" t="s">
        <v>0</v>
      </c>
      <c r="N75" s="12">
        <f>SUM(N71:N74)</f>
        <v>0</v>
      </c>
      <c r="O75" s="43">
        <v>0</v>
      </c>
      <c r="P75" s="12">
        <f>SUM(P71:P74)</f>
        <v>0</v>
      </c>
      <c r="R75" s="12">
        <f>SUM(R71:R74)</f>
        <v>0</v>
      </c>
      <c r="S75" s="43">
        <v>0</v>
      </c>
      <c r="T75" s="12">
        <f>SUM(T71:T74)</f>
        <v>1114.5</v>
      </c>
      <c r="U75" s="12">
        <f>SUM(U71:U74)</f>
        <v>2881.3</v>
      </c>
    </row>
    <row r="76" spans="1:21">
      <c r="B76" s="240"/>
      <c r="C76" s="43"/>
      <c r="D76" s="240"/>
      <c r="E76" s="29"/>
      <c r="F76" s="379"/>
      <c r="G76" s="43"/>
      <c r="H76" s="379"/>
      <c r="J76" s="379"/>
      <c r="K76" s="43"/>
      <c r="L76" s="379"/>
      <c r="M76" s="29"/>
      <c r="N76" s="379"/>
      <c r="O76" s="43"/>
      <c r="P76" s="379"/>
      <c r="R76" s="240"/>
      <c r="S76" s="43"/>
      <c r="T76" s="379"/>
      <c r="U76" s="240"/>
    </row>
    <row r="77" spans="1:21">
      <c r="A77" t="s">
        <v>346</v>
      </c>
      <c r="B77" s="12">
        <f>+B68-B75</f>
        <v>0</v>
      </c>
      <c r="C77" s="43">
        <v>0</v>
      </c>
      <c r="D77" s="12">
        <f>+D68-D75</f>
        <v>130.09999999999991</v>
      </c>
      <c r="E77" s="29"/>
      <c r="F77" s="12">
        <f>+F68-F75</f>
        <v>0</v>
      </c>
      <c r="G77" s="43">
        <v>0</v>
      </c>
      <c r="H77" s="12">
        <f>+H68-H75</f>
        <v>-1023.3</v>
      </c>
      <c r="J77" s="12">
        <f>+J68-J75</f>
        <v>0</v>
      </c>
      <c r="K77" s="43">
        <v>0</v>
      </c>
      <c r="L77" s="12">
        <f>+L68-L75</f>
        <v>0</v>
      </c>
      <c r="M77" s="29"/>
      <c r="N77" s="12">
        <f>+N68-N75</f>
        <v>0</v>
      </c>
      <c r="O77" s="43">
        <v>0</v>
      </c>
      <c r="P77" s="12">
        <f>+P68-P75</f>
        <v>0</v>
      </c>
      <c r="R77" s="12">
        <f>+R68-R75</f>
        <v>0</v>
      </c>
      <c r="S77" s="43">
        <v>0</v>
      </c>
      <c r="T77" s="12">
        <f>+T68-T75</f>
        <v>130.09999999999991</v>
      </c>
      <c r="U77" s="12">
        <f>+U68-U75</f>
        <v>-893.2</v>
      </c>
    </row>
    <row r="78" spans="1:21">
      <c r="B78" s="12"/>
      <c r="C78" s="44" t="s">
        <v>0</v>
      </c>
      <c r="D78" s="12"/>
      <c r="E78" s="29"/>
      <c r="G78" s="44" t="s">
        <v>0</v>
      </c>
      <c r="K78" s="44" t="s">
        <v>0</v>
      </c>
      <c r="M78" s="29"/>
      <c r="O78" s="44" t="s">
        <v>0</v>
      </c>
      <c r="R78" s="12"/>
      <c r="S78" s="43"/>
      <c r="U78" s="12"/>
    </row>
    <row r="79" spans="1:21">
      <c r="A79" t="s">
        <v>347</v>
      </c>
      <c r="B79" s="12">
        <v>0</v>
      </c>
      <c r="C79" s="43">
        <v>0</v>
      </c>
      <c r="D79" s="12">
        <v>45.4</v>
      </c>
      <c r="E79" s="29" t="s">
        <v>0</v>
      </c>
      <c r="F79" s="16">
        <f>+D116</f>
        <v>0</v>
      </c>
      <c r="G79" s="43">
        <v>0</v>
      </c>
      <c r="H79" s="16">
        <f>+F116</f>
        <v>0</v>
      </c>
      <c r="J79" s="27">
        <f>+F116</f>
        <v>0</v>
      </c>
      <c r="K79" s="43">
        <v>0</v>
      </c>
      <c r="L79" s="27">
        <f>+H116</f>
        <v>0</v>
      </c>
      <c r="M79" s="29" t="s">
        <v>0</v>
      </c>
      <c r="N79" s="27">
        <f>+H116</f>
        <v>0</v>
      </c>
      <c r="O79" s="43">
        <v>0</v>
      </c>
      <c r="P79" s="27">
        <f>+J116</f>
        <v>0</v>
      </c>
      <c r="R79" s="12">
        <f>+B79</f>
        <v>0</v>
      </c>
      <c r="S79" s="43">
        <v>0</v>
      </c>
      <c r="T79" s="12">
        <f>+D79</f>
        <v>45.4</v>
      </c>
      <c r="U79" s="12">
        <f>+D79+H79+L79+P79</f>
        <v>45.4</v>
      </c>
    </row>
    <row r="80" spans="1:21" ht="16.5" thickBot="1">
      <c r="A80" t="s">
        <v>0</v>
      </c>
      <c r="B80" s="77" t="s">
        <v>0</v>
      </c>
      <c r="C80" s="44" t="s">
        <v>0</v>
      </c>
      <c r="D80" s="77" t="s">
        <v>0</v>
      </c>
      <c r="E80" s="29" t="s">
        <v>0</v>
      </c>
      <c r="F80" s="77" t="s">
        <v>0</v>
      </c>
      <c r="G80" s="44" t="s">
        <v>0</v>
      </c>
      <c r="H80" s="77" t="s">
        <v>0</v>
      </c>
      <c r="J80" s="31" t="s">
        <v>0</v>
      </c>
      <c r="K80" s="44" t="s">
        <v>0</v>
      </c>
      <c r="L80" s="31" t="s">
        <v>0</v>
      </c>
      <c r="M80" s="29" t="s">
        <v>0</v>
      </c>
      <c r="N80" s="31" t="s">
        <v>0</v>
      </c>
      <c r="O80" s="44" t="s">
        <v>0</v>
      </c>
      <c r="P80" s="31" t="s">
        <v>0</v>
      </c>
      <c r="R80" s="77" t="s">
        <v>0</v>
      </c>
      <c r="S80" s="43"/>
      <c r="T80" s="30"/>
      <c r="U80" s="76"/>
    </row>
    <row r="81" spans="1:21" s="2" customFormat="1">
      <c r="A81" s="2" t="s">
        <v>554</v>
      </c>
      <c r="B81" s="4">
        <f>+B77-B79</f>
        <v>0</v>
      </c>
      <c r="C81" s="42">
        <v>0</v>
      </c>
      <c r="D81" s="4">
        <f>+D77-D79</f>
        <v>84.699999999999903</v>
      </c>
      <c r="E81" s="146" t="s">
        <v>0</v>
      </c>
      <c r="F81" s="4">
        <f>+F77-F79</f>
        <v>0</v>
      </c>
      <c r="G81" s="42">
        <v>0</v>
      </c>
      <c r="H81" s="4">
        <f>+H77-H79</f>
        <v>-1023.3</v>
      </c>
      <c r="I81" s="146"/>
      <c r="J81" s="4">
        <f>+J77-J79</f>
        <v>0</v>
      </c>
      <c r="K81" s="42">
        <v>0</v>
      </c>
      <c r="L81" s="4">
        <f>+L77-L79</f>
        <v>0</v>
      </c>
      <c r="M81" s="146" t="s">
        <v>0</v>
      </c>
      <c r="N81" s="4">
        <f>+N77-N79</f>
        <v>0</v>
      </c>
      <c r="O81" s="42">
        <v>0</v>
      </c>
      <c r="P81" s="4">
        <f>+P77-P79</f>
        <v>0</v>
      </c>
      <c r="Q81" s="146"/>
      <c r="R81" s="4">
        <f>+R77-R79</f>
        <v>0</v>
      </c>
      <c r="S81" s="42">
        <v>0</v>
      </c>
      <c r="T81" s="4">
        <f>+T77-T79</f>
        <v>84.699999999999903</v>
      </c>
      <c r="U81" s="4">
        <f>+U77-U79</f>
        <v>-938.6</v>
      </c>
    </row>
    <row r="82" spans="1:21">
      <c r="E82" s="29"/>
      <c r="M82" s="29"/>
    </row>
    <row r="83" spans="1:21">
      <c r="E83" s="29"/>
      <c r="F83" s="29" t="s">
        <v>0</v>
      </c>
      <c r="M83" s="29"/>
    </row>
    <row r="84" spans="1:21">
      <c r="B84" s="565" t="s">
        <v>261</v>
      </c>
      <c r="D84" s="565" t="s">
        <v>261</v>
      </c>
      <c r="E84" s="29" t="s">
        <v>0</v>
      </c>
      <c r="F84" s="565" t="s">
        <v>261</v>
      </c>
      <c r="H84" s="565" t="s">
        <v>261</v>
      </c>
      <c r="M84" s="29" t="s">
        <v>0</v>
      </c>
      <c r="N84" s="29" t="s">
        <v>0</v>
      </c>
    </row>
    <row r="85" spans="1:21">
      <c r="B85" s="26" t="s">
        <v>353</v>
      </c>
      <c r="D85" s="26" t="s">
        <v>533</v>
      </c>
      <c r="F85" s="26" t="s">
        <v>534</v>
      </c>
      <c r="H85" s="26" t="s">
        <v>535</v>
      </c>
      <c r="M85" s="29" t="s">
        <v>0</v>
      </c>
    </row>
    <row r="86" spans="1:21">
      <c r="A86" t="s">
        <v>536</v>
      </c>
      <c r="B86" s="29" t="s">
        <v>0</v>
      </c>
      <c r="D86" s="29" t="s">
        <v>0</v>
      </c>
      <c r="F86" s="29" t="s">
        <v>0</v>
      </c>
      <c r="H86" s="29" t="s">
        <v>0</v>
      </c>
      <c r="J86" s="29" t="s">
        <v>0</v>
      </c>
      <c r="M86" s="29" t="s">
        <v>0</v>
      </c>
    </row>
    <row r="87" spans="1:21">
      <c r="A87" t="s">
        <v>329</v>
      </c>
      <c r="B87" s="16" t="s">
        <v>0</v>
      </c>
    </row>
    <row r="88" spans="1:21">
      <c r="A88" t="s">
        <v>330</v>
      </c>
      <c r="B88" s="12">
        <v>0</v>
      </c>
      <c r="D88" s="12">
        <v>0</v>
      </c>
    </row>
    <row r="89" spans="1:21" ht="18">
      <c r="A89" t="s">
        <v>537</v>
      </c>
      <c r="B89" s="6">
        <v>0</v>
      </c>
      <c r="D89" s="12">
        <v>0</v>
      </c>
    </row>
    <row r="90" spans="1:21">
      <c r="B90" s="12">
        <f>SUM(B88:B89)</f>
        <v>0</v>
      </c>
      <c r="D90" s="12">
        <f>SUM(D88:D89)</f>
        <v>0</v>
      </c>
    </row>
    <row r="91" spans="1:21">
      <c r="A91" t="s">
        <v>333</v>
      </c>
      <c r="B91" s="12">
        <f>+(19980+19336)/1000</f>
        <v>39.316000000000003</v>
      </c>
      <c r="D91" s="12">
        <v>0</v>
      </c>
    </row>
    <row r="92" spans="1:21">
      <c r="B92" s="12">
        <f>+B90-B91</f>
        <v>-39.316000000000003</v>
      </c>
      <c r="D92" s="12">
        <f>+D90-D91</f>
        <v>0</v>
      </c>
      <c r="F92" s="27">
        <f>+F87+F91</f>
        <v>0</v>
      </c>
      <c r="H92" s="27">
        <f>+H87+H91</f>
        <v>0</v>
      </c>
    </row>
    <row r="93" spans="1:21">
      <c r="B93" s="12"/>
    </row>
    <row r="94" spans="1:21">
      <c r="A94" t="s">
        <v>334</v>
      </c>
      <c r="B94" s="12"/>
    </row>
    <row r="95" spans="1:21">
      <c r="A95" t="s">
        <v>335</v>
      </c>
      <c r="B95" s="16">
        <v>0</v>
      </c>
      <c r="D95" s="12">
        <v>0</v>
      </c>
    </row>
    <row r="96" spans="1:21">
      <c r="A96" t="s">
        <v>336</v>
      </c>
      <c r="B96" s="12">
        <f>+(-5918+18129)/1000</f>
        <v>12.211</v>
      </c>
      <c r="D96" s="12">
        <v>0</v>
      </c>
    </row>
    <row r="97" spans="1:8">
      <c r="A97" t="s">
        <v>284</v>
      </c>
      <c r="B97" s="12">
        <v>0</v>
      </c>
      <c r="D97" s="12">
        <v>0</v>
      </c>
    </row>
    <row r="98" spans="1:8">
      <c r="B98" s="12">
        <f>SUM(B95:B97)</f>
        <v>12.211</v>
      </c>
      <c r="D98" s="12">
        <f>SUM(D95:D97)</f>
        <v>0</v>
      </c>
      <c r="F98" s="27">
        <f>SUM(F95:F97)</f>
        <v>0</v>
      </c>
      <c r="H98" s="27">
        <f>SUM(H95:H97)</f>
        <v>0</v>
      </c>
    </row>
    <row r="99" spans="1:8">
      <c r="B99" s="12"/>
      <c r="D99" s="12"/>
    </row>
    <row r="100" spans="1:8">
      <c r="A100" t="s">
        <v>337</v>
      </c>
      <c r="B100" s="12">
        <f>+B92+B98</f>
        <v>-27.105000000000004</v>
      </c>
      <c r="D100" s="12">
        <f>+D92+D98</f>
        <v>0</v>
      </c>
      <c r="F100" s="27">
        <f>+F92+F98</f>
        <v>0</v>
      </c>
      <c r="H100" s="27">
        <f>+H92+H98</f>
        <v>0</v>
      </c>
    </row>
    <row r="101" spans="1:8">
      <c r="B101" s="12"/>
      <c r="D101" s="12"/>
    </row>
    <row r="102" spans="1:8">
      <c r="A102" t="s">
        <v>538</v>
      </c>
      <c r="B102" s="12">
        <v>0</v>
      </c>
      <c r="D102" s="12">
        <v>0</v>
      </c>
    </row>
    <row r="103" spans="1:8">
      <c r="B103" s="12"/>
      <c r="D103" s="12"/>
    </row>
    <row r="104" spans="1:8">
      <c r="A104" t="s">
        <v>339</v>
      </c>
      <c r="B104" s="12"/>
      <c r="D104" s="12"/>
    </row>
    <row r="105" spans="1:8">
      <c r="A105" t="s">
        <v>340</v>
      </c>
      <c r="B105" s="12">
        <f>+B100-B102</f>
        <v>-27.105000000000004</v>
      </c>
      <c r="D105" s="12">
        <f>+D100-D102</f>
        <v>0</v>
      </c>
      <c r="F105" s="27">
        <f>+F100-F102</f>
        <v>0</v>
      </c>
      <c r="H105" s="27">
        <f>+H100-H102</f>
        <v>0</v>
      </c>
    </row>
    <row r="106" spans="1:8">
      <c r="B106" s="12"/>
      <c r="D106" s="12"/>
    </row>
    <row r="107" spans="1:8">
      <c r="A107" t="s">
        <v>341</v>
      </c>
      <c r="B107" s="12"/>
      <c r="D107" s="12"/>
    </row>
    <row r="108" spans="1:8">
      <c r="A108" t="s">
        <v>342</v>
      </c>
      <c r="B108" s="12">
        <f>+(121283+85597)/1000</f>
        <v>206.88</v>
      </c>
      <c r="D108" s="12">
        <v>0</v>
      </c>
    </row>
    <row r="109" spans="1:8">
      <c r="A109" t="s">
        <v>343</v>
      </c>
      <c r="B109" s="12">
        <v>0</v>
      </c>
      <c r="D109" s="12">
        <v>0</v>
      </c>
    </row>
    <row r="110" spans="1:8">
      <c r="A110" t="s">
        <v>344</v>
      </c>
      <c r="B110" s="12">
        <f>+(33281+34728)/1000</f>
        <v>68.009</v>
      </c>
      <c r="D110" s="12">
        <v>0</v>
      </c>
    </row>
    <row r="111" spans="1:8">
      <c r="A111" t="s">
        <v>345</v>
      </c>
      <c r="B111" s="12">
        <f>+(6+4285)/1000</f>
        <v>4.2910000000000004</v>
      </c>
      <c r="D111" s="16">
        <v>0</v>
      </c>
    </row>
    <row r="112" spans="1:8">
      <c r="B112" s="12">
        <f>SUM(B108:B111)</f>
        <v>279.18</v>
      </c>
      <c r="D112" s="12">
        <f>SUM(D108:D111)</f>
        <v>0</v>
      </c>
      <c r="F112" s="12">
        <f>SUM(F108:F111)</f>
        <v>0</v>
      </c>
      <c r="H112" s="12">
        <f>SUM(H108:H111)</f>
        <v>0</v>
      </c>
    </row>
    <row r="113" spans="1:8">
      <c r="B113" s="12"/>
      <c r="D113" s="12"/>
    </row>
    <row r="114" spans="1:8">
      <c r="A114" t="s">
        <v>346</v>
      </c>
      <c r="B114" s="12">
        <f>+B105-B112</f>
        <v>-306.28500000000003</v>
      </c>
      <c r="D114" s="12">
        <f>+D105-D112</f>
        <v>0</v>
      </c>
      <c r="F114" s="12">
        <f>+F105-F112</f>
        <v>0</v>
      </c>
      <c r="H114" s="12">
        <f>+H105-H112</f>
        <v>0</v>
      </c>
    </row>
    <row r="115" spans="1:8">
      <c r="B115" s="12"/>
      <c r="D115" s="12"/>
    </row>
    <row r="116" spans="1:8">
      <c r="A116" t="s">
        <v>347</v>
      </c>
      <c r="B116" s="12">
        <v>0</v>
      </c>
      <c r="D116" s="12">
        <v>0</v>
      </c>
    </row>
    <row r="117" spans="1:8">
      <c r="A117" t="s">
        <v>555</v>
      </c>
      <c r="B117" s="12"/>
      <c r="D117" s="16" t="s">
        <v>0</v>
      </c>
    </row>
    <row r="118" spans="1:8">
      <c r="A118" t="s">
        <v>539</v>
      </c>
      <c r="B118" s="12">
        <f>+B114-B116</f>
        <v>-306.28500000000003</v>
      </c>
      <c r="D118" s="12">
        <f>+D114-D116</f>
        <v>0</v>
      </c>
      <c r="F118" s="27">
        <f>+F114-F116</f>
        <v>0</v>
      </c>
      <c r="H118" s="27">
        <f>+H114-H116</f>
        <v>0</v>
      </c>
    </row>
    <row r="121" spans="1:8">
      <c r="B121" s="29" t="s">
        <v>0</v>
      </c>
    </row>
  </sheetData>
  <pageMargins left="0.2" right="0.2" top="0.41" bottom="0.38" header="0.31" footer="0.2"/>
  <pageSetup scale="44" orientation="landscape" r:id="rId1"/>
  <headerFooter alignWithMargins="0">
    <oddFooter>&amp;L* L'actif net de cette banque a été acheté par la Sogebank au cours du Trim 1 99. Au cours du Trim 3 99, l'actif de la Sogebank inclut celui de cette banque.&amp;R&amp;16&amp;P</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58"/>
  <sheetViews>
    <sheetView topLeftCell="G1" workbookViewId="0"/>
  </sheetViews>
  <sheetFormatPr defaultRowHeight="15.75"/>
  <cols>
    <col min="1" max="1" width="50" customWidth="1"/>
    <col min="2" max="2" width="15.75" customWidth="1"/>
    <col min="3" max="3" width="11" customWidth="1"/>
    <col min="4" max="4" width="15.75" customWidth="1"/>
    <col min="5" max="5" width="8.875" customWidth="1"/>
    <col min="6" max="6" width="16" customWidth="1"/>
    <col min="7" max="7" width="11"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573</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583</v>
      </c>
      <c r="C8" s="34"/>
      <c r="D8" s="34"/>
      <c r="E8" s="2"/>
      <c r="F8" s="114" t="s">
        <v>206</v>
      </c>
      <c r="G8" s="114"/>
      <c r="H8" s="114"/>
      <c r="I8" s="114"/>
      <c r="J8" s="114"/>
      <c r="K8" s="114"/>
      <c r="L8" s="114"/>
    </row>
    <row r="9" spans="1:14" ht="16.5" thickBot="1">
      <c r="B9" s="247" t="s">
        <v>174</v>
      </c>
      <c r="C9" s="226" t="s">
        <v>169</v>
      </c>
      <c r="D9" s="247" t="s">
        <v>175</v>
      </c>
      <c r="E9" s="2"/>
      <c r="F9" s="226">
        <v>1998</v>
      </c>
      <c r="G9" s="226" t="s">
        <v>169</v>
      </c>
      <c r="H9" s="226">
        <v>1997</v>
      </c>
      <c r="I9" s="226" t="s">
        <v>169</v>
      </c>
      <c r="J9" s="226">
        <v>1996</v>
      </c>
      <c r="K9" s="226" t="s">
        <v>169</v>
      </c>
      <c r="L9" s="226">
        <v>1995</v>
      </c>
    </row>
    <row r="10" spans="1:14">
      <c r="A10" t="s">
        <v>328</v>
      </c>
    </row>
    <row r="11" spans="1:14">
      <c r="A11" t="s">
        <v>329</v>
      </c>
      <c r="B11" s="16" t="s">
        <v>0</v>
      </c>
      <c r="C11" s="47" t="s">
        <v>0</v>
      </c>
      <c r="D11" s="16" t="s">
        <v>0</v>
      </c>
      <c r="E11" s="44" t="s">
        <v>0</v>
      </c>
      <c r="F11" s="16" t="s">
        <v>0</v>
      </c>
      <c r="G11" s="44" t="s">
        <v>0</v>
      </c>
      <c r="H11" s="43"/>
      <c r="I11" s="44" t="s">
        <v>0</v>
      </c>
      <c r="J11" s="43"/>
      <c r="K11" s="44" t="s">
        <v>0</v>
      </c>
      <c r="L11" s="43"/>
      <c r="M11" s="43"/>
      <c r="N11" s="43"/>
    </row>
    <row r="12" spans="1:14">
      <c r="A12" t="s">
        <v>330</v>
      </c>
      <c r="B12" s="12">
        <f>+BMHRÉSULT!R50</f>
        <v>0</v>
      </c>
      <c r="C12" s="46">
        <f t="shared" ref="C12:C17" si="0">+(B12-D12)/ABS(D12)</f>
        <v>-1</v>
      </c>
      <c r="D12" s="12">
        <f>+BMHRÉSULT!T50</f>
        <v>517.79999999999995</v>
      </c>
      <c r="E12" s="44"/>
      <c r="F12" s="12">
        <f>+BMHRÉSULT!U50</f>
        <v>875.4</v>
      </c>
      <c r="G12" s="46">
        <f>+(F12-H12)/ABS(H12)</f>
        <v>-0.56917171120626009</v>
      </c>
      <c r="H12" s="12">
        <v>2031.9</v>
      </c>
      <c r="I12" s="46">
        <f>+(H12-J12)/ABS(J12)</f>
        <v>14.558192955589588</v>
      </c>
      <c r="J12" s="12">
        <v>130.6</v>
      </c>
      <c r="K12" s="43">
        <v>0</v>
      </c>
      <c r="L12" s="43">
        <v>0</v>
      </c>
      <c r="M12" s="43"/>
      <c r="N12" s="43"/>
    </row>
    <row r="13" spans="1:14">
      <c r="A13" t="s">
        <v>354</v>
      </c>
      <c r="B13" s="12">
        <f>+BMHRÉSULT!R51</f>
        <v>0</v>
      </c>
      <c r="C13" s="46">
        <f t="shared" si="0"/>
        <v>-1</v>
      </c>
      <c r="D13" s="12">
        <f>+BMHRÉSULT!T51</f>
        <v>499.4</v>
      </c>
      <c r="E13" s="44"/>
      <c r="F13" s="12">
        <f>+BMHRÉSULT!U51</f>
        <v>1051.5999999999999</v>
      </c>
      <c r="G13" s="43">
        <v>0</v>
      </c>
      <c r="H13" s="12">
        <v>0</v>
      </c>
      <c r="I13" s="46"/>
      <c r="J13" s="16" t="s">
        <v>0</v>
      </c>
      <c r="K13" s="43"/>
      <c r="L13" s="43">
        <v>0</v>
      </c>
      <c r="M13" s="43"/>
      <c r="N13" s="43"/>
    </row>
    <row r="14" spans="1:14">
      <c r="A14" t="s">
        <v>332</v>
      </c>
      <c r="B14" s="240">
        <f>+BMHRÉSULT!R52</f>
        <v>0</v>
      </c>
      <c r="C14" s="46">
        <f t="shared" si="0"/>
        <v>-1</v>
      </c>
      <c r="D14" s="240">
        <f>+BMHRÉSULT!T52</f>
        <v>97.1</v>
      </c>
      <c r="E14" s="44"/>
      <c r="F14" s="240">
        <f>+BMHRÉSULT!U52</f>
        <v>149</v>
      </c>
      <c r="G14" s="46">
        <f>+(F14-H14)/ABS(H14)</f>
        <v>-5.9343434343434379E-2</v>
      </c>
      <c r="H14" s="240">
        <v>158.4</v>
      </c>
      <c r="I14" s="389">
        <v>0</v>
      </c>
      <c r="J14" s="389">
        <v>0</v>
      </c>
      <c r="K14" s="43">
        <v>0</v>
      </c>
      <c r="L14" s="389">
        <v>0</v>
      </c>
      <c r="M14" s="43"/>
      <c r="N14" s="43"/>
    </row>
    <row r="15" spans="1:14">
      <c r="B15" s="12">
        <f>SUM(B12:B14)</f>
        <v>0</v>
      </c>
      <c r="C15" s="46">
        <f t="shared" si="0"/>
        <v>-1</v>
      </c>
      <c r="D15" s="12">
        <f>SUM(D12:D14)</f>
        <v>1114.3</v>
      </c>
      <c r="E15" s="44"/>
      <c r="F15" s="12">
        <f>SUM(F12:F14)</f>
        <v>2076</v>
      </c>
      <c r="G15" s="46">
        <f>+(F15-H15)/ABS(H15)</f>
        <v>-5.2184632242158691E-2</v>
      </c>
      <c r="H15" s="12">
        <f>SUM(H12:H14)</f>
        <v>2190.3000000000002</v>
      </c>
      <c r="I15" s="46">
        <f>+(H15-J15)/ABS(J15)</f>
        <v>15.771056661562024</v>
      </c>
      <c r="J15" s="12">
        <f>SUM(J12:J14)</f>
        <v>130.6</v>
      </c>
      <c r="K15" s="43">
        <v>0</v>
      </c>
      <c r="L15" s="43">
        <v>0</v>
      </c>
      <c r="M15" s="43"/>
      <c r="N15" s="43"/>
    </row>
    <row r="16" spans="1:14">
      <c r="A16" t="s">
        <v>333</v>
      </c>
      <c r="B16" s="240">
        <f>+BMHRÉSULT!R54</f>
        <v>0</v>
      </c>
      <c r="C16" s="46">
        <f t="shared" si="0"/>
        <v>-1</v>
      </c>
      <c r="D16" s="240">
        <f>+BMHRÉSULT!T54</f>
        <v>203.7</v>
      </c>
      <c r="E16" s="44" t="s">
        <v>0</v>
      </c>
      <c r="F16" s="240">
        <f>+BMHRÉSULT!U54</f>
        <v>416.9</v>
      </c>
      <c r="G16" s="46">
        <f>+(F16-H16)/ABS(H16)</f>
        <v>-0.72792534099066775</v>
      </c>
      <c r="H16" s="240">
        <v>1532.3</v>
      </c>
      <c r="I16" s="46">
        <f>+(H16-J16)/ABS(J16)</f>
        <v>1.0955962800875272</v>
      </c>
      <c r="J16" s="240">
        <v>731.2</v>
      </c>
      <c r="K16" s="43">
        <v>0</v>
      </c>
      <c r="L16" s="389">
        <v>0</v>
      </c>
      <c r="M16" s="43"/>
      <c r="N16" s="43"/>
    </row>
    <row r="17" spans="1:14" s="209" customFormat="1">
      <c r="B17" s="16">
        <f>+B15-B16</f>
        <v>0</v>
      </c>
      <c r="C17" s="46">
        <f t="shared" si="0"/>
        <v>-1</v>
      </c>
      <c r="D17" s="16">
        <f>+D15-D16</f>
        <v>910.59999999999991</v>
      </c>
      <c r="E17" s="44" t="s">
        <v>0</v>
      </c>
      <c r="F17" s="16">
        <f>+F15-F16</f>
        <v>1659.1</v>
      </c>
      <c r="G17" s="46">
        <f>+(F17-H17)/ABS(H17)</f>
        <v>1.5214285714285705</v>
      </c>
      <c r="H17" s="16">
        <f>+H15-H16</f>
        <v>658.00000000000023</v>
      </c>
      <c r="I17" s="46">
        <f>+(H17-J17)/ABS(J17)</f>
        <v>2.095571095571096</v>
      </c>
      <c r="J17" s="16">
        <f>+J15-J16</f>
        <v>-600.6</v>
      </c>
      <c r="K17" s="44">
        <v>0</v>
      </c>
      <c r="L17" s="44">
        <f>+L11-L16</f>
        <v>0</v>
      </c>
      <c r="M17" s="44"/>
      <c r="N17" s="44"/>
    </row>
    <row r="18" spans="1:14">
      <c r="B18" s="12"/>
      <c r="C18" s="43"/>
      <c r="D18" s="12"/>
      <c r="E18" s="44"/>
      <c r="F18" s="12"/>
      <c r="G18" s="43"/>
      <c r="H18" s="43"/>
      <c r="I18" s="43"/>
      <c r="J18" s="43"/>
      <c r="K18" s="43"/>
      <c r="L18" s="43"/>
      <c r="M18" s="43"/>
      <c r="N18" s="43"/>
    </row>
    <row r="19" spans="1:14">
      <c r="A19" t="s">
        <v>334</v>
      </c>
      <c r="B19" s="12"/>
      <c r="C19" s="43"/>
      <c r="D19" s="12"/>
      <c r="E19" s="44" t="s">
        <v>0</v>
      </c>
      <c r="F19" s="12"/>
      <c r="G19" s="43"/>
      <c r="H19" s="43"/>
      <c r="I19" s="43"/>
      <c r="J19" s="43"/>
      <c r="K19" s="43"/>
      <c r="L19" s="43"/>
      <c r="M19" s="43"/>
      <c r="N19" s="43"/>
    </row>
    <row r="20" spans="1:14">
      <c r="A20" t="s">
        <v>335</v>
      </c>
      <c r="B20" s="12">
        <f>+BMHRÉSULT!R58</f>
        <v>0</v>
      </c>
      <c r="C20" s="46">
        <f>+(B20-D20)/ABS(D20)</f>
        <v>-1</v>
      </c>
      <c r="D20" s="12">
        <f>+BMHRÉSULT!T58</f>
        <v>27.1</v>
      </c>
      <c r="E20" s="44" t="s">
        <v>0</v>
      </c>
      <c r="F20" s="12">
        <f>+BMHRÉSULT!U58</f>
        <v>74.599999999999994</v>
      </c>
      <c r="G20" s="46">
        <f>+(F20-H20)/ABS(H20)</f>
        <v>-0.8856529736358062</v>
      </c>
      <c r="H20" s="12">
        <v>652.4</v>
      </c>
      <c r="I20" s="46">
        <f>+(H20-J20)/ABS(J20)</f>
        <v>1.7319932998324956</v>
      </c>
      <c r="J20" s="12">
        <v>238.8</v>
      </c>
      <c r="K20" s="43">
        <v>0</v>
      </c>
      <c r="L20" s="43">
        <v>0</v>
      </c>
      <c r="M20" s="43"/>
      <c r="N20" s="43"/>
    </row>
    <row r="21" spans="1:14">
      <c r="A21" t="s">
        <v>336</v>
      </c>
      <c r="B21" s="12">
        <f>+BMHRÉSULT!R59</f>
        <v>0</v>
      </c>
      <c r="C21" s="46">
        <f>+(B21-D21)/ABS(D21)</f>
        <v>-1</v>
      </c>
      <c r="D21" s="12">
        <f>+BMHRÉSULT!T59</f>
        <v>289.89999999999998</v>
      </c>
      <c r="E21" s="44" t="s">
        <v>0</v>
      </c>
      <c r="F21" s="12">
        <f>+BMHRÉSULT!U59</f>
        <v>530.5</v>
      </c>
      <c r="G21" s="46">
        <f>+(F21-H21)/ABS(H21)</f>
        <v>2.2726711906230723</v>
      </c>
      <c r="H21" s="12">
        <v>162.1</v>
      </c>
      <c r="I21" s="46">
        <f>+(H21-J21)/ABS(J21)</f>
        <v>1.7348141432456936</v>
      </c>
      <c r="J21" s="12">
        <v>-220.6</v>
      </c>
      <c r="K21" s="43">
        <v>0</v>
      </c>
      <c r="L21" s="43">
        <v>0</v>
      </c>
      <c r="M21" s="43"/>
      <c r="N21" s="43"/>
    </row>
    <row r="22" spans="1:14">
      <c r="A22" t="s">
        <v>284</v>
      </c>
      <c r="B22" s="240">
        <f>+BMHRÉSULT!R60</f>
        <v>0</v>
      </c>
      <c r="C22" s="46">
        <f>+(B22-D22)/ABS(D22)</f>
        <v>-1</v>
      </c>
      <c r="D22" s="240">
        <f>+BMHRÉSULT!T60</f>
        <v>17</v>
      </c>
      <c r="E22" s="44" t="s">
        <v>0</v>
      </c>
      <c r="F22" s="240">
        <f>+BMHRÉSULT!U60</f>
        <v>26.2</v>
      </c>
      <c r="G22" s="46">
        <f>+(F22-H22)/ABS(H22)</f>
        <v>1.0162279343449985</v>
      </c>
      <c r="H22" s="240">
        <v>-1614.5</v>
      </c>
      <c r="I22" s="46">
        <f>+(H22-J22)/ABS(J22)</f>
        <v>-54.996655518394654</v>
      </c>
      <c r="J22" s="240">
        <v>29.9</v>
      </c>
      <c r="K22" s="43">
        <v>0</v>
      </c>
      <c r="L22" s="389">
        <v>0</v>
      </c>
      <c r="M22" s="43"/>
      <c r="N22" s="43"/>
    </row>
    <row r="23" spans="1:14" s="209" customFormat="1">
      <c r="B23" s="16">
        <f>SUM(B20:B22)</f>
        <v>0</v>
      </c>
      <c r="C23" s="46">
        <f>+(B23-D23)/ABS(D23)</f>
        <v>-1</v>
      </c>
      <c r="D23" s="16">
        <f>SUM(D20:D22)</f>
        <v>334</v>
      </c>
      <c r="E23" s="44" t="s">
        <v>0</v>
      </c>
      <c r="F23" s="16">
        <f>SUM(F20:F22)</f>
        <v>631.30000000000007</v>
      </c>
      <c r="G23" s="46">
        <f>+(F23-H23)/ABS(H23)</f>
        <v>1.7891250000000003</v>
      </c>
      <c r="H23" s="16">
        <f>SUM(H20:H22)</f>
        <v>-800</v>
      </c>
      <c r="I23" s="46">
        <f>+(H23-J23)/ABS(J23)</f>
        <v>-17.632016632016626</v>
      </c>
      <c r="J23" s="16">
        <f>SUM(J20:J22)</f>
        <v>48.100000000000016</v>
      </c>
      <c r="K23" s="44">
        <v>0</v>
      </c>
      <c r="L23" s="44">
        <v>0</v>
      </c>
      <c r="M23" s="44"/>
      <c r="N23" s="44"/>
    </row>
    <row r="24" spans="1:14">
      <c r="B24" s="240"/>
      <c r="C24" s="43"/>
      <c r="D24" s="240"/>
      <c r="E24" s="44"/>
      <c r="F24" s="240"/>
      <c r="G24" s="43"/>
      <c r="H24" s="389"/>
      <c r="I24" s="43"/>
      <c r="J24" s="389"/>
      <c r="K24" s="43"/>
      <c r="L24" s="389"/>
      <c r="M24" s="43"/>
      <c r="N24" s="43"/>
    </row>
    <row r="25" spans="1:14" s="209" customFormat="1">
      <c r="A25" s="209" t="s">
        <v>337</v>
      </c>
      <c r="B25" s="16">
        <f>+B17+B23</f>
        <v>0</v>
      </c>
      <c r="C25" s="46">
        <f>+(B25-D25)/ABS(D25)</f>
        <v>-1</v>
      </c>
      <c r="D25" s="16">
        <f>+D17+D23</f>
        <v>1244.5999999999999</v>
      </c>
      <c r="E25" s="44" t="s">
        <v>0</v>
      </c>
      <c r="F25" s="16">
        <f>+F17+F23</f>
        <v>2290.4</v>
      </c>
      <c r="G25" s="46">
        <f>+(F25-H25)/ABS(H25)</f>
        <v>17.129577464788756</v>
      </c>
      <c r="H25" s="16">
        <f>+H17+H23</f>
        <v>-141.99999999999977</v>
      </c>
      <c r="I25" s="46">
        <f>+(H25-J25)/ABS(J25)</f>
        <v>0.74298642533936687</v>
      </c>
      <c r="J25" s="16">
        <f>+J17+J23</f>
        <v>-552.5</v>
      </c>
      <c r="K25" s="44">
        <v>0</v>
      </c>
      <c r="L25" s="44">
        <f>+L17+L23</f>
        <v>0</v>
      </c>
      <c r="M25" s="44"/>
      <c r="N25" s="44"/>
    </row>
    <row r="26" spans="1:14">
      <c r="B26" s="12"/>
      <c r="C26" s="43"/>
      <c r="D26" s="12"/>
      <c r="E26" s="44" t="s">
        <v>0</v>
      </c>
      <c r="F26" s="12"/>
      <c r="G26" s="43"/>
      <c r="H26" s="43"/>
      <c r="I26" s="43"/>
      <c r="J26" s="43"/>
      <c r="K26" s="43"/>
      <c r="L26" s="43"/>
      <c r="M26" s="43"/>
      <c r="N26" s="43"/>
    </row>
    <row r="27" spans="1:14">
      <c r="A27" t="s">
        <v>338</v>
      </c>
      <c r="B27" s="12">
        <f>+BMHRÉSULT!R65</f>
        <v>0</v>
      </c>
      <c r="C27" s="43">
        <v>0</v>
      </c>
      <c r="D27" s="12">
        <f>+BMHRÉSULT!T65</f>
        <v>0</v>
      </c>
      <c r="E27" s="44" t="s">
        <v>0</v>
      </c>
      <c r="F27" s="12">
        <f>+BMHRÉSULT!U65</f>
        <v>302.3</v>
      </c>
      <c r="G27" s="43">
        <v>0</v>
      </c>
      <c r="H27" s="43">
        <v>0</v>
      </c>
      <c r="I27" s="43">
        <v>0</v>
      </c>
      <c r="J27" s="43">
        <v>0</v>
      </c>
      <c r="K27" s="43">
        <v>0</v>
      </c>
      <c r="L27" s="43">
        <v>0</v>
      </c>
      <c r="M27" s="43"/>
      <c r="N27" s="43"/>
    </row>
    <row r="28" spans="1:14">
      <c r="B28" s="12"/>
      <c r="C28" s="43"/>
      <c r="D28" s="12"/>
      <c r="E28" s="44" t="s">
        <v>0</v>
      </c>
      <c r="F28" s="12"/>
      <c r="G28" s="43"/>
      <c r="H28" s="43"/>
      <c r="I28" s="43"/>
      <c r="J28" s="43"/>
      <c r="K28" s="43"/>
      <c r="L28" s="43"/>
      <c r="M28" s="43"/>
      <c r="N28" s="43"/>
    </row>
    <row r="29" spans="1:14">
      <c r="A29" t="s">
        <v>339</v>
      </c>
      <c r="B29" s="240"/>
      <c r="C29" s="43"/>
      <c r="D29" s="240"/>
      <c r="E29" s="44" t="s">
        <v>0</v>
      </c>
      <c r="F29" s="240"/>
      <c r="G29" s="43"/>
      <c r="H29" s="389"/>
      <c r="I29" s="43"/>
      <c r="J29" s="389"/>
      <c r="K29" s="43"/>
      <c r="L29" s="389"/>
      <c r="M29" s="43"/>
      <c r="N29" s="43"/>
    </row>
    <row r="30" spans="1:14" s="209" customFormat="1">
      <c r="A30" s="209" t="s">
        <v>340</v>
      </c>
      <c r="B30" s="16">
        <f>+B25-B27</f>
        <v>0</v>
      </c>
      <c r="C30" s="46">
        <f>+(B30-D30)/ABS(D30)</f>
        <v>-1</v>
      </c>
      <c r="D30" s="16">
        <f>+D25-D27</f>
        <v>1244.5999999999999</v>
      </c>
      <c r="E30" s="44" t="s">
        <v>0</v>
      </c>
      <c r="F30" s="16">
        <f>+F25-F27</f>
        <v>1988.1000000000001</v>
      </c>
      <c r="G30" s="46">
        <f>+(F30-H30)/ABS(H30)</f>
        <v>15.000704225352136</v>
      </c>
      <c r="H30" s="16">
        <f>+H25-H27</f>
        <v>-141.99999999999977</v>
      </c>
      <c r="I30" s="46">
        <f>+(H30-J30)/ABS(J30)</f>
        <v>0.74298642533936687</v>
      </c>
      <c r="J30" s="16">
        <f>+J25-J27</f>
        <v>-552.5</v>
      </c>
      <c r="K30" s="44">
        <v>0</v>
      </c>
      <c r="L30" s="44">
        <f>+L25-L27</f>
        <v>0</v>
      </c>
      <c r="M30" s="44"/>
      <c r="N30" s="44"/>
    </row>
    <row r="31" spans="1:14">
      <c r="B31" s="12"/>
      <c r="C31" s="43"/>
      <c r="D31" s="12"/>
      <c r="E31" s="44" t="s">
        <v>0</v>
      </c>
      <c r="F31" s="12"/>
      <c r="G31" s="43"/>
      <c r="H31" s="43"/>
      <c r="I31" s="43"/>
      <c r="J31" s="43"/>
      <c r="K31" s="43"/>
      <c r="L31" s="43"/>
      <c r="M31" s="43"/>
      <c r="N31" s="43"/>
    </row>
    <row r="32" spans="1:14">
      <c r="A32" t="s">
        <v>341</v>
      </c>
      <c r="B32" s="12"/>
      <c r="C32" s="43"/>
      <c r="D32" s="12"/>
      <c r="E32" s="44" t="s">
        <v>0</v>
      </c>
      <c r="F32" s="12"/>
      <c r="G32" s="43"/>
      <c r="H32" s="43"/>
      <c r="I32" s="43"/>
      <c r="J32" s="43"/>
      <c r="K32" s="43"/>
      <c r="L32" s="43"/>
      <c r="M32" s="43"/>
      <c r="N32" s="43"/>
    </row>
    <row r="33" spans="1:14">
      <c r="A33" t="s">
        <v>342</v>
      </c>
      <c r="B33" s="12">
        <f>+BMHRÉSULT!R71</f>
        <v>0</v>
      </c>
      <c r="C33" s="46">
        <f>+(B33-D33)/ABS(D33)</f>
        <v>-1</v>
      </c>
      <c r="D33" s="12">
        <f>+BMHRÉSULT!T71</f>
        <v>454.70000000000005</v>
      </c>
      <c r="E33" s="44" t="s">
        <v>0</v>
      </c>
      <c r="F33" s="12">
        <f>+BMHRÉSULT!U71</f>
        <v>962.2</v>
      </c>
      <c r="G33" s="46">
        <f>+(F33-H33)/ABS(H33)</f>
        <v>-0.91564680716765434</v>
      </c>
      <c r="H33" s="12">
        <v>11406.8</v>
      </c>
      <c r="I33" s="46">
        <f>+(H33-J33)/ABS(J33)</f>
        <v>1.2912122125138092</v>
      </c>
      <c r="J33" s="12">
        <v>4978.5</v>
      </c>
      <c r="K33" s="43">
        <v>0</v>
      </c>
      <c r="L33" s="43">
        <v>0</v>
      </c>
      <c r="M33" s="43"/>
      <c r="N33" s="43"/>
    </row>
    <row r="34" spans="1:14">
      <c r="A34" t="s">
        <v>343</v>
      </c>
      <c r="B34" s="12">
        <f>+BMHRÉSULT!R72</f>
        <v>0</v>
      </c>
      <c r="C34" s="46">
        <f>+(B34-D34)/ABS(D34)</f>
        <v>-1</v>
      </c>
      <c r="D34" s="12">
        <f>+BMHRÉSULT!T72</f>
        <v>23.4</v>
      </c>
      <c r="E34" s="44" t="s">
        <v>0</v>
      </c>
      <c r="F34" s="12">
        <f>+BMHRÉSULT!U72</f>
        <v>56.4</v>
      </c>
      <c r="G34" s="46">
        <f>+(F34-H34)/ABS(H34)</f>
        <v>-0.97395520664973445</v>
      </c>
      <c r="H34" s="12">
        <v>2165.5</v>
      </c>
      <c r="I34" s="46">
        <f>+(H34-J34)/ABS(J34)</f>
        <v>8.5945945945945947</v>
      </c>
      <c r="J34" s="12">
        <v>225.7</v>
      </c>
      <c r="K34" s="43">
        <v>0</v>
      </c>
      <c r="L34" s="43">
        <v>0</v>
      </c>
      <c r="M34" s="43"/>
      <c r="N34" s="43"/>
    </row>
    <row r="35" spans="1:14">
      <c r="A35" t="s">
        <v>344</v>
      </c>
      <c r="B35" s="12">
        <f>+BMHRÉSULT!R73</f>
        <v>0</v>
      </c>
      <c r="C35" s="46">
        <f>+(B35-D35)/ABS(D35)</f>
        <v>-1</v>
      </c>
      <c r="D35" s="12">
        <f>+BMHRÉSULT!T73</f>
        <v>369.5</v>
      </c>
      <c r="E35" s="44" t="s">
        <v>0</v>
      </c>
      <c r="F35" s="12">
        <f>+BMHRÉSULT!U73</f>
        <v>740.9</v>
      </c>
      <c r="G35" s="46">
        <f>+(F35-H35)/ABS(H35)</f>
        <v>5.7293369663941869</v>
      </c>
      <c r="H35" s="12">
        <v>110.1</v>
      </c>
      <c r="I35" s="46">
        <f>+(H35-J35)/ABS(J35)</f>
        <v>0.48985115020297681</v>
      </c>
      <c r="J35" s="12">
        <v>73.900000000000006</v>
      </c>
      <c r="K35" s="43">
        <v>0</v>
      </c>
      <c r="L35" s="43">
        <v>0</v>
      </c>
      <c r="M35" s="43"/>
      <c r="N35" s="43"/>
    </row>
    <row r="36" spans="1:14">
      <c r="A36" t="s">
        <v>345</v>
      </c>
      <c r="B36" s="240">
        <f>+BMHRÉSULT!R74</f>
        <v>0</v>
      </c>
      <c r="C36" s="113">
        <f>+(B36-D36)/ABS(D36)</f>
        <v>-1</v>
      </c>
      <c r="D36" s="240">
        <f>+BMHRÉSULT!T74</f>
        <v>266.89999999999998</v>
      </c>
      <c r="E36" s="44" t="s">
        <v>0</v>
      </c>
      <c r="F36" s="240">
        <f>+BMHRÉSULT!U74</f>
        <v>1121.8</v>
      </c>
      <c r="G36" s="46">
        <f>+(F36-H36)/ABS(H36)</f>
        <v>-0.85992208181409513</v>
      </c>
      <c r="H36" s="240">
        <v>8008.4</v>
      </c>
      <c r="I36" s="46">
        <f>+(H36-J36)/ABS(J36)</f>
        <v>3.7434697624829707</v>
      </c>
      <c r="J36" s="240">
        <v>1688.3</v>
      </c>
      <c r="K36" s="43">
        <v>0</v>
      </c>
      <c r="L36" s="389">
        <v>0</v>
      </c>
      <c r="M36" s="43"/>
      <c r="N36" s="43"/>
    </row>
    <row r="37" spans="1:14" s="209" customFormat="1">
      <c r="B37" s="141">
        <f>SUM(B33:B36)</f>
        <v>0</v>
      </c>
      <c r="C37" s="46">
        <f>+(B37-D37)/ABS(D37)</f>
        <v>-1</v>
      </c>
      <c r="D37" s="141">
        <f>SUM(D33:D36)</f>
        <v>1114.5</v>
      </c>
      <c r="E37" s="44" t="s">
        <v>0</v>
      </c>
      <c r="F37" s="16">
        <f>SUM(F33:F36)</f>
        <v>2881.3</v>
      </c>
      <c r="G37" s="46">
        <f>+(F37-H37)/ABS(H37)</f>
        <v>-0.86716488096335775</v>
      </c>
      <c r="H37" s="16">
        <f>SUM(H33:H36)</f>
        <v>21690.799999999999</v>
      </c>
      <c r="I37" s="46">
        <f>+(H37-J37)/ABS(J37)</f>
        <v>2.1136311437758382</v>
      </c>
      <c r="J37" s="16">
        <f>SUM(J33:J36)</f>
        <v>6966.4</v>
      </c>
      <c r="K37" s="44">
        <v>0</v>
      </c>
      <c r="L37" s="44">
        <v>0</v>
      </c>
      <c r="M37" s="44"/>
      <c r="N37" s="44"/>
    </row>
    <row r="38" spans="1:14">
      <c r="B38" s="249"/>
      <c r="C38" s="42"/>
      <c r="D38" s="249"/>
      <c r="E38" s="42"/>
      <c r="F38" s="249"/>
      <c r="G38" s="42"/>
      <c r="H38" s="392"/>
      <c r="I38" s="42"/>
      <c r="J38" s="392"/>
      <c r="K38" s="42"/>
      <c r="L38" s="392"/>
      <c r="M38" s="43"/>
      <c r="N38" s="43"/>
    </row>
    <row r="39" spans="1:14" s="209" customFormat="1">
      <c r="A39" s="209" t="s">
        <v>346</v>
      </c>
      <c r="B39" s="16">
        <f>+B30-B37</f>
        <v>0</v>
      </c>
      <c r="C39" s="46">
        <f>+(B39-D39)/ABS(D39)</f>
        <v>-1</v>
      </c>
      <c r="D39" s="16">
        <f>+D30-D37</f>
        <v>130.09999999999991</v>
      </c>
      <c r="E39" s="44" t="s">
        <v>0</v>
      </c>
      <c r="F39" s="16">
        <f>+F30-F37</f>
        <v>-893.2</v>
      </c>
      <c r="G39" s="46">
        <f>+(F39-H39)/ABS(H39)</f>
        <v>0.95908907698508661</v>
      </c>
      <c r="H39" s="16">
        <f>+H30-H37</f>
        <v>-21832.799999999999</v>
      </c>
      <c r="I39" s="46">
        <f>+(H39-J39)/ABS(J39)</f>
        <v>-1.9037226190001197</v>
      </c>
      <c r="J39" s="16">
        <f>+J30-J37</f>
        <v>-7518.9</v>
      </c>
      <c r="K39" s="44">
        <v>0</v>
      </c>
      <c r="L39" s="44">
        <f>+L30-L37</f>
        <v>0</v>
      </c>
      <c r="M39" s="44"/>
      <c r="N39" s="44"/>
    </row>
    <row r="40" spans="1:14">
      <c r="B40" s="12"/>
      <c r="C40" s="43"/>
      <c r="D40" s="12"/>
      <c r="E40" s="44" t="s">
        <v>0</v>
      </c>
      <c r="F40" s="12"/>
      <c r="G40" s="43"/>
      <c r="H40" s="43"/>
      <c r="I40" s="43"/>
      <c r="J40" s="43"/>
      <c r="K40" s="43"/>
      <c r="L40" s="43"/>
      <c r="M40" s="43"/>
      <c r="N40" s="43"/>
    </row>
    <row r="41" spans="1:14">
      <c r="A41" t="s">
        <v>347</v>
      </c>
      <c r="B41" s="12">
        <f>+BMHRÉSULT!R79</f>
        <v>0</v>
      </c>
      <c r="C41" s="43">
        <v>0</v>
      </c>
      <c r="D41" s="12">
        <f>+BMHRÉSULT!T79</f>
        <v>45.4</v>
      </c>
      <c r="E41" s="44" t="s">
        <v>0</v>
      </c>
      <c r="F41" s="12">
        <f>+BMHRÉSULT!U79</f>
        <v>45.4</v>
      </c>
      <c r="G41" s="294">
        <v>0</v>
      </c>
      <c r="H41" s="12">
        <v>-18669.099999999999</v>
      </c>
      <c r="I41" s="116">
        <f>+(H41-J41)/ABS(J41)</f>
        <v>-342.92490842490838</v>
      </c>
      <c r="J41" s="12">
        <v>54.6</v>
      </c>
      <c r="K41" s="43">
        <v>0</v>
      </c>
      <c r="L41" s="43">
        <v>0</v>
      </c>
      <c r="M41" s="43"/>
      <c r="N41" s="43"/>
    </row>
    <row r="42" spans="1:14" ht="16.5" thickBot="1">
      <c r="A42" t="s">
        <v>0</v>
      </c>
      <c r="B42" s="77" t="s">
        <v>0</v>
      </c>
      <c r="C42" s="43"/>
      <c r="D42" s="232" t="s">
        <v>0</v>
      </c>
      <c r="E42" s="44" t="s">
        <v>0</v>
      </c>
      <c r="F42" s="76"/>
      <c r="G42" s="43"/>
      <c r="H42" s="187"/>
      <c r="I42" s="43"/>
      <c r="J42" s="187"/>
      <c r="K42" s="43"/>
      <c r="L42" s="187"/>
      <c r="M42" s="43"/>
      <c r="N42" s="43"/>
    </row>
    <row r="43" spans="1:14" s="2" customFormat="1">
      <c r="A43" s="2" t="s">
        <v>427</v>
      </c>
      <c r="B43" s="4">
        <f>+B39-B41</f>
        <v>0</v>
      </c>
      <c r="C43" s="112">
        <f>+(B43-D43)/ABS(D43)</f>
        <v>-1</v>
      </c>
      <c r="D43" s="4">
        <f>+D39-D41</f>
        <v>84.699999999999903</v>
      </c>
      <c r="E43" s="42" t="s">
        <v>0</v>
      </c>
      <c r="F43" s="4">
        <f>+F39-F41</f>
        <v>-938.6</v>
      </c>
      <c r="G43" s="112">
        <f>+(F43-H43)/ABS(H43)</f>
        <v>0.7033220596137435</v>
      </c>
      <c r="H43" s="4">
        <f>+H39-H41</f>
        <v>-3163.7000000000007</v>
      </c>
      <c r="I43" s="112">
        <f>+(H43-J43)/ABS(J43)</f>
        <v>0.58226711560044886</v>
      </c>
      <c r="J43" s="4">
        <f>+J39-J41</f>
        <v>-7573.5</v>
      </c>
      <c r="K43" s="42">
        <v>0</v>
      </c>
      <c r="L43" s="42">
        <f>+L39-L41</f>
        <v>0</v>
      </c>
      <c r="M43" s="42"/>
      <c r="N43" s="42"/>
    </row>
    <row r="44" spans="1:14">
      <c r="E44" t="s">
        <v>0</v>
      </c>
    </row>
    <row r="45" spans="1:14">
      <c r="E45" t="s">
        <v>0</v>
      </c>
    </row>
    <row r="52" spans="2:7">
      <c r="B52" s="43">
        <v>0</v>
      </c>
    </row>
    <row r="53" spans="2:7">
      <c r="D53" s="43">
        <v>0</v>
      </c>
    </row>
    <row r="56" spans="2:7">
      <c r="B56" s="43">
        <v>0</v>
      </c>
    </row>
    <row r="58" spans="2:7">
      <c r="G58" s="43">
        <v>0</v>
      </c>
    </row>
  </sheetData>
  <pageMargins left="0.49" right="0.49" top="0.75" bottom="0.94" header="0.52" footer="0.62"/>
  <pageSetup scale="53" orientation="landscape" r:id="rId1"/>
  <headerFooter alignWithMargins="0">
    <oddFooter>&amp;L* L'actif net de la cette banque a été acheté par la Sogebank au cours du Trim 1 99. Au cours du Trim 3 99, l'actif de la Sogebank inclut celui de cette banque.&amp;R&amp;P</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5"/>
  <sheetViews>
    <sheetView workbookViewId="0"/>
  </sheetViews>
  <sheetFormatPr defaultRowHeight="15.75"/>
  <cols>
    <col min="1" max="1" width="33.5" customWidth="1"/>
    <col min="2" max="2" width="14.75" customWidth="1"/>
    <col min="3" max="3" width="12.625" customWidth="1"/>
    <col min="4" max="4" width="15.125" customWidth="1"/>
    <col min="5" max="5" width="15.25" customWidth="1"/>
    <col min="6" max="6" width="14.75" customWidth="1"/>
    <col min="7" max="7" width="8.875" customWidth="1"/>
    <col min="8" max="8" width="13.875" customWidth="1"/>
    <col min="9" max="9" width="13.375" customWidth="1"/>
    <col min="10" max="10" width="15.25" customWidth="1"/>
    <col min="11" max="11" width="13.375" customWidth="1"/>
    <col min="12" max="12" width="13.75" customWidth="1"/>
    <col min="13" max="13" width="11" customWidth="1"/>
    <col min="14" max="14" width="14.25" customWidth="1"/>
    <col min="15" max="15" width="14.125" customWidth="1"/>
    <col min="16" max="16" width="16" customWidth="1"/>
    <col min="17" max="17" width="11" customWidth="1"/>
    <col min="18" max="18" width="14.625" customWidth="1"/>
    <col min="19" max="19" width="9.875" customWidth="1"/>
    <col min="20" max="20" width="17.125" customWidth="1"/>
    <col min="21" max="256" width="11" customWidth="1"/>
  </cols>
  <sheetData>
    <row r="1" spans="1:27">
      <c r="A1" s="114" t="s">
        <v>584</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560</v>
      </c>
      <c r="J4" s="175" t="s">
        <v>167</v>
      </c>
      <c r="K4" s="176"/>
      <c r="L4" s="176"/>
      <c r="M4" s="176"/>
      <c r="N4" s="176"/>
      <c r="O4" s="176"/>
      <c r="P4" s="176"/>
    </row>
    <row r="5" spans="1:27" ht="16.5" thickBot="1">
      <c r="B5" s="174" t="s">
        <v>168</v>
      </c>
      <c r="C5" s="174" t="s">
        <v>169</v>
      </c>
      <c r="D5" s="173" t="s">
        <v>170</v>
      </c>
      <c r="E5" s="174" t="s">
        <v>169</v>
      </c>
      <c r="F5" s="173" t="s">
        <v>171</v>
      </c>
      <c r="G5" s="174" t="s">
        <v>169</v>
      </c>
      <c r="H5" s="173" t="s">
        <v>172</v>
      </c>
      <c r="I5" s="173" t="s">
        <v>173</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+bncvar!B22</f>
        <v>1812734</v>
      </c>
      <c r="C11" s="43">
        <v>0</v>
      </c>
      <c r="D11" s="12">
        <f>+bncvar!D22</f>
        <v>0</v>
      </c>
      <c r="E11" s="43">
        <v>0</v>
      </c>
      <c r="F11" s="12">
        <f>+bncvar!F22</f>
        <v>0</v>
      </c>
      <c r="G11" s="43">
        <v>0</v>
      </c>
      <c r="H11" s="12">
        <f>+bncvar!H22</f>
        <v>0</v>
      </c>
      <c r="I11" s="46">
        <f>+(-J11+B11)/ABS(J11)</f>
        <v>-4.8148290117405269E-2</v>
      </c>
      <c r="J11" s="12">
        <f>+bncvar!J22</f>
        <v>1904429</v>
      </c>
      <c r="K11" s="46">
        <f>+(-L11+J11)/ABS(L11)</f>
        <v>2.5519119415370384E-2</v>
      </c>
      <c r="L11" s="12">
        <f>+bncvar!L22</f>
        <v>1857039</v>
      </c>
      <c r="M11" s="46">
        <f>+(-N11+L11)/ABS(N11)</f>
        <v>1.5314469693308259E-2</v>
      </c>
      <c r="N11" s="12">
        <f>+bncvar!N22</f>
        <v>1829028.4</v>
      </c>
      <c r="O11" s="46">
        <f>+(-P11+N11)/ABS(P11)</f>
        <v>-0.16124968425367203</v>
      </c>
      <c r="P11" s="12">
        <f>+bncvar!P22</f>
        <v>2180658.9704499999</v>
      </c>
      <c r="Q11" s="43"/>
      <c r="R11" s="43"/>
      <c r="S11" s="43"/>
      <c r="T11" s="43"/>
      <c r="U11" s="43"/>
      <c r="V11" s="43"/>
      <c r="W11" s="43"/>
      <c r="X11" s="43"/>
      <c r="Y11" s="43"/>
      <c r="Z11" s="43"/>
      <c r="AA11" s="43"/>
    </row>
    <row r="12" spans="1:27">
      <c r="A12" t="s">
        <v>181</v>
      </c>
      <c r="B12" s="12">
        <f>+bncvar!B17</f>
        <v>389000</v>
      </c>
      <c r="C12" s="43">
        <v>0</v>
      </c>
      <c r="D12" s="12">
        <f>+bncvar!D17</f>
        <v>0</v>
      </c>
      <c r="E12" s="43">
        <v>0</v>
      </c>
      <c r="F12" s="12">
        <f>+bncvar!F17</f>
        <v>0</v>
      </c>
      <c r="G12" s="43">
        <v>0</v>
      </c>
      <c r="H12" s="12">
        <f>+bncvar!H17</f>
        <v>0</v>
      </c>
      <c r="I12" s="46">
        <f>+(-J12+B12)/ABS(J12)</f>
        <v>-0.21727389980703488</v>
      </c>
      <c r="J12" s="12">
        <f>+bncvar!J17</f>
        <v>496981</v>
      </c>
      <c r="K12" s="46">
        <f>+(-L12+J12)/ABS(L12)</f>
        <v>1.4849049999999999</v>
      </c>
      <c r="L12" s="12">
        <f>+bncvar!L17</f>
        <v>200000</v>
      </c>
      <c r="M12" s="46">
        <f>+(-N12+L12)/ABS(N12)</f>
        <v>1.2222222222222223</v>
      </c>
      <c r="N12" s="12">
        <f>+bncvar!N17</f>
        <v>90000</v>
      </c>
      <c r="O12" s="43">
        <v>0</v>
      </c>
      <c r="P12" s="12">
        <f>+bncvar!P17</f>
        <v>0</v>
      </c>
      <c r="Q12" s="43"/>
      <c r="R12" s="43"/>
      <c r="S12" s="43"/>
      <c r="T12" s="43"/>
      <c r="U12" s="43"/>
      <c r="V12" s="43"/>
      <c r="W12" s="43"/>
      <c r="X12" s="43"/>
      <c r="Y12" s="43"/>
      <c r="Z12" s="43"/>
      <c r="AA12" s="43"/>
    </row>
    <row r="13" spans="1:27">
      <c r="A13" t="s">
        <v>182</v>
      </c>
      <c r="B13" s="12">
        <f>+bncvar!B19</f>
        <v>345925</v>
      </c>
      <c r="C13" s="43">
        <v>0</v>
      </c>
      <c r="D13" s="12">
        <f>+bncvar!D19</f>
        <v>0</v>
      </c>
      <c r="E13" s="43">
        <v>0</v>
      </c>
      <c r="F13" s="12">
        <f>+bncvar!F19</f>
        <v>0</v>
      </c>
      <c r="G13" s="43">
        <v>0</v>
      </c>
      <c r="H13" s="12">
        <f>+bncvar!H19</f>
        <v>0</v>
      </c>
      <c r="I13" s="46">
        <f>+(-J13+B13)/ABS(J13)</f>
        <v>-3.5230102884618066E-2</v>
      </c>
      <c r="J13" s="12">
        <f>+bncvar!J19</f>
        <v>358557</v>
      </c>
      <c r="K13" s="46">
        <f>+(-L13+J13)/ABS(L13)</f>
        <v>-0.39649162376014313</v>
      </c>
      <c r="L13" s="12">
        <f>+bncvar!L19</f>
        <v>594121</v>
      </c>
      <c r="M13" s="46">
        <f>+(-N13+L13)/ABS(N13)</f>
        <v>-0.17000622228853374</v>
      </c>
      <c r="N13" s="12">
        <f>+bncvar!N19</f>
        <v>715813.8</v>
      </c>
      <c r="O13" s="46">
        <f>+(-P13+N13)/ABS(P13)</f>
        <v>0.13876023663477727</v>
      </c>
      <c r="P13" s="12">
        <f>+bncvar!P19</f>
        <v>628590.4415800001</v>
      </c>
      <c r="Q13" s="43"/>
      <c r="R13" s="43"/>
      <c r="S13" s="43"/>
      <c r="T13" s="43"/>
      <c r="U13" s="43"/>
      <c r="V13" s="43"/>
      <c r="W13" s="43"/>
      <c r="X13" s="43"/>
      <c r="Y13" s="43"/>
      <c r="Z13" s="43"/>
      <c r="AA13" s="43"/>
    </row>
    <row r="14" spans="1:27">
      <c r="A14" t="s">
        <v>183</v>
      </c>
      <c r="B14" s="12">
        <f>+bncvar!B29</f>
        <v>1472739</v>
      </c>
      <c r="C14" s="43">
        <v>0</v>
      </c>
      <c r="D14" s="12">
        <f>+bncvar!D29</f>
        <v>0</v>
      </c>
      <c r="E14" s="43">
        <v>0</v>
      </c>
      <c r="F14" s="12">
        <f>+bncvar!F29</f>
        <v>0</v>
      </c>
      <c r="G14" s="43">
        <v>0</v>
      </c>
      <c r="H14" s="12">
        <f>+bncvar!H29</f>
        <v>0</v>
      </c>
      <c r="I14" s="46">
        <f>+(-J14+B14)/ABS(J14)</f>
        <v>2.2585579474118721E-2</v>
      </c>
      <c r="J14" s="12">
        <f>+bncvar!J29</f>
        <v>1440211</v>
      </c>
      <c r="K14" s="46">
        <f>+(-L14+J14)/ABS(L14)</f>
        <v>5.3931429851014956E-2</v>
      </c>
      <c r="L14" s="12">
        <f>+bncvar!L29</f>
        <v>1366513</v>
      </c>
      <c r="M14" s="46">
        <f>+(-N14+L14)/ABS(N14)</f>
        <v>-1.040781817457645E-2</v>
      </c>
      <c r="N14" s="12">
        <f>+bncvar!N29</f>
        <v>1380885</v>
      </c>
      <c r="O14" s="46">
        <f>+(-P14+N14)/ABS(P14)</f>
        <v>1.0693196369598789E-2</v>
      </c>
      <c r="P14" s="12">
        <f>+bncvar!P29</f>
        <v>1366275.1515100002</v>
      </c>
      <c r="Q14" s="43"/>
      <c r="R14" s="43"/>
      <c r="S14" s="43"/>
      <c r="T14" s="43"/>
      <c r="U14" s="43"/>
      <c r="V14" s="43"/>
      <c r="W14" s="43"/>
      <c r="X14" s="43"/>
      <c r="Y14" s="43"/>
      <c r="Z14" s="43"/>
      <c r="AA14" s="43"/>
    </row>
    <row r="15" spans="1:27">
      <c r="A15" t="s">
        <v>184</v>
      </c>
      <c r="B15" s="12">
        <f>+bncvar!B51</f>
        <v>45824</v>
      </c>
      <c r="C15" s="43">
        <v>0</v>
      </c>
      <c r="D15" s="12">
        <f>+bncvar!D51</f>
        <v>0</v>
      </c>
      <c r="E15" s="43">
        <v>0</v>
      </c>
      <c r="F15" s="12">
        <f>+bncvar!F51</f>
        <v>0</v>
      </c>
      <c r="G15" s="43">
        <v>0</v>
      </c>
      <c r="H15" s="12">
        <f>+bncvar!H51</f>
        <v>0</v>
      </c>
      <c r="I15" s="46">
        <f>+(-J15+B15)/ABS(J15)</f>
        <v>-3.2473290823867233E-2</v>
      </c>
      <c r="J15" s="12">
        <f>+bncvar!J51</f>
        <v>47362</v>
      </c>
      <c r="K15" s="46">
        <f>+(-L15+J15)/ABS(L15)</f>
        <v>-0.5837917640648892</v>
      </c>
      <c r="L15" s="12">
        <f>+bncvar!L51</f>
        <v>113794</v>
      </c>
      <c r="M15" s="46">
        <f>+(-N15+L15)/ABS(N15)</f>
        <v>-0.18671226463977245</v>
      </c>
      <c r="N15" s="12">
        <f>+bncvar!N51</f>
        <v>139918.5</v>
      </c>
      <c r="O15" s="46">
        <f>+(-P15+N15)/ABS(P15)</f>
        <v>-9.3534580602406756E-2</v>
      </c>
      <c r="P15" s="12">
        <f>+bncvar!P51</f>
        <v>154356.13649</v>
      </c>
      <c r="Q15" s="43"/>
      <c r="R15" s="43"/>
      <c r="S15" s="43"/>
      <c r="T15" s="43"/>
      <c r="U15" s="43"/>
      <c r="V15" s="43"/>
      <c r="W15" s="43"/>
      <c r="X15" s="43"/>
      <c r="Y15" s="43"/>
      <c r="Z15" s="43"/>
      <c r="AA15" s="43"/>
    </row>
    <row r="16" spans="1:27">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row>
    <row r="17" spans="1:27" ht="16.5" thickBot="1">
      <c r="B17" s="187"/>
      <c r="C17" s="187"/>
      <c r="D17" s="187"/>
      <c r="E17" s="187"/>
      <c r="F17" s="187"/>
      <c r="G17" s="187"/>
      <c r="H17" s="187"/>
      <c r="I17" s="187"/>
      <c r="J17" s="187"/>
      <c r="K17" s="187"/>
      <c r="L17" s="187"/>
      <c r="M17" s="187"/>
      <c r="N17" s="187"/>
      <c r="O17" s="187"/>
      <c r="P17" s="187"/>
      <c r="Q17" s="43"/>
      <c r="R17" s="43"/>
      <c r="S17" s="43"/>
      <c r="T17" s="43"/>
      <c r="U17" s="43"/>
      <c r="V17" s="43"/>
      <c r="W17" s="43"/>
      <c r="X17" s="43"/>
      <c r="Y17" s="43"/>
      <c r="Z17" s="43"/>
      <c r="AA17" s="43"/>
    </row>
    <row r="18" spans="1:27">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row>
    <row r="19" spans="1:27">
      <c r="B19" s="51" t="s">
        <v>185</v>
      </c>
      <c r="C19" s="43"/>
      <c r="D19" s="352" t="s">
        <v>174</v>
      </c>
      <c r="E19" s="43"/>
      <c r="F19" s="51" t="s">
        <v>185</v>
      </c>
      <c r="G19" s="50"/>
      <c r="H19" s="352" t="s">
        <v>174</v>
      </c>
      <c r="I19" s="50"/>
      <c r="J19" s="51" t="s">
        <v>185</v>
      </c>
      <c r="K19" s="50"/>
      <c r="L19" s="352" t="s">
        <v>174</v>
      </c>
      <c r="M19" s="50"/>
      <c r="N19" s="51" t="s">
        <v>185</v>
      </c>
      <c r="O19" s="50"/>
      <c r="P19" s="352" t="s">
        <v>174</v>
      </c>
      <c r="Q19" s="50"/>
      <c r="R19" s="51" t="s">
        <v>185</v>
      </c>
      <c r="S19" s="50"/>
      <c r="T19" s="352" t="s">
        <v>174</v>
      </c>
      <c r="U19" s="43"/>
      <c r="V19" s="43"/>
      <c r="W19" s="43"/>
      <c r="X19" s="43"/>
      <c r="Y19" s="43"/>
      <c r="Z19" s="43"/>
      <c r="AA19" s="43"/>
    </row>
    <row r="20" spans="1:27">
      <c r="B20" s="18" t="s">
        <v>186</v>
      </c>
      <c r="C20" s="43"/>
      <c r="D20" s="50" t="s">
        <v>186</v>
      </c>
      <c r="E20" s="43"/>
      <c r="F20" s="50" t="s">
        <v>585</v>
      </c>
      <c r="G20" s="43"/>
      <c r="H20" s="50" t="s">
        <v>585</v>
      </c>
      <c r="J20" s="50" t="s">
        <v>188</v>
      </c>
      <c r="K20" s="43"/>
      <c r="L20" s="50" t="s">
        <v>188</v>
      </c>
      <c r="M20" s="43"/>
      <c r="N20" s="50" t="s">
        <v>189</v>
      </c>
      <c r="O20" s="43"/>
      <c r="P20" s="50" t="s">
        <v>189</v>
      </c>
      <c r="Q20" s="43"/>
      <c r="R20" s="50" t="s">
        <v>190</v>
      </c>
      <c r="S20" s="43"/>
      <c r="T20" s="50" t="s">
        <v>190</v>
      </c>
      <c r="U20" s="43"/>
      <c r="V20" s="43"/>
      <c r="W20" s="43"/>
      <c r="X20" s="43"/>
      <c r="Y20" s="43"/>
      <c r="Z20" s="43"/>
      <c r="AA20" s="43"/>
    </row>
    <row r="21" spans="1:27" ht="16.5" thickBot="1">
      <c r="B21" s="325" t="s">
        <v>191</v>
      </c>
      <c r="C21" s="325" t="s">
        <v>169</v>
      </c>
      <c r="D21" s="325" t="s">
        <v>192</v>
      </c>
      <c r="E21" s="43"/>
      <c r="F21" s="325" t="s">
        <v>193</v>
      </c>
      <c r="G21" s="325" t="s">
        <v>169</v>
      </c>
      <c r="H21" s="325" t="s">
        <v>586</v>
      </c>
      <c r="I21" s="43"/>
      <c r="J21" s="325" t="s">
        <v>195</v>
      </c>
      <c r="K21" s="325" t="s">
        <v>169</v>
      </c>
      <c r="L21" s="325" t="s">
        <v>196</v>
      </c>
      <c r="M21" s="43"/>
      <c r="N21" s="325" t="s">
        <v>197</v>
      </c>
      <c r="O21" s="325" t="s">
        <v>169</v>
      </c>
      <c r="P21" s="325" t="s">
        <v>587</v>
      </c>
      <c r="Q21" s="43"/>
      <c r="R21" s="326" t="s">
        <v>199</v>
      </c>
      <c r="S21" s="325" t="s">
        <v>169</v>
      </c>
      <c r="T21" s="325" t="s">
        <v>200</v>
      </c>
      <c r="U21" s="43"/>
      <c r="V21" s="43"/>
      <c r="W21" s="43"/>
      <c r="X21" s="43"/>
      <c r="Y21" s="43"/>
      <c r="Z21" s="43"/>
      <c r="AA21" s="43"/>
    </row>
    <row r="22" spans="1:27">
      <c r="A22" s="2" t="s">
        <v>52</v>
      </c>
      <c r="B22" s="43"/>
      <c r="C22" s="43"/>
      <c r="D22" s="43"/>
      <c r="E22" s="43"/>
      <c r="F22" s="43"/>
      <c r="G22" s="43"/>
      <c r="H22" s="43"/>
      <c r="I22" s="43"/>
      <c r="J22" s="43"/>
      <c r="K22" s="43"/>
      <c r="L22" s="43"/>
      <c r="M22" s="43"/>
      <c r="N22" s="43"/>
      <c r="O22" s="43"/>
      <c r="P22" s="43"/>
      <c r="Q22" s="43"/>
      <c r="R22" s="43"/>
      <c r="S22" s="47" t="s">
        <v>0</v>
      </c>
      <c r="T22" s="43"/>
      <c r="U22" s="43"/>
      <c r="V22" s="43"/>
      <c r="W22" s="43"/>
      <c r="X22" s="43"/>
      <c r="Y22" s="43"/>
      <c r="Z22" s="43"/>
      <c r="AA22" s="43"/>
    </row>
    <row r="23" spans="1:27">
      <c r="A23" t="s">
        <v>201</v>
      </c>
      <c r="B23" s="12">
        <f>+'bncrésult '!B15</f>
        <v>20702</v>
      </c>
      <c r="C23" s="46">
        <f>+(-D23+B23)/ABS(D23)</f>
        <v>8.9865754145827856E-2</v>
      </c>
      <c r="D23" s="12">
        <f>+'bncrésult '!D55</f>
        <v>18995</v>
      </c>
      <c r="E23" s="43"/>
      <c r="F23" s="12">
        <f>+'bncrésult '!D15</f>
        <v>0</v>
      </c>
      <c r="G23" s="43">
        <v>0</v>
      </c>
      <c r="H23" s="12">
        <f>+'bncrésult '!H55</f>
        <v>17840</v>
      </c>
      <c r="I23" s="43"/>
      <c r="J23" s="12">
        <f>+'bncrésult '!F15</f>
        <v>0</v>
      </c>
      <c r="K23" s="43">
        <v>0</v>
      </c>
      <c r="L23" s="12">
        <f>+'bncrésult '!L55</f>
        <v>30989</v>
      </c>
      <c r="M23" s="43"/>
      <c r="N23" s="12">
        <f>+'bncrésult '!H15</f>
        <v>0</v>
      </c>
      <c r="O23" s="43">
        <v>0</v>
      </c>
      <c r="P23" s="12">
        <f>+'bncrésult '!P55</f>
        <v>43064</v>
      </c>
      <c r="Q23" s="43"/>
      <c r="R23" s="12">
        <f>+'bncrésult '!R55</f>
        <v>20702</v>
      </c>
      <c r="S23" s="46">
        <f>+(-T23+R23)/ABS(T23)</f>
        <v>8.9865754145827856E-2</v>
      </c>
      <c r="T23" s="12">
        <f>+'bncrésult '!T55</f>
        <v>18995</v>
      </c>
      <c r="U23" s="43"/>
      <c r="V23" s="43"/>
      <c r="W23" s="43"/>
      <c r="X23" s="43"/>
      <c r="Y23" s="43"/>
      <c r="Z23" s="43"/>
      <c r="AA23" s="43"/>
    </row>
    <row r="24" spans="1:27">
      <c r="A24" t="s">
        <v>202</v>
      </c>
      <c r="B24" s="12">
        <f>+'bncrésult '!B21</f>
        <v>10336</v>
      </c>
      <c r="C24" s="46">
        <f>+(-D24+B24)/ABS(D24)</f>
        <v>0.30028934457164425</v>
      </c>
      <c r="D24" s="12">
        <f>+'bncrésult '!D61</f>
        <v>7949</v>
      </c>
      <c r="E24" s="43"/>
      <c r="F24" s="12">
        <f>+'bncrésult '!D21</f>
        <v>0</v>
      </c>
      <c r="G24" s="43">
        <v>0</v>
      </c>
      <c r="H24" s="12">
        <f>+'bncrésult '!H61</f>
        <v>8434</v>
      </c>
      <c r="I24" s="43"/>
      <c r="J24" s="12">
        <f>+'bncrésult '!F21</f>
        <v>0</v>
      </c>
      <c r="K24" s="43">
        <v>0</v>
      </c>
      <c r="L24" s="12">
        <f>+'bncrésult '!L61</f>
        <v>13352</v>
      </c>
      <c r="M24" s="43"/>
      <c r="N24" s="12">
        <f>+'bncrésult '!H21</f>
        <v>0</v>
      </c>
      <c r="O24" s="43">
        <v>0</v>
      </c>
      <c r="P24" s="12">
        <f>+'bncrésult '!P61</f>
        <v>70664</v>
      </c>
      <c r="Q24" s="43"/>
      <c r="R24" s="12">
        <f>+'bncrésult '!R61</f>
        <v>10336</v>
      </c>
      <c r="S24" s="46">
        <f>+(-T24+R24)/ABS(T24)</f>
        <v>0.30028934457164425</v>
      </c>
      <c r="T24" s="12">
        <f>+'bncrésult '!T61</f>
        <v>7949</v>
      </c>
      <c r="U24" s="43"/>
      <c r="V24" s="43"/>
      <c r="W24" s="43"/>
      <c r="X24" s="43"/>
      <c r="Y24" s="43"/>
      <c r="Z24" s="43"/>
      <c r="AA24" s="43"/>
    </row>
    <row r="25" spans="1:27">
      <c r="A25" t="s">
        <v>447</v>
      </c>
      <c r="B25" s="12">
        <f>+'bncrésult '!B25</f>
        <v>0</v>
      </c>
      <c r="C25" s="43">
        <v>0</v>
      </c>
      <c r="D25" s="12">
        <f>+'bncrésult '!D65</f>
        <v>0</v>
      </c>
      <c r="E25" s="43"/>
      <c r="F25" s="43">
        <f>+'bncrésult '!D25</f>
        <v>0</v>
      </c>
      <c r="G25" s="44">
        <v>0</v>
      </c>
      <c r="H25" s="12">
        <f>+'bncrésult '!H65</f>
        <v>0</v>
      </c>
      <c r="I25" s="43"/>
      <c r="J25" s="43">
        <f>+'bncrésult '!F25</f>
        <v>0</v>
      </c>
      <c r="K25" s="44">
        <v>0</v>
      </c>
      <c r="L25" s="12">
        <f>+'bncrésult '!L65</f>
        <v>0</v>
      </c>
      <c r="M25" s="43"/>
      <c r="N25" s="43">
        <f>+'bncrésult '!H25</f>
        <v>0</v>
      </c>
      <c r="O25" s="43">
        <v>0</v>
      </c>
      <c r="P25" s="12">
        <f>+'bncrésult '!P65</f>
        <v>0</v>
      </c>
      <c r="Q25" s="43"/>
      <c r="R25" s="12">
        <f>+'bncrésult '!R65</f>
        <v>0</v>
      </c>
      <c r="S25" s="43">
        <v>0</v>
      </c>
      <c r="T25" s="12">
        <f>+'bncrésult '!T65</f>
        <v>0</v>
      </c>
      <c r="U25" s="43"/>
      <c r="V25" s="43"/>
      <c r="W25" s="43"/>
      <c r="X25" s="43"/>
      <c r="Y25" s="43"/>
      <c r="Z25" s="43"/>
      <c r="AA25" s="43"/>
    </row>
    <row r="26" spans="1:27">
      <c r="A26" t="s">
        <v>204</v>
      </c>
      <c r="B26" s="12">
        <f>+'bncrésult '!B35</f>
        <v>32292</v>
      </c>
      <c r="C26" s="46">
        <f>+(-D26+B26)/ABS(D26)</f>
        <v>-0.17038331106772173</v>
      </c>
      <c r="D26" s="12">
        <f>+'bncrésult '!D75</f>
        <v>38924</v>
      </c>
      <c r="E26" s="43"/>
      <c r="F26" s="12">
        <f>+'bncrésult '!D35</f>
        <v>0</v>
      </c>
      <c r="G26" s="43">
        <v>0</v>
      </c>
      <c r="H26" s="12">
        <f>+'bncrésult '!H75</f>
        <v>30113</v>
      </c>
      <c r="I26" s="43"/>
      <c r="J26" s="12">
        <f>+'bncrésult '!F35</f>
        <v>0</v>
      </c>
      <c r="K26" s="43">
        <v>0</v>
      </c>
      <c r="L26" s="12">
        <f>+'bncrésult '!L75</f>
        <v>26785</v>
      </c>
      <c r="M26" s="43"/>
      <c r="N26" s="12">
        <f>+'bncrésult '!H35</f>
        <v>0</v>
      </c>
      <c r="O26" s="43">
        <v>0</v>
      </c>
      <c r="P26" s="12">
        <f>+'bncrésult '!P75</f>
        <v>74406</v>
      </c>
      <c r="Q26" s="43"/>
      <c r="R26" s="12">
        <f>+'bncrésult '!R75</f>
        <v>32292</v>
      </c>
      <c r="S26" s="46">
        <f>+(-T26+R26)/ABS(T26)</f>
        <v>-0.17038331106772173</v>
      </c>
      <c r="T26" s="12">
        <f>+'bncrésult '!T75</f>
        <v>38924</v>
      </c>
      <c r="U26" s="43"/>
      <c r="V26" s="43"/>
      <c r="W26" s="43"/>
      <c r="X26" s="43"/>
      <c r="Y26" s="43"/>
      <c r="Z26" s="43"/>
      <c r="AA26" s="43"/>
    </row>
    <row r="27" spans="1:27">
      <c r="A27" t="s">
        <v>448</v>
      </c>
      <c r="B27" s="12">
        <f>+'bncrésult '!B41</f>
        <v>-1254</v>
      </c>
      <c r="C27" s="46">
        <f>+(-D27+B27)/ABS(D27)</f>
        <v>0.89532554257095154</v>
      </c>
      <c r="D27" s="12">
        <f>+'bncrésult '!D81</f>
        <v>-11980</v>
      </c>
      <c r="E27" s="43"/>
      <c r="F27" s="12">
        <f>+'bncrésult '!D41</f>
        <v>0</v>
      </c>
      <c r="G27" s="43">
        <v>0</v>
      </c>
      <c r="H27" s="12">
        <f>+'bncrésult '!H81</f>
        <v>-3839</v>
      </c>
      <c r="I27" s="43"/>
      <c r="J27" s="12">
        <f>+'bncrésult '!F41</f>
        <v>0</v>
      </c>
      <c r="K27" s="43">
        <v>0</v>
      </c>
      <c r="L27" s="12">
        <f>+'bncrésult '!L81</f>
        <v>17556</v>
      </c>
      <c r="M27" s="43"/>
      <c r="N27" s="12">
        <f>+'bncrésult '!H41</f>
        <v>0</v>
      </c>
      <c r="O27" s="43">
        <v>0</v>
      </c>
      <c r="P27" s="12">
        <f>+'bncrésult '!P81</f>
        <v>39322</v>
      </c>
      <c r="Q27" s="43"/>
      <c r="R27" s="12">
        <f>+'bncrésult '!R81</f>
        <v>-1254</v>
      </c>
      <c r="S27" s="46">
        <f>+(-T27+R27)/ABS(T27)</f>
        <v>0.89532554257095154</v>
      </c>
      <c r="T27" s="12">
        <f>+'bncrésult '!T81</f>
        <v>-11980</v>
      </c>
      <c r="U27" s="43"/>
      <c r="V27" s="43"/>
      <c r="W27" s="43"/>
      <c r="X27" s="43"/>
      <c r="Y27" s="43"/>
      <c r="Z27" s="43"/>
      <c r="AA27" s="43"/>
    </row>
    <row r="28" spans="1:27" ht="7.9" customHeight="1">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ht="16.5" thickBot="1">
      <c r="B29" s="187"/>
      <c r="C29" s="187"/>
      <c r="D29" s="187"/>
      <c r="E29" s="187"/>
      <c r="F29" s="187"/>
      <c r="G29" s="187"/>
      <c r="H29" s="187"/>
      <c r="I29" s="187"/>
      <c r="J29" s="187"/>
      <c r="K29" s="187"/>
      <c r="L29" s="187"/>
      <c r="M29" s="187"/>
      <c r="N29" s="187"/>
      <c r="O29" s="187"/>
      <c r="P29" s="187"/>
      <c r="Q29" s="187"/>
      <c r="R29" s="187"/>
      <c r="S29" s="187"/>
      <c r="T29" s="187"/>
      <c r="U29" s="43"/>
      <c r="V29" s="43"/>
      <c r="W29" s="43"/>
      <c r="X29" s="43"/>
      <c r="Y29" s="43"/>
      <c r="Z29" s="43"/>
      <c r="AA29" s="43"/>
    </row>
    <row r="30" spans="1:27">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row>
    <row r="32" spans="1:27">
      <c r="B32" s="51" t="s">
        <v>185</v>
      </c>
      <c r="C32" s="51" t="s">
        <v>174</v>
      </c>
      <c r="D32" s="43"/>
      <c r="E32" s="51" t="s">
        <v>185</v>
      </c>
      <c r="F32" s="51" t="s">
        <v>174</v>
      </c>
      <c r="G32" s="43"/>
      <c r="H32" s="51" t="s">
        <v>185</v>
      </c>
      <c r="I32" s="51" t="s">
        <v>174</v>
      </c>
      <c r="J32" s="43"/>
      <c r="K32" s="51" t="s">
        <v>185</v>
      </c>
      <c r="L32" s="51" t="s">
        <v>174</v>
      </c>
      <c r="M32" s="43"/>
      <c r="N32" s="51" t="s">
        <v>185</v>
      </c>
      <c r="O32" s="51" t="s">
        <v>174</v>
      </c>
      <c r="P32" s="43"/>
      <c r="U32" s="43"/>
      <c r="V32" s="43"/>
      <c r="W32" s="43"/>
      <c r="X32" s="43"/>
      <c r="Y32" s="43"/>
      <c r="Z32" s="43"/>
      <c r="AA32" s="43"/>
    </row>
    <row r="33" spans="1:27" ht="16.5" thickBot="1">
      <c r="B33" s="50" t="s">
        <v>186</v>
      </c>
      <c r="C33" s="50" t="s">
        <v>186</v>
      </c>
      <c r="D33" s="43"/>
      <c r="E33" s="50" t="s">
        <v>585</v>
      </c>
      <c r="F33" s="50" t="s">
        <v>585</v>
      </c>
      <c r="G33" s="43"/>
      <c r="H33" s="50" t="s">
        <v>188</v>
      </c>
      <c r="I33" s="50" t="s">
        <v>188</v>
      </c>
      <c r="J33" s="43"/>
      <c r="K33" s="50" t="s">
        <v>189</v>
      </c>
      <c r="L33" s="50" t="s">
        <v>189</v>
      </c>
      <c r="M33" s="43"/>
      <c r="N33" s="50" t="s">
        <v>190</v>
      </c>
      <c r="O33" s="50" t="s">
        <v>190</v>
      </c>
      <c r="P33" s="43"/>
      <c r="Q33" s="114" t="s">
        <v>206</v>
      </c>
      <c r="R33" s="114"/>
      <c r="S33" s="114"/>
      <c r="T33" s="114"/>
      <c r="U33" s="43"/>
      <c r="V33" s="43"/>
      <c r="W33" s="43"/>
      <c r="X33" s="43"/>
      <c r="Y33" s="43"/>
      <c r="Z33" s="43"/>
      <c r="AA33" s="43"/>
    </row>
    <row r="34" spans="1:27" ht="16.5" thickBot="1">
      <c r="B34" s="326" t="s">
        <v>191</v>
      </c>
      <c r="C34" s="326" t="s">
        <v>192</v>
      </c>
      <c r="D34" s="208"/>
      <c r="E34" s="326" t="s">
        <v>193</v>
      </c>
      <c r="F34" s="326" t="s">
        <v>194</v>
      </c>
      <c r="G34" s="208"/>
      <c r="H34" s="326" t="s">
        <v>195</v>
      </c>
      <c r="I34" s="326" t="s">
        <v>196</v>
      </c>
      <c r="J34" s="208"/>
      <c r="K34" s="326" t="s">
        <v>588</v>
      </c>
      <c r="L34" s="326" t="s">
        <v>587</v>
      </c>
      <c r="M34" s="208"/>
      <c r="N34" s="181" t="s">
        <v>449</v>
      </c>
      <c r="O34" s="181" t="s">
        <v>589</v>
      </c>
      <c r="P34" s="43"/>
      <c r="Q34" s="182" t="s">
        <v>174</v>
      </c>
      <c r="R34" s="182" t="s">
        <v>175</v>
      </c>
      <c r="S34" s="182" t="s">
        <v>176</v>
      </c>
      <c r="T34" s="182" t="s">
        <v>177</v>
      </c>
      <c r="U34" s="43"/>
      <c r="V34" s="43"/>
      <c r="W34" s="43"/>
      <c r="X34" s="43"/>
      <c r="Y34" s="43"/>
      <c r="Z34" s="43"/>
      <c r="AA34" s="43"/>
    </row>
    <row r="35" spans="1:27">
      <c r="A35" s="2" t="s">
        <v>207</v>
      </c>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row>
    <row r="36" spans="1:27">
      <c r="A36" s="183" t="s">
        <v>208</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2" t="s">
        <v>209</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t="s">
        <v>210</v>
      </c>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s="2"/>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row>
    <row r="41" spans="1:27">
      <c r="A41" t="s">
        <v>211</v>
      </c>
      <c r="B41" s="57"/>
      <c r="C41" s="57"/>
      <c r="D41" s="57"/>
      <c r="E41" s="57"/>
      <c r="F41" s="57"/>
      <c r="G41" s="57"/>
      <c r="H41" s="57"/>
      <c r="I41" s="57"/>
      <c r="J41" s="57"/>
      <c r="K41" s="57"/>
      <c r="L41" s="57"/>
      <c r="M41" s="57"/>
      <c r="N41" s="57"/>
      <c r="O41" s="57"/>
      <c r="P41" s="57"/>
      <c r="Q41" s="57"/>
      <c r="R41" s="57"/>
      <c r="S41" s="57"/>
      <c r="T41" s="57"/>
      <c r="U41" s="43"/>
      <c r="V41" s="43"/>
      <c r="W41" s="43"/>
      <c r="X41" s="43"/>
      <c r="Y41" s="43"/>
      <c r="Z41" s="43"/>
      <c r="AA41" s="43"/>
    </row>
    <row r="42" spans="1:27">
      <c r="A42" t="s">
        <v>212</v>
      </c>
      <c r="B42" s="58">
        <f>+bncvar!B51/bncvar!B22</f>
        <v>2.5278943297803207E-2</v>
      </c>
      <c r="C42" s="59">
        <v>4.6699999999999998E-2</v>
      </c>
      <c r="D42" s="59"/>
      <c r="E42" s="57">
        <v>0</v>
      </c>
      <c r="F42" s="59">
        <v>4.5499999999999999E-2</v>
      </c>
      <c r="G42" s="59"/>
      <c r="H42" s="57">
        <v>0</v>
      </c>
      <c r="I42" s="59">
        <v>4.2200000000000001E-2</v>
      </c>
      <c r="J42" s="59"/>
      <c r="K42" s="57">
        <v>0</v>
      </c>
      <c r="L42" s="59">
        <f>+bncvar!J51/bncvar!J22</f>
        <v>2.4869396548781814E-2</v>
      </c>
      <c r="M42" s="59"/>
      <c r="N42" s="59">
        <f>+B42</f>
        <v>2.5278943297803207E-2</v>
      </c>
      <c r="O42" s="59">
        <f>+C42</f>
        <v>4.6699999999999998E-2</v>
      </c>
      <c r="P42" s="59"/>
      <c r="Q42" s="59">
        <f>+bncvar!J51/bncvar!J22</f>
        <v>2.4869396548781814E-2</v>
      </c>
      <c r="R42" s="59">
        <v>6.13E-2</v>
      </c>
      <c r="S42" s="59">
        <v>7.6499999999999999E-2</v>
      </c>
      <c r="T42" s="59">
        <v>7.0800000000000002E-2</v>
      </c>
      <c r="U42" s="43"/>
      <c r="V42" s="43"/>
      <c r="W42" s="43"/>
      <c r="X42" s="43"/>
      <c r="Y42" s="43"/>
      <c r="Z42" s="43"/>
      <c r="AA42" s="43"/>
    </row>
    <row r="43" spans="1:27">
      <c r="B43" s="58"/>
      <c r="C43" s="59"/>
      <c r="D43" s="59"/>
      <c r="E43" s="57"/>
      <c r="F43" s="59"/>
      <c r="G43" s="59"/>
      <c r="H43" s="57"/>
      <c r="I43" s="59"/>
      <c r="J43" s="59"/>
      <c r="K43" s="57"/>
      <c r="L43" s="59"/>
      <c r="M43" s="59"/>
      <c r="N43" s="59"/>
      <c r="O43" s="353"/>
      <c r="P43" s="59"/>
      <c r="Q43" s="59"/>
      <c r="R43" s="59"/>
      <c r="S43" s="59"/>
      <c r="T43" s="59"/>
      <c r="U43" s="43"/>
      <c r="V43" s="43"/>
      <c r="W43" s="43"/>
      <c r="X43" s="43"/>
      <c r="Y43" s="43"/>
      <c r="Z43" s="43"/>
      <c r="AA43" s="43"/>
    </row>
    <row r="44" spans="1:27">
      <c r="A44" t="s">
        <v>213</v>
      </c>
      <c r="B44" s="58">
        <f>+bncvar!B29/bncvar!B22</f>
        <v>0.81244076626796868</v>
      </c>
      <c r="C44" s="59">
        <v>0.81340000000000001</v>
      </c>
      <c r="D44" s="59"/>
      <c r="E44" s="57">
        <v>0</v>
      </c>
      <c r="F44" s="59">
        <v>0.81559999999999999</v>
      </c>
      <c r="G44" s="59"/>
      <c r="H44" s="57">
        <v>0</v>
      </c>
      <c r="I44" s="58">
        <v>0.77470000000000006</v>
      </c>
      <c r="J44" s="59"/>
      <c r="K44" s="57">
        <v>0</v>
      </c>
      <c r="L44" s="59">
        <f>+bncvar!J29/bncvar!J22</f>
        <v>0.75624294736112507</v>
      </c>
      <c r="M44" s="59"/>
      <c r="N44" s="59">
        <f>+B44</f>
        <v>0.81244076626796868</v>
      </c>
      <c r="O44" s="59">
        <f>+C44</f>
        <v>0.81340000000000001</v>
      </c>
      <c r="P44" s="59"/>
      <c r="Q44" s="59">
        <f>+bncvar!J29/bncvar!J22</f>
        <v>0.75624294736112507</v>
      </c>
      <c r="R44" s="59">
        <v>0.7359</v>
      </c>
      <c r="S44" s="59">
        <v>0.755</v>
      </c>
      <c r="T44" s="59">
        <v>0.62649999999999995</v>
      </c>
      <c r="U44" s="43"/>
      <c r="V44" s="43"/>
      <c r="W44" s="43"/>
      <c r="X44" s="43"/>
      <c r="Y44" s="43"/>
      <c r="Z44" s="43"/>
      <c r="AA44" s="43"/>
    </row>
    <row r="45" spans="1:27">
      <c r="A45" t="s">
        <v>0</v>
      </c>
      <c r="B45" s="57"/>
      <c r="C45" s="59"/>
      <c r="D45" s="59"/>
      <c r="E45" s="57"/>
      <c r="F45" s="59"/>
      <c r="G45" s="59"/>
      <c r="H45" s="57"/>
      <c r="I45" s="59"/>
      <c r="J45" s="59"/>
      <c r="K45" s="57"/>
      <c r="L45" s="59"/>
      <c r="M45" s="59"/>
      <c r="N45" s="59"/>
      <c r="O45" s="353"/>
      <c r="P45" s="59"/>
      <c r="Q45" s="59"/>
      <c r="R45" s="59"/>
      <c r="S45" s="59"/>
      <c r="T45" s="59"/>
      <c r="U45" s="43"/>
      <c r="V45" s="43"/>
      <c r="W45" s="43"/>
      <c r="X45" s="43"/>
      <c r="Y45" s="43"/>
      <c r="Z45" s="43"/>
      <c r="AA45" s="43"/>
    </row>
    <row r="46" spans="1:27">
      <c r="A46" s="2" t="s">
        <v>214</v>
      </c>
      <c r="B46" s="57"/>
      <c r="C46" s="59"/>
      <c r="D46" s="59"/>
      <c r="E46" s="57"/>
      <c r="F46" s="59"/>
      <c r="G46" s="59"/>
      <c r="H46" s="57"/>
      <c r="I46" s="59"/>
      <c r="J46" s="59"/>
      <c r="K46" s="57"/>
      <c r="L46" s="59"/>
      <c r="M46" s="59"/>
      <c r="N46" s="59"/>
      <c r="O46" s="353"/>
      <c r="P46" s="59"/>
      <c r="Q46" s="59"/>
      <c r="R46" s="59"/>
      <c r="S46" s="59"/>
      <c r="T46" s="59"/>
      <c r="U46" s="43"/>
      <c r="V46" s="43"/>
      <c r="W46" s="43"/>
      <c r="X46" s="43"/>
      <c r="Y46" s="43"/>
      <c r="Z46" s="43"/>
      <c r="AA46" s="43"/>
    </row>
    <row r="47" spans="1:27">
      <c r="A47" s="2"/>
      <c r="B47" s="57"/>
      <c r="C47" s="59"/>
      <c r="D47" s="59"/>
      <c r="E47" s="57"/>
      <c r="F47" s="59"/>
      <c r="G47" s="59"/>
      <c r="H47" s="57"/>
      <c r="I47" s="59"/>
      <c r="J47" s="59"/>
      <c r="K47" s="57"/>
      <c r="L47" s="59"/>
      <c r="M47" s="59"/>
      <c r="N47" s="59"/>
      <c r="O47" s="353"/>
      <c r="P47" s="59"/>
      <c r="Q47" s="59"/>
      <c r="R47" s="59"/>
      <c r="S47" s="59"/>
      <c r="T47" s="59"/>
      <c r="U47" s="43"/>
      <c r="V47" s="43"/>
      <c r="W47" s="43"/>
      <c r="X47" s="43"/>
      <c r="Y47" s="43"/>
      <c r="Z47" s="43"/>
      <c r="AA47" s="43"/>
    </row>
    <row r="48" spans="1:27">
      <c r="A48" t="s">
        <v>215</v>
      </c>
      <c r="B48" s="57"/>
      <c r="C48" s="59"/>
      <c r="D48" s="59"/>
      <c r="E48" s="57"/>
      <c r="F48" s="59"/>
      <c r="G48" s="59"/>
      <c r="H48" s="57"/>
      <c r="I48" s="59"/>
      <c r="J48" s="59"/>
      <c r="K48" s="57"/>
      <c r="L48" s="59"/>
      <c r="M48" s="59"/>
      <c r="N48" s="59"/>
      <c r="O48" s="353"/>
      <c r="P48" s="59"/>
      <c r="Q48" s="59"/>
      <c r="R48" s="59"/>
      <c r="S48" s="59"/>
      <c r="T48" s="59"/>
      <c r="U48" s="43"/>
      <c r="V48" s="43"/>
      <c r="W48" s="43"/>
      <c r="X48" s="43"/>
      <c r="Y48" s="43"/>
      <c r="Z48" s="43"/>
      <c r="AA48" s="43"/>
    </row>
    <row r="49" spans="1:27">
      <c r="A49" t="s">
        <v>216</v>
      </c>
      <c r="B49" s="59">
        <f>+bncvar!B62/bncvar!B60</f>
        <v>0.41308733448263213</v>
      </c>
      <c r="C49" s="59">
        <v>0.25280000000000002</v>
      </c>
      <c r="D49" s="59"/>
      <c r="E49" s="57">
        <v>0</v>
      </c>
      <c r="F49" s="59">
        <v>0.2984</v>
      </c>
      <c r="G49" s="59"/>
      <c r="H49" s="57">
        <v>0</v>
      </c>
      <c r="I49" s="59">
        <v>0.58950000000000002</v>
      </c>
      <c r="J49" s="59"/>
      <c r="K49" s="57">
        <v>0</v>
      </c>
      <c r="L49" s="59">
        <f>+bncvar!J62/bncvar!J60</f>
        <v>0.34487075275728152</v>
      </c>
      <c r="M49" s="59"/>
      <c r="N49" s="59">
        <f>+B49</f>
        <v>0.41308733448263213</v>
      </c>
      <c r="O49" s="59">
        <f>+C49</f>
        <v>0.25280000000000002</v>
      </c>
      <c r="P49" s="59"/>
      <c r="Q49" s="59">
        <f>+bncvar!J62/bncvar!J60</f>
        <v>0.34487075275728152</v>
      </c>
      <c r="R49" s="59">
        <v>0.27810000000000001</v>
      </c>
      <c r="S49" s="59">
        <v>0.18529999999999999</v>
      </c>
      <c r="T49" s="59">
        <v>0.17180000000000001</v>
      </c>
      <c r="U49" s="43"/>
      <c r="V49" s="43"/>
      <c r="W49" s="43"/>
      <c r="X49" s="43"/>
      <c r="Y49" s="43"/>
      <c r="Z49" s="43"/>
      <c r="AA49" s="43"/>
    </row>
    <row r="50" spans="1:27">
      <c r="B50" s="57"/>
      <c r="C50" s="59"/>
      <c r="D50" s="59"/>
      <c r="E50" s="57"/>
      <c r="F50" s="57"/>
      <c r="G50" s="59"/>
      <c r="H50" s="57"/>
      <c r="I50" s="59"/>
      <c r="J50" s="59"/>
      <c r="K50" s="57"/>
      <c r="L50" s="59"/>
      <c r="M50" s="59"/>
      <c r="N50" s="59"/>
      <c r="O50" s="353"/>
      <c r="P50" s="59"/>
      <c r="Q50" s="59"/>
      <c r="R50" s="59"/>
      <c r="S50" s="59"/>
      <c r="T50" s="59"/>
      <c r="U50" s="43"/>
      <c r="V50" s="43"/>
      <c r="W50" s="43"/>
      <c r="X50" s="43"/>
      <c r="Y50" s="43"/>
      <c r="Z50" s="43"/>
      <c r="AA50" s="43"/>
    </row>
    <row r="51" spans="1:27">
      <c r="A51" t="s">
        <v>217</v>
      </c>
      <c r="B51" s="57"/>
      <c r="C51" s="59"/>
      <c r="D51" s="59"/>
      <c r="E51" s="57"/>
      <c r="F51" s="57"/>
      <c r="G51" s="59"/>
      <c r="H51" s="57"/>
      <c r="I51" s="59"/>
      <c r="J51" s="59"/>
      <c r="K51" s="57"/>
      <c r="L51" s="59"/>
      <c r="M51" s="59"/>
      <c r="N51" s="59"/>
      <c r="O51" s="353"/>
      <c r="P51" s="59"/>
      <c r="Q51" s="59"/>
      <c r="R51" s="59"/>
      <c r="S51" s="59"/>
      <c r="T51" s="59"/>
      <c r="U51" s="43"/>
      <c r="V51" s="43"/>
      <c r="W51" s="43"/>
      <c r="X51" s="43"/>
      <c r="Y51" s="43"/>
      <c r="Z51" s="43"/>
      <c r="AA51" s="43"/>
    </row>
    <row r="52" spans="1:27">
      <c r="A52" t="s">
        <v>218</v>
      </c>
      <c r="B52" s="59">
        <f>+bncvar!B61/bncvar!B62</f>
        <v>0.61396471215017712</v>
      </c>
      <c r="C52" s="59">
        <v>0.81269999999999998</v>
      </c>
      <c r="D52" s="59"/>
      <c r="E52" s="57">
        <v>0</v>
      </c>
      <c r="F52" s="59">
        <v>0.73760000000000003</v>
      </c>
      <c r="G52" s="59"/>
      <c r="H52" s="57">
        <v>0</v>
      </c>
      <c r="I52" s="59">
        <v>0.62770000000000004</v>
      </c>
      <c r="J52" s="59"/>
      <c r="K52" s="57">
        <v>0</v>
      </c>
      <c r="L52" s="59">
        <f>+bncvar!J61/bncvar!J62</f>
        <v>0.71589704861322578</v>
      </c>
      <c r="M52" s="59"/>
      <c r="N52" s="59">
        <f>+B52</f>
        <v>0.61396471215017712</v>
      </c>
      <c r="O52" s="59">
        <f>+C52</f>
        <v>0.81269999999999998</v>
      </c>
      <c r="P52" s="59"/>
      <c r="Q52" s="59">
        <f>+bncvar!J61/bncvar!J62</f>
        <v>0.71589704861322578</v>
      </c>
      <c r="R52" s="59">
        <v>0.70169999999999999</v>
      </c>
      <c r="S52" s="59">
        <v>0.60299999999999998</v>
      </c>
      <c r="T52" s="59">
        <v>0.68669999999999998</v>
      </c>
      <c r="U52" s="43"/>
      <c r="V52" s="43"/>
      <c r="W52" s="43"/>
      <c r="X52" s="43"/>
      <c r="Y52" s="43"/>
      <c r="Z52" s="43"/>
      <c r="AA52" s="43"/>
    </row>
    <row r="53" spans="1:27">
      <c r="B53" s="57"/>
      <c r="C53" s="59"/>
      <c r="D53" s="59"/>
      <c r="E53" s="57"/>
      <c r="F53" s="57"/>
      <c r="G53" s="59"/>
      <c r="H53" s="57"/>
      <c r="I53" s="59"/>
      <c r="J53" s="59"/>
      <c r="K53" s="57"/>
      <c r="L53" s="59"/>
      <c r="M53" s="59"/>
      <c r="N53" s="59"/>
      <c r="O53" s="353"/>
      <c r="P53" s="59"/>
      <c r="Q53" s="59"/>
      <c r="R53" s="59"/>
      <c r="S53" s="59"/>
      <c r="T53" s="59"/>
      <c r="U53" s="43"/>
      <c r="V53" s="43"/>
      <c r="W53" s="43"/>
      <c r="X53" s="43"/>
      <c r="Y53" s="43"/>
      <c r="Z53" s="43"/>
      <c r="AA53" s="43"/>
    </row>
    <row r="54" spans="1:27">
      <c r="A54" t="s">
        <v>219</v>
      </c>
      <c r="B54" s="57"/>
      <c r="C54" s="59"/>
      <c r="D54" s="59"/>
      <c r="E54" s="57"/>
      <c r="F54" s="57"/>
      <c r="G54" s="59"/>
      <c r="H54" s="57"/>
      <c r="I54" s="59"/>
      <c r="J54" s="59"/>
      <c r="K54" s="57"/>
      <c r="L54" s="59"/>
      <c r="M54" s="59"/>
      <c r="N54" s="59"/>
      <c r="O54" s="353"/>
      <c r="P54" s="59"/>
      <c r="Q54" s="59"/>
      <c r="R54" s="59"/>
      <c r="S54" s="59"/>
      <c r="T54" s="59"/>
      <c r="U54" s="43"/>
      <c r="V54" s="43"/>
      <c r="W54" s="43"/>
      <c r="X54" s="43"/>
      <c r="Y54" s="43"/>
      <c r="Z54" s="43"/>
      <c r="AA54" s="43"/>
    </row>
    <row r="55" spans="1:27">
      <c r="A55" t="s">
        <v>220</v>
      </c>
      <c r="B55" s="59">
        <f>+(bncvar!B62-bncvar!B61)/bncvar!B51</f>
        <v>1.6128666201117319</v>
      </c>
      <c r="C55" s="59">
        <v>0.42130000000000001</v>
      </c>
      <c r="D55" s="59"/>
      <c r="E55" s="57">
        <v>0</v>
      </c>
      <c r="F55" s="59">
        <v>0.65549999999999997</v>
      </c>
      <c r="G55" s="59"/>
      <c r="H55" s="57">
        <v>0</v>
      </c>
      <c r="I55" s="59">
        <v>0.9133</v>
      </c>
      <c r="J55" s="59"/>
      <c r="K55" s="57">
        <v>0</v>
      </c>
      <c r="L55" s="59">
        <f>+(bncvar!J62-bncvar!J61)/bncvar!J51</f>
        <v>0.98492462311557794</v>
      </c>
      <c r="M55" s="59"/>
      <c r="N55" s="59">
        <f>+B55</f>
        <v>1.6128666201117319</v>
      </c>
      <c r="O55" s="59">
        <f>+C55</f>
        <v>0.42130000000000001</v>
      </c>
      <c r="P55" s="59"/>
      <c r="Q55" s="58">
        <f>+(bncvar!J62-bncvar!J61)/bncvar!J51</f>
        <v>0.98492462311557794</v>
      </c>
      <c r="R55" s="58">
        <v>0.53820000000000001</v>
      </c>
      <c r="S55" s="59">
        <v>0.42380000000000001</v>
      </c>
      <c r="T55" s="59">
        <v>0.2485</v>
      </c>
      <c r="U55" s="43"/>
      <c r="V55" s="43"/>
      <c r="W55" s="43"/>
      <c r="X55" s="43"/>
      <c r="Y55" s="43"/>
      <c r="Z55" s="43"/>
      <c r="AA55" s="43"/>
    </row>
    <row r="56" spans="1:27">
      <c r="A56" t="s">
        <v>0</v>
      </c>
      <c r="B56" s="57"/>
      <c r="C56" s="59"/>
      <c r="D56" s="59"/>
      <c r="E56" s="57"/>
      <c r="F56" s="59"/>
      <c r="G56" s="59"/>
      <c r="H56" s="57"/>
      <c r="I56" s="59"/>
      <c r="J56" s="59"/>
      <c r="K56" s="57"/>
      <c r="L56" s="59"/>
      <c r="M56" s="59"/>
      <c r="N56" s="59"/>
      <c r="O56" s="353"/>
      <c r="P56" s="59"/>
      <c r="Q56" s="59"/>
      <c r="R56" s="59"/>
      <c r="S56" s="59"/>
      <c r="T56" s="59"/>
      <c r="U56" s="43"/>
      <c r="V56" s="43"/>
      <c r="W56" s="43"/>
      <c r="X56" s="43"/>
      <c r="Y56" s="43"/>
      <c r="Z56" s="43"/>
      <c r="AA56" s="43"/>
    </row>
    <row r="57" spans="1:27">
      <c r="A57" s="2" t="s">
        <v>221</v>
      </c>
      <c r="B57" s="57"/>
      <c r="C57" s="59"/>
      <c r="D57" s="59"/>
      <c r="E57" s="57"/>
      <c r="F57" s="59"/>
      <c r="G57" s="59"/>
      <c r="H57" s="57"/>
      <c r="I57" s="59"/>
      <c r="J57" s="59"/>
      <c r="K57" s="57"/>
      <c r="L57" s="59"/>
      <c r="M57" s="59"/>
      <c r="N57" s="59"/>
      <c r="O57" s="353"/>
      <c r="P57" s="59"/>
      <c r="Q57" s="59"/>
      <c r="R57" s="59"/>
      <c r="S57" s="59"/>
      <c r="T57" s="59"/>
      <c r="U57" s="43"/>
      <c r="V57" s="43"/>
      <c r="W57" s="43"/>
      <c r="X57" s="43"/>
      <c r="Y57" s="43"/>
      <c r="Z57" s="43"/>
      <c r="AA57" s="43"/>
    </row>
    <row r="58" spans="1:27">
      <c r="A58" s="2"/>
      <c r="B58" s="57"/>
      <c r="C58" s="59"/>
      <c r="D58" s="59"/>
      <c r="E58" s="57"/>
      <c r="F58" s="59"/>
      <c r="G58" s="59"/>
      <c r="H58" s="57"/>
      <c r="I58" s="59"/>
      <c r="J58" s="59"/>
      <c r="K58" s="57"/>
      <c r="L58" s="59"/>
      <c r="M58" s="59"/>
      <c r="N58" s="59"/>
      <c r="O58" s="353"/>
      <c r="P58" s="59"/>
      <c r="Q58" s="59"/>
      <c r="R58" s="59"/>
      <c r="S58" s="59"/>
      <c r="T58" s="59"/>
      <c r="U58" s="43"/>
      <c r="V58" s="43"/>
      <c r="W58" s="43"/>
      <c r="X58" s="43"/>
      <c r="Y58" s="43"/>
      <c r="Z58" s="43"/>
      <c r="AA58" s="43"/>
    </row>
    <row r="59" spans="1:27">
      <c r="A59" t="s">
        <v>222</v>
      </c>
      <c r="B59" s="59">
        <f>+('bncrésult '!B41/((bncvar!B22+bncvar!J22)/2)*4)</f>
        <v>-2.6988324160118885E-3</v>
      </c>
      <c r="C59" s="59">
        <v>-2.7E-2</v>
      </c>
      <c r="D59" s="59"/>
      <c r="E59" s="364">
        <v>0</v>
      </c>
      <c r="F59" s="59">
        <v>-8.9999999999999993E-3</v>
      </c>
      <c r="G59" s="59"/>
      <c r="H59" s="364">
        <v>0</v>
      </c>
      <c r="I59" s="59">
        <v>3.9899999999999998E-2</v>
      </c>
      <c r="J59" s="59"/>
      <c r="K59" s="364">
        <v>0</v>
      </c>
      <c r="L59" s="59">
        <v>8.4900000000000003E-2</v>
      </c>
      <c r="M59" s="59"/>
      <c r="N59" s="59">
        <f>+'sysratfinclé '!C37</f>
        <v>-2.6988324160118885E-3</v>
      </c>
      <c r="O59" s="59">
        <f>+'sysratfinclé '!C38</f>
        <v>-2.7E-2</v>
      </c>
      <c r="P59" s="59"/>
      <c r="Q59" s="59">
        <f>+'BNCVARAN '!F43/((bncvar!J22+bncvar!L22)/2)</f>
        <v>2.1831370092740388E-2</v>
      </c>
      <c r="R59" s="59">
        <v>-3.8600000000000002E-2</v>
      </c>
      <c r="S59" s="59">
        <v>8.6E-3</v>
      </c>
      <c r="T59" s="59">
        <v>2.1299999999999999E-2</v>
      </c>
      <c r="U59" s="43"/>
      <c r="V59" s="43"/>
      <c r="W59" s="43"/>
      <c r="X59" s="43"/>
      <c r="Y59" s="43"/>
      <c r="Z59" s="43"/>
      <c r="AA59" s="43"/>
    </row>
    <row r="60" spans="1:27" ht="7.15" customHeight="1">
      <c r="B60" s="57"/>
      <c r="C60" s="59"/>
      <c r="D60" s="59"/>
      <c r="E60" s="57"/>
      <c r="F60" s="59"/>
      <c r="G60" s="59"/>
      <c r="H60" s="57"/>
      <c r="I60" s="59"/>
      <c r="J60" s="59"/>
      <c r="K60" s="57"/>
      <c r="L60" s="59"/>
      <c r="M60" s="59"/>
      <c r="N60" s="59"/>
      <c r="O60" s="59"/>
      <c r="P60" s="59"/>
      <c r="Q60" s="59"/>
      <c r="R60" s="59"/>
      <c r="S60" s="59"/>
      <c r="T60" s="59"/>
      <c r="U60" s="43"/>
      <c r="V60" s="43"/>
      <c r="W60" s="43"/>
      <c r="X60" s="43"/>
      <c r="Y60" s="43"/>
      <c r="Z60" s="43"/>
      <c r="AA60" s="43"/>
    </row>
    <row r="61" spans="1:27">
      <c r="A61" t="s">
        <v>223</v>
      </c>
      <c r="B61" s="59">
        <f>+('bncrésult '!B41/((bncvar!J51+bncvar!B51)/2)*4)</f>
        <v>-0.10765565642907733</v>
      </c>
      <c r="C61" s="59">
        <v>-0.49759999999999999</v>
      </c>
      <c r="D61" s="59"/>
      <c r="E61" s="57">
        <v>0</v>
      </c>
      <c r="F61" s="59">
        <v>-0.1956</v>
      </c>
      <c r="G61" s="59"/>
      <c r="H61" s="57">
        <v>0</v>
      </c>
      <c r="I61" s="59">
        <v>0.91149999999999998</v>
      </c>
      <c r="J61" s="59"/>
      <c r="K61" s="57">
        <v>0</v>
      </c>
      <c r="L61" s="59">
        <v>2.5522999999999998</v>
      </c>
      <c r="M61" s="59"/>
      <c r="N61" s="59">
        <f>+'sysratfinclé '!C43</f>
        <v>-0.10765565642907733</v>
      </c>
      <c r="O61" s="59">
        <f>+'sysratfinclé '!C44</f>
        <v>-0.49759999999999999</v>
      </c>
      <c r="P61" s="59"/>
      <c r="Q61" s="59">
        <f>+'BNCVARAN '!F43/((bncvar!J51+bncvar!L51)/2)</f>
        <v>0.50955595820199062</v>
      </c>
      <c r="R61" s="59">
        <v>-0.56120000000000003</v>
      </c>
      <c r="S61" s="59">
        <v>0.1171</v>
      </c>
      <c r="T61" s="59">
        <v>0.32640000000000002</v>
      </c>
      <c r="U61" s="43"/>
      <c r="V61" s="43"/>
      <c r="W61" s="43"/>
      <c r="X61" s="43"/>
      <c r="Y61" s="43"/>
      <c r="Z61" s="43"/>
      <c r="AA61" s="43"/>
    </row>
    <row r="62" spans="1:27" ht="7.15" customHeight="1">
      <c r="B62" s="57"/>
      <c r="C62" s="59"/>
      <c r="D62" s="59"/>
      <c r="E62" s="57"/>
      <c r="F62" s="59"/>
      <c r="G62" s="59"/>
      <c r="H62" s="57"/>
      <c r="I62" s="59"/>
      <c r="J62" s="59"/>
      <c r="K62" s="57"/>
      <c r="L62" s="59"/>
      <c r="M62" s="59"/>
      <c r="N62" s="59"/>
      <c r="O62" s="59"/>
      <c r="P62" s="59"/>
      <c r="Q62" s="59"/>
      <c r="R62" s="59"/>
      <c r="S62" s="59"/>
      <c r="T62" s="59"/>
      <c r="U62" s="43"/>
      <c r="V62" s="43"/>
      <c r="W62" s="43"/>
      <c r="X62" s="43"/>
      <c r="Y62" s="43"/>
      <c r="Z62" s="43"/>
      <c r="AA62" s="43"/>
    </row>
    <row r="63" spans="1:27">
      <c r="A63" t="s">
        <v>201</v>
      </c>
      <c r="B63" s="57"/>
      <c r="C63" s="59"/>
      <c r="D63" s="59"/>
      <c r="E63" s="57"/>
      <c r="F63" s="59"/>
      <c r="G63" s="59"/>
      <c r="H63" s="57"/>
      <c r="I63" s="59"/>
      <c r="J63" s="59"/>
      <c r="K63" s="57"/>
      <c r="L63" s="59"/>
      <c r="M63" s="59"/>
      <c r="N63" s="59"/>
      <c r="O63" s="59"/>
      <c r="P63" s="59"/>
      <c r="Q63" s="59"/>
      <c r="R63" s="59"/>
      <c r="S63" s="59"/>
      <c r="T63" s="59"/>
      <c r="U63" s="43"/>
      <c r="V63" s="43"/>
      <c r="W63" s="43"/>
      <c r="X63" s="43"/>
      <c r="Y63" s="43"/>
      <c r="Z63" s="43"/>
      <c r="AA63" s="43"/>
    </row>
    <row r="64" spans="1:27">
      <c r="A64" t="s">
        <v>225</v>
      </c>
      <c r="B64" s="59">
        <f>+'bncrésult '!B15/'bncrésult '!B13</f>
        <v>0.67314820836313971</v>
      </c>
      <c r="C64" s="59">
        <v>0.62080000000000002</v>
      </c>
      <c r="D64" s="59"/>
      <c r="E64" s="57">
        <v>0</v>
      </c>
      <c r="F64" s="59">
        <v>0.67810000000000004</v>
      </c>
      <c r="G64" s="59"/>
      <c r="H64" s="57">
        <v>0</v>
      </c>
      <c r="I64" s="59">
        <v>0.80459999999999998</v>
      </c>
      <c r="J64" s="59"/>
      <c r="K64" s="57">
        <v>0</v>
      </c>
      <c r="L64" s="59">
        <v>0.85309999999999997</v>
      </c>
      <c r="M64" s="59"/>
      <c r="N64" s="59">
        <f>+'sysratfinclé '!C50</f>
        <v>0.67314820836313971</v>
      </c>
      <c r="O64" s="59">
        <f>+'sysratfinclé '!C51</f>
        <v>0.62075163398692812</v>
      </c>
      <c r="P64" s="59"/>
      <c r="Q64" s="59">
        <f>+'BNCVARAN '!F17/'BNCVARAN '!F15</f>
        <v>0.76001178865410579</v>
      </c>
      <c r="R64" s="59">
        <v>0.70099999999999996</v>
      </c>
      <c r="S64" s="59">
        <v>0.60629999999999995</v>
      </c>
      <c r="T64" s="59">
        <v>0.60899999999999999</v>
      </c>
      <c r="U64" s="43"/>
      <c r="V64" s="43"/>
      <c r="W64" s="43"/>
      <c r="X64" s="43"/>
      <c r="Y64" s="43"/>
      <c r="Z64" s="43"/>
      <c r="AA64" s="43"/>
    </row>
    <row r="65" spans="1:27" ht="7.15" customHeight="1">
      <c r="B65" s="57"/>
      <c r="C65" s="59"/>
      <c r="D65" s="59"/>
      <c r="E65" s="57"/>
      <c r="F65" s="59"/>
      <c r="G65" s="59"/>
      <c r="H65" s="57"/>
      <c r="I65" s="59"/>
      <c r="J65" s="59"/>
      <c r="K65" s="57"/>
      <c r="L65" s="59"/>
      <c r="M65" s="59"/>
      <c r="N65" s="59"/>
      <c r="O65" s="59"/>
      <c r="P65" s="59"/>
      <c r="Q65" s="59"/>
      <c r="R65" s="59"/>
      <c r="S65" s="59"/>
      <c r="T65" s="59"/>
      <c r="U65" s="43"/>
      <c r="V65" s="43"/>
      <c r="W65" s="43"/>
      <c r="X65" s="43"/>
      <c r="Y65" s="43"/>
      <c r="Z65" s="43"/>
      <c r="AA65" s="43"/>
    </row>
    <row r="66" spans="1:27">
      <c r="A66" t="s">
        <v>226</v>
      </c>
      <c r="B66" s="59">
        <f>+('bncrésult '!B10/((bncvar!B60+bncvar!J60)/2)*4)</f>
        <v>0.1127149112257257</v>
      </c>
      <c r="C66" s="56">
        <v>0.1145</v>
      </c>
      <c r="D66" s="56"/>
      <c r="E66" s="49">
        <v>0</v>
      </c>
      <c r="F66" s="56">
        <v>0.1143</v>
      </c>
      <c r="G66" s="56"/>
      <c r="H66" s="49">
        <v>0</v>
      </c>
      <c r="I66" s="56">
        <v>0.18529999999999999</v>
      </c>
      <c r="J66" s="56"/>
      <c r="K66" s="49">
        <v>0</v>
      </c>
      <c r="L66" s="56">
        <v>0.25829999999999997</v>
      </c>
      <c r="M66" s="56"/>
      <c r="N66" s="56">
        <f>+'sysratfinclé '!C56</f>
        <v>0.1127149112257257</v>
      </c>
      <c r="O66" s="56">
        <f>+'sysratfinclé '!C57</f>
        <v>0.1183</v>
      </c>
      <c r="P66" s="56"/>
      <c r="Q66" s="56">
        <f>+'BNCVARAN '!F12/((bncvar!J60+bncvar!L60)/2)</f>
        <v>0.17484935653809508</v>
      </c>
      <c r="R66" s="56">
        <v>0.1177</v>
      </c>
      <c r="S66" s="56">
        <v>0.13109999999999999</v>
      </c>
      <c r="T66" s="56">
        <v>0.12709999999999999</v>
      </c>
    </row>
    <row r="67" spans="1:27" ht="7.15" customHeight="1">
      <c r="B67" s="9"/>
      <c r="C67" s="56"/>
      <c r="D67" s="56"/>
      <c r="E67" s="49"/>
      <c r="F67" s="56"/>
      <c r="G67" s="56"/>
      <c r="H67" s="49"/>
      <c r="I67" s="56"/>
      <c r="J67" s="56"/>
      <c r="K67" s="49"/>
      <c r="L67" s="56"/>
      <c r="M67" s="56"/>
      <c r="N67" s="56"/>
      <c r="O67" s="56"/>
      <c r="P67" s="56"/>
      <c r="Q67" s="56"/>
      <c r="R67" s="56"/>
      <c r="S67" s="56"/>
      <c r="T67" s="56"/>
    </row>
    <row r="68" spans="1:27">
      <c r="A68" t="s">
        <v>227</v>
      </c>
      <c r="B68" s="59">
        <f>+('bncrésult '!B14/((bncvar!J29+bncvar!B29)/2)*4)</f>
        <v>2.7606378413635661E-2</v>
      </c>
      <c r="C68" s="56">
        <v>3.39E-2</v>
      </c>
      <c r="D68" s="56"/>
      <c r="E68" s="49">
        <v>0</v>
      </c>
      <c r="F68" s="56">
        <v>2.4400000000000002E-2</v>
      </c>
      <c r="G68" s="56"/>
      <c r="H68" s="49">
        <v>0</v>
      </c>
      <c r="I68" s="56">
        <v>2.1499999999999998E-2</v>
      </c>
      <c r="J68" s="56"/>
      <c r="K68" s="49">
        <v>0</v>
      </c>
      <c r="L68" s="56">
        <v>2.0899999999999998E-2</v>
      </c>
      <c r="M68" s="56"/>
      <c r="N68" s="56">
        <f>+'sysratfinclé '!C62</f>
        <v>2.7606378413635661E-2</v>
      </c>
      <c r="O68" s="56">
        <f>+'sysratfinclé '!C63</f>
        <v>3.39E-2</v>
      </c>
      <c r="P68" s="56"/>
      <c r="Q68" s="56">
        <f>+'BNCVARAN '!F16/((bncvar!J29+bncvar!L29)/2)</f>
        <v>2.4950796729567994E-2</v>
      </c>
      <c r="R68" s="56">
        <v>2.4899999999999999E-2</v>
      </c>
      <c r="S68" s="56">
        <v>2.8000000000000001E-2</v>
      </c>
      <c r="T68" s="56">
        <v>2.1399999999999999E-2</v>
      </c>
    </row>
    <row r="69" spans="1:27" ht="6" customHeight="1">
      <c r="B69" s="9"/>
      <c r="C69" s="56"/>
      <c r="D69" s="56"/>
      <c r="E69" s="49">
        <v>0</v>
      </c>
      <c r="F69" s="56"/>
      <c r="G69" s="56"/>
      <c r="H69" s="49"/>
      <c r="I69" s="56"/>
      <c r="J69" s="56"/>
      <c r="K69" s="49"/>
      <c r="L69" s="56"/>
      <c r="M69" s="56"/>
      <c r="N69" s="56"/>
      <c r="O69" s="56"/>
      <c r="P69" s="56"/>
      <c r="Q69" s="56"/>
      <c r="R69" s="56"/>
      <c r="S69" s="56"/>
      <c r="T69" s="56"/>
    </row>
    <row r="70" spans="1:27">
      <c r="A70" t="s">
        <v>204</v>
      </c>
      <c r="B70" s="9"/>
      <c r="C70" s="56"/>
      <c r="D70" s="56"/>
      <c r="E70" s="49"/>
      <c r="F70" s="56"/>
      <c r="G70" s="56"/>
      <c r="H70" s="49"/>
      <c r="I70" s="56"/>
      <c r="J70" s="56"/>
      <c r="K70" s="49"/>
      <c r="L70" s="56"/>
      <c r="M70" s="56"/>
      <c r="N70" s="56"/>
      <c r="O70" s="56"/>
      <c r="P70" s="56"/>
      <c r="Q70" s="56"/>
      <c r="R70" s="56"/>
      <c r="S70" s="56"/>
      <c r="T70" s="56"/>
    </row>
    <row r="71" spans="1:27">
      <c r="A71" t="s">
        <v>228</v>
      </c>
      <c r="B71" s="59">
        <f>+'bncrésult '!B35/'bncrésult '!B23</f>
        <v>1.0404020877633868</v>
      </c>
      <c r="C71" s="56">
        <v>1.4446000000000001</v>
      </c>
      <c r="D71" s="56"/>
      <c r="E71" s="49">
        <v>0</v>
      </c>
      <c r="F71" s="56">
        <v>1.1460999999999999</v>
      </c>
      <c r="G71" s="56"/>
      <c r="H71" s="49">
        <v>0</v>
      </c>
      <c r="I71" s="56">
        <v>0.60409999999999997</v>
      </c>
      <c r="J71" s="56"/>
      <c r="K71" s="49">
        <v>0</v>
      </c>
      <c r="L71" s="56">
        <v>0.6542</v>
      </c>
      <c r="M71" s="56"/>
      <c r="N71" s="56">
        <f>+'sysratfinclé '!C70</f>
        <v>1.0404020877633868</v>
      </c>
      <c r="O71" s="56">
        <f>+'sysratfinclé '!C71</f>
        <v>1.4446258907363421</v>
      </c>
      <c r="P71" s="56"/>
      <c r="Q71" s="56">
        <f>+'BNCVARAN '!F37/'BNCVARAN '!F25</f>
        <v>0.80567190598569716</v>
      </c>
      <c r="R71" s="56">
        <v>1.2786999999999999</v>
      </c>
      <c r="S71" s="56">
        <v>0.876</v>
      </c>
      <c r="T71" s="56">
        <v>0.65069999999999995</v>
      </c>
    </row>
    <row r="72" spans="1:27">
      <c r="A72" t="s">
        <v>452</v>
      </c>
      <c r="B72" s="9"/>
      <c r="C72" s="56"/>
      <c r="D72" s="56"/>
      <c r="E72" s="49"/>
      <c r="F72" s="56"/>
      <c r="G72" s="56"/>
      <c r="H72" s="49"/>
      <c r="I72" s="56"/>
      <c r="J72" s="56"/>
      <c r="K72" s="49"/>
      <c r="L72" s="56"/>
      <c r="M72" s="56"/>
      <c r="N72" s="56"/>
      <c r="O72" s="56"/>
      <c r="P72" s="56"/>
      <c r="Q72" s="56"/>
      <c r="R72" s="56"/>
      <c r="S72" s="56"/>
      <c r="T72" s="56"/>
    </row>
    <row r="73" spans="1:27">
      <c r="B73" s="9"/>
      <c r="C73" s="56"/>
      <c r="D73" s="56"/>
      <c r="E73" s="49"/>
      <c r="F73" s="56"/>
      <c r="G73" s="56"/>
      <c r="H73" s="49"/>
      <c r="I73" s="56"/>
      <c r="J73" s="56"/>
      <c r="K73" s="49"/>
      <c r="L73" s="56"/>
      <c r="M73" s="56"/>
      <c r="N73" s="56"/>
      <c r="O73" s="56"/>
      <c r="P73" s="56"/>
      <c r="Q73" s="56"/>
      <c r="R73" s="56"/>
      <c r="S73" s="56"/>
      <c r="T73" s="56"/>
    </row>
    <row r="74" spans="1:27">
      <c r="A74" t="s">
        <v>590</v>
      </c>
      <c r="B74" s="49">
        <f>+('bncrésult '!B23/((316+233)/2)*4)</f>
        <v>452.28415300546447</v>
      </c>
      <c r="C74" s="49">
        <v>216.64</v>
      </c>
      <c r="D74" s="56"/>
      <c r="E74" s="49">
        <v>0</v>
      </c>
      <c r="F74" s="49">
        <v>232</v>
      </c>
      <c r="G74" s="56"/>
      <c r="H74" s="49">
        <v>0</v>
      </c>
      <c r="I74" s="49">
        <v>391.53</v>
      </c>
      <c r="J74" s="56"/>
      <c r="K74" s="49">
        <v>0</v>
      </c>
      <c r="L74" s="49">
        <v>1184.67</v>
      </c>
      <c r="M74" s="56"/>
      <c r="N74" s="49">
        <f>+'sysratfinclé '!C76</f>
        <v>452.28415300546447</v>
      </c>
      <c r="O74" s="49">
        <f>+'sysratfinclé '!C77</f>
        <v>216.64</v>
      </c>
      <c r="P74" s="56"/>
      <c r="Q74" s="49">
        <v>491.94</v>
      </c>
      <c r="R74" s="49">
        <v>319.47000000000003</v>
      </c>
      <c r="S74" s="49">
        <v>312.47000000000003</v>
      </c>
      <c r="T74" s="49">
        <v>272.26</v>
      </c>
    </row>
    <row r="75" spans="1:27" ht="16.5" thickBot="1">
      <c r="B75" s="19"/>
      <c r="C75" s="19"/>
      <c r="D75" s="19"/>
      <c r="E75" s="19"/>
      <c r="F75" s="19"/>
      <c r="G75" s="19"/>
      <c r="H75" s="19"/>
      <c r="I75" s="19"/>
      <c r="J75" s="19"/>
      <c r="K75" s="19"/>
      <c r="L75" s="19"/>
      <c r="M75" s="19"/>
      <c r="N75" s="19"/>
      <c r="O75" s="19"/>
      <c r="P75" s="19"/>
      <c r="Q75" s="19"/>
      <c r="R75" s="19"/>
      <c r="S75" s="19"/>
      <c r="T75" s="19"/>
    </row>
  </sheetData>
  <pageMargins left="0.2" right="0.2" top="0.41" bottom="0.42" header="0.34" footer="0.2"/>
  <pageSetup scale="43"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4"/>
  <sheetViews>
    <sheetView topLeftCell="A6" workbookViewId="0">
      <pane xSplit="1" ySplit="2" topLeftCell="B8" activePane="bottomRight" state="frozen"/>
      <selection activeCell="A6" sqref="A6"/>
      <selection pane="topRight" activeCell="B6" sqref="B6"/>
      <selection pane="bottomLeft" activeCell="A8" sqref="A8"/>
      <selection pane="bottomRight" activeCell="B8" sqref="B8"/>
    </sheetView>
  </sheetViews>
  <sheetFormatPr defaultRowHeight="15.75"/>
  <cols>
    <col min="1" max="1" width="33.25" customWidth="1"/>
    <col min="2" max="2" width="16.37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11.3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8" width="15.75" style="12" customWidth="1"/>
    <col min="19" max="21" width="15.75" customWidth="1"/>
    <col min="22" max="256" width="11" customWidth="1"/>
  </cols>
  <sheetData>
    <row r="1" spans="1:21">
      <c r="A1" s="114" t="s">
        <v>584</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6" spans="1:21" s="2" customFormat="1" ht="16.5" thickBot="1">
      <c r="B6" s="400" t="s">
        <v>0</v>
      </c>
      <c r="C6" s="399"/>
      <c r="D6" s="400"/>
      <c r="E6" s="399"/>
      <c r="F6" s="400"/>
      <c r="G6" s="399"/>
      <c r="H6" s="400"/>
      <c r="I6" s="506" t="s">
        <v>166</v>
      </c>
      <c r="J6" s="123" t="s">
        <v>167</v>
      </c>
      <c r="K6" s="230"/>
      <c r="L6" s="123"/>
      <c r="M6" s="230"/>
      <c r="N6" s="123"/>
      <c r="O6" s="230"/>
      <c r="P6" s="123"/>
      <c r="Q6" s="4"/>
      <c r="R6" s="4"/>
    </row>
    <row r="7" spans="1:21" s="2" customFormat="1" ht="16.5" thickBot="1">
      <c r="B7" s="223" t="s">
        <v>168</v>
      </c>
      <c r="C7" s="224" t="s">
        <v>169</v>
      </c>
      <c r="D7" s="225" t="s">
        <v>170</v>
      </c>
      <c r="E7" s="224" t="s">
        <v>169</v>
      </c>
      <c r="F7" s="225" t="s">
        <v>171</v>
      </c>
      <c r="G7" s="224" t="s">
        <v>169</v>
      </c>
      <c r="H7" s="225" t="s">
        <v>172</v>
      </c>
      <c r="I7" s="445" t="s">
        <v>173</v>
      </c>
      <c r="J7" s="228" t="s">
        <v>174</v>
      </c>
      <c r="K7" s="227" t="s">
        <v>169</v>
      </c>
      <c r="L7" s="228" t="s">
        <v>175</v>
      </c>
      <c r="M7" s="227" t="s">
        <v>169</v>
      </c>
      <c r="N7" s="228" t="s">
        <v>176</v>
      </c>
      <c r="O7" s="227" t="s">
        <v>169</v>
      </c>
      <c r="P7" s="228" t="s">
        <v>177</v>
      </c>
      <c r="Q7" s="80"/>
      <c r="R7" s="80"/>
      <c r="S7" s="18"/>
      <c r="T7" s="18"/>
      <c r="U7" s="18"/>
    </row>
    <row r="8" spans="1:21">
      <c r="A8" s="87" t="s">
        <v>243</v>
      </c>
      <c r="B8" s="125"/>
      <c r="C8" s="124"/>
      <c r="D8" s="125"/>
      <c r="E8" s="124"/>
      <c r="F8" s="125"/>
      <c r="G8" s="124"/>
      <c r="H8" s="125"/>
      <c r="I8" s="124"/>
      <c r="J8" s="219"/>
      <c r="K8" s="124"/>
      <c r="L8" s="219"/>
      <c r="M8" s="124"/>
      <c r="N8" s="219"/>
      <c r="O8" s="124"/>
      <c r="P8" s="219"/>
      <c r="Q8" s="14"/>
      <c r="R8" s="14"/>
      <c r="S8" s="9"/>
      <c r="T8" s="9"/>
      <c r="U8" s="9"/>
    </row>
    <row r="9" spans="1:21">
      <c r="A9" s="1" t="s">
        <v>264</v>
      </c>
      <c r="B9"/>
    </row>
    <row r="10" spans="1:21">
      <c r="A10" s="1" t="s">
        <v>265</v>
      </c>
      <c r="B10" s="12">
        <v>247065</v>
      </c>
      <c r="C10" s="44">
        <v>0</v>
      </c>
      <c r="D10" s="12">
        <v>0</v>
      </c>
      <c r="E10" s="44">
        <v>0</v>
      </c>
      <c r="F10" s="12">
        <v>0</v>
      </c>
      <c r="G10" s="44">
        <v>0</v>
      </c>
      <c r="H10" s="12">
        <v>0</v>
      </c>
      <c r="I10" s="47">
        <f>+(B10-J10)/ABS(J10)</f>
        <v>0.25278252447860944</v>
      </c>
      <c r="J10" s="12">
        <v>197213</v>
      </c>
      <c r="K10" s="47">
        <f t="shared" ref="K10:K15" si="0">+(J10-L10)/L10</f>
        <v>0.36272111663902706</v>
      </c>
      <c r="L10" s="12">
        <v>144720</v>
      </c>
      <c r="M10" s="47">
        <f t="shared" ref="M10:M15" si="1">+(L10-N10)/N10</f>
        <v>-0.43237776530514987</v>
      </c>
      <c r="N10" s="16">
        <v>254958.3</v>
      </c>
      <c r="O10" s="47">
        <f t="shared" ref="O10:O15" si="2">+(N10-P10)/P10</f>
        <v>0.46979858605241476</v>
      </c>
      <c r="P10" s="16">
        <f>173464787.91/1000</f>
        <v>173464.78790999998</v>
      </c>
    </row>
    <row r="11" spans="1:21">
      <c r="A11" s="1" t="s">
        <v>266</v>
      </c>
      <c r="B11" s="12">
        <v>371963</v>
      </c>
      <c r="C11" s="44">
        <v>0</v>
      </c>
      <c r="D11" s="12">
        <v>0</v>
      </c>
      <c r="E11" s="44">
        <v>0</v>
      </c>
      <c r="F11" s="12">
        <v>0</v>
      </c>
      <c r="G11" s="44">
        <v>0</v>
      </c>
      <c r="H11" s="12">
        <v>0</v>
      </c>
      <c r="I11" s="47">
        <f>+(B11-J11)/ABS(J11)</f>
        <v>-2.4584489350654801E-2</v>
      </c>
      <c r="J11" s="12">
        <v>381338</v>
      </c>
      <c r="K11" s="47">
        <f t="shared" si="0"/>
        <v>-0.27531626926738795</v>
      </c>
      <c r="L11" s="12">
        <v>526213</v>
      </c>
      <c r="M11" s="47">
        <f t="shared" si="1"/>
        <v>0.55710762715325035</v>
      </c>
      <c r="N11" s="12">
        <v>337942.6</v>
      </c>
      <c r="O11" s="47">
        <f t="shared" si="2"/>
        <v>-0.66217828131661061</v>
      </c>
      <c r="P11" s="12">
        <f>1000357825.77/1000</f>
        <v>1000357.82577</v>
      </c>
    </row>
    <row r="12" spans="1:21">
      <c r="A12" s="1" t="s">
        <v>267</v>
      </c>
      <c r="B12" s="12">
        <v>38433</v>
      </c>
      <c r="C12" s="44">
        <v>0</v>
      </c>
      <c r="D12" s="12">
        <v>0</v>
      </c>
      <c r="E12" s="44">
        <v>0</v>
      </c>
      <c r="F12" s="3">
        <v>0</v>
      </c>
      <c r="G12" s="44">
        <v>0</v>
      </c>
      <c r="H12" s="3">
        <v>0</v>
      </c>
      <c r="I12" s="47">
        <f>+(B12-J12)/ABS(J12)</f>
        <v>-0.24763619990995048</v>
      </c>
      <c r="J12" s="3">
        <v>51083</v>
      </c>
      <c r="K12" s="47">
        <f t="shared" si="0"/>
        <v>-8.5746501055947305E-2</v>
      </c>
      <c r="L12" s="3">
        <v>55874</v>
      </c>
      <c r="M12" s="47">
        <f t="shared" si="1"/>
        <v>-3.735889625515143E-2</v>
      </c>
      <c r="N12" s="12">
        <v>58042.400000000001</v>
      </c>
      <c r="O12" s="47">
        <f t="shared" si="2"/>
        <v>1.0393474799768323</v>
      </c>
      <c r="P12" s="12">
        <f>28461260.56/1000</f>
        <v>28461.260559999999</v>
      </c>
    </row>
    <row r="13" spans="1:21">
      <c r="A13" s="1" t="s">
        <v>268</v>
      </c>
      <c r="B13" s="12">
        <f>+B75</f>
        <v>0</v>
      </c>
      <c r="C13" s="44">
        <v>0</v>
      </c>
      <c r="D13" s="12">
        <f>+D75</f>
        <v>0</v>
      </c>
      <c r="E13" s="44">
        <v>0</v>
      </c>
      <c r="F13" s="12">
        <f>+F75</f>
        <v>0</v>
      </c>
      <c r="G13" s="44">
        <v>0</v>
      </c>
      <c r="H13" s="12">
        <f>+H75</f>
        <v>0</v>
      </c>
      <c r="I13" s="44">
        <v>0</v>
      </c>
      <c r="J13" s="12">
        <f>+J75</f>
        <v>0</v>
      </c>
      <c r="K13" s="44">
        <v>0</v>
      </c>
      <c r="L13" s="12">
        <f>+L75</f>
        <v>0</v>
      </c>
      <c r="M13" s="44">
        <v>0</v>
      </c>
      <c r="N13" s="12">
        <v>0</v>
      </c>
      <c r="O13" s="44">
        <v>0</v>
      </c>
      <c r="P13" s="12">
        <v>0</v>
      </c>
    </row>
    <row r="14" spans="1:21">
      <c r="A14" s="1" t="s">
        <v>269</v>
      </c>
      <c r="B14" s="221">
        <v>18877</v>
      </c>
      <c r="C14" s="44">
        <v>0</v>
      </c>
      <c r="D14" s="221">
        <v>0</v>
      </c>
      <c r="E14" s="44">
        <v>0</v>
      </c>
      <c r="F14" s="221">
        <v>0</v>
      </c>
      <c r="G14" s="44">
        <v>0</v>
      </c>
      <c r="H14" s="221">
        <v>0</v>
      </c>
      <c r="I14" s="47">
        <f>+(B14-J14)/ABS(J14)</f>
        <v>-0.20356931904480635</v>
      </c>
      <c r="J14" s="221">
        <v>23702</v>
      </c>
      <c r="K14" s="47">
        <f t="shared" si="0"/>
        <v>0.69712158098238575</v>
      </c>
      <c r="L14" s="221">
        <f>7984+5982</f>
        <v>13966</v>
      </c>
      <c r="M14" s="47">
        <f t="shared" si="1"/>
        <v>0.46100092057912784</v>
      </c>
      <c r="N14" s="221">
        <v>9559.2000000000007</v>
      </c>
      <c r="O14" s="47">
        <f t="shared" si="2"/>
        <v>-0.26344005989676583</v>
      </c>
      <c r="P14" s="221">
        <f>12978169.84/1000</f>
        <v>12978.16984</v>
      </c>
    </row>
    <row r="15" spans="1:21" ht="15.6" customHeight="1">
      <c r="A15" s="1"/>
      <c r="B15" s="12">
        <f>SUM(B10:B14)</f>
        <v>676338</v>
      </c>
      <c r="C15" s="44">
        <v>0</v>
      </c>
      <c r="D15" s="3">
        <f>SUM(D10:D14)</f>
        <v>0</v>
      </c>
      <c r="E15" s="44">
        <v>0</v>
      </c>
      <c r="F15" s="3">
        <f>SUM(F10:F14)</f>
        <v>0</v>
      </c>
      <c r="G15" s="44">
        <v>0</v>
      </c>
      <c r="H15" s="3">
        <f>SUM(H10:H14)</f>
        <v>0</v>
      </c>
      <c r="I15" s="47">
        <f>+(B15-J15)/ABS(J15)</f>
        <v>3.5206999155105487E-2</v>
      </c>
      <c r="J15" s="3">
        <f>SUM(J10:J14)</f>
        <v>653336</v>
      </c>
      <c r="K15" s="47">
        <f t="shared" si="0"/>
        <v>-0.11803480958404261</v>
      </c>
      <c r="L15" s="3">
        <f>SUM(L10:L14)</f>
        <v>740773</v>
      </c>
      <c r="M15" s="47">
        <f t="shared" si="1"/>
        <v>0.12152944159938854</v>
      </c>
      <c r="N15" s="12">
        <f>SUM(N10:N14)</f>
        <v>660502.49999999988</v>
      </c>
      <c r="O15" s="47">
        <f t="shared" si="2"/>
        <v>-0.45649376344998455</v>
      </c>
      <c r="P15" s="12">
        <f>SUM(P10:P14)</f>
        <v>1215262.0440800001</v>
      </c>
    </row>
    <row r="16" spans="1:21" ht="7.9" customHeight="1">
      <c r="A16" s="1"/>
      <c r="C16" s="44" t="s">
        <v>0</v>
      </c>
      <c r="D16" s="3"/>
      <c r="E16" s="44" t="s">
        <v>0</v>
      </c>
      <c r="F16" s="3"/>
      <c r="G16" s="44" t="s">
        <v>0</v>
      </c>
      <c r="H16" s="3"/>
      <c r="I16" s="47" t="s">
        <v>0</v>
      </c>
      <c r="J16" s="3"/>
      <c r="K16" s="47" t="s">
        <v>0</v>
      </c>
      <c r="L16" s="3"/>
      <c r="M16" s="47" t="s">
        <v>0</v>
      </c>
      <c r="O16" s="47" t="s">
        <v>0</v>
      </c>
    </row>
    <row r="17" spans="1:16" ht="16.149999999999999" customHeight="1">
      <c r="A17" s="1" t="s">
        <v>270</v>
      </c>
      <c r="B17" s="12">
        <v>389000</v>
      </c>
      <c r="C17" s="44">
        <v>0</v>
      </c>
      <c r="D17" s="12">
        <v>0</v>
      </c>
      <c r="E17" s="44">
        <v>0</v>
      </c>
      <c r="F17" s="12">
        <v>0</v>
      </c>
      <c r="G17" s="44">
        <v>0</v>
      </c>
      <c r="H17" s="12">
        <v>0</v>
      </c>
      <c r="I17" s="47">
        <f t="shared" ref="I17:I22" si="3">+(B17-J17)/ABS(J17)</f>
        <v>-0.21727389980703488</v>
      </c>
      <c r="J17" s="12">
        <v>496981</v>
      </c>
      <c r="K17" s="44">
        <v>0</v>
      </c>
      <c r="L17" s="12">
        <f>207868-7868</f>
        <v>200000</v>
      </c>
      <c r="M17" s="44">
        <v>0</v>
      </c>
      <c r="N17" s="12">
        <v>90000</v>
      </c>
      <c r="O17" s="44">
        <v>0</v>
      </c>
      <c r="P17" s="12">
        <v>0</v>
      </c>
    </row>
    <row r="18" spans="1:16">
      <c r="A18" s="1" t="s">
        <v>271</v>
      </c>
      <c r="B18" s="12">
        <v>197209</v>
      </c>
      <c r="C18" s="44">
        <v>0</v>
      </c>
      <c r="D18" s="12">
        <v>0</v>
      </c>
      <c r="E18" s="44">
        <v>0</v>
      </c>
      <c r="F18" s="12">
        <v>0</v>
      </c>
      <c r="G18" s="44">
        <v>0</v>
      </c>
      <c r="H18" s="12">
        <v>0</v>
      </c>
      <c r="I18" s="47">
        <f t="shared" si="3"/>
        <v>2.4348091292634576E-3</v>
      </c>
      <c r="J18" s="12">
        <v>196730</v>
      </c>
      <c r="K18" s="47">
        <f>+(J18-L18)/L18</f>
        <v>2.080259284774848</v>
      </c>
      <c r="L18" s="12">
        <f>30000+34000-8000+7868</f>
        <v>63868</v>
      </c>
      <c r="M18" s="47">
        <f>+(L18-N18)/N18</f>
        <v>-7.4316871494394942E-4</v>
      </c>
      <c r="N18" s="12">
        <v>63915.5</v>
      </c>
      <c r="O18" s="47">
        <f>+(N18-P18)/P18</f>
        <v>0.93529671946714732</v>
      </c>
      <c r="P18" s="12">
        <f>33026201.8/1000</f>
        <v>33026.201800000003</v>
      </c>
    </row>
    <row r="19" spans="1:16">
      <c r="A19" s="1" t="s">
        <v>272</v>
      </c>
      <c r="B19" s="12">
        <v>345925</v>
      </c>
      <c r="C19" s="44">
        <v>0</v>
      </c>
      <c r="D19" s="12">
        <v>0</v>
      </c>
      <c r="E19" s="44">
        <v>0</v>
      </c>
      <c r="F19" s="3">
        <v>0</v>
      </c>
      <c r="G19" s="44">
        <v>0</v>
      </c>
      <c r="H19" s="3">
        <v>0</v>
      </c>
      <c r="I19" s="47">
        <f t="shared" si="3"/>
        <v>-3.5230102884618066E-2</v>
      </c>
      <c r="J19" s="3">
        <v>358557</v>
      </c>
      <c r="K19" s="47">
        <f>+(J19-L19)/L19</f>
        <v>-0.39649162376014313</v>
      </c>
      <c r="L19" s="3">
        <v>594121</v>
      </c>
      <c r="M19" s="47">
        <f>+(L19-N19)/N19</f>
        <v>-0.17000622228853374</v>
      </c>
      <c r="N19" s="12">
        <v>715813.8</v>
      </c>
      <c r="O19" s="47">
        <f>+(N19-P19)/P19</f>
        <v>0.13876023663477727</v>
      </c>
      <c r="P19" s="12">
        <f>628590441.58/1000</f>
        <v>628590.4415800001</v>
      </c>
    </row>
    <row r="20" spans="1:16">
      <c r="A20" s="1" t="s">
        <v>273</v>
      </c>
      <c r="B20" s="12">
        <v>149576</v>
      </c>
      <c r="C20" s="44">
        <v>0</v>
      </c>
      <c r="D20" s="12">
        <v>0</v>
      </c>
      <c r="E20" s="44">
        <v>0</v>
      </c>
      <c r="F20" s="3">
        <v>0</v>
      </c>
      <c r="G20" s="44">
        <v>0</v>
      </c>
      <c r="H20" s="3">
        <v>0</v>
      </c>
      <c r="I20" s="47">
        <f t="shared" si="3"/>
        <v>1.0956033929235241E-2</v>
      </c>
      <c r="J20" s="3">
        <v>147955</v>
      </c>
      <c r="K20" s="47">
        <f>+(J20-L20)/L20</f>
        <v>9.5078788237645165E-2</v>
      </c>
      <c r="L20" s="3">
        <v>135109</v>
      </c>
      <c r="M20" s="47">
        <f>+(L20-N20)/N20</f>
        <v>0.14980511633448504</v>
      </c>
      <c r="N20" s="12">
        <v>117506</v>
      </c>
      <c r="O20" s="47">
        <f>+(N20-P20)/P20</f>
        <v>9.3905714065585788E-2</v>
      </c>
      <c r="P20" s="12">
        <f>107418764.24/1000</f>
        <v>107418.76423999999</v>
      </c>
    </row>
    <row r="21" spans="1:16" ht="16.5" thickBot="1">
      <c r="A21" s="1" t="s">
        <v>274</v>
      </c>
      <c r="B21" s="99">
        <v>54686</v>
      </c>
      <c r="C21" s="44">
        <v>0</v>
      </c>
      <c r="D21" s="99">
        <v>0</v>
      </c>
      <c r="E21" s="44">
        <v>0</v>
      </c>
      <c r="F21" s="99">
        <v>0</v>
      </c>
      <c r="G21" s="44">
        <v>0</v>
      </c>
      <c r="H21" s="99">
        <v>0</v>
      </c>
      <c r="I21" s="47">
        <f t="shared" si="3"/>
        <v>7.5014743463731076E-2</v>
      </c>
      <c r="J21" s="99">
        <v>50870</v>
      </c>
      <c r="K21" s="47">
        <f>+(J21-L21)/L21</f>
        <v>-0.58698687970901531</v>
      </c>
      <c r="L21" s="99">
        <v>123168</v>
      </c>
      <c r="M21" s="47">
        <f>+(L21-N21)/N21</f>
        <v>-0.32060459836307015</v>
      </c>
      <c r="N21" s="99">
        <v>181290.6</v>
      </c>
      <c r="O21" s="47">
        <f>+(N21-P21)/P21</f>
        <v>-7.6750876882286198E-2</v>
      </c>
      <c r="P21" s="99">
        <f>196361518.75/1000</f>
        <v>196361.51874999999</v>
      </c>
    </row>
    <row r="22" spans="1:16">
      <c r="A22" s="1" t="s">
        <v>275</v>
      </c>
      <c r="B22" s="4">
        <f>SUM(B15:B21)</f>
        <v>1812734</v>
      </c>
      <c r="C22" s="44">
        <v>0</v>
      </c>
      <c r="D22" s="4">
        <f>SUM(D15:D21)</f>
        <v>0</v>
      </c>
      <c r="E22" s="44">
        <v>0</v>
      </c>
      <c r="F22" s="4">
        <f>SUM(F15:F21)</f>
        <v>0</v>
      </c>
      <c r="G22" s="44">
        <v>0</v>
      </c>
      <c r="H22" s="4">
        <f>SUM(H15:H21)</f>
        <v>0</v>
      </c>
      <c r="I22" s="47">
        <f t="shared" si="3"/>
        <v>-4.8148290117405269E-2</v>
      </c>
      <c r="J22" s="4">
        <f>SUM(J15:J21)</f>
        <v>1904429</v>
      </c>
      <c r="K22" s="112">
        <f>+(J22-L22)/L22</f>
        <v>2.5519119415370384E-2</v>
      </c>
      <c r="L22" s="4">
        <f>SUM(L15:L21)</f>
        <v>1857039</v>
      </c>
      <c r="M22" s="112">
        <f>+(L22-N22)/N22</f>
        <v>1.5314469693308259E-2</v>
      </c>
      <c r="N22" s="4">
        <f>SUM(N15:N21)</f>
        <v>1829028.4</v>
      </c>
      <c r="O22" s="112">
        <f>+(N22-P22)/P22</f>
        <v>-0.16124968425367203</v>
      </c>
      <c r="P22" s="4">
        <f>SUM(P15:P21)</f>
        <v>2180658.9704499999</v>
      </c>
    </row>
    <row r="23" spans="1:16" ht="7.9" customHeight="1">
      <c r="A23" s="1"/>
      <c r="C23" s="44" t="s">
        <v>0</v>
      </c>
      <c r="D23" s="3"/>
      <c r="E23" s="44" t="s">
        <v>0</v>
      </c>
      <c r="F23" s="3"/>
      <c r="G23" s="44" t="s">
        <v>0</v>
      </c>
      <c r="H23" s="3"/>
      <c r="I23" s="47" t="s">
        <v>0</v>
      </c>
      <c r="J23" s="3"/>
      <c r="K23" s="47" t="s">
        <v>0</v>
      </c>
      <c r="L23" s="3"/>
      <c r="M23" s="47" t="s">
        <v>0</v>
      </c>
      <c r="O23" s="47" t="s">
        <v>0</v>
      </c>
    </row>
    <row r="24" spans="1:16">
      <c r="A24" s="87" t="s">
        <v>276</v>
      </c>
      <c r="C24" s="44" t="s">
        <v>0</v>
      </c>
      <c r="D24" s="3"/>
      <c r="E24" s="44" t="s">
        <v>0</v>
      </c>
      <c r="F24" s="3"/>
      <c r="G24" s="44" t="s">
        <v>0</v>
      </c>
      <c r="H24" s="3"/>
      <c r="I24" s="47" t="s">
        <v>0</v>
      </c>
      <c r="J24" s="3"/>
      <c r="K24" s="47" t="s">
        <v>0</v>
      </c>
      <c r="L24" s="3"/>
      <c r="M24" s="47" t="s">
        <v>0</v>
      </c>
      <c r="O24" s="47" t="s">
        <v>0</v>
      </c>
    </row>
    <row r="25" spans="1:16">
      <c r="A25" s="1" t="s">
        <v>277</v>
      </c>
      <c r="C25" s="44" t="s">
        <v>0</v>
      </c>
      <c r="D25" s="3"/>
      <c r="E25" s="44" t="s">
        <v>0</v>
      </c>
      <c r="F25" s="3"/>
      <c r="G25" s="44" t="s">
        <v>0</v>
      </c>
      <c r="H25" s="3"/>
      <c r="I25" s="47" t="s">
        <v>0</v>
      </c>
      <c r="J25" s="3"/>
      <c r="K25" s="47" t="s">
        <v>0</v>
      </c>
      <c r="L25" s="3"/>
      <c r="M25" s="47" t="s">
        <v>0</v>
      </c>
      <c r="O25" s="47" t="s">
        <v>0</v>
      </c>
    </row>
    <row r="26" spans="1:16">
      <c r="A26" s="1" t="s">
        <v>278</v>
      </c>
      <c r="B26" s="12">
        <v>371222</v>
      </c>
      <c r="C26" s="44">
        <v>0</v>
      </c>
      <c r="D26" s="3">
        <v>0</v>
      </c>
      <c r="E26" s="44">
        <v>0</v>
      </c>
      <c r="F26" s="3">
        <v>0</v>
      </c>
      <c r="G26" s="44">
        <v>0</v>
      </c>
      <c r="H26" s="3">
        <v>0</v>
      </c>
      <c r="I26" s="47">
        <f>+(B26-J26)/ABS(J26)</f>
        <v>1.273482215444382E-2</v>
      </c>
      <c r="J26" s="3">
        <v>366554</v>
      </c>
      <c r="K26" s="47">
        <f>+(J26-L26)/L26</f>
        <v>8.9653532305771486E-2</v>
      </c>
      <c r="L26" s="3">
        <v>336395</v>
      </c>
      <c r="M26" s="47">
        <f>+(L26-N26)/N26</f>
        <v>1.5170444943386206E-2</v>
      </c>
      <c r="N26" s="12">
        <v>331368</v>
      </c>
      <c r="O26" s="47">
        <f>+(N26-P26)/P26</f>
        <v>4.2166145334705959E-2</v>
      </c>
      <c r="P26" s="12">
        <f>317960817.94/1000</f>
        <v>317960.81793999998</v>
      </c>
    </row>
    <row r="27" spans="1:16">
      <c r="A27" s="1" t="s">
        <v>279</v>
      </c>
      <c r="B27" s="12">
        <v>967287</v>
      </c>
      <c r="C27" s="44">
        <v>0</v>
      </c>
      <c r="D27" s="3">
        <v>0</v>
      </c>
      <c r="E27" s="44">
        <v>0</v>
      </c>
      <c r="F27" s="3">
        <v>0</v>
      </c>
      <c r="G27" s="44">
        <v>0</v>
      </c>
      <c r="H27" s="3">
        <v>0</v>
      </c>
      <c r="I27" s="47">
        <f>+(B27-J27)/ABS(J27)</f>
        <v>9.8006157225344216E-3</v>
      </c>
      <c r="J27" s="3">
        <v>957899</v>
      </c>
      <c r="K27" s="47">
        <f>+(J27-L27)/L27</f>
        <v>4.3286808872140328E-2</v>
      </c>
      <c r="L27" s="3">
        <v>918155</v>
      </c>
      <c r="M27" s="47">
        <f>+(L27-N27)/N27</f>
        <v>-3.0653828693292792E-2</v>
      </c>
      <c r="N27" s="12">
        <v>947190</v>
      </c>
      <c r="O27" s="47">
        <f>+(N27-P27)/P27</f>
        <v>-4.0534793124363648E-4</v>
      </c>
      <c r="P27" s="12">
        <f>947574097.2/1000</f>
        <v>947574.09720000008</v>
      </c>
    </row>
    <row r="28" spans="1:16">
      <c r="A28" s="1" t="s">
        <v>280</v>
      </c>
      <c r="B28" s="221">
        <v>134230</v>
      </c>
      <c r="C28" s="44">
        <v>0</v>
      </c>
      <c r="D28" s="221">
        <v>0</v>
      </c>
      <c r="E28" s="44">
        <v>0</v>
      </c>
      <c r="F28" s="221">
        <v>0</v>
      </c>
      <c r="G28" s="44">
        <v>0</v>
      </c>
      <c r="H28" s="221">
        <v>0</v>
      </c>
      <c r="I28" s="47">
        <f>+(B28-J28)/ABS(J28)</f>
        <v>0.15957428428272777</v>
      </c>
      <c r="J28" s="221">
        <v>115758</v>
      </c>
      <c r="K28" s="47">
        <f>+(J28-L28)/L28</f>
        <v>3.3895126068433319E-2</v>
      </c>
      <c r="L28" s="221">
        <v>111963</v>
      </c>
      <c r="M28" s="47">
        <f>+(L28-N28)/N28</f>
        <v>9.4168694479462897E-2</v>
      </c>
      <c r="N28" s="221">
        <v>102327</v>
      </c>
      <c r="O28" s="47">
        <f>+(N28-P28)/P28</f>
        <v>1.5751041363176042E-2</v>
      </c>
      <c r="P28" s="221">
        <f>100740236.37/1000</f>
        <v>100740.23637</v>
      </c>
    </row>
    <row r="29" spans="1:16">
      <c r="A29" s="1"/>
      <c r="B29" s="12">
        <f>SUM(B26:B28)</f>
        <v>1472739</v>
      </c>
      <c r="C29" s="44">
        <v>0</v>
      </c>
      <c r="D29" s="3">
        <f>SUM(D26:D28)</f>
        <v>0</v>
      </c>
      <c r="E29" s="44">
        <v>0</v>
      </c>
      <c r="F29" s="3">
        <f>SUM(F26:F28)</f>
        <v>0</v>
      </c>
      <c r="G29" s="44">
        <v>0</v>
      </c>
      <c r="H29" s="3">
        <f>SUM(H26:H28)</f>
        <v>0</v>
      </c>
      <c r="I29" s="47">
        <f>+(B29-J29)/ABS(J29)</f>
        <v>2.2585579474118721E-2</v>
      </c>
      <c r="J29" s="3">
        <f>SUM(J26:J28)</f>
        <v>1440211</v>
      </c>
      <c r="K29" s="47">
        <f>+(J29-L29)/L29</f>
        <v>5.3931429851014956E-2</v>
      </c>
      <c r="L29" s="3">
        <f>SUM(L26:L28)</f>
        <v>1366513</v>
      </c>
      <c r="M29" s="47">
        <f>+(L29-N29)/N29</f>
        <v>-1.040781817457645E-2</v>
      </c>
      <c r="N29" s="3">
        <f>SUM(N26:N28)</f>
        <v>1380885</v>
      </c>
      <c r="O29" s="47">
        <f>+(N29-P29)/P29</f>
        <v>1.0693196369598789E-2</v>
      </c>
      <c r="P29" s="3">
        <f>SUM(P26:P28)</f>
        <v>1366275.1515100002</v>
      </c>
    </row>
    <row r="30" spans="1:16" ht="7.9" customHeight="1">
      <c r="A30" s="1"/>
      <c r="C30" s="44" t="s">
        <v>0</v>
      </c>
      <c r="D30" s="3"/>
      <c r="E30" s="44" t="s">
        <v>0</v>
      </c>
      <c r="F30" s="3"/>
      <c r="G30" s="44" t="s">
        <v>0</v>
      </c>
      <c r="H30" s="3"/>
      <c r="I30" s="47" t="s">
        <v>0</v>
      </c>
      <c r="J30" s="3"/>
      <c r="K30" s="47" t="s">
        <v>0</v>
      </c>
      <c r="L30" s="3"/>
      <c r="M30" s="47" t="s">
        <v>0</v>
      </c>
      <c r="O30" s="47" t="s">
        <v>0</v>
      </c>
    </row>
    <row r="31" spans="1:16">
      <c r="A31" s="1" t="s">
        <v>281</v>
      </c>
      <c r="C31" s="44" t="s">
        <v>0</v>
      </c>
      <c r="D31" s="3"/>
      <c r="E31" s="44" t="s">
        <v>0</v>
      </c>
      <c r="F31" s="3"/>
      <c r="G31" s="44" t="s">
        <v>0</v>
      </c>
      <c r="H31" s="3"/>
      <c r="I31" s="47" t="s">
        <v>0</v>
      </c>
      <c r="J31" s="3"/>
      <c r="K31" s="47" t="s">
        <v>0</v>
      </c>
      <c r="L31" s="3"/>
      <c r="M31" s="47" t="s">
        <v>0</v>
      </c>
      <c r="O31" s="47" t="s">
        <v>0</v>
      </c>
    </row>
    <row r="32" spans="1:16">
      <c r="A32" s="1" t="s">
        <v>282</v>
      </c>
      <c r="B32" s="12">
        <v>3000</v>
      </c>
      <c r="C32" s="44">
        <v>0</v>
      </c>
      <c r="D32" s="3">
        <v>0</v>
      </c>
      <c r="E32" s="44">
        <v>0</v>
      </c>
      <c r="F32" s="3">
        <v>0</v>
      </c>
      <c r="G32" s="44">
        <v>0</v>
      </c>
      <c r="H32" s="3">
        <v>0</v>
      </c>
      <c r="I32" s="47">
        <f>+(B32-J32)/ABS(J32)</f>
        <v>0</v>
      </c>
      <c r="J32" s="3">
        <v>3000</v>
      </c>
      <c r="K32" s="47">
        <f>+(J32-L32)/L32</f>
        <v>-0.98662857295673456</v>
      </c>
      <c r="L32" s="3">
        <v>224359</v>
      </c>
      <c r="M32" s="47">
        <f>+(L32-N32)/N32</f>
        <v>0.70896440987297715</v>
      </c>
      <c r="N32" s="12">
        <v>131283.6</v>
      </c>
      <c r="O32" s="47">
        <f>+(N32-P32)/P32</f>
        <v>-0.73976886498803585</v>
      </c>
      <c r="P32" s="12">
        <f>504488442.53/1000</f>
        <v>504488.44253</v>
      </c>
    </row>
    <row r="33" spans="1:21">
      <c r="A33" s="1" t="s">
        <v>283</v>
      </c>
      <c r="B33" s="12">
        <v>0</v>
      </c>
      <c r="C33" s="44">
        <v>0</v>
      </c>
      <c r="D33" s="3">
        <v>0</v>
      </c>
      <c r="E33" s="44">
        <v>0</v>
      </c>
      <c r="F33" s="3">
        <v>0</v>
      </c>
      <c r="G33" s="44">
        <v>0</v>
      </c>
      <c r="H33" s="3">
        <f>+H141</f>
        <v>0</v>
      </c>
      <c r="I33" s="44">
        <v>0</v>
      </c>
      <c r="J33" s="3">
        <f>+J141</f>
        <v>0</v>
      </c>
      <c r="K33" s="44">
        <v>0</v>
      </c>
      <c r="L33" s="3">
        <f>+L141</f>
        <v>0</v>
      </c>
      <c r="M33" s="47">
        <f>+(L33-N33)/N33</f>
        <v>-1</v>
      </c>
      <c r="N33" s="12">
        <v>17.7</v>
      </c>
      <c r="O33" s="47">
        <f>+(N33-P33)/P33</f>
        <v>-0.33538625135691968</v>
      </c>
      <c r="P33" s="12">
        <f>26632.01/1000</f>
        <v>26.632009999999998</v>
      </c>
    </row>
    <row r="34" spans="1:21" ht="18">
      <c r="A34" s="1" t="s">
        <v>284</v>
      </c>
      <c r="B34" s="221">
        <v>362458</v>
      </c>
      <c r="C34" s="44">
        <v>0</v>
      </c>
      <c r="D34" s="221">
        <v>0</v>
      </c>
      <c r="E34" s="44">
        <v>0</v>
      </c>
      <c r="F34" s="221">
        <v>0</v>
      </c>
      <c r="G34" s="44">
        <v>0</v>
      </c>
      <c r="H34" s="221">
        <v>0</v>
      </c>
      <c r="I34" s="47">
        <f>+(B34-J34)/ABS(J34)</f>
        <v>-0.10432100900972141</v>
      </c>
      <c r="J34" s="221">
        <v>404674</v>
      </c>
      <c r="K34" s="47">
        <f>+(J34-L34)/L34</f>
        <v>2.6302097350054723</v>
      </c>
      <c r="L34" s="221">
        <f>335833-224359</f>
        <v>111474</v>
      </c>
      <c r="M34" s="47">
        <f>+(L34-N34)/N34</f>
        <v>-0.15955197818999908</v>
      </c>
      <c r="N34" s="221">
        <v>132636.4</v>
      </c>
      <c r="O34" s="47">
        <f>+(N34-P34)/P34</f>
        <v>0.25184671337254133</v>
      </c>
      <c r="P34" s="221">
        <f>105952588.75/1000</f>
        <v>105952.58875</v>
      </c>
      <c r="Q34" s="6"/>
      <c r="R34" s="6"/>
      <c r="S34" s="7"/>
      <c r="T34" s="7"/>
      <c r="U34" s="7"/>
    </row>
    <row r="35" spans="1:21">
      <c r="A35" s="1"/>
      <c r="B35" s="12">
        <f>SUM(B32:B34)</f>
        <v>365458</v>
      </c>
      <c r="C35" s="44">
        <v>0</v>
      </c>
      <c r="D35" s="3">
        <f>SUM(D32:D34)</f>
        <v>0</v>
      </c>
      <c r="E35" s="44">
        <v>0</v>
      </c>
      <c r="F35" s="3">
        <f>SUM(F32:F34)</f>
        <v>0</v>
      </c>
      <c r="G35" s="44">
        <v>0</v>
      </c>
      <c r="H35" s="3">
        <f>SUM(H32:H34)</f>
        <v>0</v>
      </c>
      <c r="I35" s="47">
        <f>+(B35-J35)/ABS(J35)</f>
        <v>-0.10355332937592292</v>
      </c>
      <c r="J35" s="3">
        <f>SUM(J32:J34)</f>
        <v>407674</v>
      </c>
      <c r="K35" s="47">
        <f>+(J35-L35)/L35</f>
        <v>0.21391882274821117</v>
      </c>
      <c r="L35" s="3">
        <f>SUM(L32:L34)</f>
        <v>335833</v>
      </c>
      <c r="M35" s="47">
        <f>+(L35-N35)/N35</f>
        <v>0.27239496290223025</v>
      </c>
      <c r="N35" s="3">
        <f>SUM(N32:N34)</f>
        <v>263937.7</v>
      </c>
      <c r="O35" s="47">
        <f>+(N35-P35)/P35</f>
        <v>-0.56764671436066294</v>
      </c>
      <c r="P35" s="3">
        <f>SUM(P32:P34)</f>
        <v>610467.66329000005</v>
      </c>
    </row>
    <row r="36" spans="1:21" ht="7.15" customHeight="1">
      <c r="A36" s="1"/>
      <c r="C36" s="44" t="s">
        <v>0</v>
      </c>
      <c r="D36" s="3"/>
      <c r="E36" s="44" t="s">
        <v>0</v>
      </c>
      <c r="F36" s="3"/>
      <c r="G36" s="44" t="s">
        <v>0</v>
      </c>
      <c r="H36" s="3"/>
      <c r="I36" s="47" t="s">
        <v>0</v>
      </c>
      <c r="J36" s="3"/>
      <c r="K36" s="47" t="s">
        <v>0</v>
      </c>
      <c r="L36" s="3"/>
      <c r="M36" s="47" t="s">
        <v>0</v>
      </c>
      <c r="O36" s="47" t="s">
        <v>0</v>
      </c>
    </row>
    <row r="37" spans="1:21">
      <c r="A37" s="1" t="s">
        <v>285</v>
      </c>
      <c r="C37" s="44" t="s">
        <v>0</v>
      </c>
      <c r="D37" s="3"/>
      <c r="E37" s="44" t="s">
        <v>0</v>
      </c>
      <c r="F37" s="3"/>
      <c r="G37" s="44" t="s">
        <v>0</v>
      </c>
      <c r="H37" s="3"/>
      <c r="I37" s="47" t="s">
        <v>0</v>
      </c>
      <c r="J37" s="3"/>
      <c r="K37" s="47" t="s">
        <v>0</v>
      </c>
      <c r="L37" s="3"/>
      <c r="M37" s="47" t="s">
        <v>0</v>
      </c>
      <c r="O37" s="47" t="s">
        <v>0</v>
      </c>
    </row>
    <row r="38" spans="1:21">
      <c r="A38" s="1" t="s">
        <v>282</v>
      </c>
      <c r="B38" s="12">
        <v>0</v>
      </c>
      <c r="C38" s="44">
        <v>0</v>
      </c>
      <c r="D38" s="3">
        <v>0</v>
      </c>
      <c r="E38" s="44">
        <v>0</v>
      </c>
      <c r="F38" s="3">
        <v>0</v>
      </c>
      <c r="G38" s="44">
        <v>0</v>
      </c>
      <c r="H38" s="3">
        <v>0</v>
      </c>
      <c r="I38" s="47" t="e">
        <f>+(H38-J38)/ABS(J38)</f>
        <v>#DIV/0!</v>
      </c>
      <c r="J38" s="3">
        <v>0</v>
      </c>
      <c r="K38" s="44">
        <v>0</v>
      </c>
      <c r="L38" s="3">
        <v>3000</v>
      </c>
      <c r="M38" s="44">
        <v>0</v>
      </c>
      <c r="N38" s="12">
        <v>0</v>
      </c>
      <c r="O38" s="44">
        <v>0</v>
      </c>
      <c r="P38" s="12">
        <f>18000000/1000</f>
        <v>18000</v>
      </c>
    </row>
    <row r="39" spans="1:21">
      <c r="A39" s="1" t="s">
        <v>286</v>
      </c>
      <c r="B39" s="12">
        <f>+B148</f>
        <v>0</v>
      </c>
      <c r="C39" s="44">
        <v>0</v>
      </c>
      <c r="D39" s="3">
        <f>+D148</f>
        <v>0</v>
      </c>
      <c r="E39" s="44">
        <v>0</v>
      </c>
      <c r="F39" s="3">
        <v>0</v>
      </c>
      <c r="G39" s="44">
        <v>0</v>
      </c>
      <c r="H39" s="3">
        <f>+H148</f>
        <v>0</v>
      </c>
      <c r="I39" s="44">
        <v>0</v>
      </c>
      <c r="J39" s="3">
        <f>+J148</f>
        <v>0</v>
      </c>
      <c r="K39" s="44">
        <v>0</v>
      </c>
      <c r="L39" s="3">
        <f>+L148</f>
        <v>0</v>
      </c>
      <c r="M39" s="44">
        <v>0</v>
      </c>
      <c r="N39" s="12">
        <v>0</v>
      </c>
      <c r="O39" s="44">
        <v>0</v>
      </c>
      <c r="P39" s="12">
        <v>0</v>
      </c>
    </row>
    <row r="40" spans="1:21">
      <c r="A40" s="1" t="s">
        <v>284</v>
      </c>
      <c r="B40" s="221">
        <v>6638</v>
      </c>
      <c r="C40" s="44">
        <v>0</v>
      </c>
      <c r="D40" s="221">
        <v>0</v>
      </c>
      <c r="E40" s="44">
        <v>0</v>
      </c>
      <c r="F40" s="221">
        <v>0</v>
      </c>
      <c r="G40" s="44">
        <v>0</v>
      </c>
      <c r="H40" s="221">
        <v>0</v>
      </c>
      <c r="I40" s="47">
        <f>+(B40-J40)/ABS(J40)</f>
        <v>-0.10647462646385786</v>
      </c>
      <c r="J40" s="221">
        <v>7429</v>
      </c>
      <c r="K40" s="47">
        <f>+(J40-L40)/L40</f>
        <v>7.8698998112385649E-2</v>
      </c>
      <c r="L40" s="221">
        <v>6887</v>
      </c>
      <c r="M40" s="47">
        <f>+(L40-N40)/N40</f>
        <v>-0.2133817616959065</v>
      </c>
      <c r="N40" s="221">
        <v>8755.2000000000007</v>
      </c>
      <c r="O40" s="47">
        <f>+(N40-P40)/P40</f>
        <v>0.27821188062174379</v>
      </c>
      <c r="P40" s="221">
        <f>6849568.63/1000</f>
        <v>6849.5686299999998</v>
      </c>
    </row>
    <row r="41" spans="1:21">
      <c r="A41" s="1"/>
      <c r="B41" s="12">
        <f>SUM(B38:B40)</f>
        <v>6638</v>
      </c>
      <c r="C41" s="44">
        <v>0</v>
      </c>
      <c r="D41" s="3">
        <f>SUM(D38:D40)</f>
        <v>0</v>
      </c>
      <c r="E41" s="44">
        <v>0</v>
      </c>
      <c r="F41" s="3">
        <f>SUM(F38:F40)</f>
        <v>0</v>
      </c>
      <c r="G41" s="44">
        <v>0</v>
      </c>
      <c r="H41" s="3">
        <f>SUM(H38:H40)</f>
        <v>0</v>
      </c>
      <c r="I41" s="47">
        <f>+(B41-J41)/ABS(J41)</f>
        <v>-0.10647462646385786</v>
      </c>
      <c r="J41" s="3">
        <f>SUM(J38:J40)</f>
        <v>7429</v>
      </c>
      <c r="K41" s="47">
        <f>+(J41-L41)/L41</f>
        <v>-0.24860928491959139</v>
      </c>
      <c r="L41" s="3">
        <f>SUM(L38:L40)</f>
        <v>9887</v>
      </c>
      <c r="M41" s="47">
        <f>+(L41-N41)/N41</f>
        <v>0.12927174707602329</v>
      </c>
      <c r="N41" s="3">
        <f>SUM(N38:N40)</f>
        <v>8755.2000000000007</v>
      </c>
      <c r="O41" s="47">
        <f>+(N41-P41)/P41</f>
        <v>-0.64767195236418873</v>
      </c>
      <c r="P41" s="3">
        <f>SUM(P38:P40)</f>
        <v>24849.568630000002</v>
      </c>
    </row>
    <row r="42" spans="1:21" ht="8.4499999999999993" customHeight="1">
      <c r="A42" s="1"/>
      <c r="C42" s="44" t="s">
        <v>0</v>
      </c>
      <c r="D42" s="3"/>
      <c r="E42" s="44" t="s">
        <v>0</v>
      </c>
      <c r="F42" s="3"/>
      <c r="G42" s="44" t="s">
        <v>0</v>
      </c>
      <c r="H42" s="3"/>
      <c r="I42" s="47" t="s">
        <v>0</v>
      </c>
      <c r="J42" s="3"/>
      <c r="K42" s="47" t="s">
        <v>0</v>
      </c>
      <c r="L42" s="3"/>
      <c r="M42" s="47" t="s">
        <v>0</v>
      </c>
      <c r="O42" s="47" t="s">
        <v>0</v>
      </c>
    </row>
    <row r="43" spans="1:21" ht="18">
      <c r="A43" s="1" t="s">
        <v>287</v>
      </c>
      <c r="B43" s="221">
        <v>-77925</v>
      </c>
      <c r="C43" s="44">
        <v>0</v>
      </c>
      <c r="D43" s="221">
        <v>0</v>
      </c>
      <c r="E43" s="44">
        <v>0</v>
      </c>
      <c r="F43" s="221">
        <v>0</v>
      </c>
      <c r="G43" s="44">
        <v>0</v>
      </c>
      <c r="H43" s="221">
        <v>0</v>
      </c>
      <c r="I43" s="47">
        <f>+(B43-J43)/ABS(J43)</f>
        <v>-45.452367370222476</v>
      </c>
      <c r="J43" s="221">
        <v>1753</v>
      </c>
      <c r="K43" s="47">
        <f>+(J43-L43)/L43</f>
        <v>-0.94347349413130399</v>
      </c>
      <c r="L43" s="221">
        <v>31012</v>
      </c>
      <c r="M43" s="47">
        <f>+(L43-N43)/N43</f>
        <v>-0.12721173248977682</v>
      </c>
      <c r="N43" s="221">
        <v>35532.1</v>
      </c>
      <c r="O43" s="47">
        <f>+(N43-P43)/P43</f>
        <v>0.43793816939362762</v>
      </c>
      <c r="P43" s="221">
        <f>24710450.53/1000</f>
        <v>24710.450530000002</v>
      </c>
      <c r="Q43" s="6"/>
      <c r="R43" s="6"/>
    </row>
    <row r="44" spans="1:21">
      <c r="A44" s="1"/>
      <c r="B44" s="12">
        <f>+B29+B35+B41+B43</f>
        <v>1766910</v>
      </c>
      <c r="C44" s="44">
        <v>0</v>
      </c>
      <c r="D44" s="12">
        <f>+D29+D35+D41+D43</f>
        <v>0</v>
      </c>
      <c r="E44" s="44">
        <v>0</v>
      </c>
      <c r="F44" s="12">
        <f>+F29+F35+F41+F43</f>
        <v>0</v>
      </c>
      <c r="G44" s="44">
        <v>0</v>
      </c>
      <c r="H44" s="12">
        <f>+H29+H35+H41+H43</f>
        <v>0</v>
      </c>
      <c r="I44" s="47">
        <f>+(B44-J44)/ABS(J44)</f>
        <v>-4.8548059924601539E-2</v>
      </c>
      <c r="J44" s="12">
        <f>+J29+J35+J41+J43</f>
        <v>1857067</v>
      </c>
      <c r="K44" s="47">
        <f>+(J44-L44)/L44</f>
        <v>6.5293174510754365E-2</v>
      </c>
      <c r="L44" s="12">
        <f>+L29+L35+L41+L43</f>
        <v>1743245</v>
      </c>
      <c r="M44" s="47">
        <f>+(L44-N44)/N44</f>
        <v>3.2049422476925715E-2</v>
      </c>
      <c r="N44" s="12">
        <f>+N29+N35+N41+N43</f>
        <v>1689110</v>
      </c>
      <c r="O44" s="47">
        <f>+(N44-P44)/P44</f>
        <v>-0.16640791707378952</v>
      </c>
      <c r="P44" s="12">
        <f>+P29+P35+P41+P43</f>
        <v>2026302.8339600004</v>
      </c>
    </row>
    <row r="45" spans="1:21" ht="8.4499999999999993" customHeight="1">
      <c r="A45" s="1"/>
      <c r="C45" s="44" t="s">
        <v>0</v>
      </c>
      <c r="D45" s="3"/>
      <c r="E45" s="44" t="s">
        <v>0</v>
      </c>
      <c r="F45" s="3"/>
      <c r="G45" s="44" t="s">
        <v>0</v>
      </c>
      <c r="I45" s="47" t="s">
        <v>0</v>
      </c>
      <c r="K45" s="47" t="s">
        <v>0</v>
      </c>
      <c r="M45" s="47" t="s">
        <v>0</v>
      </c>
      <c r="O45" s="47" t="s">
        <v>0</v>
      </c>
    </row>
    <row r="46" spans="1:21">
      <c r="A46" s="87" t="s">
        <v>288</v>
      </c>
      <c r="C46" s="44" t="s">
        <v>0</v>
      </c>
      <c r="D46" s="3"/>
      <c r="E46" s="44" t="s">
        <v>0</v>
      </c>
      <c r="F46" s="3"/>
      <c r="G46" s="44" t="s">
        <v>0</v>
      </c>
      <c r="I46" s="47" t="s">
        <v>0</v>
      </c>
      <c r="K46" s="47" t="s">
        <v>0</v>
      </c>
      <c r="M46" s="47" t="s">
        <v>0</v>
      </c>
      <c r="O46" s="47" t="s">
        <v>0</v>
      </c>
    </row>
    <row r="47" spans="1:21">
      <c r="A47" s="1" t="s">
        <v>289</v>
      </c>
      <c r="B47" s="12">
        <v>25000</v>
      </c>
      <c r="C47" s="44">
        <v>0</v>
      </c>
      <c r="D47" s="3">
        <v>0</v>
      </c>
      <c r="E47" s="44">
        <v>0</v>
      </c>
      <c r="F47" s="3">
        <v>0</v>
      </c>
      <c r="G47" s="44">
        <v>0</v>
      </c>
      <c r="H47" s="3">
        <v>0</v>
      </c>
      <c r="I47" s="47">
        <f>+(B47-J47)/ABS(J47)</f>
        <v>0</v>
      </c>
      <c r="J47" s="3">
        <v>25000</v>
      </c>
      <c r="K47" s="47">
        <f t="shared" ref="K47:O51" si="4">+(J47-L47)/L47</f>
        <v>0</v>
      </c>
      <c r="L47" s="3">
        <v>25000</v>
      </c>
      <c r="M47" s="47">
        <f t="shared" si="4"/>
        <v>0</v>
      </c>
      <c r="N47" s="12">
        <f>25000000/1000</f>
        <v>25000</v>
      </c>
      <c r="O47" s="47">
        <f t="shared" si="4"/>
        <v>0</v>
      </c>
      <c r="P47" s="12">
        <f>25000000/1000</f>
        <v>25000</v>
      </c>
    </row>
    <row r="48" spans="1:21">
      <c r="A48" s="1" t="s">
        <v>290</v>
      </c>
      <c r="B48" s="12">
        <v>10079</v>
      </c>
      <c r="C48" s="44">
        <v>0</v>
      </c>
      <c r="D48" s="3">
        <v>0</v>
      </c>
      <c r="E48" s="44">
        <v>0</v>
      </c>
      <c r="F48" s="3">
        <v>0</v>
      </c>
      <c r="G48" s="44">
        <v>0</v>
      </c>
      <c r="H48" s="3">
        <v>0</v>
      </c>
      <c r="I48" s="47">
        <f>+(B48-J48)/ABS(J48)</f>
        <v>-8.3628492719401808E-3</v>
      </c>
      <c r="J48" s="3">
        <v>10164</v>
      </c>
      <c r="K48" s="47">
        <f t="shared" si="4"/>
        <v>-0.92454847114892102</v>
      </c>
      <c r="L48" s="3">
        <f>8111+126598</f>
        <v>134709</v>
      </c>
      <c r="M48" s="47">
        <f t="shared" si="4"/>
        <v>0.48102338805167738</v>
      </c>
      <c r="N48" s="12">
        <v>90956.7</v>
      </c>
      <c r="O48" s="47">
        <f t="shared" si="4"/>
        <v>0.15883547511406407</v>
      </c>
      <c r="P48" s="12">
        <f>78489744.19/1000</f>
        <v>78489.744189999998</v>
      </c>
    </row>
    <row r="49" spans="1:21">
      <c r="A49" s="1" t="s">
        <v>302</v>
      </c>
      <c r="B49" s="12">
        <f>+B162</f>
        <v>0</v>
      </c>
      <c r="C49" s="44">
        <v>0</v>
      </c>
      <c r="D49" s="12">
        <f>+D162</f>
        <v>0</v>
      </c>
      <c r="E49" s="44">
        <v>0</v>
      </c>
      <c r="F49" s="12">
        <v>0</v>
      </c>
      <c r="G49" s="44">
        <v>0</v>
      </c>
      <c r="H49" s="12">
        <f>+H162</f>
        <v>0</v>
      </c>
      <c r="I49" s="44">
        <v>0</v>
      </c>
      <c r="J49" s="12">
        <f>+J162</f>
        <v>0</v>
      </c>
      <c r="K49" s="44">
        <v>0</v>
      </c>
      <c r="L49" s="12">
        <f>+L162</f>
        <v>0</v>
      </c>
      <c r="M49" s="44">
        <v>0</v>
      </c>
      <c r="N49" s="12">
        <v>0</v>
      </c>
      <c r="O49" s="44">
        <v>0</v>
      </c>
      <c r="P49" s="12">
        <v>0</v>
      </c>
    </row>
    <row r="50" spans="1:21" ht="18">
      <c r="A50" s="1" t="s">
        <v>292</v>
      </c>
      <c r="B50" s="221">
        <v>10745</v>
      </c>
      <c r="C50" s="44">
        <v>0</v>
      </c>
      <c r="D50" s="221">
        <v>0</v>
      </c>
      <c r="E50" s="44">
        <v>0</v>
      </c>
      <c r="F50" s="221">
        <v>0</v>
      </c>
      <c r="G50" s="44">
        <v>0</v>
      </c>
      <c r="H50" s="221">
        <v>0</v>
      </c>
      <c r="I50" s="47">
        <f>+(B50-J50)/ABS(J50)</f>
        <v>-0.11911788817838991</v>
      </c>
      <c r="J50" s="221">
        <v>12198</v>
      </c>
      <c r="K50" s="47">
        <f t="shared" si="4"/>
        <v>-1.2656648154197974</v>
      </c>
      <c r="L50" s="221">
        <f>18848-64763</f>
        <v>-45915</v>
      </c>
      <c r="M50" s="47">
        <f t="shared" si="4"/>
        <v>-2.9161749117345108</v>
      </c>
      <c r="N50" s="221">
        <v>23961.8</v>
      </c>
      <c r="O50" s="47">
        <f t="shared" si="4"/>
        <v>-0.52892668584243197</v>
      </c>
      <c r="P50" s="221">
        <f>50866392.3/1000</f>
        <v>50866.3923</v>
      </c>
      <c r="Q50" s="6"/>
      <c r="R50" s="6"/>
      <c r="S50" s="7"/>
      <c r="T50" s="7"/>
      <c r="U50" s="7"/>
    </row>
    <row r="51" spans="1:21" ht="16.5" thickBot="1">
      <c r="A51" s="1" t="s">
        <v>275</v>
      </c>
      <c r="B51" s="76">
        <f>SUM(B47:B50)</f>
        <v>45824</v>
      </c>
      <c r="C51" s="44">
        <v>0</v>
      </c>
      <c r="D51" s="324">
        <f>SUM(D47:D50)</f>
        <v>0</v>
      </c>
      <c r="E51" s="44">
        <v>0</v>
      </c>
      <c r="F51" s="324">
        <f>SUM(F47:F50)</f>
        <v>0</v>
      </c>
      <c r="G51" s="44">
        <v>0</v>
      </c>
      <c r="H51" s="324">
        <f>SUM(H47:H50)</f>
        <v>0</v>
      </c>
      <c r="I51" s="47">
        <f>+(B51-J51)/ABS(J51)</f>
        <v>-3.2473290823867233E-2</v>
      </c>
      <c r="J51" s="324">
        <f>SUM(J47:J50)</f>
        <v>47362</v>
      </c>
      <c r="K51" s="47">
        <f t="shared" si="4"/>
        <v>-0.5837917640648892</v>
      </c>
      <c r="L51" s="324">
        <f>SUM(L47:L50)</f>
        <v>113794</v>
      </c>
      <c r="M51" s="47">
        <f t="shared" si="4"/>
        <v>-0.18671226463977245</v>
      </c>
      <c r="N51" s="324">
        <f>SUM(N47:N50)</f>
        <v>139918.5</v>
      </c>
      <c r="O51" s="47">
        <f t="shared" si="4"/>
        <v>-9.3534580602406756E-2</v>
      </c>
      <c r="P51" s="324">
        <f>SUM(P47:P50)</f>
        <v>154356.13649</v>
      </c>
    </row>
    <row r="52" spans="1:21">
      <c r="A52" s="1" t="s">
        <v>0</v>
      </c>
      <c r="B52" s="4">
        <f>+B29+B35+B41+B43+B51</f>
        <v>1812734</v>
      </c>
      <c r="C52" s="44">
        <v>0</v>
      </c>
      <c r="D52" s="4">
        <f>+D29+D35+D41+D43+D51</f>
        <v>0</v>
      </c>
      <c r="E52" s="44">
        <v>0</v>
      </c>
      <c r="F52" s="4">
        <f>+F29+F35+F41+F43+F51</f>
        <v>0</v>
      </c>
      <c r="G52" s="44">
        <v>0</v>
      </c>
      <c r="H52" s="4">
        <f>+H29+H35+H41+H43+H51</f>
        <v>0</v>
      </c>
      <c r="I52" s="47">
        <f>+(B52-J52)/ABS(J52)</f>
        <v>-4.8148290117405269E-2</v>
      </c>
      <c r="J52" s="4">
        <f>+J29+J35+J41+J43+J51</f>
        <v>1904429</v>
      </c>
      <c r="K52" s="112">
        <f>+(J52-L52)/L52</f>
        <v>2.5519119415370384E-2</v>
      </c>
      <c r="L52" s="4">
        <f>+L29+L35+L41+L43+L51</f>
        <v>1857039</v>
      </c>
      <c r="M52" s="112">
        <f>+(L52-N52)/N52</f>
        <v>1.5314469693308259E-2</v>
      </c>
      <c r="N52" s="4">
        <f>+N29+N35+N41+N43+N51-0.1</f>
        <v>1829028.4</v>
      </c>
      <c r="O52" s="112">
        <f>+(N52-P52)/P52</f>
        <v>-0.1612496842536722</v>
      </c>
      <c r="P52" s="4">
        <f>+P29+P35+P41+P43+P51</f>
        <v>2180658.9704500004</v>
      </c>
    </row>
    <row r="55" spans="1:21">
      <c r="A55" s="185" t="s">
        <v>293</v>
      </c>
      <c r="B55"/>
    </row>
    <row r="56" spans="1:21">
      <c r="A56" t="s">
        <v>294</v>
      </c>
      <c r="B56" s="3">
        <v>0</v>
      </c>
      <c r="D56" s="3">
        <v>0</v>
      </c>
      <c r="F56" s="3">
        <v>0</v>
      </c>
      <c r="H56" s="3">
        <v>0</v>
      </c>
      <c r="J56" s="3">
        <v>0</v>
      </c>
      <c r="L56" s="3">
        <v>0</v>
      </c>
      <c r="M56" s="43"/>
      <c r="N56" s="12">
        <v>8280.9</v>
      </c>
      <c r="O56" s="43"/>
      <c r="P56" s="12">
        <v>17839.2</v>
      </c>
    </row>
    <row r="57" spans="1:21">
      <c r="A57" t="s">
        <v>295</v>
      </c>
      <c r="B57" s="3">
        <v>0</v>
      </c>
      <c r="C57" s="11" t="s">
        <v>0</v>
      </c>
      <c r="D57" s="3">
        <v>0</v>
      </c>
      <c r="E57" s="11" t="s">
        <v>0</v>
      </c>
      <c r="F57" s="3">
        <v>0</v>
      </c>
      <c r="G57" s="11" t="s">
        <v>0</v>
      </c>
      <c r="H57" s="3">
        <v>0</v>
      </c>
      <c r="I57" s="11" t="s">
        <v>0</v>
      </c>
      <c r="J57" s="3">
        <v>0</v>
      </c>
      <c r="K57" s="11" t="s">
        <v>0</v>
      </c>
      <c r="L57" s="3">
        <v>0</v>
      </c>
      <c r="M57" s="42" t="s">
        <v>0</v>
      </c>
      <c r="N57" s="12">
        <v>30038.799999999999</v>
      </c>
      <c r="O57" s="42" t="s">
        <v>0</v>
      </c>
      <c r="P57" s="12">
        <v>64213.3</v>
      </c>
    </row>
    <row r="58" spans="1:21">
      <c r="A58" t="s">
        <v>284</v>
      </c>
      <c r="B58" s="3">
        <v>0</v>
      </c>
      <c r="D58" s="3">
        <v>0</v>
      </c>
      <c r="F58" s="3">
        <v>0</v>
      </c>
      <c r="H58" s="3">
        <v>0</v>
      </c>
      <c r="J58" s="3">
        <v>0</v>
      </c>
      <c r="L58" s="3">
        <v>0</v>
      </c>
      <c r="M58" s="43"/>
      <c r="N58" s="12">
        <v>82231.100000000006</v>
      </c>
      <c r="O58" s="43"/>
      <c r="P58" s="12">
        <v>53866.6</v>
      </c>
    </row>
    <row r="59" spans="1:21">
      <c r="B59"/>
      <c r="D59"/>
      <c r="F59"/>
      <c r="H59"/>
      <c r="J59"/>
      <c r="L59"/>
      <c r="M59" s="43"/>
      <c r="O59" s="43"/>
    </row>
    <row r="60" spans="1:21" ht="18.75">
      <c r="A60" s="122" t="s">
        <v>303</v>
      </c>
      <c r="B60" s="121">
        <v>463471</v>
      </c>
      <c r="D60" s="121">
        <v>0</v>
      </c>
      <c r="F60" s="121">
        <v>0</v>
      </c>
      <c r="H60" s="121">
        <v>0</v>
      </c>
      <c r="J60" s="121">
        <v>476103</v>
      </c>
      <c r="L60" s="121">
        <v>738188</v>
      </c>
      <c r="M60" s="43"/>
      <c r="N60" s="12">
        <v>805866.8</v>
      </c>
      <c r="O60" s="43"/>
      <c r="P60" s="12">
        <f>712650667.9/1000</f>
        <v>712650.6679</v>
      </c>
    </row>
    <row r="61" spans="1:21">
      <c r="A61" t="s">
        <v>217</v>
      </c>
      <c r="B61" s="121">
        <v>117546</v>
      </c>
      <c r="D61" s="121">
        <v>0</v>
      </c>
      <c r="F61" s="121">
        <v>0</v>
      </c>
      <c r="H61" s="121">
        <v>0</v>
      </c>
      <c r="J61" s="121">
        <v>117546</v>
      </c>
      <c r="L61" s="121">
        <v>144067</v>
      </c>
      <c r="M61" s="43"/>
      <c r="N61" s="12">
        <v>90053</v>
      </c>
      <c r="O61" s="43"/>
      <c r="P61" s="12">
        <f>84060226.32/1000</f>
        <v>84060.226319999987</v>
      </c>
    </row>
    <row r="62" spans="1:21">
      <c r="A62" t="s">
        <v>297</v>
      </c>
      <c r="B62" s="121">
        <v>191454</v>
      </c>
      <c r="D62" s="121">
        <v>0</v>
      </c>
      <c r="F62" s="121">
        <v>0</v>
      </c>
      <c r="H62" s="121">
        <v>0</v>
      </c>
      <c r="J62" s="121">
        <v>164194</v>
      </c>
      <c r="L62" s="121">
        <f>41595+100055+63657</f>
        <v>205307</v>
      </c>
      <c r="M62" s="43"/>
      <c r="N62" s="12">
        <v>149343.70000000001</v>
      </c>
      <c r="O62" s="43"/>
      <c r="P62" s="12">
        <f>122415670.48/1000</f>
        <v>122415.67048</v>
      </c>
    </row>
    <row r="63" spans="1:21">
      <c r="B63"/>
    </row>
    <row r="64" spans="1:21">
      <c r="B64"/>
    </row>
    <row r="65" spans="1:15">
      <c r="B65"/>
    </row>
    <row r="66" spans="1:15">
      <c r="B66"/>
    </row>
    <row r="67" spans="1:15">
      <c r="B67" s="17" t="s">
        <v>548</v>
      </c>
      <c r="D67" s="17" t="s">
        <v>549</v>
      </c>
      <c r="F67" s="17" t="s">
        <v>138</v>
      </c>
      <c r="H67" s="17" t="s">
        <v>528</v>
      </c>
    </row>
    <row r="69" spans="1:15">
      <c r="A69" t="s">
        <v>414</v>
      </c>
      <c r="B69" s="4">
        <f>SUM(B70:B78)</f>
        <v>737255.92921999993</v>
      </c>
      <c r="D69" s="4">
        <f>SUM(D70:D78)</f>
        <v>0</v>
      </c>
      <c r="F69" s="4">
        <f>SUM(F70:F78)</f>
        <v>0</v>
      </c>
      <c r="H69" s="4">
        <f>SUM(H70:H78)</f>
        <v>0</v>
      </c>
    </row>
    <row r="70" spans="1:15">
      <c r="A70" t="s">
        <v>461</v>
      </c>
      <c r="B70" s="12">
        <f>111220944.5/1000</f>
        <v>111220.9445</v>
      </c>
      <c r="D70" s="12">
        <v>0</v>
      </c>
      <c r="F70" s="12">
        <v>0</v>
      </c>
      <c r="H70" s="12">
        <v>0</v>
      </c>
    </row>
    <row r="71" spans="1:15">
      <c r="A71" t="s">
        <v>462</v>
      </c>
      <c r="B71" s="12">
        <f>(12293372.03+73452.65)/1000</f>
        <v>12366.82468</v>
      </c>
      <c r="D71" s="12">
        <v>0</v>
      </c>
      <c r="F71" s="12">
        <v>0</v>
      </c>
      <c r="H71" s="12">
        <v>0</v>
      </c>
    </row>
    <row r="72" spans="1:15">
      <c r="A72" t="s">
        <v>463</v>
      </c>
      <c r="B72" s="12">
        <f>7999787.31/1000</f>
        <v>7999.7873099999997</v>
      </c>
      <c r="D72" s="12">
        <v>0</v>
      </c>
      <c r="F72" s="12">
        <v>0</v>
      </c>
      <c r="H72" s="12">
        <v>0</v>
      </c>
    </row>
    <row r="73" spans="1:15">
      <c r="A73" t="s">
        <v>465</v>
      </c>
      <c r="B73" s="12">
        <v>100000</v>
      </c>
      <c r="D73" s="12">
        <v>0</v>
      </c>
      <c r="F73" s="12">
        <v>0</v>
      </c>
      <c r="H73" s="12">
        <v>0</v>
      </c>
    </row>
    <row r="74" spans="1:15">
      <c r="A74" t="s">
        <v>464</v>
      </c>
      <c r="B74" s="12">
        <f>+(42948707.85+392439119.83)/1000</f>
        <v>435387.82767999999</v>
      </c>
      <c r="D74" s="12">
        <v>0</v>
      </c>
      <c r="F74" s="12">
        <v>0</v>
      </c>
      <c r="H74" s="12">
        <v>0</v>
      </c>
    </row>
    <row r="75" spans="1:15">
      <c r="A75" t="s">
        <v>466</v>
      </c>
      <c r="B75" s="12">
        <v>0</v>
      </c>
      <c r="D75" s="12">
        <v>0</v>
      </c>
      <c r="F75" s="12">
        <v>0</v>
      </c>
      <c r="H75" s="12">
        <v>0</v>
      </c>
    </row>
    <row r="76" spans="1:15">
      <c r="A76" t="s">
        <v>467</v>
      </c>
      <c r="B76" s="12">
        <f>60558953.76/1000</f>
        <v>60558.953759999997</v>
      </c>
      <c r="D76" s="12">
        <v>0</v>
      </c>
      <c r="F76" s="12">
        <v>0</v>
      </c>
      <c r="H76" s="12">
        <v>0</v>
      </c>
    </row>
    <row r="77" spans="1:15">
      <c r="A77" t="s">
        <v>468</v>
      </c>
      <c r="B77" s="12">
        <f>7890286.91/1000</f>
        <v>7890.2869099999998</v>
      </c>
      <c r="D77" s="12">
        <v>0</v>
      </c>
      <c r="F77" s="12">
        <v>0</v>
      </c>
      <c r="H77" s="12">
        <v>0</v>
      </c>
    </row>
    <row r="78" spans="1:15">
      <c r="A78" t="s">
        <v>469</v>
      </c>
      <c r="B78" s="12">
        <f>1831304.38/1000</f>
        <v>1831.3043799999998</v>
      </c>
      <c r="D78" s="12">
        <v>0</v>
      </c>
      <c r="F78" s="12">
        <v>0</v>
      </c>
      <c r="H78" s="12">
        <v>0</v>
      </c>
    </row>
    <row r="80" spans="1:15">
      <c r="A80" t="s">
        <v>470</v>
      </c>
      <c r="B80" s="4">
        <f t="shared" ref="B80:M80" si="5">SUM(B81:B82)</f>
        <v>134084.23699999999</v>
      </c>
      <c r="C80" s="11" t="s">
        <v>0</v>
      </c>
      <c r="D80" s="4">
        <f t="shared" si="5"/>
        <v>0</v>
      </c>
      <c r="E80" s="11" t="s">
        <v>0</v>
      </c>
      <c r="F80" s="4">
        <f t="shared" si="5"/>
        <v>0</v>
      </c>
      <c r="G80" s="11">
        <f t="shared" si="5"/>
        <v>0</v>
      </c>
      <c r="H80" s="4">
        <f t="shared" si="5"/>
        <v>0</v>
      </c>
      <c r="I80" s="11">
        <f t="shared" si="5"/>
        <v>0</v>
      </c>
      <c r="J80" s="4">
        <f t="shared" si="5"/>
        <v>0</v>
      </c>
      <c r="K80" s="11">
        <f t="shared" si="5"/>
        <v>0</v>
      </c>
      <c r="L80" s="4">
        <f t="shared" si="5"/>
        <v>0</v>
      </c>
      <c r="M80" s="11">
        <f t="shared" si="5"/>
        <v>0</v>
      </c>
      <c r="O80" s="11">
        <f>SUM(O81:O82)</f>
        <v>0</v>
      </c>
    </row>
    <row r="81" spans="1:15">
      <c r="A81" t="s">
        <v>471</v>
      </c>
      <c r="B81" s="12">
        <f>8084237/1000</f>
        <v>8084.2370000000001</v>
      </c>
      <c r="D81" s="12">
        <v>0</v>
      </c>
      <c r="F81" s="12">
        <v>0</v>
      </c>
      <c r="H81" s="12">
        <v>0</v>
      </c>
    </row>
    <row r="82" spans="1:15">
      <c r="A82" t="s">
        <v>472</v>
      </c>
      <c r="B82" s="12">
        <f>126000000/1000</f>
        <v>126000</v>
      </c>
      <c r="D82" s="12">
        <v>0</v>
      </c>
      <c r="F82" s="12">
        <v>0</v>
      </c>
      <c r="H82" s="12">
        <v>0</v>
      </c>
    </row>
    <row r="84" spans="1:15">
      <c r="A84" t="s">
        <v>473</v>
      </c>
      <c r="B84" s="4">
        <f t="shared" ref="B84:M84" si="6">SUM(B85:B96)</f>
        <v>766124.25318999984</v>
      </c>
      <c r="C84" s="11" t="s">
        <v>0</v>
      </c>
      <c r="D84" s="4">
        <f t="shared" si="6"/>
        <v>0</v>
      </c>
      <c r="E84" s="11" t="s">
        <v>0</v>
      </c>
      <c r="F84" s="4">
        <f t="shared" si="6"/>
        <v>0</v>
      </c>
      <c r="G84" s="11">
        <f t="shared" si="6"/>
        <v>0</v>
      </c>
      <c r="H84" s="4">
        <f t="shared" si="6"/>
        <v>0</v>
      </c>
      <c r="I84" s="11">
        <f t="shared" si="6"/>
        <v>0</v>
      </c>
      <c r="J84" s="4">
        <f t="shared" si="6"/>
        <v>0</v>
      </c>
      <c r="K84" s="11">
        <f t="shared" si="6"/>
        <v>0</v>
      </c>
      <c r="L84" s="4">
        <f t="shared" si="6"/>
        <v>0</v>
      </c>
      <c r="M84" s="11">
        <f t="shared" si="6"/>
        <v>0</v>
      </c>
      <c r="O84" s="11">
        <f>SUM(O85:O96)</f>
        <v>0</v>
      </c>
    </row>
    <row r="85" spans="1:15">
      <c r="A85" t="s">
        <v>474</v>
      </c>
      <c r="B85" s="12">
        <f>85050000/1000</f>
        <v>85050</v>
      </c>
      <c r="D85" s="12">
        <v>0</v>
      </c>
      <c r="F85" s="12">
        <v>0</v>
      </c>
      <c r="H85" s="12">
        <v>0</v>
      </c>
    </row>
    <row r="86" spans="1:15">
      <c r="A86" t="s">
        <v>475</v>
      </c>
      <c r="B86" s="12">
        <f>354454397.92/1000</f>
        <v>354454.39792000002</v>
      </c>
      <c r="D86" s="12">
        <v>0</v>
      </c>
      <c r="F86" s="12">
        <v>0</v>
      </c>
      <c r="H86" s="12">
        <v>0</v>
      </c>
    </row>
    <row r="87" spans="1:15">
      <c r="A87" t="s">
        <v>476</v>
      </c>
      <c r="B87" s="12">
        <f>(208521861.73+19044832.95)/1000</f>
        <v>227566.69467999999</v>
      </c>
      <c r="D87" s="12">
        <v>0</v>
      </c>
      <c r="F87" s="12">
        <v>0</v>
      </c>
      <c r="H87" s="12">
        <v>0</v>
      </c>
    </row>
    <row r="88" spans="1:15">
      <c r="A88" t="s">
        <v>477</v>
      </c>
      <c r="B88" s="12">
        <v>0</v>
      </c>
      <c r="D88" s="12">
        <v>0</v>
      </c>
      <c r="F88" s="12">
        <v>0</v>
      </c>
      <c r="H88" s="12">
        <v>0</v>
      </c>
    </row>
    <row r="89" spans="1:15">
      <c r="A89" t="s">
        <v>478</v>
      </c>
      <c r="B89" s="12">
        <f>7223798.4/1000</f>
        <v>7223.7984000000006</v>
      </c>
      <c r="D89" s="12">
        <v>0</v>
      </c>
      <c r="F89" s="12">
        <v>0</v>
      </c>
      <c r="H89" s="12">
        <v>0</v>
      </c>
    </row>
    <row r="90" spans="1:15">
      <c r="A90" t="s">
        <v>479</v>
      </c>
      <c r="B90" s="12">
        <f>9822075.75/1000</f>
        <v>9822.07575</v>
      </c>
      <c r="D90" s="12">
        <v>0</v>
      </c>
      <c r="F90" s="12">
        <v>0</v>
      </c>
      <c r="H90" s="12">
        <v>0</v>
      </c>
    </row>
    <row r="91" spans="1:15">
      <c r="A91" t="s">
        <v>480</v>
      </c>
      <c r="B91" s="12">
        <v>0</v>
      </c>
      <c r="D91" s="12">
        <v>0</v>
      </c>
      <c r="F91" s="12">
        <v>0</v>
      </c>
      <c r="H91" s="12">
        <v>0</v>
      </c>
    </row>
    <row r="92" spans="1:15">
      <c r="A92" t="s">
        <v>481</v>
      </c>
      <c r="B92" s="12">
        <v>0</v>
      </c>
      <c r="D92" s="12">
        <v>0</v>
      </c>
      <c r="F92" s="12">
        <v>0</v>
      </c>
      <c r="H92" s="12">
        <v>0</v>
      </c>
    </row>
    <row r="93" spans="1:15">
      <c r="A93" t="s">
        <v>591</v>
      </c>
      <c r="B93" s="12">
        <f>10492372.06/1000</f>
        <v>10492.37206</v>
      </c>
      <c r="D93" s="12">
        <v>0</v>
      </c>
      <c r="F93" s="12">
        <v>0</v>
      </c>
      <c r="H93" s="12">
        <v>0</v>
      </c>
    </row>
    <row r="94" spans="1:15">
      <c r="A94" t="s">
        <v>482</v>
      </c>
      <c r="B94" s="12">
        <v>0</v>
      </c>
      <c r="D94" s="12">
        <v>0</v>
      </c>
      <c r="F94" s="12">
        <v>0</v>
      </c>
      <c r="H94" s="12">
        <v>0</v>
      </c>
    </row>
    <row r="95" spans="1:15">
      <c r="A95" t="s">
        <v>483</v>
      </c>
      <c r="B95" s="12">
        <f>161567909.92/1000</f>
        <v>161567.90991999998</v>
      </c>
      <c r="D95" s="12">
        <v>0</v>
      </c>
      <c r="F95" s="12">
        <v>0</v>
      </c>
      <c r="H95" s="12">
        <v>0</v>
      </c>
    </row>
    <row r="96" spans="1:15">
      <c r="A96" t="s">
        <v>484</v>
      </c>
      <c r="B96" s="12">
        <f>-90052995.54/1000</f>
        <v>-90052.995540000004</v>
      </c>
      <c r="D96" s="12">
        <v>0</v>
      </c>
      <c r="F96" s="12">
        <v>0</v>
      </c>
      <c r="H96" s="12">
        <v>0</v>
      </c>
    </row>
    <row r="98" spans="1:16">
      <c r="A98" t="s">
        <v>485</v>
      </c>
      <c r="B98" s="4">
        <f t="shared" ref="B98:M98" si="7">SUM(B99:B102)</f>
        <v>118980.09716</v>
      </c>
      <c r="C98" s="11" t="s">
        <v>0</v>
      </c>
      <c r="D98" s="4">
        <f t="shared" si="7"/>
        <v>0</v>
      </c>
      <c r="E98" s="11" t="s">
        <v>0</v>
      </c>
      <c r="F98" s="4">
        <f t="shared" si="7"/>
        <v>0</v>
      </c>
      <c r="G98" s="11">
        <f t="shared" si="7"/>
        <v>0</v>
      </c>
      <c r="H98" s="4">
        <f t="shared" si="7"/>
        <v>0</v>
      </c>
      <c r="I98" s="11">
        <f t="shared" si="7"/>
        <v>0</v>
      </c>
      <c r="J98" s="4">
        <f t="shared" si="7"/>
        <v>0</v>
      </c>
      <c r="K98" s="11">
        <f t="shared" si="7"/>
        <v>0</v>
      </c>
      <c r="L98" s="4">
        <f t="shared" si="7"/>
        <v>0</v>
      </c>
      <c r="M98" s="11">
        <f t="shared" si="7"/>
        <v>0</v>
      </c>
      <c r="O98" s="11">
        <f>SUM(O99:O102)</f>
        <v>0</v>
      </c>
    </row>
    <row r="99" spans="1:16">
      <c r="A99" t="s">
        <v>486</v>
      </c>
      <c r="B99" s="12">
        <f>110003207.5/1000</f>
        <v>110003.2075</v>
      </c>
      <c r="D99" s="12">
        <v>0</v>
      </c>
      <c r="F99" s="12">
        <v>0</v>
      </c>
      <c r="H99" s="12">
        <v>0</v>
      </c>
    </row>
    <row r="100" spans="1:16">
      <c r="A100" t="s">
        <v>487</v>
      </c>
      <c r="B100" s="12">
        <f>8961889.66/1000</f>
        <v>8961.8896600000007</v>
      </c>
      <c r="D100" s="12">
        <v>0</v>
      </c>
      <c r="F100" s="12">
        <v>0</v>
      </c>
      <c r="H100" s="12">
        <v>0</v>
      </c>
    </row>
    <row r="101" spans="1:16">
      <c r="A101" t="s">
        <v>488</v>
      </c>
      <c r="B101" s="12">
        <v>0</v>
      </c>
      <c r="D101" s="12">
        <v>0</v>
      </c>
      <c r="F101" s="12">
        <v>0</v>
      </c>
      <c r="H101" s="12">
        <v>0</v>
      </c>
    </row>
    <row r="102" spans="1:16">
      <c r="A102" t="s">
        <v>489</v>
      </c>
      <c r="B102" s="12">
        <v>15</v>
      </c>
      <c r="D102" s="12">
        <v>0</v>
      </c>
      <c r="F102" s="12">
        <v>0</v>
      </c>
      <c r="H102" s="12">
        <v>0</v>
      </c>
    </row>
    <row r="104" spans="1:16">
      <c r="A104" t="s">
        <v>490</v>
      </c>
      <c r="B104" s="4">
        <f>4836947.48/1000</f>
        <v>4836.9474800000007</v>
      </c>
      <c r="C104" s="11" t="s">
        <v>0</v>
      </c>
      <c r="D104" s="4">
        <v>0</v>
      </c>
      <c r="E104" s="11" t="s">
        <v>0</v>
      </c>
      <c r="F104" s="4">
        <v>0</v>
      </c>
      <c r="G104" s="11" t="s">
        <v>0</v>
      </c>
      <c r="H104" s="4">
        <v>0</v>
      </c>
      <c r="I104" s="11" t="s">
        <v>0</v>
      </c>
      <c r="J104" s="4">
        <v>0</v>
      </c>
      <c r="K104" s="11" t="s">
        <v>0</v>
      </c>
      <c r="L104" s="4">
        <v>0</v>
      </c>
      <c r="M104" s="11" t="s">
        <v>0</v>
      </c>
      <c r="N104" s="12">
        <v>0</v>
      </c>
      <c r="O104" s="11" t="s">
        <v>0</v>
      </c>
      <c r="P104" s="12">
        <v>0</v>
      </c>
    </row>
    <row r="105" spans="1:16">
      <c r="B105" s="16" t="s">
        <v>0</v>
      </c>
      <c r="D105" s="16" t="s">
        <v>0</v>
      </c>
      <c r="F105" s="16" t="s">
        <v>0</v>
      </c>
      <c r="H105" s="16" t="s">
        <v>0</v>
      </c>
    </row>
    <row r="106" spans="1:16">
      <c r="A106" t="s">
        <v>491</v>
      </c>
      <c r="B106" s="4">
        <f>82182685.23/1000</f>
        <v>82182.685230000003</v>
      </c>
      <c r="D106" s="4">
        <v>0</v>
      </c>
      <c r="F106" s="4">
        <v>0</v>
      </c>
      <c r="H106" s="4">
        <v>0</v>
      </c>
    </row>
    <row r="108" spans="1:16">
      <c r="A108" t="s">
        <v>492</v>
      </c>
      <c r="B108" s="4">
        <f t="shared" ref="B108:M108" si="8">SUM(B109:B112)</f>
        <v>126620.38873999999</v>
      </c>
      <c r="C108" s="11" t="s">
        <v>0</v>
      </c>
      <c r="D108" s="4">
        <f t="shared" si="8"/>
        <v>0</v>
      </c>
      <c r="E108" s="11" t="s">
        <v>0</v>
      </c>
      <c r="F108" s="4">
        <f t="shared" si="8"/>
        <v>0</v>
      </c>
      <c r="G108" s="11">
        <f t="shared" si="8"/>
        <v>0</v>
      </c>
      <c r="H108" s="4">
        <f t="shared" si="8"/>
        <v>0</v>
      </c>
      <c r="I108" s="11">
        <f t="shared" si="8"/>
        <v>0</v>
      </c>
      <c r="J108" s="4">
        <f t="shared" si="8"/>
        <v>0</v>
      </c>
      <c r="K108" s="11">
        <f t="shared" si="8"/>
        <v>0</v>
      </c>
      <c r="L108" s="4">
        <f t="shared" si="8"/>
        <v>0</v>
      </c>
      <c r="M108" s="11">
        <f t="shared" si="8"/>
        <v>0</v>
      </c>
      <c r="O108" s="11">
        <f>SUM(O109:O112)</f>
        <v>0</v>
      </c>
    </row>
    <row r="109" spans="1:16">
      <c r="A109" t="s">
        <v>493</v>
      </c>
      <c r="B109" s="12">
        <f>79061312.04/1000</f>
        <v>79061.312040000004</v>
      </c>
      <c r="D109" s="12">
        <v>0</v>
      </c>
      <c r="F109" s="12">
        <v>0</v>
      </c>
      <c r="H109" s="12">
        <v>0</v>
      </c>
    </row>
    <row r="110" spans="1:16">
      <c r="A110" t="s">
        <v>494</v>
      </c>
      <c r="B110" s="12">
        <f>54094475.6/1000</f>
        <v>54094.475599999998</v>
      </c>
      <c r="D110" s="12">
        <v>0</v>
      </c>
      <c r="F110" s="12">
        <v>0</v>
      </c>
      <c r="H110" s="12">
        <v>0</v>
      </c>
    </row>
    <row r="111" spans="1:16">
      <c r="A111" t="s">
        <v>495</v>
      </c>
      <c r="B111" s="12">
        <f>-6535398.9/1000</f>
        <v>-6535.3989000000001</v>
      </c>
      <c r="D111" s="12">
        <v>0</v>
      </c>
      <c r="F111" s="12">
        <v>0</v>
      </c>
      <c r="H111" s="12">
        <v>0</v>
      </c>
    </row>
    <row r="112" spans="1:16">
      <c r="A112" t="s">
        <v>496</v>
      </c>
      <c r="B112" s="12">
        <v>0</v>
      </c>
      <c r="D112" s="12">
        <v>0</v>
      </c>
      <c r="F112" s="12">
        <v>0</v>
      </c>
      <c r="H112" s="12">
        <v>0</v>
      </c>
    </row>
    <row r="114" spans="1:15">
      <c r="A114" t="s">
        <v>497</v>
      </c>
      <c r="B114" s="12">
        <v>0</v>
      </c>
      <c r="D114" s="12">
        <v>0</v>
      </c>
      <c r="F114" s="12">
        <v>0</v>
      </c>
      <c r="H114" s="12">
        <v>0</v>
      </c>
    </row>
    <row r="116" spans="1:15">
      <c r="A116" s="2" t="s">
        <v>498</v>
      </c>
      <c r="B116" s="4">
        <f>+B69+B80+B84+B98+B104+B106+B108+B114</f>
        <v>1970084.5380199996</v>
      </c>
      <c r="C116" s="11" t="s">
        <v>0</v>
      </c>
      <c r="D116" s="4">
        <f>+D69+D80+D84+D98+D104+D106+D108+D114</f>
        <v>0</v>
      </c>
      <c r="E116" s="11" t="s">
        <v>0</v>
      </c>
      <c r="F116" s="4">
        <f>+F69+F80+F84+F98+F104+F106+F108+F114</f>
        <v>0</v>
      </c>
      <c r="G116" s="11" t="e">
        <f t="shared" ref="G116:M116" si="9">+G57+G80+G84+G98+G104+G106+G108+G114</f>
        <v>#VALUE!</v>
      </c>
      <c r="H116" s="4">
        <f>+H69+H80+H84+H98+H104+H106+H108+H114</f>
        <v>0</v>
      </c>
      <c r="I116" s="11" t="e">
        <f t="shared" si="9"/>
        <v>#VALUE!</v>
      </c>
      <c r="J116" s="4">
        <f t="shared" si="9"/>
        <v>0</v>
      </c>
      <c r="K116" s="11" t="e">
        <f t="shared" si="9"/>
        <v>#VALUE!</v>
      </c>
      <c r="L116" s="4">
        <f t="shared" si="9"/>
        <v>0</v>
      </c>
      <c r="M116" s="11" t="e">
        <f t="shared" si="9"/>
        <v>#VALUE!</v>
      </c>
      <c r="O116" s="11" t="e">
        <f>+O57+O80+O84+O98+O104+O106+O108+O114</f>
        <v>#VALUE!</v>
      </c>
    </row>
    <row r="119" spans="1:15">
      <c r="A119" t="s">
        <v>276</v>
      </c>
    </row>
    <row r="121" spans="1:15">
      <c r="A121" t="s">
        <v>499</v>
      </c>
      <c r="B121" s="4">
        <f>SUM(B122:B123)</f>
        <v>329436.75089999998</v>
      </c>
      <c r="C121" s="11"/>
      <c r="D121" s="4">
        <f>SUM(D122:D123)</f>
        <v>0</v>
      </c>
      <c r="E121" s="11"/>
      <c r="F121" s="4">
        <f>SUM(F122:F123)</f>
        <v>0</v>
      </c>
      <c r="G121" s="11"/>
      <c r="H121" s="4">
        <f>SUM(H122:H123)</f>
        <v>0</v>
      </c>
      <c r="I121" s="11"/>
      <c r="J121" s="4"/>
      <c r="K121" s="11"/>
      <c r="L121" s="4"/>
      <c r="M121" s="11"/>
      <c r="O121" s="11"/>
    </row>
    <row r="122" spans="1:15">
      <c r="A122" t="s">
        <v>500</v>
      </c>
      <c r="B122" s="12">
        <f>+(13392050.3+306622295.52+39726.5)/1000</f>
        <v>320054.07231999998</v>
      </c>
      <c r="D122" s="12">
        <v>0</v>
      </c>
      <c r="F122" s="12">
        <v>0</v>
      </c>
      <c r="H122" s="12">
        <v>0</v>
      </c>
    </row>
    <row r="123" spans="1:15">
      <c r="A123" t="s">
        <v>501</v>
      </c>
      <c r="B123" s="12">
        <f>9382678.58/1000</f>
        <v>9382.6785799999998</v>
      </c>
      <c r="D123" s="12">
        <v>0</v>
      </c>
      <c r="F123" s="12">
        <v>0</v>
      </c>
      <c r="H123" s="12">
        <v>0</v>
      </c>
    </row>
    <row r="124" spans="1:15">
      <c r="A124" t="s">
        <v>0</v>
      </c>
    </row>
    <row r="125" spans="1:15">
      <c r="A125" t="s">
        <v>502</v>
      </c>
      <c r="B125" s="4">
        <f>+(13976817.27+931047503.47)/1000</f>
        <v>945024.32074</v>
      </c>
      <c r="C125" s="11"/>
      <c r="D125" s="4">
        <v>0</v>
      </c>
      <c r="E125" s="11"/>
      <c r="F125" s="4">
        <v>0</v>
      </c>
      <c r="G125" s="11"/>
      <c r="H125" s="4">
        <v>0</v>
      </c>
      <c r="I125" s="11"/>
      <c r="J125" s="4"/>
      <c r="K125" s="11"/>
      <c r="L125" s="4"/>
      <c r="M125" s="11"/>
      <c r="O125" s="11"/>
    </row>
    <row r="127" spans="1:15">
      <c r="A127" t="s">
        <v>503</v>
      </c>
      <c r="B127" s="4">
        <f>+(7203720.43+100707890.63)/1000</f>
        <v>107911.61106</v>
      </c>
      <c r="C127" s="11"/>
      <c r="D127" s="4">
        <v>0</v>
      </c>
      <c r="E127" s="11"/>
      <c r="F127" s="4">
        <v>0</v>
      </c>
      <c r="G127" s="11"/>
      <c r="H127" s="4">
        <v>0</v>
      </c>
      <c r="I127" s="11"/>
      <c r="J127" s="4"/>
      <c r="K127" s="11"/>
      <c r="L127" s="4"/>
      <c r="M127" s="11"/>
      <c r="O127" s="11"/>
    </row>
    <row r="129" spans="1:15">
      <c r="A129" t="s">
        <v>504</v>
      </c>
      <c r="B129" s="4">
        <f>SUM(B130:B142)</f>
        <v>288229.38532</v>
      </c>
      <c r="C129" s="11"/>
      <c r="D129" s="4">
        <f>SUM(D130:D142)</f>
        <v>0</v>
      </c>
      <c r="E129" s="11"/>
      <c r="F129" s="4">
        <f>SUM(F130:F142)</f>
        <v>0</v>
      </c>
      <c r="G129" s="11"/>
      <c r="H129" s="4">
        <f>SUM(H130:H142)</f>
        <v>0</v>
      </c>
      <c r="I129" s="11"/>
      <c r="J129" s="4"/>
      <c r="K129" s="11"/>
      <c r="L129" s="4"/>
      <c r="M129" s="11"/>
      <c r="O129" s="11"/>
    </row>
    <row r="130" spans="1:15">
      <c r="A130" t="s">
        <v>505</v>
      </c>
      <c r="B130" s="12">
        <f>15684658.35/1000</f>
        <v>15684.65835</v>
      </c>
      <c r="D130" s="12">
        <v>0</v>
      </c>
      <c r="F130" s="12">
        <v>0</v>
      </c>
      <c r="H130" s="12">
        <v>0</v>
      </c>
    </row>
    <row r="131" spans="1:15">
      <c r="A131" t="s">
        <v>506</v>
      </c>
      <c r="B131" s="12">
        <v>0</v>
      </c>
      <c r="D131" s="12">
        <v>0</v>
      </c>
      <c r="F131" s="12">
        <v>0</v>
      </c>
      <c r="H131" s="12">
        <v>0</v>
      </c>
    </row>
    <row r="132" spans="1:15">
      <c r="A132" t="s">
        <v>507</v>
      </c>
      <c r="B132" s="12">
        <f>+(110232.47+8449550.75)/1000</f>
        <v>8559.7832200000012</v>
      </c>
      <c r="D132" s="12">
        <v>0</v>
      </c>
      <c r="F132" s="12">
        <v>0</v>
      </c>
      <c r="H132" s="12">
        <v>0</v>
      </c>
    </row>
    <row r="133" spans="1:15">
      <c r="A133" t="s">
        <v>508</v>
      </c>
      <c r="B133" s="12">
        <f>510228.01/1000</f>
        <v>510.22800999999998</v>
      </c>
      <c r="D133" s="12">
        <v>0</v>
      </c>
      <c r="F133" s="12">
        <v>0</v>
      </c>
      <c r="H133" s="12">
        <v>0</v>
      </c>
    </row>
    <row r="134" spans="1:15">
      <c r="A134" t="s">
        <v>509</v>
      </c>
      <c r="B134" s="12">
        <f>2035220.37/1000</f>
        <v>2035.22037</v>
      </c>
      <c r="D134" s="12">
        <v>0</v>
      </c>
      <c r="F134" s="12">
        <v>0</v>
      </c>
      <c r="H134" s="12">
        <v>0</v>
      </c>
    </row>
    <row r="135" spans="1:15">
      <c r="A135" t="s">
        <v>510</v>
      </c>
      <c r="B135" s="12">
        <f>3635006.37/1000</f>
        <v>3635.0063700000001</v>
      </c>
      <c r="D135" s="12">
        <v>0</v>
      </c>
      <c r="F135" s="12">
        <v>0</v>
      </c>
      <c r="H135" s="12">
        <v>0</v>
      </c>
    </row>
    <row r="136" spans="1:15">
      <c r="A136" t="s">
        <v>511</v>
      </c>
      <c r="B136" s="12">
        <v>0</v>
      </c>
      <c r="D136" s="12">
        <v>0</v>
      </c>
      <c r="F136" s="12">
        <v>0</v>
      </c>
      <c r="H136" s="12">
        <v>0</v>
      </c>
    </row>
    <row r="137" spans="1:15">
      <c r="A137" t="s">
        <v>512</v>
      </c>
      <c r="B137" s="12">
        <f>+(8105845.46+102876299.13)/1000</f>
        <v>110982.14458999998</v>
      </c>
      <c r="D137" s="12">
        <v>0</v>
      </c>
      <c r="F137" s="12">
        <v>0</v>
      </c>
      <c r="H137" s="12">
        <v>0</v>
      </c>
    </row>
    <row r="138" spans="1:15">
      <c r="A138" t="s">
        <v>513</v>
      </c>
      <c r="B138" s="12">
        <f>3390026.1/1000</f>
        <v>3390.0261</v>
      </c>
      <c r="D138" s="12">
        <v>0</v>
      </c>
      <c r="F138" s="12">
        <v>0</v>
      </c>
      <c r="H138" s="12">
        <v>0</v>
      </c>
    </row>
    <row r="139" spans="1:15">
      <c r="A139" t="s">
        <v>514</v>
      </c>
      <c r="B139" s="12">
        <v>0</v>
      </c>
      <c r="D139" s="12">
        <v>0</v>
      </c>
      <c r="F139" s="12">
        <v>0</v>
      </c>
      <c r="H139" s="12">
        <v>0</v>
      </c>
    </row>
    <row r="140" spans="1:15">
      <c r="A140" t="s">
        <v>515</v>
      </c>
      <c r="B140" s="12">
        <f>143414286.31/1000</f>
        <v>143414.28631</v>
      </c>
      <c r="D140" s="12">
        <v>0</v>
      </c>
      <c r="F140" s="12">
        <v>0</v>
      </c>
      <c r="H140" s="12">
        <v>0</v>
      </c>
    </row>
    <row r="141" spans="1:15">
      <c r="A141" t="s">
        <v>516</v>
      </c>
      <c r="B141" s="12">
        <v>18.032</v>
      </c>
      <c r="D141" s="12">
        <v>0</v>
      </c>
      <c r="F141" s="12">
        <v>0</v>
      </c>
      <c r="H141" s="12">
        <v>0</v>
      </c>
    </row>
    <row r="142" spans="1:15">
      <c r="A142" t="s">
        <v>273</v>
      </c>
      <c r="B142" s="12">
        <v>0</v>
      </c>
      <c r="D142" s="12">
        <v>0</v>
      </c>
      <c r="F142" s="12">
        <v>0</v>
      </c>
      <c r="H142" s="12">
        <v>0</v>
      </c>
    </row>
    <row r="144" spans="1:15">
      <c r="A144" t="s">
        <v>517</v>
      </c>
      <c r="B144" s="4">
        <f>SUM(B145:B151)</f>
        <v>8452.8640300000006</v>
      </c>
      <c r="C144" s="11"/>
      <c r="D144" s="4">
        <f>SUM(D145:D151)</f>
        <v>0</v>
      </c>
      <c r="E144" s="11"/>
      <c r="F144" s="4">
        <f>SUM(F145:F151)</f>
        <v>0</v>
      </c>
      <c r="G144" s="11"/>
      <c r="H144" s="4">
        <f>SUM(H145:H151)</f>
        <v>0</v>
      </c>
      <c r="I144" s="11"/>
      <c r="J144" s="4"/>
      <c r="K144" s="11"/>
      <c r="L144" s="4"/>
      <c r="M144" s="11"/>
      <c r="O144" s="11"/>
    </row>
    <row r="145" spans="1:15">
      <c r="A145" t="s">
        <v>518</v>
      </c>
      <c r="B145" s="12">
        <f>3000000/1000</f>
        <v>3000</v>
      </c>
      <c r="D145" s="12">
        <v>0</v>
      </c>
      <c r="F145" s="12">
        <v>0</v>
      </c>
      <c r="H145" s="12">
        <v>0</v>
      </c>
    </row>
    <row r="146" spans="1:15">
      <c r="A146" t="s">
        <v>519</v>
      </c>
      <c r="B146" s="12">
        <v>0</v>
      </c>
      <c r="D146" s="12">
        <v>0</v>
      </c>
      <c r="F146" s="12">
        <v>0</v>
      </c>
      <c r="H146" s="12">
        <v>0</v>
      </c>
    </row>
    <row r="147" spans="1:15">
      <c r="A147" t="s">
        <v>520</v>
      </c>
      <c r="B147" s="12">
        <v>0</v>
      </c>
      <c r="D147" s="12">
        <v>0</v>
      </c>
      <c r="F147" s="12">
        <v>0</v>
      </c>
      <c r="H147" s="12">
        <v>0</v>
      </c>
    </row>
    <row r="148" spans="1:15">
      <c r="A148" t="s">
        <v>521</v>
      </c>
      <c r="B148" s="12">
        <v>0</v>
      </c>
      <c r="D148" s="12">
        <v>0</v>
      </c>
      <c r="F148" s="12">
        <v>0</v>
      </c>
      <c r="H148" s="12">
        <v>0</v>
      </c>
    </row>
    <row r="149" spans="1:15">
      <c r="A149" t="s">
        <v>522</v>
      </c>
      <c r="B149" s="12">
        <v>0</v>
      </c>
      <c r="D149" s="12">
        <v>0</v>
      </c>
      <c r="F149" s="12">
        <v>0</v>
      </c>
      <c r="H149" s="12">
        <v>0</v>
      </c>
    </row>
    <row r="150" spans="1:15">
      <c r="A150" t="s">
        <v>523</v>
      </c>
      <c r="B150" s="12">
        <f>5452864.03/1000</f>
        <v>5452.8640300000006</v>
      </c>
      <c r="D150" s="12">
        <v>0</v>
      </c>
      <c r="F150" s="12">
        <v>0</v>
      </c>
      <c r="H150" s="12">
        <v>0</v>
      </c>
    </row>
    <row r="151" spans="1:15">
      <c r="A151" t="s">
        <v>524</v>
      </c>
      <c r="B151" s="12">
        <v>0</v>
      </c>
      <c r="D151" s="12">
        <v>0</v>
      </c>
      <c r="F151" s="12">
        <v>0</v>
      </c>
      <c r="H151" s="12">
        <v>0</v>
      </c>
    </row>
    <row r="153" spans="1:15">
      <c r="A153" t="s">
        <v>525</v>
      </c>
      <c r="B153" s="4">
        <v>0</v>
      </c>
      <c r="C153" s="11"/>
      <c r="D153" s="4">
        <v>0</v>
      </c>
      <c r="E153" s="11"/>
      <c r="F153" s="4">
        <v>0</v>
      </c>
      <c r="G153" s="11"/>
      <c r="H153" s="4">
        <v>0</v>
      </c>
      <c r="I153" s="11"/>
      <c r="J153" s="4"/>
      <c r="K153" s="11"/>
      <c r="L153" s="4"/>
      <c r="M153" s="11"/>
      <c r="O153" s="11"/>
    </row>
    <row r="155" spans="1:15">
      <c r="A155" t="s">
        <v>374</v>
      </c>
      <c r="B155" s="4">
        <f>10186695.8/1000</f>
        <v>10186.695800000001</v>
      </c>
      <c r="C155" s="11"/>
      <c r="D155" s="4">
        <v>0</v>
      </c>
      <c r="E155" s="11"/>
      <c r="F155" s="4">
        <v>0</v>
      </c>
      <c r="G155" s="11"/>
      <c r="H155" s="4">
        <v>0</v>
      </c>
      <c r="I155" s="11"/>
      <c r="J155" s="4"/>
      <c r="K155" s="11"/>
      <c r="L155" s="4"/>
      <c r="M155" s="11"/>
      <c r="O155" s="11"/>
    </row>
    <row r="157" spans="1:15">
      <c r="A157" t="s">
        <v>375</v>
      </c>
      <c r="B157" s="4">
        <f>46646709.29/1000</f>
        <v>46646.709289999999</v>
      </c>
      <c r="C157" s="11"/>
      <c r="D157" s="4">
        <v>0</v>
      </c>
      <c r="E157" s="11"/>
      <c r="F157" s="4">
        <v>0</v>
      </c>
      <c r="G157" s="11"/>
      <c r="H157" s="4">
        <v>0</v>
      </c>
      <c r="I157" s="11"/>
      <c r="J157" s="4"/>
      <c r="K157" s="11"/>
      <c r="L157" s="4"/>
      <c r="M157" s="11"/>
      <c r="O157" s="11"/>
    </row>
    <row r="159" spans="1:15">
      <c r="A159" t="s">
        <v>376</v>
      </c>
      <c r="B159" s="4">
        <f>+B163+B164+B165</f>
        <v>43325.015729999999</v>
      </c>
      <c r="C159" s="11"/>
      <c r="D159" s="4">
        <f>+D163+D164+D165</f>
        <v>0</v>
      </c>
      <c r="E159" s="11"/>
      <c r="F159" s="4">
        <f>+F163+F164+F165</f>
        <v>0</v>
      </c>
      <c r="G159" s="11"/>
      <c r="H159" s="4">
        <f>+H163+H164+H165</f>
        <v>0</v>
      </c>
      <c r="I159" s="11"/>
      <c r="J159" s="4"/>
      <c r="K159" s="11"/>
      <c r="L159" s="4"/>
      <c r="M159" s="11"/>
      <c r="O159" s="11"/>
    </row>
    <row r="160" spans="1:15">
      <c r="A160" t="s">
        <v>377</v>
      </c>
      <c r="B160" s="12">
        <f>25000000/1000</f>
        <v>25000</v>
      </c>
      <c r="D160" s="12">
        <v>0</v>
      </c>
      <c r="F160" s="12">
        <v>0</v>
      </c>
      <c r="H160" s="12">
        <v>0</v>
      </c>
    </row>
    <row r="161" spans="1:15">
      <c r="A161" t="s">
        <v>378</v>
      </c>
      <c r="B161" s="16">
        <v>0</v>
      </c>
      <c r="D161" s="16">
        <v>0</v>
      </c>
      <c r="F161" s="16">
        <v>0</v>
      </c>
      <c r="H161" s="16">
        <v>0</v>
      </c>
    </row>
    <row r="162" spans="1:15">
      <c r="A162" t="s">
        <v>302</v>
      </c>
      <c r="B162" s="12">
        <v>0</v>
      </c>
      <c r="D162" s="12">
        <v>0</v>
      </c>
      <c r="F162" s="12">
        <v>0</v>
      </c>
      <c r="H162" s="12">
        <v>0</v>
      </c>
    </row>
    <row r="163" spans="1:15">
      <c r="A163" t="s">
        <v>289</v>
      </c>
      <c r="B163" s="4">
        <f>+B160+B161</f>
        <v>25000</v>
      </c>
      <c r="D163" s="4">
        <f>+D160+D161</f>
        <v>0</v>
      </c>
      <c r="F163" s="4">
        <f>+F160+F161</f>
        <v>0</v>
      </c>
      <c r="H163" s="4">
        <f>+H160+H161</f>
        <v>0</v>
      </c>
    </row>
    <row r="164" spans="1:15">
      <c r="A164" t="s">
        <v>379</v>
      </c>
      <c r="B164" s="12">
        <f>10393149.06/1000</f>
        <v>10393.14906</v>
      </c>
      <c r="D164" s="12">
        <v>0</v>
      </c>
      <c r="F164" s="12">
        <v>0</v>
      </c>
      <c r="H164" s="12">
        <v>0</v>
      </c>
    </row>
    <row r="165" spans="1:15">
      <c r="A165" t="s">
        <v>380</v>
      </c>
      <c r="B165" s="12">
        <f>7931866.67/1000</f>
        <v>7931.8666700000003</v>
      </c>
      <c r="D165" s="12">
        <v>0</v>
      </c>
      <c r="F165" s="12">
        <v>0</v>
      </c>
      <c r="H165" s="12">
        <v>0</v>
      </c>
    </row>
    <row r="167" spans="1:15">
      <c r="A167" t="s">
        <v>381</v>
      </c>
      <c r="B167" s="4">
        <f>SUM(B168:B169)</f>
        <v>90871.185150000005</v>
      </c>
      <c r="C167" s="11"/>
      <c r="D167" s="4">
        <f>SUM(D168:D169)</f>
        <v>0</v>
      </c>
      <c r="E167" s="11"/>
      <c r="F167" s="4">
        <f>SUM(F168:F169)</f>
        <v>0</v>
      </c>
      <c r="G167" s="11"/>
      <c r="H167" s="4">
        <f>SUM(H168:H169)</f>
        <v>0</v>
      </c>
      <c r="I167" s="11"/>
      <c r="J167" s="4"/>
      <c r="K167" s="11"/>
      <c r="L167" s="4"/>
      <c r="M167" s="11"/>
      <c r="O167" s="11"/>
    </row>
    <row r="168" spans="1:15">
      <c r="A168" t="s">
        <v>382</v>
      </c>
      <c r="B168" s="12">
        <f>8110641.48/1000</f>
        <v>8110.6414800000002</v>
      </c>
      <c r="D168" s="12">
        <v>0</v>
      </c>
      <c r="F168" s="12">
        <v>0</v>
      </c>
      <c r="H168" s="12">
        <v>0</v>
      </c>
    </row>
    <row r="169" spans="1:15">
      <c r="A169" t="s">
        <v>383</v>
      </c>
      <c r="B169" s="12">
        <f>82760543.67/1000</f>
        <v>82760.543669999999</v>
      </c>
      <c r="D169" s="12">
        <v>0</v>
      </c>
      <c r="F169" s="12">
        <v>0</v>
      </c>
      <c r="H169" s="12">
        <v>0</v>
      </c>
    </row>
    <row r="171" spans="1:15">
      <c r="A171" t="s">
        <v>384</v>
      </c>
      <c r="B171" s="4">
        <f t="shared" ref="B171:M171" si="10">+B121+B125+B127+B129+B144+B153+B155+B157+B159+B167</f>
        <v>1870084.5380200003</v>
      </c>
      <c r="C171" s="11" t="s">
        <v>0</v>
      </c>
      <c r="D171" s="4">
        <f t="shared" si="10"/>
        <v>0</v>
      </c>
      <c r="E171" s="11" t="s">
        <v>0</v>
      </c>
      <c r="F171" s="4">
        <f t="shared" si="10"/>
        <v>0</v>
      </c>
      <c r="G171" s="11">
        <f t="shared" si="10"/>
        <v>0</v>
      </c>
      <c r="H171" s="4">
        <f t="shared" si="10"/>
        <v>0</v>
      </c>
      <c r="I171" s="11">
        <f t="shared" si="10"/>
        <v>0</v>
      </c>
      <c r="J171" s="4">
        <f t="shared" si="10"/>
        <v>0</v>
      </c>
      <c r="K171" s="11">
        <f t="shared" si="10"/>
        <v>0</v>
      </c>
      <c r="L171" s="4">
        <f t="shared" si="10"/>
        <v>0</v>
      </c>
      <c r="M171" s="11">
        <f t="shared" si="10"/>
        <v>0</v>
      </c>
      <c r="O171" s="11">
        <f>+O121+O125+O127+O129+O144+O153+O155+O157+O159+O167</f>
        <v>0</v>
      </c>
    </row>
    <row r="174" spans="1:15">
      <c r="B174" s="16" t="s">
        <v>0</v>
      </c>
    </row>
  </sheetData>
  <pageMargins left="0.31" right="0.23" top="0.54" bottom="0.73" header="0.34" footer="0.5"/>
  <pageSetup scale="54" orientation="landscape" r:id="rId1"/>
  <headerFooter alignWithMargins="0">
    <oddFooter>&amp;R&amp;P</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5"/>
  <sheetViews>
    <sheetView tabSelected="1" workbookViewId="0"/>
  </sheetViews>
  <sheetFormatPr defaultRowHeight="15.75"/>
  <cols>
    <col min="1" max="1" width="33.25" customWidth="1"/>
    <col min="2" max="2" width="17.62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8.75" style="12" customWidth="1"/>
    <col min="18" max="18" width="15.75" style="12" customWidth="1"/>
    <col min="19" max="21" width="15.75" customWidth="1"/>
    <col min="22" max="256" width="11" customWidth="1"/>
  </cols>
  <sheetData>
    <row r="1" spans="1:21">
      <c r="A1" s="114" t="s">
        <v>584</v>
      </c>
      <c r="B1" s="37"/>
      <c r="C1" s="38"/>
      <c r="D1" s="37"/>
      <c r="E1" s="38"/>
      <c r="F1" s="37"/>
      <c r="G1" s="38"/>
      <c r="H1" s="37"/>
      <c r="I1" s="38"/>
      <c r="J1" s="37"/>
      <c r="K1" s="38"/>
      <c r="L1" s="37"/>
      <c r="M1" s="38"/>
      <c r="N1" s="37"/>
      <c r="O1" s="38"/>
      <c r="P1" s="37"/>
      <c r="Q1" s="37"/>
    </row>
    <row r="2" spans="1:21">
      <c r="A2" s="114" t="s">
        <v>305</v>
      </c>
      <c r="B2" s="37"/>
      <c r="C2" s="38"/>
      <c r="D2" s="37"/>
      <c r="E2" s="38"/>
      <c r="F2" s="37"/>
      <c r="G2" s="38"/>
      <c r="H2" s="37"/>
      <c r="I2" s="38"/>
      <c r="J2" s="37"/>
      <c r="K2" s="38"/>
      <c r="L2" s="37"/>
      <c r="M2" s="38"/>
      <c r="N2" s="37"/>
      <c r="O2" s="38"/>
      <c r="P2" s="37"/>
      <c r="Q2" s="37"/>
    </row>
    <row r="3" spans="1:21">
      <c r="A3" s="114" t="s">
        <v>526</v>
      </c>
      <c r="B3" s="37"/>
      <c r="C3" s="38"/>
      <c r="D3" s="37"/>
      <c r="E3" s="38"/>
      <c r="F3" s="37"/>
      <c r="G3" s="38"/>
      <c r="H3" s="37"/>
      <c r="I3" s="38"/>
      <c r="J3" s="37"/>
      <c r="K3" s="38"/>
      <c r="L3" s="37"/>
      <c r="M3" s="38"/>
      <c r="N3" s="37"/>
      <c r="O3" s="38"/>
      <c r="P3" s="37"/>
      <c r="Q3" s="37"/>
    </row>
    <row r="4" spans="1:21">
      <c r="A4" s="114" t="s">
        <v>179</v>
      </c>
      <c r="B4" s="37"/>
      <c r="C4" s="38"/>
      <c r="D4" s="37"/>
      <c r="E4" s="38"/>
      <c r="F4" s="37"/>
      <c r="G4" s="38"/>
      <c r="H4" s="37"/>
      <c r="I4" s="38"/>
      <c r="J4" s="37"/>
      <c r="K4" s="38"/>
      <c r="L4" s="37"/>
      <c r="M4" s="38"/>
      <c r="N4" s="37"/>
      <c r="O4" s="38"/>
      <c r="P4" s="37"/>
      <c r="Q4" s="37"/>
    </row>
    <row r="6" spans="1:21" s="2" customFormat="1" ht="16.5" thickBot="1">
      <c r="B6" s="400" t="s">
        <v>0</v>
      </c>
      <c r="C6" s="399"/>
      <c r="D6" s="400"/>
      <c r="E6" s="399"/>
      <c r="F6" s="400"/>
      <c r="G6" s="399"/>
      <c r="H6" s="400"/>
      <c r="I6" s="11"/>
      <c r="J6" s="123" t="s">
        <v>167</v>
      </c>
      <c r="K6" s="230"/>
      <c r="L6" s="123"/>
      <c r="M6" s="230"/>
      <c r="N6" s="123"/>
      <c r="O6" s="230"/>
      <c r="P6" s="123"/>
      <c r="Q6" s="123"/>
      <c r="R6" s="4"/>
    </row>
    <row r="7" spans="1:21" s="2" customFormat="1" ht="16.5" thickBot="1">
      <c r="B7" s="223" t="s">
        <v>592</v>
      </c>
      <c r="C7" s="224" t="s">
        <v>301</v>
      </c>
      <c r="D7" s="225" t="s">
        <v>170</v>
      </c>
      <c r="E7" s="224" t="s">
        <v>301</v>
      </c>
      <c r="F7" s="225" t="s">
        <v>171</v>
      </c>
      <c r="G7" s="224" t="s">
        <v>301</v>
      </c>
      <c r="H7" s="225" t="s">
        <v>172</v>
      </c>
      <c r="I7" s="224" t="s">
        <v>301</v>
      </c>
      <c r="J7" s="228" t="s">
        <v>174</v>
      </c>
      <c r="K7" s="227" t="s">
        <v>301</v>
      </c>
      <c r="L7" s="228" t="s">
        <v>175</v>
      </c>
      <c r="M7" s="227" t="s">
        <v>301</v>
      </c>
      <c r="N7" s="228" t="s">
        <v>176</v>
      </c>
      <c r="O7" s="227" t="s">
        <v>301</v>
      </c>
      <c r="P7" s="228" t="s">
        <v>177</v>
      </c>
      <c r="Q7" s="414" t="s">
        <v>301</v>
      </c>
      <c r="R7" s="80"/>
      <c r="S7" s="18"/>
      <c r="T7" s="18"/>
      <c r="U7" s="18"/>
    </row>
    <row r="8" spans="1:21">
      <c r="A8" s="87" t="s">
        <v>243</v>
      </c>
      <c r="B8" s="125"/>
      <c r="C8" s="124"/>
      <c r="D8" s="125"/>
      <c r="E8" s="124"/>
      <c r="F8" s="125"/>
      <c r="G8" s="124"/>
      <c r="H8" s="125"/>
      <c r="I8" s="124"/>
      <c r="J8" s="219"/>
      <c r="K8" s="124"/>
      <c r="L8" s="219"/>
      <c r="M8" s="124"/>
      <c r="N8" s="219"/>
      <c r="O8" s="124"/>
      <c r="P8" s="219"/>
      <c r="Q8" s="125"/>
      <c r="R8" s="14"/>
      <c r="S8" s="9"/>
      <c r="T8" s="9"/>
      <c r="U8" s="9"/>
    </row>
    <row r="9" spans="1:21">
      <c r="A9" s="1" t="s">
        <v>264</v>
      </c>
      <c r="B9"/>
    </row>
    <row r="10" spans="1:21">
      <c r="A10" s="1" t="s">
        <v>265</v>
      </c>
      <c r="B10" s="12">
        <f>+bncvar!B10</f>
        <v>247065</v>
      </c>
      <c r="C10" s="47">
        <f t="shared" ref="C10:C15" si="0">+B10/$B$22</f>
        <v>0.1362941280960141</v>
      </c>
      <c r="D10" s="12">
        <f>+bncvar!D10</f>
        <v>0</v>
      </c>
      <c r="E10" s="44">
        <v>0</v>
      </c>
      <c r="F10" s="12">
        <f>+bncvar!F10</f>
        <v>0</v>
      </c>
      <c r="G10" s="44">
        <v>0</v>
      </c>
      <c r="H10" s="12">
        <f>+bncvar!H10</f>
        <v>0</v>
      </c>
      <c r="I10" s="44">
        <v>0</v>
      </c>
      <c r="J10" s="12">
        <f>+bncvar!J10</f>
        <v>197213</v>
      </c>
      <c r="K10" s="47">
        <f t="shared" ref="K10:K15" si="1">+J10/$J$22</f>
        <v>0.10355492381180921</v>
      </c>
      <c r="L10" s="12">
        <f>+bncvar!L10</f>
        <v>144720</v>
      </c>
      <c r="M10" s="47">
        <f t="shared" ref="M10:M15" si="2">+L10/$L$22</f>
        <v>7.7930511960168855E-2</v>
      </c>
      <c r="N10" s="12">
        <f>+bncvar!N10</f>
        <v>254958.3</v>
      </c>
      <c r="O10" s="47">
        <f t="shared" ref="O10:O15" si="3">+N10/$N$22</f>
        <v>0.13939548450969924</v>
      </c>
      <c r="P10" s="12">
        <f>+bncvar!P10</f>
        <v>173464.78790999998</v>
      </c>
      <c r="Q10" s="47">
        <f t="shared" ref="Q10:Q15" si="4">+P10/$P$22</f>
        <v>7.9546958172099627E-2</v>
      </c>
    </row>
    <row r="11" spans="1:21">
      <c r="A11" s="1" t="s">
        <v>266</v>
      </c>
      <c r="B11" s="12">
        <f>+bncvar!B11</f>
        <v>371963</v>
      </c>
      <c r="C11" s="47">
        <f t="shared" si="0"/>
        <v>0.20519447420305462</v>
      </c>
      <c r="D11" s="12">
        <f>+bncvar!D11</f>
        <v>0</v>
      </c>
      <c r="E11" s="44">
        <v>0</v>
      </c>
      <c r="F11" s="12">
        <f>+bncvar!F11</f>
        <v>0</v>
      </c>
      <c r="G11" s="44">
        <v>0</v>
      </c>
      <c r="H11" s="12">
        <f>+bncvar!H11</f>
        <v>0</v>
      </c>
      <c r="I11" s="44">
        <v>0</v>
      </c>
      <c r="J11" s="12">
        <f>+bncvar!J11</f>
        <v>381338</v>
      </c>
      <c r="K11" s="47">
        <f t="shared" si="1"/>
        <v>0.20023744649971198</v>
      </c>
      <c r="L11" s="12">
        <f>+bncvar!L11</f>
        <v>526213</v>
      </c>
      <c r="M11" s="47">
        <f t="shared" si="2"/>
        <v>0.28336130797468445</v>
      </c>
      <c r="N11" s="12">
        <f>+bncvar!N11</f>
        <v>337942.6</v>
      </c>
      <c r="O11" s="47">
        <f t="shared" si="3"/>
        <v>0.18476618515054222</v>
      </c>
      <c r="P11" s="12">
        <f>+bncvar!P11</f>
        <v>1000357.82577</v>
      </c>
      <c r="Q11" s="47">
        <f t="shared" si="4"/>
        <v>0.45874106833108641</v>
      </c>
    </row>
    <row r="12" spans="1:21">
      <c r="A12" s="1" t="s">
        <v>267</v>
      </c>
      <c r="B12" s="12">
        <f>+bncvar!B12</f>
        <v>38433</v>
      </c>
      <c r="C12" s="47">
        <f t="shared" si="0"/>
        <v>2.1201676583547283E-2</v>
      </c>
      <c r="D12" s="12">
        <f>+bncvar!D12</f>
        <v>0</v>
      </c>
      <c r="E12" s="44">
        <v>0</v>
      </c>
      <c r="F12" s="12">
        <f>+bncvar!F12</f>
        <v>0</v>
      </c>
      <c r="G12" s="44">
        <v>0</v>
      </c>
      <c r="H12" s="12">
        <f>+bncvar!H12</f>
        <v>0</v>
      </c>
      <c r="I12" s="44">
        <v>0</v>
      </c>
      <c r="J12" s="12">
        <f>+bncvar!J12</f>
        <v>51083</v>
      </c>
      <c r="K12" s="47">
        <f t="shared" si="1"/>
        <v>2.6823263035797081E-2</v>
      </c>
      <c r="L12" s="12">
        <f>+bncvar!L12</f>
        <v>55874</v>
      </c>
      <c r="M12" s="47">
        <f t="shared" si="2"/>
        <v>3.0087682595788243E-2</v>
      </c>
      <c r="N12" s="12">
        <f>+bncvar!N12</f>
        <v>58042.400000000001</v>
      </c>
      <c r="O12" s="47">
        <f t="shared" si="3"/>
        <v>3.173400697331983E-2</v>
      </c>
      <c r="P12" s="12">
        <f>+bncvar!P12</f>
        <v>28461.260559999999</v>
      </c>
      <c r="Q12" s="47">
        <f t="shared" si="4"/>
        <v>1.3051678848310126E-2</v>
      </c>
    </row>
    <row r="13" spans="1:21">
      <c r="A13" s="1" t="s">
        <v>268</v>
      </c>
      <c r="B13" s="12">
        <f>+bncvar!B13</f>
        <v>0</v>
      </c>
      <c r="C13" s="47">
        <f t="shared" si="0"/>
        <v>0</v>
      </c>
      <c r="D13" s="12">
        <f>+bncvar!D13</f>
        <v>0</v>
      </c>
      <c r="E13" s="44">
        <v>0</v>
      </c>
      <c r="F13" s="12">
        <f>+bncvar!F13</f>
        <v>0</v>
      </c>
      <c r="G13" s="44">
        <v>0</v>
      </c>
      <c r="H13" s="12">
        <f>+bncvar!H13</f>
        <v>0</v>
      </c>
      <c r="I13" s="44">
        <v>0</v>
      </c>
      <c r="J13" s="12">
        <f>+bncvar!J13</f>
        <v>0</v>
      </c>
      <c r="K13" s="47">
        <f t="shared" si="1"/>
        <v>0</v>
      </c>
      <c r="L13" s="12">
        <f>+bncvar!L13</f>
        <v>0</v>
      </c>
      <c r="M13" s="47">
        <f t="shared" si="2"/>
        <v>0</v>
      </c>
      <c r="N13" s="12">
        <f>+bncvar!N13</f>
        <v>0</v>
      </c>
      <c r="O13" s="47">
        <f t="shared" si="3"/>
        <v>0</v>
      </c>
      <c r="P13" s="12">
        <f>+bncvar!P13</f>
        <v>0</v>
      </c>
      <c r="Q13" s="47">
        <f t="shared" si="4"/>
        <v>0</v>
      </c>
    </row>
    <row r="14" spans="1:21">
      <c r="A14" s="1" t="s">
        <v>269</v>
      </c>
      <c r="B14" s="221">
        <f>+bncvar!B14</f>
        <v>18877</v>
      </c>
      <c r="C14" s="328">
        <f t="shared" si="0"/>
        <v>1.0413552126235841E-2</v>
      </c>
      <c r="D14" s="221">
        <f>+bncvar!D14</f>
        <v>0</v>
      </c>
      <c r="E14" s="545">
        <v>0</v>
      </c>
      <c r="F14" s="221">
        <f>+bncvar!F14</f>
        <v>0</v>
      </c>
      <c r="G14" s="545">
        <v>0</v>
      </c>
      <c r="H14" s="221">
        <f>+bncvar!H14</f>
        <v>0</v>
      </c>
      <c r="I14" s="545">
        <v>0</v>
      </c>
      <c r="J14" s="221">
        <f>+bncvar!J14</f>
        <v>23702</v>
      </c>
      <c r="K14" s="328">
        <f t="shared" si="1"/>
        <v>1.2445725201622114E-2</v>
      </c>
      <c r="L14" s="221">
        <f>+bncvar!L14</f>
        <v>13966</v>
      </c>
      <c r="M14" s="328">
        <f t="shared" si="2"/>
        <v>7.5205744198156314E-3</v>
      </c>
      <c r="N14" s="221">
        <f>+bncvar!N14</f>
        <v>9559.2000000000007</v>
      </c>
      <c r="O14" s="328">
        <f t="shared" si="3"/>
        <v>5.2263813946245999E-3</v>
      </c>
      <c r="P14" s="221">
        <f>+bncvar!P14</f>
        <v>12978.16984</v>
      </c>
      <c r="Q14" s="328">
        <f t="shared" si="4"/>
        <v>5.9514899009274385E-3</v>
      </c>
    </row>
    <row r="15" spans="1:21" ht="15.6" customHeight="1">
      <c r="A15" s="1"/>
      <c r="B15" s="12">
        <f>SUM(B10:B14)</f>
        <v>676338</v>
      </c>
      <c r="C15" s="47">
        <f t="shared" si="0"/>
        <v>0.37310383100885181</v>
      </c>
      <c r="D15" s="12">
        <f>SUM(D10:D14)</f>
        <v>0</v>
      </c>
      <c r="E15" s="44">
        <v>0</v>
      </c>
      <c r="F15" s="12">
        <f>SUM(F10:F14)</f>
        <v>0</v>
      </c>
      <c r="G15" s="44">
        <v>0</v>
      </c>
      <c r="H15" s="12">
        <f>SUM(H10:H14)</f>
        <v>0</v>
      </c>
      <c r="I15" s="44">
        <v>0</v>
      </c>
      <c r="J15" s="12">
        <f>SUM(J10:J14)</f>
        <v>653336</v>
      </c>
      <c r="K15" s="47">
        <f t="shared" si="1"/>
        <v>0.34306135854894038</v>
      </c>
      <c r="L15" s="12">
        <f>SUM(L10:L14)</f>
        <v>740773</v>
      </c>
      <c r="M15" s="47">
        <f t="shared" si="2"/>
        <v>0.39890007695045715</v>
      </c>
      <c r="N15" s="12">
        <f>SUM(N10:N14)</f>
        <v>660502.49999999988</v>
      </c>
      <c r="O15" s="47">
        <f t="shared" si="3"/>
        <v>0.36112205802818587</v>
      </c>
      <c r="P15" s="12">
        <f>SUM(P10:P14)</f>
        <v>1215262.0440800001</v>
      </c>
      <c r="Q15" s="47">
        <f t="shared" si="4"/>
        <v>0.55729119525242365</v>
      </c>
    </row>
    <row r="16" spans="1:21" ht="7.9" customHeight="1">
      <c r="A16" s="1"/>
      <c r="C16" s="47" t="s">
        <v>0</v>
      </c>
      <c r="E16" s="44" t="s">
        <v>0</v>
      </c>
      <c r="G16" s="44" t="s">
        <v>0</v>
      </c>
      <c r="I16" s="44" t="s">
        <v>0</v>
      </c>
      <c r="K16" s="47" t="s">
        <v>0</v>
      </c>
      <c r="M16" s="47" t="s">
        <v>0</v>
      </c>
      <c r="O16" s="47" t="s">
        <v>0</v>
      </c>
      <c r="Q16" s="47" t="s">
        <v>0</v>
      </c>
    </row>
    <row r="17" spans="1:17" ht="15.6" customHeight="1">
      <c r="A17" s="1" t="s">
        <v>270</v>
      </c>
      <c r="B17" s="12">
        <f>+bncvar!B17</f>
        <v>389000</v>
      </c>
      <c r="C17" s="47">
        <f t="shared" ref="C17:C22" si="5">+B17/$B$22</f>
        <v>0.21459298496083815</v>
      </c>
      <c r="D17" s="12">
        <f>+bncvar!D17</f>
        <v>0</v>
      </c>
      <c r="E17" s="44">
        <v>0</v>
      </c>
      <c r="F17" s="12">
        <f>+bncvar!F17</f>
        <v>0</v>
      </c>
      <c r="G17" s="44">
        <v>0</v>
      </c>
      <c r="H17" s="12">
        <f>+bncvar!H17</f>
        <v>0</v>
      </c>
      <c r="I17" s="44">
        <v>0</v>
      </c>
      <c r="J17" s="12">
        <f>+bncvar!J17</f>
        <v>496981</v>
      </c>
      <c r="K17" s="47">
        <f t="shared" ref="K17:K22" si="6">+J17/$J$22</f>
        <v>0.26096063439487638</v>
      </c>
      <c r="L17" s="12">
        <f>+bncvar!L17</f>
        <v>200000</v>
      </c>
      <c r="M17" s="47">
        <f t="shared" ref="M17:M22" si="7">+L17/$L$22</f>
        <v>0.10769833051432953</v>
      </c>
      <c r="N17" s="12">
        <f>+bncvar!N17</f>
        <v>90000</v>
      </c>
      <c r="O17" s="47">
        <f t="shared" ref="O17:O22" si="8">+N17/$N$22</f>
        <v>4.9206452999855009E-2</v>
      </c>
      <c r="P17" s="12">
        <f>+bncvar!P17</f>
        <v>0</v>
      </c>
      <c r="Q17" s="47">
        <f t="shared" ref="Q17:Q22" si="9">+P17/$P$22</f>
        <v>0</v>
      </c>
    </row>
    <row r="18" spans="1:17">
      <c r="A18" s="1" t="s">
        <v>271</v>
      </c>
      <c r="B18" s="12">
        <f>+bncvar!B18</f>
        <v>197209</v>
      </c>
      <c r="C18" s="47">
        <f t="shared" si="5"/>
        <v>0.10879092023429802</v>
      </c>
      <c r="D18" s="12">
        <f>+bncvar!D18</f>
        <v>0</v>
      </c>
      <c r="E18" s="44">
        <v>0</v>
      </c>
      <c r="F18" s="12">
        <f>+bncvar!F18</f>
        <v>0</v>
      </c>
      <c r="G18" s="44">
        <v>0</v>
      </c>
      <c r="H18" s="12">
        <f>+bncvar!H18</f>
        <v>0</v>
      </c>
      <c r="I18" s="44">
        <v>0</v>
      </c>
      <c r="J18" s="12">
        <f>+bncvar!J18</f>
        <v>196730</v>
      </c>
      <c r="K18" s="47">
        <f t="shared" si="6"/>
        <v>0.10330130448549145</v>
      </c>
      <c r="L18" s="12">
        <f>+bncvar!L18</f>
        <v>63868</v>
      </c>
      <c r="M18" s="47">
        <f t="shared" si="7"/>
        <v>3.4392384866445989E-2</v>
      </c>
      <c r="N18" s="12">
        <f>+bncvar!N18</f>
        <v>63915.5</v>
      </c>
      <c r="O18" s="47">
        <f t="shared" si="8"/>
        <v>3.4945056074580365E-2</v>
      </c>
      <c r="P18" s="12">
        <f>+bncvar!P18</f>
        <v>33026.201800000003</v>
      </c>
      <c r="Q18" s="47">
        <f t="shared" si="9"/>
        <v>1.5145055805394792E-2</v>
      </c>
    </row>
    <row r="19" spans="1:17">
      <c r="A19" s="1" t="s">
        <v>272</v>
      </c>
      <c r="B19" s="12">
        <f>+bncvar!B19</f>
        <v>345925</v>
      </c>
      <c r="C19" s="47">
        <f t="shared" si="5"/>
        <v>0.19083053553361939</v>
      </c>
      <c r="D19" s="12">
        <f>+bncvar!D19</f>
        <v>0</v>
      </c>
      <c r="E19" s="44">
        <v>0</v>
      </c>
      <c r="F19" s="12">
        <f>+bncvar!F19</f>
        <v>0</v>
      </c>
      <c r="G19" s="44">
        <v>0</v>
      </c>
      <c r="H19" s="12">
        <f>+bncvar!H19</f>
        <v>0</v>
      </c>
      <c r="I19" s="44">
        <v>0</v>
      </c>
      <c r="J19" s="12">
        <f>+bncvar!J19</f>
        <v>358557</v>
      </c>
      <c r="K19" s="47">
        <f t="shared" si="6"/>
        <v>0.18827533082094422</v>
      </c>
      <c r="L19" s="12">
        <f>+bncvar!L19</f>
        <v>594121</v>
      </c>
      <c r="M19" s="47">
        <f t="shared" si="7"/>
        <v>0.31992919911751988</v>
      </c>
      <c r="N19" s="12">
        <f>+bncvar!N19</f>
        <v>715813.8</v>
      </c>
      <c r="O19" s="47">
        <f t="shared" si="8"/>
        <v>0.39136286784830682</v>
      </c>
      <c r="P19" s="12">
        <f>+bncvar!P19</f>
        <v>628590.4415800001</v>
      </c>
      <c r="Q19" s="47">
        <f t="shared" si="9"/>
        <v>0.28825710489260248</v>
      </c>
    </row>
    <row r="20" spans="1:17">
      <c r="A20" s="1" t="s">
        <v>273</v>
      </c>
      <c r="B20" s="12">
        <f>+bncvar!B20</f>
        <v>149576</v>
      </c>
      <c r="C20" s="47">
        <f t="shared" si="5"/>
        <v>8.2514036808489274E-2</v>
      </c>
      <c r="D20" s="12">
        <f>+bncvar!D20</f>
        <v>0</v>
      </c>
      <c r="E20" s="44">
        <v>0</v>
      </c>
      <c r="F20" s="12">
        <f>+bncvar!F20</f>
        <v>0</v>
      </c>
      <c r="G20" s="44">
        <v>0</v>
      </c>
      <c r="H20" s="12">
        <f>+bncvar!H20</f>
        <v>0</v>
      </c>
      <c r="I20" s="44">
        <v>0</v>
      </c>
      <c r="J20" s="12">
        <f>+bncvar!J20</f>
        <v>147955</v>
      </c>
      <c r="K20" s="47">
        <f t="shared" si="6"/>
        <v>7.768995326158129E-2</v>
      </c>
      <c r="L20" s="12">
        <f>+bncvar!L20</f>
        <v>135109</v>
      </c>
      <c r="M20" s="47">
        <f t="shared" si="7"/>
        <v>7.2755068687302749E-2</v>
      </c>
      <c r="N20" s="12">
        <f>+bncvar!N20</f>
        <v>117506</v>
      </c>
      <c r="O20" s="47">
        <f t="shared" si="8"/>
        <v>6.4245038513344024E-2</v>
      </c>
      <c r="P20" s="12">
        <f>+bncvar!P20</f>
        <v>107418.76423999999</v>
      </c>
      <c r="Q20" s="47">
        <f t="shared" si="9"/>
        <v>4.9259772250327204E-2</v>
      </c>
    </row>
    <row r="21" spans="1:17" ht="16.5" thickBot="1">
      <c r="A21" s="1" t="s">
        <v>274</v>
      </c>
      <c r="B21" s="99">
        <f>+bncvar!B21</f>
        <v>54686</v>
      </c>
      <c r="C21" s="329">
        <f t="shared" si="5"/>
        <v>3.0167691453903332E-2</v>
      </c>
      <c r="D21" s="99">
        <f>+bncvar!D21</f>
        <v>0</v>
      </c>
      <c r="E21" s="232">
        <v>0</v>
      </c>
      <c r="F21" s="99">
        <f>+bncvar!F21</f>
        <v>0</v>
      </c>
      <c r="G21" s="232">
        <v>0</v>
      </c>
      <c r="H21" s="99">
        <f>+bncvar!H21</f>
        <v>0</v>
      </c>
      <c r="I21" s="232">
        <v>0</v>
      </c>
      <c r="J21" s="99">
        <f>+bncvar!J21</f>
        <v>50870</v>
      </c>
      <c r="K21" s="329">
        <f t="shared" si="6"/>
        <v>2.6711418488166268E-2</v>
      </c>
      <c r="L21" s="99">
        <f>+bncvar!L21</f>
        <v>123168</v>
      </c>
      <c r="M21" s="329">
        <f t="shared" si="7"/>
        <v>6.6324939863944693E-2</v>
      </c>
      <c r="N21" s="99">
        <f>+bncvar!N21</f>
        <v>181290.6</v>
      </c>
      <c r="O21" s="329">
        <f t="shared" si="8"/>
        <v>9.9118526535727933E-2</v>
      </c>
      <c r="P21" s="99">
        <f>+bncvar!P21</f>
        <v>196361.51874999999</v>
      </c>
      <c r="Q21" s="329">
        <f t="shared" si="9"/>
        <v>9.0046871799251998E-2</v>
      </c>
    </row>
    <row r="22" spans="1:17">
      <c r="A22" s="1" t="s">
        <v>275</v>
      </c>
      <c r="B22" s="4">
        <f>SUM(B15:B21)</f>
        <v>1812734</v>
      </c>
      <c r="C22" s="112">
        <f t="shared" si="5"/>
        <v>1</v>
      </c>
      <c r="D22" s="4">
        <f>SUM(D15:D21)</f>
        <v>0</v>
      </c>
      <c r="E22" s="42">
        <v>0</v>
      </c>
      <c r="F22" s="4">
        <f>SUM(F15:F21)</f>
        <v>0</v>
      </c>
      <c r="G22" s="44">
        <v>0</v>
      </c>
      <c r="H22" s="4">
        <f>SUM(H15:H21)</f>
        <v>0</v>
      </c>
      <c r="I22" s="42">
        <v>0</v>
      </c>
      <c r="J22" s="4">
        <f>SUM(J15:J21)</f>
        <v>1904429</v>
      </c>
      <c r="K22" s="47">
        <f t="shared" si="6"/>
        <v>1</v>
      </c>
      <c r="L22" s="4">
        <f>SUM(L15:L21)</f>
        <v>1857039</v>
      </c>
      <c r="M22" s="47">
        <f t="shared" si="7"/>
        <v>1</v>
      </c>
      <c r="N22" s="4">
        <f>SUM(N15:N21)</f>
        <v>1829028.4</v>
      </c>
      <c r="O22" s="47">
        <f t="shared" si="8"/>
        <v>1</v>
      </c>
      <c r="P22" s="4">
        <f>SUM(P15:P21)</f>
        <v>2180658.9704499999</v>
      </c>
      <c r="Q22" s="47">
        <f t="shared" si="9"/>
        <v>1</v>
      </c>
    </row>
    <row r="23" spans="1:17" ht="7.9" customHeight="1">
      <c r="A23" s="1"/>
      <c r="C23" s="47" t="s">
        <v>0</v>
      </c>
      <c r="E23" s="44" t="s">
        <v>0</v>
      </c>
      <c r="G23" s="44" t="s">
        <v>0</v>
      </c>
      <c r="I23" s="44" t="s">
        <v>0</v>
      </c>
      <c r="K23" s="47" t="s">
        <v>0</v>
      </c>
      <c r="M23" s="47" t="s">
        <v>0</v>
      </c>
      <c r="O23" s="47" t="s">
        <v>0</v>
      </c>
      <c r="Q23" s="47" t="s">
        <v>0</v>
      </c>
    </row>
    <row r="24" spans="1:17">
      <c r="A24" s="87" t="s">
        <v>276</v>
      </c>
      <c r="C24" s="47" t="s">
        <v>0</v>
      </c>
      <c r="E24" s="44" t="s">
        <v>0</v>
      </c>
      <c r="G24" s="44" t="s">
        <v>0</v>
      </c>
      <c r="I24" s="44" t="s">
        <v>0</v>
      </c>
      <c r="K24" s="47" t="s">
        <v>0</v>
      </c>
      <c r="M24" s="47" t="s">
        <v>0</v>
      </c>
      <c r="O24" s="47" t="s">
        <v>0</v>
      </c>
      <c r="Q24" s="47" t="s">
        <v>0</v>
      </c>
    </row>
    <row r="25" spans="1:17">
      <c r="A25" s="1" t="s">
        <v>277</v>
      </c>
      <c r="C25" s="47" t="s">
        <v>0</v>
      </c>
      <c r="E25" s="44" t="s">
        <v>0</v>
      </c>
      <c r="G25" s="44" t="s">
        <v>0</v>
      </c>
      <c r="I25" s="44" t="s">
        <v>0</v>
      </c>
      <c r="K25" s="47" t="s">
        <v>0</v>
      </c>
      <c r="M25" s="47" t="s">
        <v>0</v>
      </c>
      <c r="O25" s="47" t="s">
        <v>0</v>
      </c>
      <c r="Q25" s="47" t="s">
        <v>0</v>
      </c>
    </row>
    <row r="26" spans="1:17">
      <c r="A26" s="1" t="s">
        <v>278</v>
      </c>
      <c r="B26" s="12">
        <f>+bncvar!B26</f>
        <v>371222</v>
      </c>
      <c r="C26" s="47">
        <f>+B26/$B$22</f>
        <v>0.20478569939108551</v>
      </c>
      <c r="D26" s="12">
        <f>+bncvar!D26</f>
        <v>0</v>
      </c>
      <c r="E26" s="44">
        <v>0</v>
      </c>
      <c r="F26" s="12">
        <f>+bncvar!F26</f>
        <v>0</v>
      </c>
      <c r="G26" s="44">
        <v>0</v>
      </c>
      <c r="H26" s="12">
        <f>+bncvar!H26</f>
        <v>0</v>
      </c>
      <c r="I26" s="44">
        <v>0</v>
      </c>
      <c r="J26" s="12">
        <f>+bncvar!J26</f>
        <v>366554</v>
      </c>
      <c r="K26" s="47">
        <f>+J26/$J$22</f>
        <v>0.19247448972894238</v>
      </c>
      <c r="L26" s="12">
        <f>+bncvar!L26</f>
        <v>336395</v>
      </c>
      <c r="M26" s="47">
        <f>+L26/$L$22</f>
        <v>0.18114589946683943</v>
      </c>
      <c r="N26" s="12">
        <f>+bncvar!N26</f>
        <v>331368</v>
      </c>
      <c r="O26" s="47">
        <f>+N26/$N$22</f>
        <v>0.18117159908506617</v>
      </c>
      <c r="P26" s="12">
        <f>+bncvar!P26</f>
        <v>317960.81793999998</v>
      </c>
      <c r="Q26" s="47">
        <f>+P26/$P$22</f>
        <v>0.14580951090870742</v>
      </c>
    </row>
    <row r="27" spans="1:17">
      <c r="A27" s="1" t="s">
        <v>279</v>
      </c>
      <c r="B27" s="12">
        <f>+bncvar!B27</f>
        <v>967287</v>
      </c>
      <c r="C27" s="47">
        <f>+B27/$B$22</f>
        <v>0.53360669574245312</v>
      </c>
      <c r="D27" s="12">
        <f>+bncvar!D27</f>
        <v>0</v>
      </c>
      <c r="E27" s="44">
        <v>0</v>
      </c>
      <c r="F27" s="12">
        <f>+bncvar!F27</f>
        <v>0</v>
      </c>
      <c r="G27" s="44">
        <v>0</v>
      </c>
      <c r="H27" s="12">
        <f>+bncvar!H27</f>
        <v>0</v>
      </c>
      <c r="I27" s="44">
        <v>0</v>
      </c>
      <c r="J27" s="12">
        <f>+bncvar!J27</f>
        <v>957899</v>
      </c>
      <c r="K27" s="47">
        <f>+J27/$J$22</f>
        <v>0.50298488418313314</v>
      </c>
      <c r="L27" s="12">
        <f>+bncvar!L27</f>
        <v>918155</v>
      </c>
      <c r="M27" s="47">
        <f>+L27/$L$22</f>
        <v>0.49441880326692117</v>
      </c>
      <c r="N27" s="12">
        <f>+bncvar!N27</f>
        <v>947190</v>
      </c>
      <c r="O27" s="47">
        <f>+N27/$N$22</f>
        <v>0.51786511352147402</v>
      </c>
      <c r="P27" s="12">
        <f>+bncvar!P27</f>
        <v>947574.09720000008</v>
      </c>
      <c r="Q27" s="47">
        <f>+P27/$P$22</f>
        <v>0.43453566561325224</v>
      </c>
    </row>
    <row r="28" spans="1:17">
      <c r="A28" s="1" t="s">
        <v>280</v>
      </c>
      <c r="B28" s="221">
        <f>+bncvar!B28</f>
        <v>134230</v>
      </c>
      <c r="C28" s="328">
        <f>+B28/$B$22</f>
        <v>7.4048371134430094E-2</v>
      </c>
      <c r="D28" s="221">
        <f>+bncvar!D28</f>
        <v>0</v>
      </c>
      <c r="E28" s="545">
        <v>0</v>
      </c>
      <c r="F28" s="221">
        <f>+bncvar!F28</f>
        <v>0</v>
      </c>
      <c r="G28" s="545">
        <v>0</v>
      </c>
      <c r="H28" s="221">
        <f>+bncvar!H28</f>
        <v>0</v>
      </c>
      <c r="I28" s="545">
        <v>0</v>
      </c>
      <c r="J28" s="221">
        <f>+bncvar!J28</f>
        <v>115758</v>
      </c>
      <c r="K28" s="328">
        <f>+J28/$J$22</f>
        <v>6.0783573449049555E-2</v>
      </c>
      <c r="L28" s="221">
        <f>+bncvar!L28</f>
        <v>111963</v>
      </c>
      <c r="M28" s="328">
        <f>+L28/$L$22</f>
        <v>6.029114089687939E-2</v>
      </c>
      <c r="N28" s="221">
        <f>+bncvar!N28</f>
        <v>102327</v>
      </c>
      <c r="O28" s="328">
        <f>+N28/$N$22</f>
        <v>5.5946096845735149E-2</v>
      </c>
      <c r="P28" s="221">
        <f>+bncvar!P28</f>
        <v>100740.23637</v>
      </c>
      <c r="Q28" s="328">
        <f>+P28/$P$22</f>
        <v>4.6197153124411416E-2</v>
      </c>
    </row>
    <row r="29" spans="1:17">
      <c r="A29" s="1"/>
      <c r="B29" s="12">
        <f>SUM(B26:B28)</f>
        <v>1472739</v>
      </c>
      <c r="C29" s="47">
        <f>+B29/$B$22</f>
        <v>0.81244076626796868</v>
      </c>
      <c r="D29" s="12">
        <f>SUM(D26:D28)</f>
        <v>0</v>
      </c>
      <c r="E29" s="44">
        <v>0</v>
      </c>
      <c r="F29" s="12">
        <f>SUM(F26:F28)</f>
        <v>0</v>
      </c>
      <c r="G29" s="44">
        <v>0</v>
      </c>
      <c r="H29" s="12">
        <f>SUM(H26:H28)</f>
        <v>0</v>
      </c>
      <c r="I29" s="44">
        <v>0</v>
      </c>
      <c r="J29" s="12">
        <f>SUM(J26:J28)</f>
        <v>1440211</v>
      </c>
      <c r="K29" s="47">
        <f>+J29/$J$22</f>
        <v>0.75624294736112507</v>
      </c>
      <c r="L29" s="12">
        <f>SUM(L26:L28)</f>
        <v>1366513</v>
      </c>
      <c r="M29" s="47">
        <f>+L29/$L$22</f>
        <v>0.73585584363063994</v>
      </c>
      <c r="N29" s="12">
        <f>SUM(N26:N28)</f>
        <v>1380885</v>
      </c>
      <c r="O29" s="47">
        <f>+N29/$N$22</f>
        <v>0.75498280945227536</v>
      </c>
      <c r="P29" s="12">
        <f>SUM(P26:P28)</f>
        <v>1366275.1515100002</v>
      </c>
      <c r="Q29" s="47">
        <f>+P29/$P$22</f>
        <v>0.62654232964637113</v>
      </c>
    </row>
    <row r="30" spans="1:17" ht="7.9" customHeight="1">
      <c r="A30" s="1"/>
      <c r="C30" s="47" t="s">
        <v>0</v>
      </c>
      <c r="E30" s="44" t="s">
        <v>0</v>
      </c>
      <c r="G30" s="44" t="s">
        <v>0</v>
      </c>
      <c r="I30" s="44" t="s">
        <v>0</v>
      </c>
      <c r="K30" s="47" t="s">
        <v>0</v>
      </c>
      <c r="M30" s="47" t="s">
        <v>0</v>
      </c>
      <c r="O30" s="47" t="s">
        <v>0</v>
      </c>
      <c r="Q30" s="47" t="s">
        <v>0</v>
      </c>
    </row>
    <row r="31" spans="1:17">
      <c r="A31" s="1" t="s">
        <v>281</v>
      </c>
      <c r="C31" s="47" t="s">
        <v>0</v>
      </c>
      <c r="E31" s="44" t="s">
        <v>0</v>
      </c>
      <c r="G31" s="44" t="s">
        <v>0</v>
      </c>
      <c r="I31" s="44" t="s">
        <v>0</v>
      </c>
      <c r="K31" s="47" t="s">
        <v>0</v>
      </c>
      <c r="M31" s="47" t="s">
        <v>0</v>
      </c>
      <c r="O31" s="47" t="s">
        <v>0</v>
      </c>
      <c r="Q31" s="47" t="s">
        <v>0</v>
      </c>
    </row>
    <row r="32" spans="1:17">
      <c r="A32" s="1" t="s">
        <v>282</v>
      </c>
      <c r="B32" s="12">
        <f>+bncvar!B32</f>
        <v>3000</v>
      </c>
      <c r="C32" s="47">
        <f>+B32/$B$22</f>
        <v>1.6549587529113483E-3</v>
      </c>
      <c r="D32" s="12">
        <f>+bncvar!D32</f>
        <v>0</v>
      </c>
      <c r="E32" s="44">
        <v>0</v>
      </c>
      <c r="F32" s="12">
        <f>+bncvar!F32</f>
        <v>0</v>
      </c>
      <c r="G32" s="44">
        <v>0</v>
      </c>
      <c r="H32" s="12">
        <f>+bncvar!H32</f>
        <v>0</v>
      </c>
      <c r="I32" s="44">
        <v>0</v>
      </c>
      <c r="J32" s="12">
        <f>+bncvar!J32</f>
        <v>3000</v>
      </c>
      <c r="K32" s="47">
        <f>+J32/$J$22</f>
        <v>1.5752753187438335E-3</v>
      </c>
      <c r="L32" s="12">
        <f>+bncvar!L32</f>
        <v>224359</v>
      </c>
      <c r="M32" s="47">
        <f>+L32/$L$22</f>
        <v>0.1208154486793223</v>
      </c>
      <c r="N32" s="12">
        <f>+bncvar!N32</f>
        <v>131283.6</v>
      </c>
      <c r="O32" s="47">
        <f>+N32/$N$22</f>
        <v>7.17777810339085E-2</v>
      </c>
      <c r="P32" s="12">
        <f>+bncvar!P32</f>
        <v>504488.44253</v>
      </c>
      <c r="Q32" s="47">
        <f>+P32/$P$22</f>
        <v>0.23134678524533067</v>
      </c>
    </row>
    <row r="33" spans="1:21">
      <c r="A33" s="1" t="s">
        <v>283</v>
      </c>
      <c r="B33" s="12">
        <f>+bncvar!B33</f>
        <v>0</v>
      </c>
      <c r="C33" s="47">
        <f>+B33/$B$22</f>
        <v>0</v>
      </c>
      <c r="D33" s="12">
        <f>+bncvar!D33</f>
        <v>0</v>
      </c>
      <c r="E33" s="44">
        <v>0</v>
      </c>
      <c r="F33" s="12">
        <f>+bncvar!F33</f>
        <v>0</v>
      </c>
      <c r="G33" s="44">
        <v>0</v>
      </c>
      <c r="H33" s="12">
        <f>+bncvar!H33</f>
        <v>0</v>
      </c>
      <c r="I33" s="44">
        <v>0</v>
      </c>
      <c r="J33" s="12">
        <f>+bncvar!J33</f>
        <v>0</v>
      </c>
      <c r="K33" s="47">
        <f>+J33/$J$22</f>
        <v>0</v>
      </c>
      <c r="L33" s="12">
        <f>+bncvar!L33</f>
        <v>0</v>
      </c>
      <c r="M33" s="47">
        <f>+L33/$L$22</f>
        <v>0</v>
      </c>
      <c r="N33" s="12">
        <f>+bncvar!N33</f>
        <v>17.7</v>
      </c>
      <c r="O33" s="47">
        <f>+N33/$N$22</f>
        <v>9.6772690899714838E-6</v>
      </c>
      <c r="P33" s="12">
        <f>+bncvar!P33</f>
        <v>26.632009999999998</v>
      </c>
      <c r="Q33" s="47">
        <f>+P33/$P$22</f>
        <v>1.2212826655102438E-5</v>
      </c>
    </row>
    <row r="34" spans="1:21" ht="18">
      <c r="A34" s="1" t="s">
        <v>284</v>
      </c>
      <c r="B34" s="221">
        <f>+bncvar!B34</f>
        <v>362458</v>
      </c>
      <c r="C34" s="328">
        <f>+B34/$B$22</f>
        <v>0.19995101322091383</v>
      </c>
      <c r="D34" s="221">
        <f>+bncvar!D34</f>
        <v>0</v>
      </c>
      <c r="E34" s="545">
        <v>0</v>
      </c>
      <c r="F34" s="221">
        <f>+bncvar!F34</f>
        <v>0</v>
      </c>
      <c r="G34" s="545">
        <v>0</v>
      </c>
      <c r="H34" s="221">
        <f>+bncvar!H34</f>
        <v>0</v>
      </c>
      <c r="I34" s="545">
        <v>0</v>
      </c>
      <c r="J34" s="221">
        <f>+bncvar!J34</f>
        <v>404674</v>
      </c>
      <c r="K34" s="328">
        <f>+J34/$J$22</f>
        <v>0.21249098811244735</v>
      </c>
      <c r="L34" s="221">
        <f>+bncvar!L34</f>
        <v>111474</v>
      </c>
      <c r="M34" s="328">
        <f>+L34/$L$22</f>
        <v>6.0027818478771852E-2</v>
      </c>
      <c r="N34" s="221">
        <f>+bncvar!N34</f>
        <v>132636.4</v>
      </c>
      <c r="O34" s="328">
        <f>+N34/$N$22</f>
        <v>7.2517408696332983E-2</v>
      </c>
      <c r="P34" s="221">
        <f>+bncvar!P34</f>
        <v>105952.58875</v>
      </c>
      <c r="Q34" s="328">
        <f>+P34/$P$22</f>
        <v>4.8587417925387781E-2</v>
      </c>
      <c r="R34" s="6"/>
      <c r="S34" s="7"/>
      <c r="T34" s="7"/>
      <c r="U34" s="7"/>
    </row>
    <row r="35" spans="1:21">
      <c r="A35" s="1"/>
      <c r="B35" s="12">
        <f>SUM(B32:B34)</f>
        <v>365458</v>
      </c>
      <c r="C35" s="47">
        <f>+B35/$B$22</f>
        <v>0.20160597197382518</v>
      </c>
      <c r="D35" s="12">
        <f>SUM(D32:D34)</f>
        <v>0</v>
      </c>
      <c r="E35" s="44">
        <v>0</v>
      </c>
      <c r="F35" s="12">
        <f>SUM(F32:F34)</f>
        <v>0</v>
      </c>
      <c r="G35" s="44">
        <v>0</v>
      </c>
      <c r="H35" s="12">
        <f>SUM(H32:H34)</f>
        <v>0</v>
      </c>
      <c r="I35" s="44">
        <v>0</v>
      </c>
      <c r="J35" s="12">
        <f>SUM(J32:J34)</f>
        <v>407674</v>
      </c>
      <c r="K35" s="47">
        <f>+J35/$J$22</f>
        <v>0.21406626343119117</v>
      </c>
      <c r="L35" s="12">
        <f>SUM(L32:L34)</f>
        <v>335833</v>
      </c>
      <c r="M35" s="47">
        <f>+L35/$L$22</f>
        <v>0.18084326715809415</v>
      </c>
      <c r="N35" s="12">
        <f>SUM(N32:N34)</f>
        <v>263937.7</v>
      </c>
      <c r="O35" s="47">
        <f>+N35/$N$22</f>
        <v>0.14430486699933145</v>
      </c>
      <c r="P35" s="12">
        <f>SUM(P32:P34)</f>
        <v>610467.66329000005</v>
      </c>
      <c r="Q35" s="47">
        <f>+P35/$P$22</f>
        <v>0.27994641599737358</v>
      </c>
    </row>
    <row r="36" spans="1:21" ht="7.15" customHeight="1">
      <c r="A36" s="1"/>
      <c r="C36" s="47" t="s">
        <v>0</v>
      </c>
      <c r="E36" s="44" t="s">
        <v>0</v>
      </c>
      <c r="G36" s="44" t="s">
        <v>0</v>
      </c>
      <c r="I36" s="44" t="s">
        <v>0</v>
      </c>
      <c r="K36" s="47" t="s">
        <v>0</v>
      </c>
      <c r="M36" s="47" t="s">
        <v>0</v>
      </c>
      <c r="O36" s="47" t="s">
        <v>0</v>
      </c>
      <c r="Q36" s="47" t="s">
        <v>0</v>
      </c>
    </row>
    <row r="37" spans="1:21">
      <c r="A37" s="1" t="s">
        <v>285</v>
      </c>
      <c r="C37" s="47" t="s">
        <v>0</v>
      </c>
      <c r="E37" s="44" t="s">
        <v>0</v>
      </c>
      <c r="G37" s="44" t="s">
        <v>0</v>
      </c>
      <c r="I37" s="44" t="s">
        <v>0</v>
      </c>
      <c r="K37" s="47" t="s">
        <v>0</v>
      </c>
      <c r="M37" s="47" t="s">
        <v>0</v>
      </c>
      <c r="O37" s="47" t="s">
        <v>0</v>
      </c>
      <c r="Q37" s="47" t="s">
        <v>0</v>
      </c>
    </row>
    <row r="38" spans="1:21">
      <c r="A38" s="1" t="s">
        <v>282</v>
      </c>
      <c r="B38" s="12">
        <f>+bncvar!B38</f>
        <v>0</v>
      </c>
      <c r="C38" s="47">
        <f>+B38/$B$22</f>
        <v>0</v>
      </c>
      <c r="D38" s="12">
        <f>+bncvar!D38</f>
        <v>0</v>
      </c>
      <c r="E38" s="44">
        <v>0</v>
      </c>
      <c r="F38" s="12">
        <f>+bncvar!F38</f>
        <v>0</v>
      </c>
      <c r="G38" s="44">
        <v>0</v>
      </c>
      <c r="H38" s="12">
        <f>+bncvar!H38</f>
        <v>0</v>
      </c>
      <c r="I38" s="44">
        <v>0</v>
      </c>
      <c r="J38" s="12">
        <f>+bncvar!J38</f>
        <v>0</v>
      </c>
      <c r="K38" s="47">
        <f>+J38/$J$22</f>
        <v>0</v>
      </c>
      <c r="L38" s="12">
        <f>+bncvar!L38</f>
        <v>3000</v>
      </c>
      <c r="M38" s="47">
        <f>+L38/$L$22</f>
        <v>1.6154749577149429E-3</v>
      </c>
      <c r="N38" s="12">
        <f>+bncvar!N38</f>
        <v>0</v>
      </c>
      <c r="O38" s="47">
        <f>+N38/$N$22</f>
        <v>0</v>
      </c>
      <c r="P38" s="12">
        <f>+bncvar!P38</f>
        <v>18000</v>
      </c>
      <c r="Q38" s="47">
        <f>+P38/$P$22</f>
        <v>8.2543855980770475E-3</v>
      </c>
    </row>
    <row r="39" spans="1:21">
      <c r="A39" s="1" t="s">
        <v>286</v>
      </c>
      <c r="B39" s="12">
        <f>+bncvar!B39</f>
        <v>0</v>
      </c>
      <c r="C39" s="47">
        <f>+B39/$B$22</f>
        <v>0</v>
      </c>
      <c r="D39" s="12">
        <f>+bncvar!D39</f>
        <v>0</v>
      </c>
      <c r="E39" s="44">
        <v>0</v>
      </c>
      <c r="F39" s="12">
        <f>+bncvar!F39</f>
        <v>0</v>
      </c>
      <c r="G39" s="44">
        <v>0</v>
      </c>
      <c r="H39" s="12">
        <f>+bncvar!H39</f>
        <v>0</v>
      </c>
      <c r="I39" s="44">
        <v>0</v>
      </c>
      <c r="J39" s="12">
        <f>+bncvar!J39</f>
        <v>0</v>
      </c>
      <c r="K39" s="47">
        <f>+J39/$J$22</f>
        <v>0</v>
      </c>
      <c r="L39" s="12">
        <f>+bncvar!L39</f>
        <v>0</v>
      </c>
      <c r="M39" s="47">
        <f>+L39/$L$22</f>
        <v>0</v>
      </c>
      <c r="N39" s="12">
        <f>+bncvar!N39</f>
        <v>0</v>
      </c>
      <c r="O39" s="47">
        <f>+N39/$N$22</f>
        <v>0</v>
      </c>
      <c r="P39" s="12">
        <f>+bncvar!P39</f>
        <v>0</v>
      </c>
      <c r="Q39" s="47">
        <f>+P39/$P$22</f>
        <v>0</v>
      </c>
    </row>
    <row r="40" spans="1:21">
      <c r="A40" s="1" t="s">
        <v>284</v>
      </c>
      <c r="B40" s="221">
        <f>+bncvar!B40</f>
        <v>6638</v>
      </c>
      <c r="C40" s="328">
        <f>+B40/$B$22</f>
        <v>3.6618720672751768E-3</v>
      </c>
      <c r="D40" s="221">
        <f>+bncvar!D40</f>
        <v>0</v>
      </c>
      <c r="E40" s="545">
        <v>0</v>
      </c>
      <c r="F40" s="221">
        <f>+bncvar!F40</f>
        <v>0</v>
      </c>
      <c r="G40" s="545">
        <v>0</v>
      </c>
      <c r="H40" s="221">
        <f>+bncvar!H40</f>
        <v>0</v>
      </c>
      <c r="I40" s="545">
        <v>0</v>
      </c>
      <c r="J40" s="221">
        <f>+bncvar!J40</f>
        <v>7429</v>
      </c>
      <c r="K40" s="328">
        <f>+J40/$J$22</f>
        <v>3.9009067809826462E-3</v>
      </c>
      <c r="L40" s="221">
        <f>+bncvar!L40</f>
        <v>6887</v>
      </c>
      <c r="M40" s="328">
        <f>+L40/$L$22</f>
        <v>3.7085920112609376E-3</v>
      </c>
      <c r="N40" s="221">
        <f>+bncvar!N40</f>
        <v>8755.2000000000007</v>
      </c>
      <c r="O40" s="328">
        <f>+N40/$N$22</f>
        <v>4.7868037478258959E-3</v>
      </c>
      <c r="P40" s="221">
        <f>+bncvar!P40</f>
        <v>6849.5686299999998</v>
      </c>
      <c r="Q40" s="328">
        <f>+P40/$P$22</f>
        <v>3.1410544806951294E-3</v>
      </c>
    </row>
    <row r="41" spans="1:21">
      <c r="A41" s="1"/>
      <c r="B41" s="12">
        <f>SUM(B38:B40)</f>
        <v>6638</v>
      </c>
      <c r="C41" s="47">
        <f>+B41/$B$22</f>
        <v>3.6618720672751768E-3</v>
      </c>
      <c r="D41" s="12">
        <f>SUM(D38:D40)</f>
        <v>0</v>
      </c>
      <c r="E41" s="44">
        <v>0</v>
      </c>
      <c r="F41" s="12">
        <f>SUM(F38:F40)</f>
        <v>0</v>
      </c>
      <c r="G41" s="44">
        <v>0</v>
      </c>
      <c r="H41" s="12">
        <f>SUM(H38:H40)</f>
        <v>0</v>
      </c>
      <c r="I41" s="44">
        <v>0</v>
      </c>
      <c r="J41" s="12">
        <f>SUM(J38:J40)</f>
        <v>7429</v>
      </c>
      <c r="K41" s="47">
        <f>+J41/$J$22</f>
        <v>3.9009067809826462E-3</v>
      </c>
      <c r="L41" s="12">
        <f>SUM(L38:L40)</f>
        <v>9887</v>
      </c>
      <c r="M41" s="47">
        <f>+L41/$L$22</f>
        <v>5.3240669689758801E-3</v>
      </c>
      <c r="N41" s="12">
        <f>SUM(N38:N40)</f>
        <v>8755.2000000000007</v>
      </c>
      <c r="O41" s="47">
        <f>+N41/$N$22</f>
        <v>4.7868037478258959E-3</v>
      </c>
      <c r="P41" s="12">
        <f>SUM(P38:P40)</f>
        <v>24849.568630000002</v>
      </c>
      <c r="Q41" s="47">
        <f>+P41/$P$22</f>
        <v>1.1395440078772178E-2</v>
      </c>
    </row>
    <row r="42" spans="1:21" ht="8.4499999999999993" customHeight="1">
      <c r="A42" s="1"/>
      <c r="C42" s="47" t="s">
        <v>0</v>
      </c>
      <c r="E42" s="44" t="s">
        <v>0</v>
      </c>
      <c r="G42" s="44" t="s">
        <v>0</v>
      </c>
      <c r="I42" s="44" t="s">
        <v>0</v>
      </c>
      <c r="K42" s="47" t="s">
        <v>0</v>
      </c>
      <c r="M42" s="47" t="s">
        <v>0</v>
      </c>
      <c r="O42" s="47" t="s">
        <v>0</v>
      </c>
      <c r="Q42" s="47" t="s">
        <v>0</v>
      </c>
    </row>
    <row r="43" spans="1:21" ht="18">
      <c r="A43" s="1" t="s">
        <v>287</v>
      </c>
      <c r="B43" s="221">
        <f>+bncvar!B43</f>
        <v>-77925</v>
      </c>
      <c r="C43" s="328">
        <f>+B43/$B$22</f>
        <v>-4.2987553606872272E-2</v>
      </c>
      <c r="D43" s="221">
        <f>+bncvar!D43</f>
        <v>0</v>
      </c>
      <c r="E43" s="545">
        <v>0</v>
      </c>
      <c r="F43" s="221">
        <f>+bncvar!F43</f>
        <v>0</v>
      </c>
      <c r="G43" s="545">
        <v>0</v>
      </c>
      <c r="H43" s="221">
        <f>+bncvar!H43</f>
        <v>0</v>
      </c>
      <c r="I43" s="545">
        <v>0</v>
      </c>
      <c r="J43" s="221">
        <f>+bncvar!J43</f>
        <v>1753</v>
      </c>
      <c r="K43" s="328">
        <f>+J43/$J$22</f>
        <v>9.2048587791931339E-4</v>
      </c>
      <c r="L43" s="221">
        <f>+bncvar!L43</f>
        <v>31012</v>
      </c>
      <c r="M43" s="328">
        <f>+L43/$L$22</f>
        <v>1.6699703129551938E-2</v>
      </c>
      <c r="N43" s="221">
        <f>+bncvar!N43</f>
        <v>35532.1</v>
      </c>
      <c r="O43" s="328">
        <f>+N43/$N$22</f>
        <v>1.9426762318179424E-2</v>
      </c>
      <c r="P43" s="221">
        <f>+bncvar!P43</f>
        <v>24710.450530000002</v>
      </c>
      <c r="Q43" s="328">
        <f>+P43/$P$22</f>
        <v>1.1331643720934852E-2</v>
      </c>
      <c r="R43" s="6"/>
    </row>
    <row r="44" spans="1:21">
      <c r="A44" s="1"/>
      <c r="B44" s="12">
        <f>+B29+B35+B41+B43</f>
        <v>1766910</v>
      </c>
      <c r="C44" s="47">
        <f>+B44/$B$22</f>
        <v>0.97472105670219678</v>
      </c>
      <c r="D44" s="12">
        <f t="shared" ref="D44:J44" si="10">+D29+D35+D41+D43</f>
        <v>0</v>
      </c>
      <c r="E44" s="44">
        <v>0</v>
      </c>
      <c r="F44" s="12">
        <f t="shared" si="10"/>
        <v>0</v>
      </c>
      <c r="G44" s="44">
        <v>0</v>
      </c>
      <c r="H44" s="12">
        <f t="shared" si="10"/>
        <v>0</v>
      </c>
      <c r="I44" s="44">
        <v>0</v>
      </c>
      <c r="J44" s="12">
        <f t="shared" si="10"/>
        <v>1857067</v>
      </c>
      <c r="K44" s="47">
        <f>+J44/$J$22</f>
        <v>0.97513060345121816</v>
      </c>
      <c r="L44" s="12">
        <f>+L29+L35+L41+L43</f>
        <v>1743245</v>
      </c>
      <c r="M44" s="47">
        <f>+L44/$L$22</f>
        <v>0.93872288088726197</v>
      </c>
      <c r="N44" s="12">
        <f>+N29+N35+N41+N43</f>
        <v>1689110</v>
      </c>
      <c r="O44" s="47">
        <f>+N44/$N$22</f>
        <v>0.92350124251761212</v>
      </c>
      <c r="P44" s="12">
        <f>+P29+P35+P41+P43</f>
        <v>2026302.8339600004</v>
      </c>
      <c r="Q44" s="47">
        <f>+P44/$P$22</f>
        <v>0.92921582944345182</v>
      </c>
    </row>
    <row r="45" spans="1:21" ht="8.4499999999999993" customHeight="1">
      <c r="A45" s="1"/>
      <c r="C45" s="47" t="s">
        <v>0</v>
      </c>
      <c r="E45" s="44" t="s">
        <v>0</v>
      </c>
      <c r="G45" s="44" t="s">
        <v>0</v>
      </c>
      <c r="I45" s="44" t="s">
        <v>0</v>
      </c>
      <c r="K45" s="47" t="s">
        <v>0</v>
      </c>
      <c r="M45" s="47" t="s">
        <v>0</v>
      </c>
      <c r="O45" s="47" t="s">
        <v>0</v>
      </c>
      <c r="Q45" s="47" t="s">
        <v>0</v>
      </c>
    </row>
    <row r="46" spans="1:21">
      <c r="A46" s="87" t="s">
        <v>288</v>
      </c>
      <c r="C46" s="47" t="s">
        <v>0</v>
      </c>
      <c r="E46" s="44" t="s">
        <v>0</v>
      </c>
      <c r="G46" s="44" t="s">
        <v>0</v>
      </c>
      <c r="I46" s="44" t="s">
        <v>0</v>
      </c>
      <c r="K46" s="47" t="s">
        <v>0</v>
      </c>
      <c r="M46" s="47" t="s">
        <v>0</v>
      </c>
      <c r="O46" s="47" t="s">
        <v>0</v>
      </c>
      <c r="Q46" s="47" t="s">
        <v>0</v>
      </c>
    </row>
    <row r="47" spans="1:21">
      <c r="A47" s="1" t="s">
        <v>289</v>
      </c>
      <c r="B47" s="12">
        <f>+bncvar!B47</f>
        <v>25000</v>
      </c>
      <c r="C47" s="47">
        <f t="shared" ref="C47:C52" si="11">+B47/$B$22</f>
        <v>1.3791322940927902E-2</v>
      </c>
      <c r="D47" s="12">
        <f>+bncvar!D47</f>
        <v>0</v>
      </c>
      <c r="E47" s="44">
        <v>0</v>
      </c>
      <c r="F47" s="12">
        <f>+bncvar!F47</f>
        <v>0</v>
      </c>
      <c r="G47" s="44">
        <v>0</v>
      </c>
      <c r="H47" s="12">
        <f>+bncvar!H47</f>
        <v>0</v>
      </c>
      <c r="I47" s="44">
        <v>0</v>
      </c>
      <c r="J47" s="12">
        <f>+bncvar!J47</f>
        <v>25000</v>
      </c>
      <c r="K47" s="47">
        <f>+J47/$J$22</f>
        <v>1.3127294322865279E-2</v>
      </c>
      <c r="L47" s="12">
        <f>+bncvar!L47</f>
        <v>25000</v>
      </c>
      <c r="M47" s="47">
        <f>+L47/$L$22</f>
        <v>1.3462291314291192E-2</v>
      </c>
      <c r="N47" s="12">
        <f>+bncvar!N47</f>
        <v>25000</v>
      </c>
      <c r="O47" s="47">
        <f>+N47/$N$22</f>
        <v>1.3668459166626391E-2</v>
      </c>
      <c r="P47" s="12">
        <f>+bncvar!P47</f>
        <v>25000</v>
      </c>
      <c r="Q47" s="47">
        <f>+P47/$P$22</f>
        <v>1.1464424441773676E-2</v>
      </c>
    </row>
    <row r="48" spans="1:21">
      <c r="A48" s="1" t="s">
        <v>290</v>
      </c>
      <c r="B48" s="12">
        <f>+bncvar!B48</f>
        <v>10079</v>
      </c>
      <c r="C48" s="47">
        <f t="shared" si="11"/>
        <v>5.5601097568644927E-3</v>
      </c>
      <c r="D48" s="12">
        <f>+bncvar!D48</f>
        <v>0</v>
      </c>
      <c r="E48" s="44">
        <v>0</v>
      </c>
      <c r="F48" s="12">
        <f>+bncvar!F48</f>
        <v>0</v>
      </c>
      <c r="G48" s="44">
        <v>0</v>
      </c>
      <c r="H48" s="12">
        <f>+bncvar!H48</f>
        <v>0</v>
      </c>
      <c r="I48" s="44">
        <v>0</v>
      </c>
      <c r="J48" s="12">
        <f>+bncvar!J48</f>
        <v>10164</v>
      </c>
      <c r="K48" s="47">
        <f>+J48/$J$22</f>
        <v>5.3370327799041077E-3</v>
      </c>
      <c r="L48" s="12">
        <f>+bncvar!L48</f>
        <v>134709</v>
      </c>
      <c r="M48" s="47">
        <f>+L48/$L$22</f>
        <v>7.253967202627408E-2</v>
      </c>
      <c r="N48" s="12">
        <f>+bncvar!N48</f>
        <v>90956.7</v>
      </c>
      <c r="O48" s="47">
        <f>+N48/$N$22</f>
        <v>4.9729517595243466E-2</v>
      </c>
      <c r="P48" s="12">
        <f>+bncvar!P48</f>
        <v>78489.744189999998</v>
      </c>
      <c r="Q48" s="47">
        <f>+P48/$P$22</f>
        <v>3.5993589668815974E-2</v>
      </c>
    </row>
    <row r="49" spans="1:21">
      <c r="A49" s="1" t="s">
        <v>291</v>
      </c>
      <c r="B49" s="12">
        <f>+bncvar!B49</f>
        <v>0</v>
      </c>
      <c r="C49" s="47">
        <f t="shared" si="11"/>
        <v>0</v>
      </c>
      <c r="D49" s="12">
        <f>+bncvar!D49</f>
        <v>0</v>
      </c>
      <c r="E49" s="44">
        <v>0</v>
      </c>
      <c r="F49" s="12">
        <f>+bncvar!F49</f>
        <v>0</v>
      </c>
      <c r="G49" s="44">
        <v>0</v>
      </c>
      <c r="H49" s="12">
        <f>+bncvar!H49</f>
        <v>0</v>
      </c>
      <c r="I49" s="44">
        <v>0</v>
      </c>
      <c r="K49" s="47"/>
      <c r="M49" s="47"/>
      <c r="O49" s="47"/>
      <c r="Q49" s="47"/>
    </row>
    <row r="50" spans="1:21" ht="18">
      <c r="A50" s="1" t="s">
        <v>292</v>
      </c>
      <c r="B50" s="221">
        <f>+bncvar!B50</f>
        <v>10745</v>
      </c>
      <c r="C50" s="328">
        <f t="shared" si="11"/>
        <v>5.9275106000108123E-3</v>
      </c>
      <c r="D50" s="221">
        <f>+bncvar!D50</f>
        <v>0</v>
      </c>
      <c r="E50" s="545">
        <v>0</v>
      </c>
      <c r="F50" s="221">
        <f>+bncvar!F50</f>
        <v>0</v>
      </c>
      <c r="G50" s="545">
        <v>0</v>
      </c>
      <c r="H50" s="221">
        <f>+bncvar!H50</f>
        <v>0</v>
      </c>
      <c r="I50" s="545">
        <v>0</v>
      </c>
      <c r="J50" s="221">
        <f>+bncvar!J50</f>
        <v>12198</v>
      </c>
      <c r="K50" s="328">
        <f>+J50/$J$22</f>
        <v>6.4050694460124269E-3</v>
      </c>
      <c r="L50" s="221">
        <f>+bncvar!L50</f>
        <v>-45915</v>
      </c>
      <c r="M50" s="328">
        <f>+L50/$L$22</f>
        <v>-2.4724844227827201E-2</v>
      </c>
      <c r="N50" s="221">
        <f>+bncvar!N50</f>
        <v>23961.8</v>
      </c>
      <c r="O50" s="328">
        <f>+N50/$N$22</f>
        <v>1.3100835394354729E-2</v>
      </c>
      <c r="P50" s="221">
        <f>+bncvar!P50</f>
        <v>50866.3923</v>
      </c>
      <c r="Q50" s="328">
        <f>+P50/$P$22</f>
        <v>2.3326156445958732E-2</v>
      </c>
      <c r="R50" s="6"/>
      <c r="S50" s="7"/>
      <c r="T50" s="7"/>
      <c r="U50" s="7"/>
    </row>
    <row r="51" spans="1:21" ht="16.5" thickBot="1">
      <c r="A51" s="1" t="s">
        <v>275</v>
      </c>
      <c r="B51" s="76">
        <f>SUM(B47:B50)</f>
        <v>45824</v>
      </c>
      <c r="C51" s="231">
        <f t="shared" si="11"/>
        <v>2.5278943297803207E-2</v>
      </c>
      <c r="D51" s="76">
        <f>SUM(D47:D50)</f>
        <v>0</v>
      </c>
      <c r="E51" s="232">
        <v>0</v>
      </c>
      <c r="F51" s="76">
        <f>SUM(F47:F50)</f>
        <v>0</v>
      </c>
      <c r="G51" s="232">
        <v>0</v>
      </c>
      <c r="H51" s="76">
        <f>SUM(H47:H50)</f>
        <v>0</v>
      </c>
      <c r="I51" s="232">
        <v>0</v>
      </c>
      <c r="J51" s="76">
        <f>SUM(J47:J50)</f>
        <v>47362</v>
      </c>
      <c r="K51" s="231">
        <f>+J51/$J$22</f>
        <v>2.4869396548781814E-2</v>
      </c>
      <c r="L51" s="76">
        <f>SUM(L47:L50)</f>
        <v>113794</v>
      </c>
      <c r="M51" s="231">
        <f>+L51/$L$22</f>
        <v>6.1277119112738074E-2</v>
      </c>
      <c r="N51" s="76">
        <f>SUM(N47:N50)</f>
        <v>139918.5</v>
      </c>
      <c r="O51" s="231">
        <f>+N51/$N$22</f>
        <v>7.6498812156224588E-2</v>
      </c>
      <c r="P51" s="76">
        <f>SUM(P47:P50)</f>
        <v>154356.13649</v>
      </c>
      <c r="Q51" s="231">
        <f>+P51/$P$22</f>
        <v>7.0784170556548384E-2</v>
      </c>
    </row>
    <row r="52" spans="1:21">
      <c r="A52" s="1" t="s">
        <v>0</v>
      </c>
      <c r="B52" s="4">
        <f>+B29+B35+B41+B43+B51</f>
        <v>1812734</v>
      </c>
      <c r="C52" s="112">
        <f t="shared" si="11"/>
        <v>1</v>
      </c>
      <c r="D52" s="4">
        <f>+D29+D35+D41+D43+D51</f>
        <v>0</v>
      </c>
      <c r="E52" s="42">
        <v>0</v>
      </c>
      <c r="F52" s="4">
        <f>+F29+F35+F41+F43+F51</f>
        <v>0</v>
      </c>
      <c r="G52" s="42">
        <v>0</v>
      </c>
      <c r="H52" s="4">
        <f>+H29+H35+H41+H43+H51</f>
        <v>0</v>
      </c>
      <c r="I52" s="42">
        <v>0</v>
      </c>
      <c r="J52" s="4">
        <f>+J29+J35+J41+J43+J51</f>
        <v>1904429</v>
      </c>
      <c r="K52" s="47">
        <f>+J52/$J$22</f>
        <v>1</v>
      </c>
      <c r="L52" s="4">
        <f>+L29+L35+L41+L43+L51</f>
        <v>1857039</v>
      </c>
      <c r="M52" s="47">
        <f>+L52/$L$22</f>
        <v>1</v>
      </c>
      <c r="N52" s="4">
        <f>+N29+N35+N41+N43+N51-0.1</f>
        <v>1829028.4</v>
      </c>
      <c r="O52" s="47">
        <f>+N52/$N$22</f>
        <v>1</v>
      </c>
      <c r="P52" s="4">
        <f>+P29+P35+P41+P43+P51</f>
        <v>2180658.9704500004</v>
      </c>
      <c r="Q52" s="47">
        <f>+P52/$P$22</f>
        <v>1.0000000000000002</v>
      </c>
    </row>
    <row r="53" spans="1:21">
      <c r="G53" s="47" t="s">
        <v>0</v>
      </c>
    </row>
    <row r="55" spans="1:21">
      <c r="A55" s="185" t="s">
        <v>293</v>
      </c>
      <c r="B55"/>
      <c r="C55"/>
      <c r="D55"/>
      <c r="E55"/>
      <c r="F55"/>
      <c r="G55"/>
      <c r="H55"/>
      <c r="I55"/>
      <c r="J55"/>
      <c r="K55"/>
      <c r="L55"/>
      <c r="M55"/>
      <c r="N55"/>
      <c r="O55"/>
      <c r="P55"/>
      <c r="Q55"/>
      <c r="R55"/>
    </row>
    <row r="56" spans="1:21">
      <c r="A56" t="s">
        <v>294</v>
      </c>
      <c r="B56" s="3">
        <f>+bncvar!B56</f>
        <v>0</v>
      </c>
      <c r="C56"/>
      <c r="D56" s="3">
        <f>+bncvar!D56</f>
        <v>0</v>
      </c>
      <c r="E56"/>
      <c r="F56" s="3">
        <f>+bncvar!F56</f>
        <v>0</v>
      </c>
      <c r="G56"/>
      <c r="H56" s="3">
        <f>+bncvar!H56</f>
        <v>0</v>
      </c>
      <c r="I56"/>
      <c r="J56" s="3">
        <f>+bncvar!J56</f>
        <v>0</v>
      </c>
      <c r="K56"/>
      <c r="L56" s="3">
        <f>+bncvar!L56</f>
        <v>0</v>
      </c>
      <c r="M56"/>
      <c r="N56" s="3">
        <f>+bncvar!N56</f>
        <v>8280.9</v>
      </c>
      <c r="O56"/>
      <c r="P56" s="3">
        <f>+bncvar!P56</f>
        <v>17839.2</v>
      </c>
      <c r="Q56"/>
      <c r="R56"/>
    </row>
    <row r="57" spans="1:21">
      <c r="A57" t="s">
        <v>295</v>
      </c>
      <c r="B57" s="3">
        <f>+bncvar!B57</f>
        <v>0</v>
      </c>
      <c r="C57"/>
      <c r="D57" s="3">
        <f>+bncvar!D57</f>
        <v>0</v>
      </c>
      <c r="E57"/>
      <c r="F57" s="3">
        <f>+bncvar!F57</f>
        <v>0</v>
      </c>
      <c r="G57"/>
      <c r="H57" s="3">
        <f>+bncvar!H57</f>
        <v>0</v>
      </c>
      <c r="I57"/>
      <c r="J57" s="3">
        <f>+bncvar!J57</f>
        <v>0</v>
      </c>
      <c r="K57"/>
      <c r="L57" s="3">
        <f>+bncvar!L57</f>
        <v>0</v>
      </c>
      <c r="M57"/>
      <c r="N57" s="3">
        <f>+bncvar!N57</f>
        <v>30038.799999999999</v>
      </c>
      <c r="O57"/>
      <c r="P57" s="3">
        <f>+bncvar!P57</f>
        <v>64213.3</v>
      </c>
      <c r="Q57"/>
      <c r="R57"/>
    </row>
    <row r="58" spans="1:21">
      <c r="A58" t="s">
        <v>284</v>
      </c>
      <c r="B58" s="3">
        <f>+bncvar!B58</f>
        <v>0</v>
      </c>
      <c r="C58"/>
      <c r="D58" s="3">
        <f>+bncvar!D58</f>
        <v>0</v>
      </c>
      <c r="E58"/>
      <c r="F58" s="3">
        <f>+bncvar!F58</f>
        <v>0</v>
      </c>
      <c r="G58"/>
      <c r="H58" s="3">
        <f>+bncvar!H58</f>
        <v>0</v>
      </c>
      <c r="I58"/>
      <c r="J58" s="3">
        <f>+bncvar!J58</f>
        <v>0</v>
      </c>
      <c r="K58"/>
      <c r="L58" s="3">
        <f>+bncvar!L58</f>
        <v>0</v>
      </c>
      <c r="M58"/>
      <c r="N58" s="3">
        <f>+bncvar!N58</f>
        <v>82231.100000000006</v>
      </c>
      <c r="O58"/>
      <c r="P58" s="3">
        <f>+bncvar!P58</f>
        <v>53866.6</v>
      </c>
      <c r="Q58"/>
      <c r="R58"/>
    </row>
    <row r="59" spans="1:21">
      <c r="B59"/>
      <c r="C59"/>
      <c r="D59"/>
      <c r="E59"/>
      <c r="F59"/>
      <c r="G59"/>
      <c r="H59"/>
      <c r="I59"/>
      <c r="J59"/>
      <c r="K59"/>
      <c r="L59"/>
      <c r="M59"/>
      <c r="N59"/>
      <c r="O59"/>
      <c r="P59"/>
      <c r="Q59"/>
      <c r="R59"/>
    </row>
    <row r="60" spans="1:21" ht="18.75">
      <c r="A60" s="122" t="s">
        <v>303</v>
      </c>
      <c r="B60" s="3">
        <f>+bncvar!B60</f>
        <v>463471</v>
      </c>
      <c r="C60"/>
      <c r="D60" s="3">
        <f>+bncvar!D60</f>
        <v>0</v>
      </c>
      <c r="E60"/>
      <c r="F60" s="3">
        <f>+bncvar!F60</f>
        <v>0</v>
      </c>
      <c r="G60"/>
      <c r="H60" s="3">
        <f>+bncvar!H60</f>
        <v>0</v>
      </c>
      <c r="I60"/>
      <c r="J60" s="3">
        <f>+bncvar!J60</f>
        <v>476103</v>
      </c>
      <c r="K60"/>
      <c r="L60" s="3">
        <f>+bncvar!L60</f>
        <v>738188</v>
      </c>
      <c r="M60"/>
      <c r="N60" s="3">
        <f>+bncvar!N60</f>
        <v>805866.8</v>
      </c>
      <c r="O60"/>
      <c r="P60" s="3">
        <f>+bncvar!P60</f>
        <v>712650.6679</v>
      </c>
      <c r="Q60"/>
      <c r="R60"/>
    </row>
    <row r="61" spans="1:21">
      <c r="A61" t="s">
        <v>217</v>
      </c>
      <c r="B61" s="3">
        <f>+bncvar!B61</f>
        <v>117546</v>
      </c>
      <c r="C61"/>
      <c r="D61" s="3">
        <f>+bncvar!D61</f>
        <v>0</v>
      </c>
      <c r="E61"/>
      <c r="F61" s="3">
        <f>+bncvar!F61</f>
        <v>0</v>
      </c>
      <c r="G61"/>
      <c r="H61" s="3">
        <f>+bncvar!H61</f>
        <v>0</v>
      </c>
      <c r="I61"/>
      <c r="J61" s="3">
        <f>+bncvar!J61</f>
        <v>117546</v>
      </c>
      <c r="K61"/>
      <c r="L61" s="3">
        <f>+bncvar!L61</f>
        <v>144067</v>
      </c>
      <c r="M61"/>
      <c r="N61" s="3">
        <f>+bncvar!N61</f>
        <v>90053</v>
      </c>
      <c r="O61"/>
      <c r="P61" s="3">
        <f>+bncvar!P61</f>
        <v>84060.226319999987</v>
      </c>
      <c r="Q61"/>
      <c r="R61"/>
    </row>
    <row r="62" spans="1:21">
      <c r="A62" t="s">
        <v>297</v>
      </c>
      <c r="B62" s="3">
        <f>+bncvar!B62</f>
        <v>191454</v>
      </c>
      <c r="C62"/>
      <c r="D62" s="3">
        <f>+bncvar!D62</f>
        <v>0</v>
      </c>
      <c r="E62"/>
      <c r="F62" s="3">
        <f>+bncvar!F62</f>
        <v>0</v>
      </c>
      <c r="G62"/>
      <c r="H62" s="3">
        <f>+bncvar!H62</f>
        <v>0</v>
      </c>
      <c r="I62"/>
      <c r="J62" s="3">
        <f>+bncvar!J62</f>
        <v>164194</v>
      </c>
      <c r="K62"/>
      <c r="L62" s="3">
        <f>+bncvar!L62</f>
        <v>205307</v>
      </c>
      <c r="M62"/>
      <c r="N62" s="3">
        <f>+bncvar!N62</f>
        <v>149343.70000000001</v>
      </c>
      <c r="O62"/>
      <c r="P62" s="3">
        <f>+bncvar!P62</f>
        <v>122415.67048</v>
      </c>
      <c r="Q62"/>
      <c r="R62"/>
    </row>
    <row r="63" spans="1:21">
      <c r="B63"/>
      <c r="C63"/>
      <c r="D63"/>
      <c r="E63"/>
      <c r="F63"/>
      <c r="G63"/>
      <c r="H63"/>
      <c r="I63"/>
      <c r="J63"/>
      <c r="K63"/>
      <c r="L63"/>
      <c r="M63"/>
      <c r="N63"/>
      <c r="O63"/>
      <c r="P63"/>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sheetData>
  <pageMargins left="0.22" right="0.2" top="0.55000000000000004" bottom="0.53" header="0.31" footer="0.25"/>
  <pageSetup scale="53" orientation="landscape" r:id="rId1"/>
  <headerFooter alignWithMargins="0">
    <oddFooter>&amp;R&amp;P</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1"/>
  <sheetViews>
    <sheetView workbookViewId="0"/>
  </sheetViews>
  <sheetFormatPr defaultRowHeight="15.75"/>
  <cols>
    <col min="1" max="1" width="33.25" customWidth="1"/>
    <col min="2" max="2" width="18.125" style="12" customWidth="1"/>
    <col min="3" max="3" width="15.75" style="13" customWidth="1"/>
    <col min="4" max="4" width="15.75" style="12" customWidth="1"/>
    <col min="5" max="5" width="15.25" style="13" customWidth="1"/>
    <col min="6" max="6" width="13.25" style="12" customWidth="1"/>
    <col min="7" max="7" width="8.75" style="13" customWidth="1"/>
    <col min="8" max="8" width="17.875"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584</v>
      </c>
      <c r="B1" s="37"/>
      <c r="C1" s="38"/>
      <c r="D1" s="37"/>
      <c r="E1" s="38"/>
      <c r="F1" s="37"/>
      <c r="G1" s="38"/>
      <c r="H1" s="37"/>
      <c r="I1" s="37"/>
      <c r="J1" s="38"/>
      <c r="K1" s="37"/>
    </row>
    <row r="2" spans="1:15">
      <c r="A2" s="114" t="s">
        <v>305</v>
      </c>
      <c r="B2" s="37"/>
      <c r="C2" s="38"/>
      <c r="D2" s="37"/>
      <c r="E2" s="38"/>
      <c r="F2" s="37"/>
      <c r="G2" s="38"/>
      <c r="H2" s="37"/>
      <c r="I2" s="37"/>
      <c r="J2" s="38"/>
      <c r="K2" s="37"/>
    </row>
    <row r="3" spans="1:15">
      <c r="A3" s="114" t="s">
        <v>306</v>
      </c>
      <c r="B3" s="37"/>
      <c r="C3" s="38"/>
      <c r="D3" s="37"/>
      <c r="E3" s="38"/>
      <c r="F3" s="37"/>
      <c r="G3" s="38"/>
      <c r="H3" s="37"/>
      <c r="I3" s="37"/>
      <c r="J3" s="38"/>
      <c r="K3" s="37"/>
    </row>
    <row r="4" spans="1:15">
      <c r="A4" s="114" t="s">
        <v>179</v>
      </c>
      <c r="B4" s="37"/>
      <c r="C4" s="38"/>
      <c r="D4" s="37"/>
      <c r="E4" s="38"/>
      <c r="F4" s="37"/>
      <c r="G4" s="38"/>
      <c r="H4" s="37"/>
      <c r="I4" s="37"/>
      <c r="J4" s="38"/>
      <c r="K4" s="37"/>
    </row>
    <row r="5" spans="1:15">
      <c r="A5" s="34"/>
      <c r="B5" s="37"/>
      <c r="C5" s="38"/>
      <c r="D5" s="37"/>
      <c r="E5" s="38"/>
      <c r="F5" s="37"/>
      <c r="G5" s="38"/>
      <c r="H5" s="37"/>
      <c r="I5" s="37"/>
      <c r="J5" s="38"/>
    </row>
    <row r="6" spans="1:15">
      <c r="B6" s="238" t="s">
        <v>0</v>
      </c>
      <c r="C6" s="215"/>
      <c r="D6" s="216"/>
    </row>
    <row r="7" spans="1:15" ht="16.5" thickBot="1">
      <c r="B7" s="429" t="s">
        <v>307</v>
      </c>
      <c r="C7" s="38"/>
      <c r="D7" s="37"/>
      <c r="H7" s="377" t="s">
        <v>308</v>
      </c>
      <c r="I7" s="215"/>
      <c r="J7" s="216"/>
      <c r="K7" s="37"/>
    </row>
    <row r="8" spans="1:15" ht="16.5" thickTop="1">
      <c r="A8" s="87" t="s">
        <v>243</v>
      </c>
      <c r="B8" s="402" t="s">
        <v>313</v>
      </c>
      <c r="C8" s="403" t="s">
        <v>310</v>
      </c>
      <c r="D8" s="408" t="s">
        <v>311</v>
      </c>
      <c r="E8" s="407" t="s">
        <v>312</v>
      </c>
      <c r="F8" s="125" t="s">
        <v>0</v>
      </c>
      <c r="G8" s="124" t="s">
        <v>0</v>
      </c>
      <c r="H8" s="402" t="s">
        <v>313</v>
      </c>
      <c r="I8" s="404" t="s">
        <v>310</v>
      </c>
      <c r="J8" s="406" t="s">
        <v>311</v>
      </c>
      <c r="K8" s="407" t="s">
        <v>312</v>
      </c>
      <c r="L8" s="14"/>
      <c r="M8" s="9"/>
      <c r="N8" s="9"/>
      <c r="O8" s="9"/>
    </row>
    <row r="9" spans="1:15">
      <c r="A9" s="1" t="s">
        <v>264</v>
      </c>
      <c r="B9" s="126"/>
      <c r="C9" s="127"/>
      <c r="D9" s="365"/>
      <c r="E9" s="372" t="s">
        <v>0</v>
      </c>
      <c r="H9" s="135"/>
      <c r="I9" s="78"/>
      <c r="J9" s="370" t="s">
        <v>0</v>
      </c>
      <c r="K9" s="372" t="s">
        <v>0</v>
      </c>
    </row>
    <row r="10" spans="1:15">
      <c r="A10" s="1" t="s">
        <v>265</v>
      </c>
      <c r="B10" s="129">
        <v>72361</v>
      </c>
      <c r="C10" s="92">
        <v>174704</v>
      </c>
      <c r="D10" s="366">
        <f t="shared" ref="D10:D15" si="0">SUM(B10:C10)</f>
        <v>247065</v>
      </c>
      <c r="E10" s="373">
        <f>+B10/D10</f>
        <v>0.29288243984376583</v>
      </c>
      <c r="F10" s="88" t="s">
        <v>0</v>
      </c>
      <c r="G10" s="100" t="s">
        <v>0</v>
      </c>
      <c r="H10" s="129">
        <v>41952</v>
      </c>
      <c r="I10" s="92">
        <v>155261</v>
      </c>
      <c r="J10" s="366">
        <f t="shared" ref="J10:J15" si="1">SUM(H10:I10)</f>
        <v>197213</v>
      </c>
      <c r="K10" s="373">
        <f>+H10/J10</f>
        <v>0.21272431330591796</v>
      </c>
    </row>
    <row r="11" spans="1:15">
      <c r="A11" s="1" t="s">
        <v>266</v>
      </c>
      <c r="B11" s="129">
        <v>36645</v>
      </c>
      <c r="C11" s="92">
        <v>335318</v>
      </c>
      <c r="D11" s="366">
        <f t="shared" si="0"/>
        <v>371963</v>
      </c>
      <c r="E11" s="373">
        <f>+B11/D11</f>
        <v>9.8517863335869427E-2</v>
      </c>
      <c r="F11" s="88" t="s">
        <v>0</v>
      </c>
      <c r="G11" s="100" t="s">
        <v>0</v>
      </c>
      <c r="H11" s="129">
        <v>-4294</v>
      </c>
      <c r="I11" s="92">
        <v>385632</v>
      </c>
      <c r="J11" s="366">
        <f t="shared" si="1"/>
        <v>381338</v>
      </c>
      <c r="K11" s="373">
        <f>+H11/J11</f>
        <v>-1.1260351708982583E-2</v>
      </c>
    </row>
    <row r="12" spans="1:15">
      <c r="A12" s="1" t="s">
        <v>267</v>
      </c>
      <c r="B12" s="129">
        <v>38433</v>
      </c>
      <c r="C12" s="92">
        <v>0</v>
      </c>
      <c r="D12" s="366">
        <f t="shared" si="0"/>
        <v>38433</v>
      </c>
      <c r="E12" s="373">
        <f>+B12/D12</f>
        <v>1</v>
      </c>
      <c r="F12" s="88" t="s">
        <v>0</v>
      </c>
      <c r="G12" s="100" t="s">
        <v>0</v>
      </c>
      <c r="H12" s="129">
        <v>51083</v>
      </c>
      <c r="I12" s="92">
        <v>0</v>
      </c>
      <c r="J12" s="366">
        <f t="shared" si="1"/>
        <v>51083</v>
      </c>
      <c r="K12" s="373">
        <f>+H12/J12</f>
        <v>1</v>
      </c>
    </row>
    <row r="13" spans="1:15">
      <c r="A13" s="1" t="s">
        <v>268</v>
      </c>
      <c r="B13" s="129">
        <v>0</v>
      </c>
      <c r="C13" s="93">
        <v>0</v>
      </c>
      <c r="D13" s="366">
        <f t="shared" si="0"/>
        <v>0</v>
      </c>
      <c r="E13" s="136">
        <v>0</v>
      </c>
      <c r="F13" s="88" t="s">
        <v>0</v>
      </c>
      <c r="G13" s="100" t="s">
        <v>0</v>
      </c>
      <c r="H13" s="129">
        <v>0</v>
      </c>
      <c r="I13" s="93">
        <v>0</v>
      </c>
      <c r="J13" s="371">
        <f t="shared" si="1"/>
        <v>0</v>
      </c>
      <c r="K13" s="136">
        <v>0</v>
      </c>
    </row>
    <row r="14" spans="1:15" ht="18">
      <c r="A14" s="1" t="s">
        <v>269</v>
      </c>
      <c r="B14" s="130">
        <v>2233</v>
      </c>
      <c r="C14" s="137">
        <v>16644</v>
      </c>
      <c r="D14" s="367">
        <f t="shared" si="0"/>
        <v>18877</v>
      </c>
      <c r="E14" s="373">
        <f>+B14/D14</f>
        <v>0.11829210149917889</v>
      </c>
      <c r="F14" s="88" t="s">
        <v>0</v>
      </c>
      <c r="G14" s="100" t="s">
        <v>0</v>
      </c>
      <c r="H14" s="130">
        <f>85+602</f>
        <v>687</v>
      </c>
      <c r="I14" s="137">
        <f>6866+16149</f>
        <v>23015</v>
      </c>
      <c r="J14" s="367">
        <f t="shared" si="1"/>
        <v>23702</v>
      </c>
      <c r="K14" s="373">
        <f>+H14/J14</f>
        <v>2.8984895789384863E-2</v>
      </c>
    </row>
    <row r="15" spans="1:15" ht="15.6" customHeight="1">
      <c r="A15" s="1"/>
      <c r="B15" s="140">
        <f>SUM(B10:B14)</f>
        <v>149672</v>
      </c>
      <c r="C15" s="141">
        <f>SUM(C10:C14)</f>
        <v>526666</v>
      </c>
      <c r="D15" s="415">
        <f t="shared" si="0"/>
        <v>676338</v>
      </c>
      <c r="E15" s="373">
        <f>+B15/D15</f>
        <v>0.2212976352060656</v>
      </c>
      <c r="F15" s="88" t="s">
        <v>0</v>
      </c>
      <c r="G15" s="100" t="s">
        <v>0</v>
      </c>
      <c r="H15" s="140">
        <f>SUM(H10:H14)</f>
        <v>89428</v>
      </c>
      <c r="I15" s="141">
        <f>SUM(I10:I14)</f>
        <v>563908</v>
      </c>
      <c r="J15" s="415">
        <f t="shared" si="1"/>
        <v>653336</v>
      </c>
      <c r="K15" s="373">
        <f>+H15/J15</f>
        <v>0.13687903314680347</v>
      </c>
    </row>
    <row r="16" spans="1:15" ht="7.9" customHeight="1">
      <c r="A16" s="1"/>
      <c r="B16" s="129"/>
      <c r="C16" s="93" t="s">
        <v>0</v>
      </c>
      <c r="D16" s="366"/>
      <c r="E16" s="373" t="s">
        <v>0</v>
      </c>
      <c r="F16" s="88"/>
      <c r="G16" s="100" t="s">
        <v>0</v>
      </c>
      <c r="H16" s="129"/>
      <c r="I16" s="93" t="s">
        <v>0</v>
      </c>
      <c r="J16" s="371" t="s">
        <v>0</v>
      </c>
      <c r="K16" s="373" t="s">
        <v>0</v>
      </c>
    </row>
    <row r="17" spans="1:11" ht="15.6" customHeight="1">
      <c r="A17" s="1" t="s">
        <v>270</v>
      </c>
      <c r="B17" s="129">
        <v>0</v>
      </c>
      <c r="C17" s="92">
        <v>389000</v>
      </c>
      <c r="D17" s="366">
        <f t="shared" ref="D17:D22" si="2">SUM(B17:C17)</f>
        <v>389000</v>
      </c>
      <c r="E17" s="136">
        <v>0</v>
      </c>
      <c r="F17"/>
      <c r="G17"/>
      <c r="H17" s="129">
        <v>0</v>
      </c>
      <c r="I17" s="92">
        <v>496981</v>
      </c>
      <c r="J17" s="366">
        <f t="shared" ref="J17:J22" si="3">SUM(H17:I17)</f>
        <v>496981</v>
      </c>
      <c r="K17" s="136">
        <v>0</v>
      </c>
    </row>
    <row r="18" spans="1:11">
      <c r="A18" s="1" t="s">
        <v>271</v>
      </c>
      <c r="B18" s="129">
        <v>8390</v>
      </c>
      <c r="C18" s="92">
        <v>188819</v>
      </c>
      <c r="D18" s="366">
        <f t="shared" si="2"/>
        <v>197209</v>
      </c>
      <c r="E18" s="373">
        <f>+B18/D18</f>
        <v>4.2543697295762364E-2</v>
      </c>
      <c r="F18"/>
      <c r="G18"/>
      <c r="H18" s="129">
        <v>7911</v>
      </c>
      <c r="I18" s="92">
        <f>169319+27500-8000</f>
        <v>188819</v>
      </c>
      <c r="J18" s="366">
        <f t="shared" si="3"/>
        <v>196730</v>
      </c>
      <c r="K18" s="136">
        <f>+H18/J18</f>
        <v>4.0212473949067247E-2</v>
      </c>
    </row>
    <row r="19" spans="1:11">
      <c r="A19" s="1" t="s">
        <v>314</v>
      </c>
      <c r="B19" s="129">
        <v>9152</v>
      </c>
      <c r="C19" s="92">
        <v>336773</v>
      </c>
      <c r="D19" s="366">
        <f t="shared" si="2"/>
        <v>345925</v>
      </c>
      <c r="E19" s="373">
        <f>+B19/D19</f>
        <v>2.6456601864566019E-2</v>
      </c>
      <c r="F19"/>
      <c r="G19"/>
      <c r="H19" s="129">
        <v>0</v>
      </c>
      <c r="I19" s="92">
        <v>358557</v>
      </c>
      <c r="J19" s="366">
        <f t="shared" si="3"/>
        <v>358557</v>
      </c>
      <c r="K19" s="373">
        <f>+H19/J19</f>
        <v>0</v>
      </c>
    </row>
    <row r="20" spans="1:11">
      <c r="A20" s="1" t="s">
        <v>273</v>
      </c>
      <c r="B20" s="129">
        <v>0</v>
      </c>
      <c r="C20" s="92">
        <v>149576</v>
      </c>
      <c r="D20" s="366">
        <f t="shared" si="2"/>
        <v>149576</v>
      </c>
      <c r="E20" s="136">
        <v>0</v>
      </c>
      <c r="F20"/>
      <c r="G20"/>
      <c r="H20" s="129">
        <v>0</v>
      </c>
      <c r="I20" s="92">
        <v>147955</v>
      </c>
      <c r="J20" s="366">
        <f t="shared" si="3"/>
        <v>147955</v>
      </c>
      <c r="K20" s="136">
        <v>0</v>
      </c>
    </row>
    <row r="21" spans="1:11" ht="18">
      <c r="A21" s="1" t="s">
        <v>274</v>
      </c>
      <c r="B21" s="130">
        <v>488</v>
      </c>
      <c r="C21" s="137">
        <v>54198</v>
      </c>
      <c r="D21" s="367">
        <f t="shared" si="2"/>
        <v>54686</v>
      </c>
      <c r="E21" s="136">
        <v>0</v>
      </c>
      <c r="F21"/>
      <c r="G21"/>
      <c r="H21" s="130">
        <v>229</v>
      </c>
      <c r="I21" s="137">
        <v>50641</v>
      </c>
      <c r="J21" s="367">
        <f t="shared" si="3"/>
        <v>50870</v>
      </c>
      <c r="K21" s="136">
        <v>0</v>
      </c>
    </row>
    <row r="22" spans="1:11">
      <c r="A22" s="1" t="s">
        <v>275</v>
      </c>
      <c r="B22" s="132">
        <f>SUM(B15:B21)</f>
        <v>167702</v>
      </c>
      <c r="C22" s="95">
        <f>SUM(C15:C21)</f>
        <v>1645032</v>
      </c>
      <c r="D22" s="368">
        <f t="shared" si="2"/>
        <v>1812734</v>
      </c>
      <c r="E22" s="431">
        <f>+B22/D22</f>
        <v>9.2513297593579638E-2</v>
      </c>
      <c r="F22"/>
      <c r="G22"/>
      <c r="H22" s="132">
        <f>SUM(H15:H21)</f>
        <v>97568</v>
      </c>
      <c r="I22" s="95">
        <f>SUM(I15:I21)</f>
        <v>1806861</v>
      </c>
      <c r="J22" s="368">
        <f t="shared" si="3"/>
        <v>1904429</v>
      </c>
      <c r="K22" s="431">
        <f>+H22/J22</f>
        <v>5.123215409973278E-2</v>
      </c>
    </row>
    <row r="23" spans="1:11" ht="7.9" customHeight="1">
      <c r="A23" s="1"/>
      <c r="B23" s="129"/>
      <c r="C23" s="93" t="s">
        <v>0</v>
      </c>
      <c r="D23" s="366"/>
      <c r="E23" s="373" t="s">
        <v>0</v>
      </c>
      <c r="F23"/>
      <c r="G23"/>
      <c r="H23" s="129"/>
      <c r="I23" s="93" t="s">
        <v>0</v>
      </c>
      <c r="J23" s="371" t="s">
        <v>0</v>
      </c>
      <c r="K23" s="373" t="s">
        <v>0</v>
      </c>
    </row>
    <row r="24" spans="1:11">
      <c r="A24" s="87" t="s">
        <v>276</v>
      </c>
      <c r="B24" s="129"/>
      <c r="C24" s="93" t="s">
        <v>0</v>
      </c>
      <c r="D24" s="366"/>
      <c r="E24" s="373" t="s">
        <v>0</v>
      </c>
      <c r="F24"/>
      <c r="G24"/>
      <c r="H24" s="129"/>
      <c r="I24" s="93" t="s">
        <v>0</v>
      </c>
      <c r="J24" s="371" t="s">
        <v>0</v>
      </c>
      <c r="K24" s="373" t="s">
        <v>0</v>
      </c>
    </row>
    <row r="25" spans="1:11">
      <c r="A25" s="1" t="s">
        <v>277</v>
      </c>
      <c r="B25" s="129"/>
      <c r="C25" s="93" t="s">
        <v>0</v>
      </c>
      <c r="D25" s="366"/>
      <c r="E25" s="373" t="s">
        <v>0</v>
      </c>
      <c r="F25"/>
      <c r="G25"/>
      <c r="H25" s="129"/>
      <c r="I25" s="93" t="s">
        <v>0</v>
      </c>
      <c r="J25" s="371" t="s">
        <v>0</v>
      </c>
      <c r="K25" s="373" t="s">
        <v>0</v>
      </c>
    </row>
    <row r="26" spans="1:11">
      <c r="A26" s="1" t="s">
        <v>278</v>
      </c>
      <c r="B26" s="129">
        <v>20547</v>
      </c>
      <c r="C26" s="92">
        <v>350675</v>
      </c>
      <c r="D26" s="366">
        <f>SUM(B26:C26)</f>
        <v>371222</v>
      </c>
      <c r="E26" s="373">
        <f>+B26/D26</f>
        <v>5.5349629062932691E-2</v>
      </c>
      <c r="F26"/>
      <c r="G26"/>
      <c r="H26" s="129">
        <v>21189</v>
      </c>
      <c r="I26" s="92">
        <v>345365</v>
      </c>
      <c r="J26" s="366">
        <f>SUM(H26:I26)</f>
        <v>366554</v>
      </c>
      <c r="K26" s="373">
        <f>+H26/J26</f>
        <v>5.7805944008249809E-2</v>
      </c>
    </row>
    <row r="27" spans="1:11">
      <c r="A27" s="1" t="s">
        <v>279</v>
      </c>
      <c r="B27" s="129">
        <v>39438</v>
      </c>
      <c r="C27" s="92">
        <v>927849</v>
      </c>
      <c r="D27" s="366">
        <f>SUM(B27:C27)</f>
        <v>967287</v>
      </c>
      <c r="E27" s="373">
        <f>+B27/D27</f>
        <v>4.0771766807576243E-2</v>
      </c>
      <c r="F27"/>
      <c r="G27"/>
      <c r="H27" s="129">
        <v>35234</v>
      </c>
      <c r="I27" s="92">
        <v>922665</v>
      </c>
      <c r="J27" s="366">
        <f>SUM(H27:I27)</f>
        <v>957899</v>
      </c>
      <c r="K27" s="373">
        <f>+H27/J27</f>
        <v>3.6782583550040243E-2</v>
      </c>
    </row>
    <row r="28" spans="1:11" ht="18">
      <c r="A28" s="1" t="s">
        <v>280</v>
      </c>
      <c r="B28" s="130">
        <v>3860</v>
      </c>
      <c r="C28" s="137">
        <v>130370</v>
      </c>
      <c r="D28" s="367">
        <f>SUM(B28:C28)</f>
        <v>134230</v>
      </c>
      <c r="E28" s="373">
        <f>+B28/D28</f>
        <v>2.8756611785740894E-2</v>
      </c>
      <c r="F28"/>
      <c r="G28"/>
      <c r="H28" s="130">
        <v>4182</v>
      </c>
      <c r="I28" s="137">
        <v>111576</v>
      </c>
      <c r="J28" s="367">
        <f>SUM(H28:I28)</f>
        <v>115758</v>
      </c>
      <c r="K28" s="373">
        <f>+H28/J28</f>
        <v>3.6127092727932408E-2</v>
      </c>
    </row>
    <row r="29" spans="1:11">
      <c r="A29" s="1"/>
      <c r="B29" s="129">
        <f>SUM(B26:B28)</f>
        <v>63845</v>
      </c>
      <c r="C29" s="92">
        <f>SUM(C26:C28)</f>
        <v>1408894</v>
      </c>
      <c r="D29" s="366">
        <f>SUM(B29:C29)</f>
        <v>1472739</v>
      </c>
      <c r="E29" s="373">
        <f>+B29/D29</f>
        <v>4.3351198005892419E-2</v>
      </c>
      <c r="F29"/>
      <c r="G29"/>
      <c r="H29" s="129">
        <f>SUM(H26:H28)</f>
        <v>60605</v>
      </c>
      <c r="I29" s="92">
        <f>SUM(I26:I28)</f>
        <v>1379606</v>
      </c>
      <c r="J29" s="366">
        <f>SUM(H29:I29)</f>
        <v>1440211</v>
      </c>
      <c r="K29" s="373">
        <f>+H29/J29</f>
        <v>4.208063957295146E-2</v>
      </c>
    </row>
    <row r="30" spans="1:11" ht="7.9" customHeight="1">
      <c r="A30" s="1"/>
      <c r="B30" s="129"/>
      <c r="C30" s="93" t="s">
        <v>0</v>
      </c>
      <c r="D30" s="366"/>
      <c r="E30" s="373" t="s">
        <v>0</v>
      </c>
      <c r="F30"/>
      <c r="G30"/>
      <c r="H30" s="129"/>
      <c r="I30" s="93" t="s">
        <v>0</v>
      </c>
      <c r="J30" s="371" t="s">
        <v>0</v>
      </c>
      <c r="K30" s="373" t="s">
        <v>0</v>
      </c>
    </row>
    <row r="31" spans="1:11">
      <c r="A31" s="1" t="s">
        <v>281</v>
      </c>
      <c r="B31" s="129"/>
      <c r="C31" s="93" t="s">
        <v>0</v>
      </c>
      <c r="D31" s="366"/>
      <c r="E31" s="373" t="s">
        <v>0</v>
      </c>
      <c r="F31"/>
      <c r="G31"/>
      <c r="H31" s="129"/>
      <c r="I31" s="93" t="s">
        <v>0</v>
      </c>
      <c r="J31" s="371" t="s">
        <v>0</v>
      </c>
      <c r="K31" s="373" t="s">
        <v>0</v>
      </c>
    </row>
    <row r="32" spans="1:11">
      <c r="A32" s="1" t="s">
        <v>282</v>
      </c>
      <c r="B32" s="129">
        <v>0</v>
      </c>
      <c r="C32" s="92">
        <v>3000</v>
      </c>
      <c r="D32" s="366">
        <f>SUM(B32:C32)</f>
        <v>3000</v>
      </c>
      <c r="E32" s="136">
        <v>0</v>
      </c>
      <c r="F32"/>
      <c r="G32"/>
      <c r="H32" s="129">
        <v>0</v>
      </c>
      <c r="I32" s="92">
        <v>3000</v>
      </c>
      <c r="J32" s="366">
        <f>SUM(H32:I32)</f>
        <v>3000</v>
      </c>
      <c r="K32" s="136">
        <v>0</v>
      </c>
    </row>
    <row r="33" spans="1:15">
      <c r="A33" s="1" t="s">
        <v>283</v>
      </c>
      <c r="B33" s="129">
        <v>0</v>
      </c>
      <c r="C33" s="92">
        <v>0</v>
      </c>
      <c r="D33" s="366">
        <f>SUM(B33:C33)</f>
        <v>0</v>
      </c>
      <c r="E33" s="136">
        <v>0</v>
      </c>
      <c r="F33"/>
      <c r="G33"/>
      <c r="H33" s="129">
        <v>0</v>
      </c>
      <c r="I33" s="92">
        <v>0</v>
      </c>
      <c r="J33" s="366">
        <f>SUM(H33:I33)</f>
        <v>0</v>
      </c>
      <c r="K33" s="136">
        <v>0</v>
      </c>
    </row>
    <row r="34" spans="1:15" ht="18">
      <c r="A34" s="1" t="s">
        <v>284</v>
      </c>
      <c r="B34" s="130">
        <v>31101</v>
      </c>
      <c r="C34" s="137">
        <v>331357</v>
      </c>
      <c r="D34" s="367">
        <f>SUM(B34:C34)</f>
        <v>362458</v>
      </c>
      <c r="E34" s="373">
        <f>+B34/D34</f>
        <v>8.5805803706912251E-2</v>
      </c>
      <c r="F34"/>
      <c r="G34"/>
      <c r="H34" s="130">
        <v>49745</v>
      </c>
      <c r="I34" s="137">
        <f>357929-3000</f>
        <v>354929</v>
      </c>
      <c r="J34" s="367">
        <f>SUM(H34:I34)</f>
        <v>404674</v>
      </c>
      <c r="K34" s="373">
        <f>+H34/J34</f>
        <v>0.12292610842307636</v>
      </c>
      <c r="L34" s="6"/>
      <c r="M34" s="7"/>
      <c r="N34" s="7"/>
      <c r="O34" s="7"/>
    </row>
    <row r="35" spans="1:15">
      <c r="A35" s="1"/>
      <c r="B35" s="129">
        <f>SUM(B32:B34)</f>
        <v>31101</v>
      </c>
      <c r="C35" s="92">
        <f>SUM(C32:C34)</f>
        <v>334357</v>
      </c>
      <c r="D35" s="366">
        <f>SUM(B35:C35)</f>
        <v>365458</v>
      </c>
      <c r="E35" s="373">
        <f>+B35/D35</f>
        <v>8.5101434364550782E-2</v>
      </c>
      <c r="F35"/>
      <c r="G35"/>
      <c r="H35" s="129">
        <f>SUM(H32:H34)</f>
        <v>49745</v>
      </c>
      <c r="I35" s="92">
        <f>SUM(I32:I34)</f>
        <v>357929</v>
      </c>
      <c r="J35" s="366">
        <f>SUM(H35:I35)</f>
        <v>407674</v>
      </c>
      <c r="K35" s="373">
        <f>+H35/J35</f>
        <v>0.12202151719265884</v>
      </c>
    </row>
    <row r="36" spans="1:15" ht="7.15" customHeight="1">
      <c r="A36" s="1"/>
      <c r="B36" s="129"/>
      <c r="C36" s="93" t="s">
        <v>0</v>
      </c>
      <c r="D36" s="366"/>
      <c r="E36" s="373" t="s">
        <v>275</v>
      </c>
      <c r="F36"/>
      <c r="G36"/>
      <c r="H36" s="129"/>
      <c r="I36" s="93" t="s">
        <v>0</v>
      </c>
      <c r="J36" s="371" t="s">
        <v>0</v>
      </c>
      <c r="K36" s="373" t="s">
        <v>275</v>
      </c>
    </row>
    <row r="37" spans="1:15">
      <c r="A37" s="1" t="s">
        <v>285</v>
      </c>
      <c r="B37" s="129"/>
      <c r="C37" s="93" t="s">
        <v>0</v>
      </c>
      <c r="D37" s="366"/>
      <c r="E37" s="373" t="s">
        <v>0</v>
      </c>
      <c r="F37"/>
      <c r="G37"/>
      <c r="H37" s="129"/>
      <c r="I37" s="93" t="s">
        <v>0</v>
      </c>
      <c r="J37" s="371" t="s">
        <v>0</v>
      </c>
      <c r="K37" s="373" t="s">
        <v>0</v>
      </c>
    </row>
    <row r="38" spans="1:15">
      <c r="A38" s="1" t="s">
        <v>282</v>
      </c>
      <c r="B38" s="129">
        <v>0</v>
      </c>
      <c r="C38" s="92">
        <v>0</v>
      </c>
      <c r="D38" s="366">
        <f>SUM(B38:C38)</f>
        <v>0</v>
      </c>
      <c r="E38" s="136">
        <v>0</v>
      </c>
      <c r="F38"/>
      <c r="G38"/>
      <c r="H38" s="129">
        <v>0</v>
      </c>
      <c r="I38" s="92">
        <v>0</v>
      </c>
      <c r="J38" s="366">
        <f>SUM(H38:I38)</f>
        <v>0</v>
      </c>
      <c r="K38" s="136">
        <v>0</v>
      </c>
    </row>
    <row r="39" spans="1:15">
      <c r="A39" s="1" t="s">
        <v>286</v>
      </c>
      <c r="B39" s="129">
        <v>0</v>
      </c>
      <c r="C39" s="93">
        <v>0</v>
      </c>
      <c r="D39" s="366">
        <f>SUM(B39:C39)</f>
        <v>0</v>
      </c>
      <c r="E39" s="136">
        <v>0</v>
      </c>
      <c r="F39"/>
      <c r="G39"/>
      <c r="H39" s="129">
        <v>0</v>
      </c>
      <c r="I39" s="93">
        <v>0</v>
      </c>
      <c r="J39" s="371">
        <f>SUM(H39:I39)</f>
        <v>0</v>
      </c>
      <c r="K39" s="136">
        <v>0</v>
      </c>
    </row>
    <row r="40" spans="1:15" ht="18">
      <c r="A40" s="1" t="s">
        <v>284</v>
      </c>
      <c r="B40" s="130">
        <v>0</v>
      </c>
      <c r="C40" s="137">
        <v>6638</v>
      </c>
      <c r="D40" s="367">
        <f>SUM(B40:C40)</f>
        <v>6638</v>
      </c>
      <c r="E40" s="136">
        <v>0</v>
      </c>
      <c r="F40"/>
      <c r="G40"/>
      <c r="H40" s="130">
        <v>0</v>
      </c>
      <c r="I40" s="137">
        <v>7429</v>
      </c>
      <c r="J40" s="367">
        <f>SUM(H40:I40)</f>
        <v>7429</v>
      </c>
      <c r="K40" s="136">
        <f>+H40/J40</f>
        <v>0</v>
      </c>
    </row>
    <row r="41" spans="1:15">
      <c r="A41" s="1"/>
      <c r="B41" s="129">
        <f>SUM(B38:B40)</f>
        <v>0</v>
      </c>
      <c r="C41" s="92">
        <f>SUM(C38:C40)</f>
        <v>6638</v>
      </c>
      <c r="D41" s="366">
        <f>SUM(B41:C41)</f>
        <v>6638</v>
      </c>
      <c r="E41" s="136">
        <v>0</v>
      </c>
      <c r="F41"/>
      <c r="G41"/>
      <c r="H41" s="129">
        <f>SUM(H38:H40)</f>
        <v>0</v>
      </c>
      <c r="I41" s="92">
        <f>SUM(I38:I40)</f>
        <v>7429</v>
      </c>
      <c r="J41" s="366">
        <f>SUM(H41:I41)</f>
        <v>7429</v>
      </c>
      <c r="K41" s="136">
        <f>+H41/J41</f>
        <v>0</v>
      </c>
    </row>
    <row r="42" spans="1:15" ht="8.4499999999999993" customHeight="1">
      <c r="A42" s="1"/>
      <c r="B42" s="129"/>
      <c r="C42" s="93" t="s">
        <v>0</v>
      </c>
      <c r="D42" s="366"/>
      <c r="E42" s="373" t="s">
        <v>0</v>
      </c>
      <c r="F42"/>
      <c r="G42"/>
      <c r="H42" s="129"/>
      <c r="I42" s="93" t="s">
        <v>0</v>
      </c>
      <c r="J42" s="371" t="s">
        <v>0</v>
      </c>
      <c r="K42" s="373" t="s">
        <v>0</v>
      </c>
    </row>
    <row r="43" spans="1:15" ht="18">
      <c r="A43" s="1" t="s">
        <v>287</v>
      </c>
      <c r="B43" s="130">
        <v>-2225</v>
      </c>
      <c r="C43" s="137">
        <v>-75700</v>
      </c>
      <c r="D43" s="367">
        <f>SUM(B43:C43)</f>
        <v>-77925</v>
      </c>
      <c r="E43" s="136">
        <v>0</v>
      </c>
      <c r="F43"/>
      <c r="G43"/>
      <c r="H43" s="130">
        <v>6623</v>
      </c>
      <c r="I43" s="137">
        <v>-4870</v>
      </c>
      <c r="J43" s="367">
        <f>SUM(H43:I43)</f>
        <v>1753</v>
      </c>
      <c r="K43" s="136">
        <v>0</v>
      </c>
      <c r="L43" s="6"/>
    </row>
    <row r="44" spans="1:15">
      <c r="A44" s="1"/>
      <c r="B44" s="129">
        <f>+B29+B35+B41+B43</f>
        <v>92721</v>
      </c>
      <c r="C44" s="92">
        <f>+C29+C35+C41+C43</f>
        <v>1674189</v>
      </c>
      <c r="D44" s="366">
        <f>SUM(B44:C44)</f>
        <v>1766910</v>
      </c>
      <c r="E44" s="373">
        <f>+B44/D44</f>
        <v>5.2476357030069441E-2</v>
      </c>
      <c r="F44"/>
      <c r="G44"/>
      <c r="H44" s="129">
        <f>+H29+H35+H41+H43</f>
        <v>116973</v>
      </c>
      <c r="I44" s="92">
        <f>+I29+I35+I41+I43</f>
        <v>1740094</v>
      </c>
      <c r="J44" s="371">
        <f>SUM(H44:I44)</f>
        <v>1857067</v>
      </c>
      <c r="K44" s="373">
        <f>+H44/J44</f>
        <v>6.2988034357403369E-2</v>
      </c>
    </row>
    <row r="45" spans="1:15" ht="8.4499999999999993" customHeight="1">
      <c r="A45" s="1"/>
      <c r="B45" s="129"/>
      <c r="C45" s="93" t="s">
        <v>0</v>
      </c>
      <c r="D45" s="366"/>
      <c r="E45" s="373" t="s">
        <v>0</v>
      </c>
      <c r="F45"/>
      <c r="G45"/>
      <c r="H45" s="129"/>
      <c r="I45" s="93" t="s">
        <v>0</v>
      </c>
      <c r="J45" s="371" t="s">
        <v>0</v>
      </c>
      <c r="K45" s="373" t="s">
        <v>0</v>
      </c>
    </row>
    <row r="46" spans="1:15">
      <c r="A46" s="87" t="s">
        <v>288</v>
      </c>
      <c r="B46" s="129"/>
      <c r="C46" s="93" t="s">
        <v>0</v>
      </c>
      <c r="D46" s="366"/>
      <c r="E46" s="373" t="s">
        <v>0</v>
      </c>
      <c r="F46"/>
      <c r="G46"/>
      <c r="H46" s="129"/>
      <c r="I46" s="93" t="s">
        <v>0</v>
      </c>
      <c r="J46" s="371" t="s">
        <v>0</v>
      </c>
      <c r="K46" s="373" t="s">
        <v>0</v>
      </c>
    </row>
    <row r="47" spans="1:15">
      <c r="A47" s="1" t="s">
        <v>289</v>
      </c>
      <c r="B47" s="129">
        <v>0</v>
      </c>
      <c r="C47" s="92">
        <v>25000</v>
      </c>
      <c r="D47" s="366">
        <f>SUM(B47:C47)</f>
        <v>25000</v>
      </c>
      <c r="E47" s="136">
        <f>+B47/D47</f>
        <v>0</v>
      </c>
      <c r="F47"/>
      <c r="G47"/>
      <c r="H47" s="129">
        <v>0</v>
      </c>
      <c r="I47" s="92">
        <v>25000</v>
      </c>
      <c r="J47" s="366">
        <f>SUM(H47:I47)</f>
        <v>25000</v>
      </c>
      <c r="K47" s="136">
        <f>+H47/J47</f>
        <v>0</v>
      </c>
    </row>
    <row r="48" spans="1:15">
      <c r="A48" s="1" t="s">
        <v>290</v>
      </c>
      <c r="B48" s="129">
        <v>0</v>
      </c>
      <c r="C48" s="92">
        <v>10079</v>
      </c>
      <c r="D48" s="366">
        <f>SUM(B48:C48)</f>
        <v>10079</v>
      </c>
      <c r="E48" s="136">
        <v>0</v>
      </c>
      <c r="F48"/>
      <c r="G48"/>
      <c r="H48" s="129">
        <v>0</v>
      </c>
      <c r="I48" s="92">
        <v>10164</v>
      </c>
      <c r="J48" s="366">
        <f>SUM(H48:I48)</f>
        <v>10164</v>
      </c>
      <c r="K48" s="136">
        <v>0</v>
      </c>
    </row>
    <row r="49" spans="1:15">
      <c r="A49" s="1" t="s">
        <v>302</v>
      </c>
      <c r="B49" s="129">
        <v>0</v>
      </c>
      <c r="C49" s="93">
        <v>0</v>
      </c>
      <c r="D49" s="366">
        <v>0</v>
      </c>
      <c r="E49" s="136">
        <v>0</v>
      </c>
      <c r="F49"/>
      <c r="G49"/>
      <c r="H49" s="129">
        <v>0</v>
      </c>
      <c r="I49" s="93">
        <v>0</v>
      </c>
      <c r="J49" s="371">
        <f>SUM(H49:I49)</f>
        <v>0</v>
      </c>
      <c r="K49" s="136">
        <v>0</v>
      </c>
    </row>
    <row r="50" spans="1:15" ht="18">
      <c r="A50" s="1" t="s">
        <v>292</v>
      </c>
      <c r="B50" s="130">
        <v>0</v>
      </c>
      <c r="C50" s="137">
        <v>10745</v>
      </c>
      <c r="D50" s="367">
        <f>SUM(B50:C50)</f>
        <v>10745</v>
      </c>
      <c r="E50" s="136">
        <v>0</v>
      </c>
      <c r="F50"/>
      <c r="G50"/>
      <c r="H50" s="130">
        <v>0</v>
      </c>
      <c r="I50" s="137">
        <v>12198</v>
      </c>
      <c r="J50" s="367">
        <f>SUM(H50:I50)</f>
        <v>12198</v>
      </c>
      <c r="K50" s="136">
        <v>0</v>
      </c>
      <c r="L50" s="6"/>
      <c r="M50" s="7"/>
      <c r="N50" s="7"/>
      <c r="O50" s="7"/>
    </row>
    <row r="51" spans="1:15">
      <c r="A51" s="1" t="s">
        <v>275</v>
      </c>
      <c r="B51" s="129">
        <f>SUM(B47:B50)</f>
        <v>0</v>
      </c>
      <c r="C51" s="92">
        <f>SUM(C47:C50)</f>
        <v>45824</v>
      </c>
      <c r="D51" s="366">
        <f>SUM(B51:C51)</f>
        <v>45824</v>
      </c>
      <c r="E51" s="136">
        <v>0</v>
      </c>
      <c r="F51"/>
      <c r="G51"/>
      <c r="H51" s="129">
        <f>SUM(H47:H50)</f>
        <v>0</v>
      </c>
      <c r="I51" s="92">
        <f>SUM(I47:I50)</f>
        <v>47362</v>
      </c>
      <c r="J51" s="366">
        <f>SUM(H51:I51)</f>
        <v>47362</v>
      </c>
      <c r="K51" s="136">
        <v>0</v>
      </c>
    </row>
    <row r="52" spans="1:15">
      <c r="A52" s="1" t="s">
        <v>0</v>
      </c>
      <c r="B52" s="129"/>
      <c r="C52" s="93" t="s">
        <v>0</v>
      </c>
      <c r="D52" s="366"/>
      <c r="E52" s="373" t="s">
        <v>0</v>
      </c>
      <c r="F52"/>
      <c r="G52"/>
      <c r="H52" s="129"/>
      <c r="I52" s="93" t="s">
        <v>0</v>
      </c>
      <c r="J52" s="371" t="s">
        <v>0</v>
      </c>
      <c r="K52" s="373" t="s">
        <v>0</v>
      </c>
    </row>
    <row r="53" spans="1:15" ht="16.5" thickBot="1">
      <c r="A53" s="1" t="s">
        <v>0</v>
      </c>
      <c r="B53" s="133">
        <f>+B29+B35+B41+B43+B51</f>
        <v>92721</v>
      </c>
      <c r="C53" s="134">
        <f>+C29+C35+C41+C43+C51</f>
        <v>1720013</v>
      </c>
      <c r="D53" s="369">
        <f>SUM(B53:C53)</f>
        <v>1812734</v>
      </c>
      <c r="E53" s="430">
        <f>+B53/D53</f>
        <v>5.1149810176231041E-2</v>
      </c>
      <c r="F53"/>
      <c r="G53"/>
      <c r="H53" s="133">
        <f>+H29+H35+H41+H43+H51</f>
        <v>116973</v>
      </c>
      <c r="I53" s="134">
        <f>+I29+I35+I41+I43+I51</f>
        <v>1787456</v>
      </c>
      <c r="J53" s="369">
        <f>SUM(H53:I53)</f>
        <v>1904429</v>
      </c>
      <c r="K53" s="430">
        <f>+H53/J53</f>
        <v>6.142155995314081E-2</v>
      </c>
    </row>
    <row r="54" spans="1:15" ht="16.5" thickTop="1">
      <c r="A54" s="1"/>
      <c r="B54" s="95"/>
      <c r="C54" s="95"/>
      <c r="D54" s="384"/>
      <c r="E54" s="261"/>
      <c r="F54"/>
      <c r="G54"/>
      <c r="H54" s="95"/>
      <c r="I54" s="95"/>
      <c r="J54" s="384"/>
      <c r="K54" s="254"/>
    </row>
    <row r="55" spans="1:15">
      <c r="A55" s="1"/>
      <c r="B55" s="91" t="s">
        <v>593</v>
      </c>
      <c r="C55"/>
      <c r="D55" s="91"/>
      <c r="E55" s="100" t="s">
        <v>0</v>
      </c>
      <c r="F55"/>
      <c r="G55"/>
      <c r="H55" s="91" t="s">
        <v>530</v>
      </c>
      <c r="I55"/>
      <c r="J55" s="89" t="s">
        <v>0</v>
      </c>
    </row>
    <row r="56" spans="1:15">
      <c r="C56" s="43"/>
      <c r="E56" s="115" t="s">
        <v>0</v>
      </c>
      <c r="F56"/>
      <c r="G56"/>
      <c r="H56"/>
      <c r="J56" s="43"/>
    </row>
    <row r="57" spans="1:15">
      <c r="A57" s="18" t="s">
        <v>319</v>
      </c>
      <c r="C57" s="43"/>
      <c r="E57" s="115" t="s">
        <v>0</v>
      </c>
      <c r="F57"/>
      <c r="G57"/>
      <c r="H57"/>
      <c r="J57" s="43"/>
    </row>
    <row r="58" spans="1:15">
      <c r="A58" t="s">
        <v>294</v>
      </c>
      <c r="B58" s="12">
        <v>0</v>
      </c>
      <c r="C58" s="12">
        <v>0</v>
      </c>
      <c r="D58" s="12">
        <f>13428064.8/1000</f>
        <v>13428.0648</v>
      </c>
      <c r="E58" s="115" t="s">
        <v>0</v>
      </c>
      <c r="F58"/>
      <c r="G58"/>
      <c r="H58" s="41">
        <v>0</v>
      </c>
      <c r="I58" s="12">
        <v>0</v>
      </c>
      <c r="J58" s="12">
        <f>17839154.8/1000</f>
        <v>17839.1548</v>
      </c>
    </row>
    <row r="59" spans="1:15">
      <c r="A59" t="s">
        <v>295</v>
      </c>
      <c r="B59" s="12">
        <v>0</v>
      </c>
      <c r="C59" s="12">
        <v>0</v>
      </c>
      <c r="D59" s="12">
        <f>+(41833122.33+64500)/1000</f>
        <v>41897.622329999998</v>
      </c>
      <c r="E59" s="115" t="s">
        <v>0</v>
      </c>
      <c r="F59"/>
      <c r="G59"/>
      <c r="H59" s="41">
        <v>0</v>
      </c>
      <c r="I59" s="12">
        <v>0</v>
      </c>
      <c r="J59" s="12">
        <f>+(64213317.53+64500)/1000</f>
        <v>64277.81753</v>
      </c>
    </row>
    <row r="60" spans="1:15">
      <c r="A60" t="s">
        <v>284</v>
      </c>
      <c r="B60" s="12">
        <v>0</v>
      </c>
      <c r="C60" s="43"/>
      <c r="D60" s="12">
        <f>+(825+1221550+1301550+35965115.1+5517204.7+709162.4+1350614.2+7582958.1)/1000</f>
        <v>53648.979500000009</v>
      </c>
      <c r="E60" s="115" t="s">
        <v>0</v>
      </c>
      <c r="F60"/>
      <c r="G60"/>
      <c r="H60" s="41">
        <v>0</v>
      </c>
      <c r="I60" s="12">
        <v>0</v>
      </c>
      <c r="J60" s="12">
        <f>+(825+1669450+1301750+35965115.71+5517204.7+709162.4+35614.2+7452958.1)/1000</f>
        <v>52652.08011000001</v>
      </c>
    </row>
    <row r="61" spans="1:15">
      <c r="C61" s="43"/>
      <c r="E61" s="115" t="s">
        <v>0</v>
      </c>
      <c r="F61"/>
      <c r="G61"/>
      <c r="H61"/>
      <c r="J61" s="43"/>
    </row>
    <row r="62" spans="1:15" ht="18.75">
      <c r="A62" s="122" t="s">
        <v>303</v>
      </c>
      <c r="B62" s="12">
        <f>+'bnccomp '!B60</f>
        <v>463471</v>
      </c>
      <c r="C62" s="43"/>
      <c r="E62" s="115" t="s">
        <v>0</v>
      </c>
      <c r="F62"/>
      <c r="G62"/>
      <c r="H62" s="41">
        <v>0</v>
      </c>
      <c r="I62" s="43">
        <v>0</v>
      </c>
      <c r="J62" s="12">
        <f>J63+J19</f>
        <v>442617.22632000002</v>
      </c>
    </row>
    <row r="63" spans="1:15">
      <c r="A63" t="s">
        <v>217</v>
      </c>
      <c r="B63" s="12">
        <f>+'bnccomp '!B61</f>
        <v>117546</v>
      </c>
      <c r="C63" s="43"/>
      <c r="E63" s="115" t="s">
        <v>0</v>
      </c>
      <c r="F63"/>
      <c r="G63"/>
      <c r="H63" s="41">
        <v>0</v>
      </c>
      <c r="I63" s="43">
        <v>0</v>
      </c>
      <c r="J63" s="12">
        <f>84060226.32/1000</f>
        <v>84060.226319999987</v>
      </c>
    </row>
    <row r="64" spans="1:15">
      <c r="A64" t="s">
        <v>320</v>
      </c>
      <c r="B64" s="12">
        <f>+'bnccomp '!B62</f>
        <v>191454</v>
      </c>
      <c r="C64" s="43"/>
      <c r="E64" s="115" t="s">
        <v>0</v>
      </c>
      <c r="F64"/>
      <c r="G64"/>
      <c r="H64" s="41">
        <v>0</v>
      </c>
      <c r="I64" s="43">
        <v>0</v>
      </c>
      <c r="J64" s="12">
        <f>122415670.48/1000</f>
        <v>122415.67048</v>
      </c>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sheetData>
  <pageMargins left="0.7" right="0.28999999999999998" top="0.55000000000000004" bottom="0.62" header="0.36" footer="0.38"/>
  <pageSetup scale="63" orientation="landscape" r:id="rId1"/>
  <headerFooter alignWithMargins="0">
    <oddFooter>&amp;R&amp;P</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21"/>
  <sheetViews>
    <sheetView workbookViewId="0"/>
  </sheetViews>
  <sheetFormatPr defaultRowHeight="15.75"/>
  <cols>
    <col min="1" max="1" width="50" customWidth="1"/>
    <col min="2" max="2" width="15.75" style="27" customWidth="1"/>
    <col min="3" max="3" width="8.7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 style="27" customWidth="1"/>
    <col min="14" max="14" width="15.75" style="27" customWidth="1"/>
    <col min="15" max="15" width="11" style="27" customWidth="1"/>
    <col min="16" max="16" width="15.75" style="27" customWidth="1"/>
    <col min="17" max="17" width="11" style="27" customWidth="1"/>
    <col min="18" max="18" width="15.75" style="27" customWidth="1"/>
    <col min="19" max="19" width="11" style="27" customWidth="1"/>
    <col min="20" max="20" width="15.75" style="27" customWidth="1"/>
    <col min="21" max="21" width="13" style="27" customWidth="1"/>
    <col min="22" max="256" width="11" customWidth="1"/>
  </cols>
  <sheetData>
    <row r="1" spans="1:22">
      <c r="A1" s="114" t="s">
        <v>594</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6" spans="1:22" ht="16.5" thickBot="1">
      <c r="B6" s="333" t="s">
        <v>174</v>
      </c>
      <c r="C6" s="412"/>
      <c r="D6" s="412"/>
      <c r="E6" s="412"/>
      <c r="F6" s="412"/>
      <c r="G6" s="412"/>
      <c r="H6" s="412"/>
      <c r="I6" s="378"/>
      <c r="J6" s="333" t="s">
        <v>175</v>
      </c>
      <c r="K6" s="412"/>
      <c r="L6" s="412"/>
      <c r="M6" s="412"/>
      <c r="N6" s="412"/>
      <c r="O6" s="412"/>
      <c r="P6" s="412"/>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44" t="s">
        <v>0</v>
      </c>
      <c r="C9" s="145" t="s">
        <v>0</v>
      </c>
      <c r="D9" s="147" t="s">
        <v>0</v>
      </c>
      <c r="E9" s="147" t="s">
        <v>0</v>
      </c>
      <c r="F9" s="147" t="s">
        <v>0</v>
      </c>
      <c r="G9" s="147" t="s">
        <v>0</v>
      </c>
      <c r="H9" s="147" t="s">
        <v>0</v>
      </c>
      <c r="I9" s="29" t="s">
        <v>0</v>
      </c>
      <c r="J9" s="144" t="s">
        <v>0</v>
      </c>
      <c r="K9" s="145" t="s">
        <v>0</v>
      </c>
      <c r="L9" s="144" t="s">
        <v>0</v>
      </c>
      <c r="M9" s="145" t="s">
        <v>0</v>
      </c>
      <c r="N9" s="144" t="s">
        <v>0</v>
      </c>
      <c r="O9" s="145" t="s">
        <v>0</v>
      </c>
      <c r="P9" s="144" t="s">
        <v>0</v>
      </c>
    </row>
    <row r="10" spans="1:22">
      <c r="A10" t="s">
        <v>330</v>
      </c>
      <c r="B10" s="12">
        <f>+B50</f>
        <v>13238</v>
      </c>
      <c r="C10" s="43">
        <v>0</v>
      </c>
      <c r="D10" s="12">
        <f>+F50</f>
        <v>0</v>
      </c>
      <c r="E10" s="43">
        <v>0</v>
      </c>
      <c r="F10" s="12">
        <f>+J50</f>
        <v>0</v>
      </c>
      <c r="G10" s="43">
        <v>0</v>
      </c>
      <c r="H10" s="12">
        <f>+N50</f>
        <v>0</v>
      </c>
      <c r="J10" s="16">
        <f>+D50</f>
        <v>20594</v>
      </c>
      <c r="K10" s="47">
        <f t="shared" ref="K10:K15" si="0">+(-J10+L10)/ABS(J10)</f>
        <v>-5.9337671166359136E-2</v>
      </c>
      <c r="L10" s="12">
        <f>+H50</f>
        <v>19372</v>
      </c>
      <c r="M10" s="46">
        <f t="shared" ref="M10:M15" si="1">+(-L10+N10)/ABS(L10)</f>
        <v>0.55156927524261823</v>
      </c>
      <c r="N10" s="12">
        <f>+L50</f>
        <v>30057</v>
      </c>
      <c r="O10" s="46">
        <f t="shared" ref="O10:O15" si="2">+(-N10+P10)/ABS(N10)</f>
        <v>0.20224906011910704</v>
      </c>
      <c r="P10" s="12">
        <f>+P50</f>
        <v>36136</v>
      </c>
    </row>
    <row r="11" spans="1:22">
      <c r="A11" t="s">
        <v>572</v>
      </c>
      <c r="B11" s="12">
        <f>+B51</f>
        <v>12860</v>
      </c>
      <c r="C11" s="43">
        <v>0</v>
      </c>
      <c r="D11" s="12">
        <f>+F51</f>
        <v>0</v>
      </c>
      <c r="E11" s="43">
        <v>0</v>
      </c>
      <c r="F11" s="12">
        <f>+J51</f>
        <v>0</v>
      </c>
      <c r="G11" s="43">
        <v>0</v>
      </c>
      <c r="H11" s="12">
        <f>+N51</f>
        <v>0</v>
      </c>
      <c r="J11" s="16">
        <f>+D51</f>
        <v>10006</v>
      </c>
      <c r="K11" s="47">
        <f t="shared" si="0"/>
        <v>-0.30681591045372775</v>
      </c>
      <c r="L11" s="12">
        <f>+H51</f>
        <v>6936</v>
      </c>
      <c r="M11" s="46">
        <f t="shared" si="1"/>
        <v>0.21957900807381775</v>
      </c>
      <c r="N11" s="12">
        <f>+L51</f>
        <v>8459</v>
      </c>
      <c r="O11" s="46">
        <f t="shared" si="2"/>
        <v>0.14505260669109823</v>
      </c>
      <c r="P11" s="12">
        <f>+P51</f>
        <v>9686</v>
      </c>
    </row>
    <row r="12" spans="1:22">
      <c r="A12" t="s">
        <v>332</v>
      </c>
      <c r="B12" s="240">
        <f>+B52</f>
        <v>4656</v>
      </c>
      <c r="C12" s="43">
        <v>0</v>
      </c>
      <c r="D12" s="240">
        <f>+F52</f>
        <v>0</v>
      </c>
      <c r="E12" s="43">
        <v>0</v>
      </c>
      <c r="F12" s="240">
        <f>+J52</f>
        <v>0</v>
      </c>
      <c r="G12" s="43">
        <v>0</v>
      </c>
      <c r="H12" s="240">
        <f>+N52</f>
        <v>0</v>
      </c>
      <c r="J12" s="221">
        <f>+D52</f>
        <v>0</v>
      </c>
      <c r="K12" s="44">
        <v>0</v>
      </c>
      <c r="L12" s="221">
        <f>+H52</f>
        <v>0</v>
      </c>
      <c r="M12" s="43">
        <v>0</v>
      </c>
      <c r="N12" s="221">
        <f>+L52</f>
        <v>0</v>
      </c>
      <c r="O12" s="43">
        <v>0</v>
      </c>
      <c r="P12" s="221">
        <f>+P52</f>
        <v>4657</v>
      </c>
    </row>
    <row r="13" spans="1:22">
      <c r="B13" s="88">
        <f>SUM(B10:B12)</f>
        <v>30754</v>
      </c>
      <c r="C13" s="43">
        <v>0</v>
      </c>
      <c r="D13" s="88">
        <f>SUM(D10:D12)</f>
        <v>0</v>
      </c>
      <c r="E13" s="43">
        <v>0</v>
      </c>
      <c r="F13" s="88">
        <f>SUM(F10:F12)</f>
        <v>0</v>
      </c>
      <c r="G13" s="43">
        <v>0</v>
      </c>
      <c r="H13" s="88">
        <f>SUM(H10:H12)</f>
        <v>0</v>
      </c>
      <c r="J13" s="88">
        <f>SUM(J10:J12)</f>
        <v>30600</v>
      </c>
      <c r="K13" s="47">
        <f t="shared" si="0"/>
        <v>-0.14026143790849674</v>
      </c>
      <c r="L13" s="88">
        <f>SUM(L10:L12)</f>
        <v>26308</v>
      </c>
      <c r="M13" s="46">
        <f t="shared" si="1"/>
        <v>0.46404135624144749</v>
      </c>
      <c r="N13" s="88">
        <f>SUM(N10:N12)</f>
        <v>38516</v>
      </c>
      <c r="O13" s="46">
        <f t="shared" si="2"/>
        <v>0.31059819295877039</v>
      </c>
      <c r="P13" s="88">
        <f>SUM(P10:P12)</f>
        <v>50479</v>
      </c>
    </row>
    <row r="14" spans="1:22">
      <c r="A14" t="s">
        <v>333</v>
      </c>
      <c r="B14" s="240">
        <f>+B54</f>
        <v>10052</v>
      </c>
      <c r="C14" s="43">
        <v>0</v>
      </c>
      <c r="D14" s="240">
        <f>+F54</f>
        <v>0</v>
      </c>
      <c r="E14" s="43">
        <v>0</v>
      </c>
      <c r="F14" s="240">
        <f>+J54</f>
        <v>0</v>
      </c>
      <c r="G14" s="43">
        <v>0</v>
      </c>
      <c r="H14" s="240">
        <f>+N54</f>
        <v>0</v>
      </c>
      <c r="J14" s="240">
        <f>+D54</f>
        <v>11605</v>
      </c>
      <c r="K14" s="47">
        <f t="shared" si="0"/>
        <v>-0.27031451960361913</v>
      </c>
      <c r="L14" s="240">
        <f>+H54</f>
        <v>8468</v>
      </c>
      <c r="M14" s="46">
        <f t="shared" si="1"/>
        <v>-0.11112423240434577</v>
      </c>
      <c r="N14" s="240">
        <f>+L54</f>
        <v>7527</v>
      </c>
      <c r="O14" s="46">
        <f t="shared" si="2"/>
        <v>-1.4879766175102963E-2</v>
      </c>
      <c r="P14" s="240">
        <f>+P54</f>
        <v>7415</v>
      </c>
    </row>
    <row r="15" spans="1:22">
      <c r="B15" s="12">
        <f>+B13-B14</f>
        <v>20702</v>
      </c>
      <c r="C15" s="43">
        <v>0</v>
      </c>
      <c r="D15" s="12">
        <f>+D13-D14</f>
        <v>0</v>
      </c>
      <c r="E15" s="43">
        <v>0</v>
      </c>
      <c r="F15" s="12">
        <f>+F13-F14</f>
        <v>0</v>
      </c>
      <c r="G15" s="43">
        <v>0</v>
      </c>
      <c r="H15" s="12">
        <f>+H13-H14</f>
        <v>0</v>
      </c>
      <c r="J15" s="12">
        <f>+J13-J14</f>
        <v>18995</v>
      </c>
      <c r="K15" s="47">
        <f t="shared" si="0"/>
        <v>-6.0805475125032905E-2</v>
      </c>
      <c r="L15" s="12">
        <f>+L13-L14</f>
        <v>17840</v>
      </c>
      <c r="M15" s="46">
        <f t="shared" si="1"/>
        <v>0.73705156950672646</v>
      </c>
      <c r="N15" s="12">
        <f>+N13-N14</f>
        <v>30989</v>
      </c>
      <c r="O15" s="46">
        <f t="shared" si="2"/>
        <v>0.38965439349446579</v>
      </c>
      <c r="P15" s="12">
        <f>+P13-P14</f>
        <v>43064</v>
      </c>
    </row>
    <row r="16" spans="1:22" ht="9" customHeight="1">
      <c r="B16" s="12"/>
      <c r="C16" s="44" t="s">
        <v>0</v>
      </c>
      <c r="E16" s="44" t="s">
        <v>0</v>
      </c>
      <c r="G16" s="44" t="s">
        <v>0</v>
      </c>
      <c r="J16" s="12"/>
      <c r="K16" s="46"/>
      <c r="L16" s="12"/>
      <c r="M16" s="46"/>
      <c r="N16" s="12"/>
      <c r="O16" s="46"/>
      <c r="P16" s="12"/>
    </row>
    <row r="17" spans="1:16">
      <c r="A17" t="s">
        <v>334</v>
      </c>
      <c r="B17" s="12"/>
      <c r="C17" s="44" t="s">
        <v>0</v>
      </c>
      <c r="E17" s="44" t="s">
        <v>0</v>
      </c>
      <c r="G17" s="44" t="s">
        <v>0</v>
      </c>
      <c r="J17" s="12"/>
      <c r="K17" s="46"/>
      <c r="L17" s="12"/>
      <c r="M17" s="46"/>
      <c r="N17" s="12"/>
      <c r="O17" s="47" t="s">
        <v>0</v>
      </c>
      <c r="P17" s="12"/>
    </row>
    <row r="18" spans="1:16">
      <c r="A18" t="s">
        <v>335</v>
      </c>
      <c r="B18" s="12">
        <f>+B58</f>
        <v>7583</v>
      </c>
      <c r="C18" s="43">
        <v>0</v>
      </c>
      <c r="D18" s="12">
        <f>+F58</f>
        <v>0</v>
      </c>
      <c r="E18" s="43">
        <v>0</v>
      </c>
      <c r="F18" s="12">
        <f>+J58</f>
        <v>0</v>
      </c>
      <c r="G18" s="43">
        <v>0</v>
      </c>
      <c r="H18" s="12">
        <f>+N58</f>
        <v>0</v>
      </c>
      <c r="J18" s="12">
        <f>+D58</f>
        <v>4746</v>
      </c>
      <c r="K18" s="47">
        <f>+(-J18+L18)/ABS(J18)</f>
        <v>-0.10535187526337969</v>
      </c>
      <c r="L18" s="12">
        <f>+H58</f>
        <v>4246</v>
      </c>
      <c r="M18" s="46">
        <f>+(-L18+N18)/ABS(L18)</f>
        <v>0.85044747998115877</v>
      </c>
      <c r="N18" s="12">
        <f>+L58</f>
        <v>7857</v>
      </c>
      <c r="O18" s="46">
        <f>+(-N18+P18)/ABS(N18)</f>
        <v>-0.2377497772686776</v>
      </c>
      <c r="P18" s="12">
        <f>+P58</f>
        <v>5989</v>
      </c>
    </row>
    <row r="19" spans="1:16">
      <c r="A19" t="s">
        <v>336</v>
      </c>
      <c r="B19" s="12">
        <f>+B59</f>
        <v>2228</v>
      </c>
      <c r="C19" s="43">
        <v>0</v>
      </c>
      <c r="D19" s="12">
        <f>+F59</f>
        <v>0</v>
      </c>
      <c r="E19" s="43">
        <v>0</v>
      </c>
      <c r="F19" s="12">
        <f>+J59</f>
        <v>0</v>
      </c>
      <c r="G19" s="43">
        <v>0</v>
      </c>
      <c r="H19" s="12">
        <f>+N59</f>
        <v>0</v>
      </c>
      <c r="J19" s="12">
        <f>+D59</f>
        <v>32</v>
      </c>
      <c r="K19" s="47">
        <f>+(-J19+L19)/ABS(J19)</f>
        <v>40.28125</v>
      </c>
      <c r="L19" s="12">
        <f>+H59</f>
        <v>1321</v>
      </c>
      <c r="M19" s="46">
        <f>+(-L19+N19)/ABS(L19)</f>
        <v>0.75624526873580622</v>
      </c>
      <c r="N19" s="12">
        <f>+L59</f>
        <v>2320</v>
      </c>
      <c r="O19" s="46">
        <f>+(-N19+P19)/ABS(N19)</f>
        <v>-0.57974137931034486</v>
      </c>
      <c r="P19" s="12">
        <f>+P59</f>
        <v>975</v>
      </c>
    </row>
    <row r="20" spans="1:16">
      <c r="A20" t="s">
        <v>284</v>
      </c>
      <c r="B20" s="240">
        <f>+B60</f>
        <v>525</v>
      </c>
      <c r="C20" s="43">
        <v>0</v>
      </c>
      <c r="D20" s="240">
        <f>+F60</f>
        <v>0</v>
      </c>
      <c r="E20" s="43">
        <v>0</v>
      </c>
      <c r="F20" s="240">
        <f>+J60</f>
        <v>0</v>
      </c>
      <c r="G20" s="43">
        <v>0</v>
      </c>
      <c r="H20" s="240">
        <f>+N60</f>
        <v>0</v>
      </c>
      <c r="J20" s="240">
        <f>+D60</f>
        <v>3171</v>
      </c>
      <c r="K20" s="47">
        <f>+(-J20+L20)/ABS(J20)</f>
        <v>-9.586881110059918E-2</v>
      </c>
      <c r="L20" s="240">
        <f>+H60</f>
        <v>2867</v>
      </c>
      <c r="M20" s="46">
        <f>+(-L20+N20)/ABS(L20)</f>
        <v>0.10742936867806069</v>
      </c>
      <c r="N20" s="240">
        <f>+L60</f>
        <v>3175</v>
      </c>
      <c r="O20" s="46">
        <f>+(-N20+P20)/ABS(N20)</f>
        <v>19.062992125984252</v>
      </c>
      <c r="P20" s="240">
        <f>+P60</f>
        <v>63700</v>
      </c>
    </row>
    <row r="21" spans="1:16">
      <c r="B21" s="12">
        <f>SUM(B18:B20)</f>
        <v>10336</v>
      </c>
      <c r="C21" s="43">
        <v>0</v>
      </c>
      <c r="D21" s="12">
        <f>SUM(D18:D20)</f>
        <v>0</v>
      </c>
      <c r="E21" s="43">
        <v>0</v>
      </c>
      <c r="F21" s="12">
        <f>SUM(F18:F20)</f>
        <v>0</v>
      </c>
      <c r="G21" s="43">
        <v>0</v>
      </c>
      <c r="H21" s="12">
        <f>SUM(H18:H20)</f>
        <v>0</v>
      </c>
      <c r="J21" s="12">
        <f>SUM(J18:J20)</f>
        <v>7949</v>
      </c>
      <c r="K21" s="47">
        <f>+(-J21+L21)/ABS(J21)</f>
        <v>6.1013964020631528E-2</v>
      </c>
      <c r="L21" s="12">
        <f>SUM(L18:L20)</f>
        <v>8434</v>
      </c>
      <c r="M21" s="46">
        <f>+(-L21+N21)/ABS(L21)</f>
        <v>0.58311595921271042</v>
      </c>
      <c r="N21" s="12">
        <f>SUM(N18:N20)</f>
        <v>13352</v>
      </c>
      <c r="O21" s="46">
        <f>+(-N21+P21)/ABS(N21)</f>
        <v>4.2923906530856799</v>
      </c>
      <c r="P21" s="12">
        <f>SUM(P18:P20)</f>
        <v>70664</v>
      </c>
    </row>
    <row r="22" spans="1:16">
      <c r="B22" s="240"/>
      <c r="C22" s="44" t="s">
        <v>0</v>
      </c>
      <c r="D22" s="379"/>
      <c r="E22" s="44" t="s">
        <v>0</v>
      </c>
      <c r="F22" s="379"/>
      <c r="G22" s="44" t="s">
        <v>0</v>
      </c>
      <c r="H22" s="379"/>
      <c r="J22" s="240"/>
      <c r="K22" s="46"/>
      <c r="L22" s="240"/>
      <c r="M22" s="46"/>
      <c r="N22" s="240"/>
      <c r="O22" s="46"/>
      <c r="P22" s="240"/>
    </row>
    <row r="23" spans="1:16">
      <c r="A23" t="s">
        <v>337</v>
      </c>
      <c r="B23" s="12">
        <f>+B15+B21</f>
        <v>31038</v>
      </c>
      <c r="C23" s="43">
        <v>0</v>
      </c>
      <c r="D23" s="12">
        <f>+D15+D21</f>
        <v>0</v>
      </c>
      <c r="E23" s="43">
        <v>0</v>
      </c>
      <c r="F23" s="12">
        <f>+F15+F21</f>
        <v>0</v>
      </c>
      <c r="G23" s="43">
        <v>0</v>
      </c>
      <c r="H23" s="12">
        <f>+H15+H21</f>
        <v>0</v>
      </c>
      <c r="J23" s="12">
        <f>+J15+J21</f>
        <v>26944</v>
      </c>
      <c r="K23" s="47">
        <f>+(-J23+L23)/ABS(J23)</f>
        <v>-2.4866389548693586E-2</v>
      </c>
      <c r="L23" s="12">
        <f>+L15+L21</f>
        <v>26274</v>
      </c>
      <c r="M23" s="46">
        <f>+(-L23+N23)/ABS(L23)</f>
        <v>0.6876379690949227</v>
      </c>
      <c r="N23" s="12">
        <f>+N15+N21</f>
        <v>44341</v>
      </c>
      <c r="O23" s="46">
        <f>+(-N23+P23)/ABS(N23)</f>
        <v>1.5648496876480007</v>
      </c>
      <c r="P23" s="12">
        <f>+P15+P21</f>
        <v>113728</v>
      </c>
    </row>
    <row r="24" spans="1:16">
      <c r="B24" s="12"/>
      <c r="C24" s="44" t="s">
        <v>0</v>
      </c>
      <c r="E24" s="44" t="s">
        <v>0</v>
      </c>
      <c r="G24" s="44" t="s">
        <v>0</v>
      </c>
      <c r="J24" s="12"/>
      <c r="K24" s="46"/>
      <c r="L24" s="12"/>
      <c r="M24" s="46"/>
      <c r="N24" s="12"/>
      <c r="O24" s="46"/>
      <c r="P24" s="12"/>
    </row>
    <row r="25" spans="1:16">
      <c r="A25" t="s">
        <v>338</v>
      </c>
      <c r="B25" s="12">
        <f>+B65</f>
        <v>0</v>
      </c>
      <c r="C25" s="43">
        <v>0</v>
      </c>
      <c r="D25" s="12">
        <f>+F65</f>
        <v>0</v>
      </c>
      <c r="E25" s="43">
        <v>0</v>
      </c>
      <c r="F25" s="12">
        <f>+J65</f>
        <v>0</v>
      </c>
      <c r="G25" s="43">
        <v>0</v>
      </c>
      <c r="H25" s="12">
        <f>+N65</f>
        <v>0</v>
      </c>
      <c r="J25" s="12">
        <f>+D65</f>
        <v>0</v>
      </c>
      <c r="K25" s="43">
        <v>0</v>
      </c>
      <c r="L25" s="12">
        <f>+H65</f>
        <v>0</v>
      </c>
      <c r="M25" s="43">
        <v>0</v>
      </c>
      <c r="N25" s="12">
        <f>+L65</f>
        <v>0</v>
      </c>
      <c r="O25" s="43">
        <v>0</v>
      </c>
      <c r="P25" s="12">
        <f>+P65</f>
        <v>0</v>
      </c>
    </row>
    <row r="26" spans="1:16">
      <c r="B26" s="12"/>
      <c r="C26" s="44" t="s">
        <v>0</v>
      </c>
      <c r="E26" s="44" t="s">
        <v>0</v>
      </c>
      <c r="G26" s="44" t="s">
        <v>0</v>
      </c>
      <c r="J26" s="12"/>
      <c r="K26" s="46"/>
      <c r="L26" s="12"/>
      <c r="M26" s="46"/>
      <c r="N26" s="12"/>
      <c r="O26" s="46"/>
      <c r="P26" s="12"/>
    </row>
    <row r="27" spans="1:16">
      <c r="A27" t="s">
        <v>339</v>
      </c>
      <c r="B27" s="240"/>
      <c r="C27" s="44" t="s">
        <v>0</v>
      </c>
      <c r="D27" s="379"/>
      <c r="E27" s="44" t="s">
        <v>0</v>
      </c>
      <c r="F27" s="379"/>
      <c r="G27" s="44" t="s">
        <v>0</v>
      </c>
      <c r="H27" s="379"/>
      <c r="J27" s="240"/>
      <c r="K27" s="46"/>
      <c r="L27" s="240"/>
      <c r="M27" s="46"/>
      <c r="N27" s="240"/>
      <c r="O27" s="46"/>
      <c r="P27" s="240"/>
    </row>
    <row r="28" spans="1:16">
      <c r="A28" t="s">
        <v>340</v>
      </c>
      <c r="B28" s="12">
        <f>+B23-B25</f>
        <v>31038</v>
      </c>
      <c r="C28" s="43">
        <v>0</v>
      </c>
      <c r="D28" s="12">
        <f>+D23-D25</f>
        <v>0</v>
      </c>
      <c r="E28" s="43">
        <v>0</v>
      </c>
      <c r="F28" s="12">
        <f>+F23-F25</f>
        <v>0</v>
      </c>
      <c r="G28" s="43">
        <v>0</v>
      </c>
      <c r="H28" s="12">
        <f>+H23-H25</f>
        <v>0</v>
      </c>
      <c r="J28" s="12">
        <f>+J23-J25</f>
        <v>26944</v>
      </c>
      <c r="K28" s="47">
        <f>+(-J28+L28)/ABS(J28)</f>
        <v>-2.4866389548693586E-2</v>
      </c>
      <c r="L28" s="12">
        <f>+L23-L25</f>
        <v>26274</v>
      </c>
      <c r="M28" s="46">
        <f>+(-L28+N28)/ABS(L28)</f>
        <v>0.6876379690949227</v>
      </c>
      <c r="N28" s="12">
        <f>+N23-N25</f>
        <v>44341</v>
      </c>
      <c r="O28" s="46">
        <f>+(-N28+P28)/ABS(N28)</f>
        <v>1.5648496876480007</v>
      </c>
      <c r="P28" s="12">
        <f>+P23-P25</f>
        <v>113728</v>
      </c>
    </row>
    <row r="29" spans="1:16">
      <c r="B29" s="12"/>
      <c r="C29" s="44" t="s">
        <v>0</v>
      </c>
      <c r="E29" s="44" t="s">
        <v>0</v>
      </c>
      <c r="G29" s="44" t="s">
        <v>0</v>
      </c>
      <c r="J29" s="12"/>
      <c r="K29" s="46"/>
      <c r="L29" s="12"/>
      <c r="M29" s="46"/>
      <c r="N29" s="12"/>
      <c r="O29" s="46"/>
      <c r="P29" s="12"/>
    </row>
    <row r="30" spans="1:16">
      <c r="A30" t="s">
        <v>341</v>
      </c>
      <c r="B30" s="12"/>
      <c r="C30" s="44" t="s">
        <v>0</v>
      </c>
      <c r="E30" s="44" t="s">
        <v>0</v>
      </c>
      <c r="G30" s="44" t="s">
        <v>0</v>
      </c>
      <c r="J30" s="12"/>
      <c r="K30" s="46"/>
      <c r="L30" s="12"/>
      <c r="M30" s="46"/>
      <c r="N30" s="12"/>
      <c r="O30" s="46"/>
      <c r="P30" s="12"/>
    </row>
    <row r="31" spans="1:16">
      <c r="A31" t="s">
        <v>342</v>
      </c>
      <c r="B31" s="12">
        <f>+B71</f>
        <v>20469</v>
      </c>
      <c r="C31" s="43">
        <v>0</v>
      </c>
      <c r="D31" s="12">
        <f>+F71</f>
        <v>0</v>
      </c>
      <c r="E31" s="43">
        <v>0</v>
      </c>
      <c r="F31" s="12">
        <f>+J71</f>
        <v>0</v>
      </c>
      <c r="G31" s="43">
        <v>0</v>
      </c>
      <c r="H31" s="12">
        <f>+N71</f>
        <v>0</v>
      </c>
      <c r="J31" s="12">
        <f>+D71</f>
        <v>30490</v>
      </c>
      <c r="K31" s="47">
        <f>+(-J31+L31)/ABS(J31)</f>
        <v>-0.2358478189570351</v>
      </c>
      <c r="L31" s="12">
        <f>+H71</f>
        <v>23299</v>
      </c>
      <c r="M31" s="46">
        <f>+(-L31+N31)/ABS(L31)</f>
        <v>-0.15026395982660201</v>
      </c>
      <c r="N31" s="12">
        <f>+L71</f>
        <v>19798</v>
      </c>
      <c r="O31" s="46">
        <f>+(-N31+P31)/ABS(N31)</f>
        <v>0.30957672492170929</v>
      </c>
      <c r="P31" s="12">
        <f>+P71</f>
        <v>25927</v>
      </c>
    </row>
    <row r="32" spans="1:16">
      <c r="A32" t="s">
        <v>343</v>
      </c>
      <c r="B32" s="12">
        <f>+B72</f>
        <v>287</v>
      </c>
      <c r="C32" s="43">
        <v>0</v>
      </c>
      <c r="D32" s="12">
        <f>+F72</f>
        <v>0</v>
      </c>
      <c r="E32" s="43">
        <v>0</v>
      </c>
      <c r="F32" s="12">
        <f>+J72</f>
        <v>0</v>
      </c>
      <c r="G32" s="43">
        <v>0</v>
      </c>
      <c r="H32" s="12">
        <f>+N72</f>
        <v>0</v>
      </c>
      <c r="J32" s="12">
        <f>+D72</f>
        <v>542</v>
      </c>
      <c r="K32" s="47">
        <f>+(-J32+L32)/ABS(J32)</f>
        <v>-0.88929889298892983</v>
      </c>
      <c r="L32" s="12">
        <f>+H72</f>
        <v>60</v>
      </c>
      <c r="M32" s="46">
        <f>+(-L32+N32)/ABS(L32)</f>
        <v>1.4166666666666667</v>
      </c>
      <c r="N32" s="12">
        <f>+L72</f>
        <v>145</v>
      </c>
      <c r="O32" s="46">
        <f>+(-N32+P32)/ABS(N32)</f>
        <v>6.8413793103448279</v>
      </c>
      <c r="P32" s="12">
        <f>+P72</f>
        <v>1137</v>
      </c>
    </row>
    <row r="33" spans="1:22">
      <c r="A33" t="s">
        <v>344</v>
      </c>
      <c r="B33" s="12">
        <f>+B73</f>
        <v>4488</v>
      </c>
      <c r="C33" s="43">
        <v>0</v>
      </c>
      <c r="D33" s="12">
        <f>+F73</f>
        <v>0</v>
      </c>
      <c r="E33" s="43">
        <v>0</v>
      </c>
      <c r="F33" s="12">
        <f>+J73</f>
        <v>0</v>
      </c>
      <c r="G33" s="43">
        <v>0</v>
      </c>
      <c r="H33" s="12">
        <f>+N73</f>
        <v>0</v>
      </c>
      <c r="J33" s="12">
        <f>+D73</f>
        <v>1953</v>
      </c>
      <c r="K33" s="47">
        <f>+(-J33+L33)/ABS(J33)</f>
        <v>0.64772145417306703</v>
      </c>
      <c r="L33" s="12">
        <f>+H73</f>
        <v>3218</v>
      </c>
      <c r="M33" s="46">
        <f>+(-L33+N33)/ABS(L33)</f>
        <v>-0.38657551274083279</v>
      </c>
      <c r="N33" s="12">
        <f>+L73</f>
        <v>1974</v>
      </c>
      <c r="O33" s="46">
        <f>+(-N33+P33)/ABS(N33)</f>
        <v>4.8125633232016213E-2</v>
      </c>
      <c r="P33" s="12">
        <f>+P73</f>
        <v>2069</v>
      </c>
    </row>
    <row r="34" spans="1:22">
      <c r="A34" t="s">
        <v>345</v>
      </c>
      <c r="B34" s="240">
        <f>+B74</f>
        <v>7048</v>
      </c>
      <c r="C34" s="43">
        <v>0</v>
      </c>
      <c r="D34" s="240">
        <f>+F74</f>
        <v>0</v>
      </c>
      <c r="E34" s="43">
        <v>0</v>
      </c>
      <c r="F34" s="240">
        <f>+J74</f>
        <v>0</v>
      </c>
      <c r="G34" s="43">
        <v>0</v>
      </c>
      <c r="H34" s="240">
        <f>+N74</f>
        <v>0</v>
      </c>
      <c r="J34" s="240">
        <f>+D74</f>
        <v>5939</v>
      </c>
      <c r="K34" s="47">
        <f>+(-J34+L34)/ABS(J34)</f>
        <v>-0.40461357130830106</v>
      </c>
      <c r="L34" s="240">
        <f>+H74</f>
        <v>3536</v>
      </c>
      <c r="M34" s="46">
        <f>+(-L34+N34)/ABS(L34)</f>
        <v>0.37669683257918551</v>
      </c>
      <c r="N34" s="240">
        <f>+L74</f>
        <v>4868</v>
      </c>
      <c r="O34" s="46">
        <f>+(-N34+P34)/ABS(N34)</f>
        <v>8.3001232539030401</v>
      </c>
      <c r="P34" s="240">
        <f>+P74</f>
        <v>45273</v>
      </c>
    </row>
    <row r="35" spans="1:22">
      <c r="B35" s="12">
        <f>SUM(B31:B34)</f>
        <v>32292</v>
      </c>
      <c r="C35" s="43">
        <v>0</v>
      </c>
      <c r="D35" s="12">
        <f>SUM(D31:D34)</f>
        <v>0</v>
      </c>
      <c r="E35" s="43">
        <v>0</v>
      </c>
      <c r="F35" s="12">
        <f>SUM(F31:F34)</f>
        <v>0</v>
      </c>
      <c r="G35" s="43">
        <v>0</v>
      </c>
      <c r="H35" s="12">
        <f>SUM(H31:H34)</f>
        <v>0</v>
      </c>
      <c r="J35" s="12">
        <f>SUM(J31:J34)</f>
        <v>38924</v>
      </c>
      <c r="K35" s="47">
        <f>+(-J35+L35)/ABS(J35)</f>
        <v>-0.2263641968965163</v>
      </c>
      <c r="L35" s="12">
        <f>SUM(L31:L34)</f>
        <v>30113</v>
      </c>
      <c r="M35" s="46">
        <f>+(-L35+N35)/ABS(L35)</f>
        <v>-0.11051705243582506</v>
      </c>
      <c r="N35" s="12">
        <f>SUM(N31:N34)</f>
        <v>26785</v>
      </c>
      <c r="O35" s="46">
        <f>+(-N35+P35)/ABS(N35)</f>
        <v>1.777898077282061</v>
      </c>
      <c r="P35" s="12">
        <f>SUM(P31:P34)</f>
        <v>74406</v>
      </c>
    </row>
    <row r="36" spans="1:22" ht="9" customHeight="1">
      <c r="B36" s="240"/>
      <c r="C36" s="44" t="s">
        <v>0</v>
      </c>
      <c r="D36" s="379"/>
      <c r="E36" s="44" t="s">
        <v>0</v>
      </c>
      <c r="F36" s="379"/>
      <c r="G36" s="44" t="s">
        <v>0</v>
      </c>
      <c r="H36" s="379"/>
      <c r="J36" s="240"/>
      <c r="K36" s="46"/>
      <c r="L36" s="240"/>
      <c r="M36" s="46"/>
      <c r="N36" s="240"/>
      <c r="O36" s="46"/>
      <c r="P36" s="240"/>
    </row>
    <row r="37" spans="1:22">
      <c r="A37" t="s">
        <v>346</v>
      </c>
      <c r="B37" s="12">
        <f>+B28-B35</f>
        <v>-1254</v>
      </c>
      <c r="C37" s="43">
        <v>0</v>
      </c>
      <c r="D37" s="12">
        <f>+D28-D35</f>
        <v>0</v>
      </c>
      <c r="E37" s="43">
        <v>0</v>
      </c>
      <c r="F37" s="12">
        <f>+F28-F35</f>
        <v>0</v>
      </c>
      <c r="G37" s="43">
        <v>0</v>
      </c>
      <c r="H37" s="12">
        <f>+H28-H35</f>
        <v>0</v>
      </c>
      <c r="J37" s="12">
        <f>+J28-J35</f>
        <v>-11980</v>
      </c>
      <c r="K37" s="47">
        <f>+(-J37+L37)/ABS(J37)</f>
        <v>0.67954924874791323</v>
      </c>
      <c r="L37" s="12">
        <f>+L28-L35</f>
        <v>-3839</v>
      </c>
      <c r="M37" s="46">
        <f>+(-L37+N37)/ABS(L37)</f>
        <v>5.5730659025787963</v>
      </c>
      <c r="N37" s="12">
        <f>+N28-N35</f>
        <v>17556</v>
      </c>
      <c r="O37" s="46">
        <f>+(-N37+P37)/ABS(N37)</f>
        <v>1.2398040555935292</v>
      </c>
      <c r="P37" s="12">
        <f>+P28-P35</f>
        <v>39322</v>
      </c>
    </row>
    <row r="38" spans="1:22">
      <c r="B38" s="12"/>
      <c r="C38" s="44" t="s">
        <v>0</v>
      </c>
      <c r="E38" s="44" t="s">
        <v>0</v>
      </c>
      <c r="G38" s="44" t="s">
        <v>0</v>
      </c>
      <c r="J38" s="12"/>
      <c r="K38" s="46"/>
      <c r="L38" s="12"/>
      <c r="M38" s="46"/>
      <c r="N38" s="12"/>
      <c r="O38" s="46"/>
      <c r="P38" s="12"/>
    </row>
    <row r="39" spans="1:22">
      <c r="A39" t="s">
        <v>347</v>
      </c>
      <c r="B39" s="12">
        <f>+B79</f>
        <v>0</v>
      </c>
      <c r="C39" s="43">
        <v>0</v>
      </c>
      <c r="D39" s="12">
        <f>+F79</f>
        <v>0</v>
      </c>
      <c r="E39" s="43">
        <v>0</v>
      </c>
      <c r="F39" s="12">
        <f>+J79</f>
        <v>0</v>
      </c>
      <c r="G39" s="43">
        <v>0</v>
      </c>
      <c r="H39" s="12">
        <f>+N79</f>
        <v>0</v>
      </c>
      <c r="J39" s="12">
        <f>+D79</f>
        <v>0</v>
      </c>
      <c r="K39" s="44">
        <v>0</v>
      </c>
      <c r="L39" s="12">
        <f>+H79</f>
        <v>0</v>
      </c>
      <c r="M39" s="43">
        <v>0</v>
      </c>
      <c r="N39" s="12">
        <f>+L79</f>
        <v>0</v>
      </c>
      <c r="O39" s="43">
        <v>0</v>
      </c>
      <c r="P39" s="12">
        <f>+P79</f>
        <v>0</v>
      </c>
    </row>
    <row r="40" spans="1:22" ht="16.5" thickBot="1">
      <c r="B40" s="76"/>
      <c r="C40" s="44" t="s">
        <v>0</v>
      </c>
      <c r="D40" s="76"/>
      <c r="E40" s="44" t="s">
        <v>0</v>
      </c>
      <c r="F40" s="30"/>
      <c r="G40" s="44" t="s">
        <v>0</v>
      </c>
      <c r="H40" s="30"/>
      <c r="J40" s="77" t="s">
        <v>0</v>
      </c>
      <c r="K40" s="46"/>
      <c r="L40" s="76"/>
      <c r="M40" s="46"/>
      <c r="N40" s="76"/>
      <c r="O40" s="46"/>
      <c r="P40" s="76"/>
    </row>
    <row r="41" spans="1:22" s="2" customFormat="1">
      <c r="A41" s="2" t="s">
        <v>427</v>
      </c>
      <c r="B41" s="4">
        <f>+B37-B39</f>
        <v>-1254</v>
      </c>
      <c r="C41" s="42">
        <v>0</v>
      </c>
      <c r="D41" s="4">
        <f>+D37-D39</f>
        <v>0</v>
      </c>
      <c r="E41" s="42">
        <v>0</v>
      </c>
      <c r="F41" s="4">
        <f>+F37-F39</f>
        <v>0</v>
      </c>
      <c r="G41" s="42">
        <v>0</v>
      </c>
      <c r="H41" s="4">
        <f>+H37-H39</f>
        <v>0</v>
      </c>
      <c r="I41" s="146"/>
      <c r="J41" s="4">
        <f>+J37-J39</f>
        <v>-11980</v>
      </c>
      <c r="K41" s="112">
        <f>+(-J41+L41)/ABS(J41)</f>
        <v>0.67954924874791323</v>
      </c>
      <c r="L41" s="4">
        <f>+L37-L39</f>
        <v>-3839</v>
      </c>
      <c r="M41" s="112">
        <f>+(-L41+N41)/ABS(L41)</f>
        <v>5.5730659025787963</v>
      </c>
      <c r="N41" s="4">
        <f>+N37-N39</f>
        <v>17556</v>
      </c>
      <c r="O41" s="112">
        <f>+(-N41+P41)/ABS(N41)</f>
        <v>1.2398040555935292</v>
      </c>
      <c r="P41" s="4">
        <f>+P37-P39</f>
        <v>39322</v>
      </c>
      <c r="Q41" s="146"/>
      <c r="R41" s="146"/>
      <c r="S41" s="146"/>
      <c r="T41" s="146"/>
      <c r="U41" s="146"/>
    </row>
    <row r="42" spans="1:22" ht="5.45" customHeight="1">
      <c r="C42" s="29"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s="2" customFormat="1">
      <c r="B46" s="241" t="s">
        <v>349</v>
      </c>
      <c r="C46" s="146" t="s">
        <v>0</v>
      </c>
      <c r="D46" s="241" t="s">
        <v>350</v>
      </c>
      <c r="E46" s="146"/>
      <c r="F46" s="241" t="s">
        <v>349</v>
      </c>
      <c r="G46" s="22" t="s">
        <v>0</v>
      </c>
      <c r="H46" s="241" t="s">
        <v>350</v>
      </c>
      <c r="I46" s="146"/>
      <c r="J46" s="241" t="s">
        <v>349</v>
      </c>
      <c r="K46" s="146"/>
      <c r="L46" s="241" t="s">
        <v>350</v>
      </c>
      <c r="M46" s="146"/>
      <c r="N46" s="241" t="s">
        <v>349</v>
      </c>
      <c r="O46" s="146"/>
      <c r="P46" s="241" t="s">
        <v>350</v>
      </c>
      <c r="Q46" s="146"/>
      <c r="R46" s="993" t="s">
        <v>351</v>
      </c>
      <c r="S46" s="146"/>
      <c r="T46" s="993" t="s">
        <v>532</v>
      </c>
      <c r="U46" s="241" t="s">
        <v>350</v>
      </c>
    </row>
    <row r="47" spans="1:22" ht="16.5" thickBot="1">
      <c r="B47" s="243" t="s">
        <v>353</v>
      </c>
      <c r="C47" s="245"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190</v>
      </c>
      <c r="V47" s="18"/>
    </row>
    <row r="48" spans="1:22">
      <c r="A48" t="s">
        <v>328</v>
      </c>
      <c r="B48" s="29" t="s">
        <v>0</v>
      </c>
    </row>
    <row r="49" spans="1:21">
      <c r="A49" t="s">
        <v>329</v>
      </c>
      <c r="B49" s="144" t="s">
        <v>0</v>
      </c>
      <c r="C49" s="145" t="s">
        <v>0</v>
      </c>
      <c r="D49" s="144" t="s">
        <v>0</v>
      </c>
      <c r="E49" s="29" t="s">
        <v>275</v>
      </c>
      <c r="F49" s="147" t="s">
        <v>0</v>
      </c>
      <c r="G49" s="145" t="s">
        <v>0</v>
      </c>
      <c r="H49" s="144" t="s">
        <v>0</v>
      </c>
      <c r="J49" s="147" t="s">
        <v>0</v>
      </c>
      <c r="K49" s="145" t="s">
        <v>0</v>
      </c>
      <c r="L49" s="144" t="s">
        <v>0</v>
      </c>
      <c r="M49" s="29" t="s">
        <v>0</v>
      </c>
      <c r="N49" s="147" t="s">
        <v>0</v>
      </c>
      <c r="O49" s="145" t="s">
        <v>0</v>
      </c>
      <c r="P49" s="16" t="s">
        <v>0</v>
      </c>
      <c r="Q49" s="29" t="s">
        <v>0</v>
      </c>
      <c r="R49" s="144" t="s">
        <v>0</v>
      </c>
      <c r="S49" s="145" t="s">
        <v>0</v>
      </c>
      <c r="T49" s="144" t="s">
        <v>0</v>
      </c>
      <c r="U49" s="144" t="s">
        <v>0</v>
      </c>
    </row>
    <row r="50" spans="1:21">
      <c r="A50" t="s">
        <v>330</v>
      </c>
      <c r="B50" s="12">
        <v>13238</v>
      </c>
      <c r="C50" s="46">
        <f t="shared" ref="C50:C55" si="3">+(B50-D50)/ABS(D50)</f>
        <v>-0.35719141497523549</v>
      </c>
      <c r="D50" s="12">
        <f>7456+7705+5433</f>
        <v>20594</v>
      </c>
      <c r="E50" s="29"/>
      <c r="F50" s="12">
        <v>0</v>
      </c>
      <c r="G50" s="43">
        <v>0</v>
      </c>
      <c r="H50" s="12">
        <f>6954+6366+6052</f>
        <v>19372</v>
      </c>
      <c r="J50" s="12">
        <v>0</v>
      </c>
      <c r="K50" s="43">
        <v>0</v>
      </c>
      <c r="L50" s="12">
        <f>15721+14336</f>
        <v>30057</v>
      </c>
      <c r="M50" s="29"/>
      <c r="N50" s="12">
        <v>0</v>
      </c>
      <c r="O50" s="43">
        <v>0</v>
      </c>
      <c r="P50" s="12">
        <f>4222+25160+6754</f>
        <v>36136</v>
      </c>
      <c r="R50" s="12">
        <f>+B50</f>
        <v>13238</v>
      </c>
      <c r="S50" s="46">
        <f t="shared" ref="S50:S55" si="4">+(R50-T50)/ABS(T50)</f>
        <v>-0.35719141497523549</v>
      </c>
      <c r="T50" s="12">
        <f>+D50</f>
        <v>20594</v>
      </c>
      <c r="U50" s="12">
        <f>+D50+H50+L50+P50</f>
        <v>106159</v>
      </c>
    </row>
    <row r="51" spans="1:21">
      <c r="A51" t="s">
        <v>572</v>
      </c>
      <c r="B51" s="12">
        <v>12860</v>
      </c>
      <c r="C51" s="46">
        <f t="shared" si="3"/>
        <v>0.28522886268239056</v>
      </c>
      <c r="D51" s="12">
        <f>2957+3729+3320</f>
        <v>10006</v>
      </c>
      <c r="E51" s="29"/>
      <c r="F51" s="12">
        <v>0</v>
      </c>
      <c r="G51" s="43">
        <v>0</v>
      </c>
      <c r="H51" s="12">
        <f>1930+2159+2847</f>
        <v>6936</v>
      </c>
      <c r="J51" s="12">
        <v>0</v>
      </c>
      <c r="K51" s="43">
        <v>0</v>
      </c>
      <c r="L51" s="12">
        <f>6117+2342</f>
        <v>8459</v>
      </c>
      <c r="M51" s="29"/>
      <c r="N51" s="12">
        <v>0</v>
      </c>
      <c r="O51" s="43">
        <v>0</v>
      </c>
      <c r="P51" s="12">
        <f>3566+3070+3050</f>
        <v>9686</v>
      </c>
      <c r="R51" s="12">
        <f>+B51</f>
        <v>12860</v>
      </c>
      <c r="S51" s="46">
        <f t="shared" si="4"/>
        <v>0.28522886268239056</v>
      </c>
      <c r="T51" s="12">
        <f>+D51</f>
        <v>10006</v>
      </c>
      <c r="U51" s="12">
        <f>+D51+H51+L51+P51</f>
        <v>35087</v>
      </c>
    </row>
    <row r="52" spans="1:21">
      <c r="A52" t="s">
        <v>332</v>
      </c>
      <c r="B52" s="240">
        <v>4656</v>
      </c>
      <c r="C52" s="43">
        <v>0</v>
      </c>
      <c r="D52" s="240">
        <v>0</v>
      </c>
      <c r="E52" s="29"/>
      <c r="F52" s="240">
        <v>0</v>
      </c>
      <c r="G52" s="43">
        <v>0</v>
      </c>
      <c r="H52" s="240">
        <v>0</v>
      </c>
      <c r="J52" s="240">
        <v>0</v>
      </c>
      <c r="K52" s="43">
        <v>0</v>
      </c>
      <c r="L52" s="240">
        <v>0</v>
      </c>
      <c r="M52" s="29"/>
      <c r="N52" s="240">
        <v>0</v>
      </c>
      <c r="O52" s="43">
        <v>0</v>
      </c>
      <c r="P52" s="240">
        <f>1552+1552+1553</f>
        <v>4657</v>
      </c>
      <c r="R52" s="240">
        <f>+B52</f>
        <v>4656</v>
      </c>
      <c r="S52" s="43">
        <v>0</v>
      </c>
      <c r="T52" s="240">
        <f>+D52</f>
        <v>0</v>
      </c>
      <c r="U52" s="240">
        <f>+D52+H52+L52+P52</f>
        <v>4657</v>
      </c>
    </row>
    <row r="53" spans="1:21">
      <c r="B53" s="12">
        <f>SUM(B50:B52)</f>
        <v>30754</v>
      </c>
      <c r="C53" s="46">
        <f t="shared" si="3"/>
        <v>5.0326797385620917E-3</v>
      </c>
      <c r="D53" s="12">
        <f>SUM(D50:D52)</f>
        <v>30600</v>
      </c>
      <c r="E53" s="29"/>
      <c r="F53" s="12">
        <f>SUM(F50:F52)</f>
        <v>0</v>
      </c>
      <c r="G53" s="43">
        <v>0</v>
      </c>
      <c r="H53" s="12">
        <f>SUM(H50:H52)</f>
        <v>26308</v>
      </c>
      <c r="J53" s="12">
        <f>SUM(J50:J52)</f>
        <v>0</v>
      </c>
      <c r="K53" s="43">
        <v>0</v>
      </c>
      <c r="L53" s="12">
        <f>SUM(L50:L52)</f>
        <v>38516</v>
      </c>
      <c r="M53" s="29"/>
      <c r="N53" s="12">
        <f>SUM(N50:N52)</f>
        <v>0</v>
      </c>
      <c r="O53" s="43">
        <v>0</v>
      </c>
      <c r="P53" s="12">
        <f>SUM(P50:P52)</f>
        <v>50479</v>
      </c>
      <c r="R53" s="12">
        <f>SUM(R50:R52)</f>
        <v>30754</v>
      </c>
      <c r="S53" s="46">
        <f t="shared" si="4"/>
        <v>5.0326797385620917E-3</v>
      </c>
      <c r="T53" s="12">
        <f>SUM(T50:T52)</f>
        <v>30600</v>
      </c>
      <c r="U53" s="12">
        <f>SUM(U50:U52)</f>
        <v>145903</v>
      </c>
    </row>
    <row r="54" spans="1:21">
      <c r="A54" t="s">
        <v>333</v>
      </c>
      <c r="B54" s="240">
        <v>10052</v>
      </c>
      <c r="C54" s="46">
        <f t="shared" si="3"/>
        <v>-0.13382162860835847</v>
      </c>
      <c r="D54" s="240">
        <f>2290+2975+6340</f>
        <v>11605</v>
      </c>
      <c r="E54" s="29" t="s">
        <v>0</v>
      </c>
      <c r="F54" s="240">
        <v>0</v>
      </c>
      <c r="G54" s="43">
        <v>0</v>
      </c>
      <c r="H54" s="240">
        <f>2975+2942+2551</f>
        <v>8468</v>
      </c>
      <c r="J54" s="240">
        <v>0</v>
      </c>
      <c r="K54" s="43">
        <v>0</v>
      </c>
      <c r="L54" s="240">
        <f>4706+2821</f>
        <v>7527</v>
      </c>
      <c r="M54" s="29" t="s">
        <v>0</v>
      </c>
      <c r="N54" s="240">
        <v>0</v>
      </c>
      <c r="O54" s="43">
        <v>0</v>
      </c>
      <c r="P54" s="240">
        <f>2464+2470+2481</f>
        <v>7415</v>
      </c>
      <c r="R54" s="240">
        <f>+B54</f>
        <v>10052</v>
      </c>
      <c r="S54" s="46">
        <f t="shared" si="4"/>
        <v>-0.13382162860835847</v>
      </c>
      <c r="T54" s="240">
        <f>+D54</f>
        <v>11605</v>
      </c>
      <c r="U54" s="240">
        <f>+D54+H54+L54+P54</f>
        <v>35015</v>
      </c>
    </row>
    <row r="55" spans="1:21">
      <c r="B55" s="12">
        <f>+B53-B54</f>
        <v>20702</v>
      </c>
      <c r="C55" s="46">
        <f t="shared" si="3"/>
        <v>8.9865754145827856E-2</v>
      </c>
      <c r="D55" s="12">
        <f>+D53-D54</f>
        <v>18995</v>
      </c>
      <c r="E55" s="29" t="s">
        <v>0</v>
      </c>
      <c r="F55" s="12">
        <f>+F53-F54</f>
        <v>0</v>
      </c>
      <c r="G55" s="43">
        <v>0</v>
      </c>
      <c r="H55" s="12">
        <f>+H53-H54</f>
        <v>17840</v>
      </c>
      <c r="J55" s="12">
        <f>+J53-J54</f>
        <v>0</v>
      </c>
      <c r="K55" s="43">
        <v>0</v>
      </c>
      <c r="L55" s="12">
        <f>+L53-L54</f>
        <v>30989</v>
      </c>
      <c r="M55" s="29" t="s">
        <v>0</v>
      </c>
      <c r="N55" s="12">
        <f>+N53-N54</f>
        <v>0</v>
      </c>
      <c r="O55" s="43">
        <v>0</v>
      </c>
      <c r="P55" s="12">
        <f>+P53-P54</f>
        <v>43064</v>
      </c>
      <c r="R55" s="12">
        <f>+R53-R54</f>
        <v>20702</v>
      </c>
      <c r="S55" s="46">
        <f t="shared" si="4"/>
        <v>8.9865754145827856E-2</v>
      </c>
      <c r="T55" s="12">
        <f>+T53-T54</f>
        <v>18995</v>
      </c>
      <c r="U55" s="12">
        <f>+U53-U54</f>
        <v>110888</v>
      </c>
    </row>
    <row r="56" spans="1:21">
      <c r="B56" s="12"/>
      <c r="C56" s="47" t="s">
        <v>0</v>
      </c>
      <c r="D56" s="12"/>
      <c r="E56" s="29" t="s">
        <v>0</v>
      </c>
      <c r="G56" s="44" t="s">
        <v>0</v>
      </c>
      <c r="K56" s="44" t="s">
        <v>0</v>
      </c>
      <c r="M56" s="29" t="s">
        <v>0</v>
      </c>
      <c r="O56" s="44" t="s">
        <v>0</v>
      </c>
      <c r="R56" s="12"/>
      <c r="S56" s="46"/>
      <c r="T56" s="12"/>
      <c r="U56" s="12"/>
    </row>
    <row r="57" spans="1:21">
      <c r="A57" t="s">
        <v>334</v>
      </c>
      <c r="B57" s="12"/>
      <c r="C57" s="47" t="s">
        <v>0</v>
      </c>
      <c r="D57" s="12"/>
      <c r="E57" s="29" t="s">
        <v>0</v>
      </c>
      <c r="G57" s="44" t="s">
        <v>0</v>
      </c>
      <c r="K57" s="44" t="s">
        <v>0</v>
      </c>
      <c r="M57" s="29" t="s">
        <v>0</v>
      </c>
      <c r="O57" s="44" t="s">
        <v>0</v>
      </c>
      <c r="R57" s="12"/>
      <c r="S57" s="47" t="s">
        <v>0</v>
      </c>
      <c r="T57" s="12"/>
      <c r="U57" s="12"/>
    </row>
    <row r="58" spans="1:21">
      <c r="A58" t="s">
        <v>335</v>
      </c>
      <c r="B58" s="12">
        <v>7583</v>
      </c>
      <c r="C58" s="46">
        <f>+(B58-D58)/ABS(D58)</f>
        <v>0.59776654024441633</v>
      </c>
      <c r="D58" s="12">
        <f>1551+1480+1715</f>
        <v>4746</v>
      </c>
      <c r="E58" s="29" t="s">
        <v>0</v>
      </c>
      <c r="F58" s="12">
        <v>0</v>
      </c>
      <c r="G58" s="43">
        <v>0</v>
      </c>
      <c r="H58" s="12">
        <f>1386+1178+1682</f>
        <v>4246</v>
      </c>
      <c r="J58" s="12">
        <v>0</v>
      </c>
      <c r="K58" s="43">
        <v>0</v>
      </c>
      <c r="L58" s="12">
        <f>2495+5362</f>
        <v>7857</v>
      </c>
      <c r="M58" s="29" t="s">
        <v>0</v>
      </c>
      <c r="N58" s="12">
        <v>0</v>
      </c>
      <c r="O58" s="43">
        <v>0</v>
      </c>
      <c r="P58" s="12">
        <f>2477+1935+1577</f>
        <v>5989</v>
      </c>
      <c r="R58" s="12">
        <f>+B58</f>
        <v>7583</v>
      </c>
      <c r="S58" s="46">
        <f>+(R58-T58)/ABS(T58)</f>
        <v>0.59776654024441633</v>
      </c>
      <c r="T58" s="12">
        <f>+D58</f>
        <v>4746</v>
      </c>
      <c r="U58" s="12">
        <f>+D58+H58+L58+P58</f>
        <v>22838</v>
      </c>
    </row>
    <row r="59" spans="1:21">
      <c r="A59" t="s">
        <v>336</v>
      </c>
      <c r="B59" s="12">
        <v>2228</v>
      </c>
      <c r="C59" s="46">
        <f>+(B59-D59)/ABS(D59)</f>
        <v>68.625</v>
      </c>
      <c r="D59" s="12">
        <f>1+5+26</f>
        <v>32</v>
      </c>
      <c r="E59" s="29" t="s">
        <v>0</v>
      </c>
      <c r="F59" s="12">
        <v>0</v>
      </c>
      <c r="G59" s="43">
        <v>0</v>
      </c>
      <c r="H59" s="12">
        <f>4140-2821+2</f>
        <v>1321</v>
      </c>
      <c r="J59" s="12">
        <v>0</v>
      </c>
      <c r="K59" s="43">
        <v>0</v>
      </c>
      <c r="L59" s="12">
        <f>1484+836</f>
        <v>2320</v>
      </c>
      <c r="M59" s="29" t="s">
        <v>0</v>
      </c>
      <c r="N59" s="12">
        <v>0</v>
      </c>
      <c r="O59" s="43">
        <v>0</v>
      </c>
      <c r="P59" s="12">
        <f>763+25+187</f>
        <v>975</v>
      </c>
      <c r="R59" s="12">
        <f>+B59</f>
        <v>2228</v>
      </c>
      <c r="S59" s="46">
        <f>+(R59-T59)/ABS(T59)</f>
        <v>68.625</v>
      </c>
      <c r="T59" s="12">
        <f>+D59</f>
        <v>32</v>
      </c>
      <c r="U59" s="12">
        <f>+D59+H59+L59+P59</f>
        <v>4648</v>
      </c>
    </row>
    <row r="60" spans="1:21">
      <c r="A60" t="s">
        <v>284</v>
      </c>
      <c r="B60" s="240">
        <v>525</v>
      </c>
      <c r="C60" s="46">
        <f>+(B60-D60)/ABS(D60)</f>
        <v>-0.83443708609271527</v>
      </c>
      <c r="D60" s="240">
        <f>1765+752+654</f>
        <v>3171</v>
      </c>
      <c r="E60" s="29" t="s">
        <v>0</v>
      </c>
      <c r="F60" s="240">
        <v>0</v>
      </c>
      <c r="G60" s="43">
        <v>0</v>
      </c>
      <c r="H60" s="240">
        <f>1134+434+1299</f>
        <v>2867</v>
      </c>
      <c r="J60" s="240">
        <v>0</v>
      </c>
      <c r="K60" s="43">
        <v>0</v>
      </c>
      <c r="L60" s="240">
        <f>1273+1902</f>
        <v>3175</v>
      </c>
      <c r="M60" s="29" t="s">
        <v>0</v>
      </c>
      <c r="N60" s="240">
        <v>0</v>
      </c>
      <c r="O60" s="43">
        <v>0</v>
      </c>
      <c r="P60" s="240">
        <f>11932+42695+9073</f>
        <v>63700</v>
      </c>
      <c r="R60" s="240">
        <f>+B60</f>
        <v>525</v>
      </c>
      <c r="S60" s="46">
        <f>+(R60-T60)/ABS(T60)</f>
        <v>-0.83443708609271527</v>
      </c>
      <c r="T60" s="240">
        <f>+D60</f>
        <v>3171</v>
      </c>
      <c r="U60" s="240">
        <f>+D60+H60+L60+P60</f>
        <v>72913</v>
      </c>
    </row>
    <row r="61" spans="1:21">
      <c r="B61" s="12">
        <f>SUM(B58:B60)</f>
        <v>10336</v>
      </c>
      <c r="C61" s="46">
        <f>+(B61-D61)/ABS(D61)</f>
        <v>0.30028934457164425</v>
      </c>
      <c r="D61" s="12">
        <f>SUM(D58:D60)</f>
        <v>7949</v>
      </c>
      <c r="E61" s="29" t="s">
        <v>0</v>
      </c>
      <c r="F61" s="12">
        <f>SUM(F58:F60)</f>
        <v>0</v>
      </c>
      <c r="G61" s="43">
        <v>0</v>
      </c>
      <c r="H61" s="12">
        <f>SUM(H58:H60)</f>
        <v>8434</v>
      </c>
      <c r="J61" s="12">
        <f>SUM(J58:J60)</f>
        <v>0</v>
      </c>
      <c r="K61" s="43">
        <v>0</v>
      </c>
      <c r="L61" s="12">
        <f>SUM(L58:L60)</f>
        <v>13352</v>
      </c>
      <c r="M61" s="29" t="s">
        <v>0</v>
      </c>
      <c r="N61" s="12">
        <f>SUM(N58:N60)</f>
        <v>0</v>
      </c>
      <c r="O61" s="43">
        <v>0</v>
      </c>
      <c r="P61" s="12">
        <f>SUM(P58:P60)</f>
        <v>70664</v>
      </c>
      <c r="R61" s="12">
        <f>SUM(R58:R60)</f>
        <v>10336</v>
      </c>
      <c r="S61" s="46">
        <f>+(R61-T61)/ABS(T61)</f>
        <v>0.30028934457164425</v>
      </c>
      <c r="T61" s="12">
        <f>SUM(T58:T60)</f>
        <v>7949</v>
      </c>
      <c r="U61" s="12">
        <f>SUM(U58:U60)</f>
        <v>100399</v>
      </c>
    </row>
    <row r="62" spans="1:21">
      <c r="B62" s="240"/>
      <c r="C62" s="47" t="s">
        <v>0</v>
      </c>
      <c r="D62" s="240"/>
      <c r="E62" s="29" t="s">
        <v>0</v>
      </c>
      <c r="F62" s="379"/>
      <c r="G62" s="44" t="s">
        <v>0</v>
      </c>
      <c r="H62" s="379"/>
      <c r="J62" s="379"/>
      <c r="K62" s="44" t="s">
        <v>0</v>
      </c>
      <c r="L62" s="379"/>
      <c r="M62" s="29" t="s">
        <v>0</v>
      </c>
      <c r="N62" s="379"/>
      <c r="O62" s="44" t="s">
        <v>0</v>
      </c>
      <c r="P62" s="379"/>
      <c r="R62" s="240"/>
      <c r="S62" s="46"/>
      <c r="T62" s="240"/>
      <c r="U62" s="240"/>
    </row>
    <row r="63" spans="1:21">
      <c r="A63" t="s">
        <v>337</v>
      </c>
      <c r="B63" s="12">
        <f>+B55+B61</f>
        <v>31038</v>
      </c>
      <c r="C63" s="46">
        <f>+(B63-D63)/ABS(D63)</f>
        <v>0.15194477434679335</v>
      </c>
      <c r="D63" s="12">
        <f>+D55+D61</f>
        <v>26944</v>
      </c>
      <c r="E63" s="29" t="s">
        <v>0</v>
      </c>
      <c r="F63" s="12">
        <f>+F55+F61</f>
        <v>0</v>
      </c>
      <c r="G63" s="43">
        <v>0</v>
      </c>
      <c r="H63" s="12">
        <f>+H55+H61</f>
        <v>26274</v>
      </c>
      <c r="J63" s="12">
        <f>+J55+J61</f>
        <v>0</v>
      </c>
      <c r="K63" s="43">
        <v>0</v>
      </c>
      <c r="L63" s="12">
        <f>+L55+L61</f>
        <v>44341</v>
      </c>
      <c r="M63" s="29" t="s">
        <v>0</v>
      </c>
      <c r="N63" s="12">
        <f>+N55+N61</f>
        <v>0</v>
      </c>
      <c r="O63" s="43">
        <v>0</v>
      </c>
      <c r="P63" s="12">
        <f>+P55+P61</f>
        <v>113728</v>
      </c>
      <c r="R63" s="12">
        <f>+R55+R61</f>
        <v>31038</v>
      </c>
      <c r="S63" s="46">
        <f>+(R63-T63)/ABS(T63)</f>
        <v>0.15194477434679335</v>
      </c>
      <c r="T63" s="12">
        <f>+T55+T61</f>
        <v>26944</v>
      </c>
      <c r="U63" s="12">
        <f>+U55+U61</f>
        <v>211287</v>
      </c>
    </row>
    <row r="64" spans="1:21">
      <c r="B64" s="12"/>
      <c r="C64" s="47" t="s">
        <v>0</v>
      </c>
      <c r="D64" s="12"/>
      <c r="E64" s="29" t="s">
        <v>0</v>
      </c>
      <c r="G64" s="44" t="s">
        <v>0</v>
      </c>
      <c r="K64" s="44" t="s">
        <v>0</v>
      </c>
      <c r="M64" s="29" t="s">
        <v>0</v>
      </c>
      <c r="O64" s="44" t="s">
        <v>0</v>
      </c>
      <c r="R64" s="12"/>
      <c r="S64" s="46"/>
      <c r="T64" s="12"/>
      <c r="U64" s="12"/>
    </row>
    <row r="65" spans="1:21">
      <c r="A65" t="s">
        <v>338</v>
      </c>
      <c r="B65" s="12">
        <f>+B102</f>
        <v>0</v>
      </c>
      <c r="C65" s="43">
        <v>0</v>
      </c>
      <c r="D65" s="12">
        <f>+D102</f>
        <v>0</v>
      </c>
      <c r="E65" s="29" t="s">
        <v>0</v>
      </c>
      <c r="F65" s="27">
        <f>+D102</f>
        <v>0</v>
      </c>
      <c r="G65" s="43">
        <v>0</v>
      </c>
      <c r="H65" s="27">
        <f>+F102</f>
        <v>0</v>
      </c>
      <c r="J65" s="27">
        <f>+F102</f>
        <v>0</v>
      </c>
      <c r="K65" s="43">
        <v>0</v>
      </c>
      <c r="L65" s="27">
        <f>+H102</f>
        <v>0</v>
      </c>
      <c r="M65" s="29" t="s">
        <v>0</v>
      </c>
      <c r="N65" s="12">
        <v>0</v>
      </c>
      <c r="O65" s="43">
        <v>0</v>
      </c>
      <c r="P65" s="12">
        <v>0</v>
      </c>
      <c r="R65" s="12">
        <f>+B65</f>
        <v>0</v>
      </c>
      <c r="S65" s="43">
        <v>0</v>
      </c>
      <c r="T65" s="12">
        <f>+D65</f>
        <v>0</v>
      </c>
      <c r="U65" s="12">
        <f>+D65+H65+L65+P65</f>
        <v>0</v>
      </c>
    </row>
    <row r="66" spans="1:21">
      <c r="B66" s="12"/>
      <c r="C66" s="47" t="s">
        <v>0</v>
      </c>
      <c r="D66" s="12"/>
      <c r="E66" s="29" t="s">
        <v>0</v>
      </c>
      <c r="G66" s="44" t="s">
        <v>0</v>
      </c>
      <c r="K66" s="44" t="s">
        <v>0</v>
      </c>
      <c r="M66" s="29" t="s">
        <v>0</v>
      </c>
      <c r="O66" s="44" t="s">
        <v>0</v>
      </c>
      <c r="R66" s="12"/>
      <c r="S66" s="46"/>
      <c r="T66" s="12"/>
      <c r="U66" s="12"/>
    </row>
    <row r="67" spans="1:21">
      <c r="A67" t="s">
        <v>339</v>
      </c>
      <c r="B67" s="240"/>
      <c r="C67" s="47" t="s">
        <v>0</v>
      </c>
      <c r="D67" s="240"/>
      <c r="E67" s="29" t="s">
        <v>0</v>
      </c>
      <c r="F67" s="379"/>
      <c r="G67" s="44" t="s">
        <v>0</v>
      </c>
      <c r="H67" s="379"/>
      <c r="J67" s="379"/>
      <c r="K67" s="44" t="s">
        <v>0</v>
      </c>
      <c r="L67" s="379"/>
      <c r="M67" s="29" t="s">
        <v>0</v>
      </c>
      <c r="N67" s="379"/>
      <c r="O67" s="44" t="s">
        <v>0</v>
      </c>
      <c r="P67" s="379"/>
      <c r="R67" s="240"/>
      <c r="S67" s="46"/>
      <c r="T67" s="240"/>
      <c r="U67" s="240"/>
    </row>
    <row r="68" spans="1:21">
      <c r="A68" t="s">
        <v>340</v>
      </c>
      <c r="B68" s="12">
        <f>+B63-B65</f>
        <v>31038</v>
      </c>
      <c r="C68" s="46">
        <f>+(B68-D68)/ABS(D68)</f>
        <v>0.15194477434679335</v>
      </c>
      <c r="D68" s="12">
        <f>+D63-D65</f>
        <v>26944</v>
      </c>
      <c r="E68" s="29" t="s">
        <v>0</v>
      </c>
      <c r="F68" s="12">
        <f>+F63-F65</f>
        <v>0</v>
      </c>
      <c r="G68" s="43">
        <v>0</v>
      </c>
      <c r="H68" s="12">
        <f>+H63-H65</f>
        <v>26274</v>
      </c>
      <c r="J68" s="12">
        <f>+J63-J65</f>
        <v>0</v>
      </c>
      <c r="K68" s="43">
        <v>0</v>
      </c>
      <c r="L68" s="12">
        <f>+L63-L65</f>
        <v>44341</v>
      </c>
      <c r="M68" s="29" t="s">
        <v>0</v>
      </c>
      <c r="N68" s="12">
        <f>+N63-N65</f>
        <v>0</v>
      </c>
      <c r="O68" s="43">
        <v>0</v>
      </c>
      <c r="P68" s="12">
        <f>+P63-P65</f>
        <v>113728</v>
      </c>
      <c r="R68" s="12">
        <f>+R63-R65</f>
        <v>31038</v>
      </c>
      <c r="S68" s="46">
        <f>+(R68-T68)/ABS(T68)</f>
        <v>0.15194477434679335</v>
      </c>
      <c r="T68" s="12">
        <f>+T63-T65</f>
        <v>26944</v>
      </c>
      <c r="U68" s="12">
        <f>+U63-U65</f>
        <v>211287</v>
      </c>
    </row>
    <row r="69" spans="1:21">
      <c r="B69" s="12"/>
      <c r="C69" s="47" t="s">
        <v>0</v>
      </c>
      <c r="D69" s="12"/>
      <c r="E69" s="29" t="s">
        <v>0</v>
      </c>
      <c r="G69" s="44" t="s">
        <v>0</v>
      </c>
      <c r="K69" s="44" t="s">
        <v>0</v>
      </c>
      <c r="M69" s="29" t="s">
        <v>0</v>
      </c>
      <c r="O69" s="44" t="s">
        <v>0</v>
      </c>
      <c r="R69" s="12"/>
      <c r="S69" s="46"/>
      <c r="T69" s="12"/>
      <c r="U69" s="12"/>
    </row>
    <row r="70" spans="1:21">
      <c r="A70" t="s">
        <v>341</v>
      </c>
      <c r="B70" s="12"/>
      <c r="C70" s="47" t="s">
        <v>0</v>
      </c>
      <c r="D70" s="12"/>
      <c r="E70" s="29" t="s">
        <v>0</v>
      </c>
      <c r="G70" s="44" t="s">
        <v>0</v>
      </c>
      <c r="K70" s="44" t="s">
        <v>0</v>
      </c>
      <c r="M70" s="29" t="s">
        <v>0</v>
      </c>
      <c r="O70" s="44" t="s">
        <v>0</v>
      </c>
      <c r="R70" s="12"/>
      <c r="S70" s="46"/>
      <c r="T70" s="12"/>
      <c r="U70" s="12"/>
    </row>
    <row r="71" spans="1:21">
      <c r="A71" t="s">
        <v>342</v>
      </c>
      <c r="B71" s="12">
        <v>20469</v>
      </c>
      <c r="C71" s="46">
        <f>+(B71-D71)/ABS(D71)</f>
        <v>-0.32866513611020004</v>
      </c>
      <c r="D71" s="12">
        <f>6878+7878+15734</f>
        <v>30490</v>
      </c>
      <c r="E71" s="29" t="s">
        <v>0</v>
      </c>
      <c r="F71" s="12">
        <v>0</v>
      </c>
      <c r="G71" s="43">
        <v>0</v>
      </c>
      <c r="H71" s="12">
        <f>7872+7855+7572</f>
        <v>23299</v>
      </c>
      <c r="J71" s="12">
        <v>0</v>
      </c>
      <c r="K71" s="43">
        <v>0</v>
      </c>
      <c r="L71" s="12">
        <f>17278+2520</f>
        <v>19798</v>
      </c>
      <c r="M71" s="29" t="s">
        <v>0</v>
      </c>
      <c r="N71" s="12">
        <v>0</v>
      </c>
      <c r="O71" s="43">
        <v>0</v>
      </c>
      <c r="P71" s="12">
        <f>8219+8627+9081</f>
        <v>25927</v>
      </c>
      <c r="R71" s="12">
        <f>+B71</f>
        <v>20469</v>
      </c>
      <c r="S71" s="46">
        <f>+(R71-T71)/ABS(T71)</f>
        <v>-0.32866513611020004</v>
      </c>
      <c r="T71" s="12">
        <f>+D71</f>
        <v>30490</v>
      </c>
      <c r="U71" s="12">
        <f>+D71+H71+L71+P71</f>
        <v>99514</v>
      </c>
    </row>
    <row r="72" spans="1:21">
      <c r="A72" t="s">
        <v>343</v>
      </c>
      <c r="B72" s="12">
        <v>287</v>
      </c>
      <c r="C72" s="46">
        <f>+(B72-D72)/ABS(D72)</f>
        <v>-0.47047970479704798</v>
      </c>
      <c r="D72" s="12">
        <f>117+182+243</f>
        <v>542</v>
      </c>
      <c r="E72" s="29" t="s">
        <v>0</v>
      </c>
      <c r="F72" s="12">
        <v>0</v>
      </c>
      <c r="G72" s="43">
        <v>0</v>
      </c>
      <c r="H72" s="12">
        <f>34+18+8</f>
        <v>60</v>
      </c>
      <c r="J72" s="12">
        <v>0</v>
      </c>
      <c r="K72" s="43">
        <v>0</v>
      </c>
      <c r="L72" s="12">
        <f>94+51</f>
        <v>145</v>
      </c>
      <c r="M72" s="29" t="s">
        <v>0</v>
      </c>
      <c r="N72" s="12">
        <v>0</v>
      </c>
      <c r="O72" s="43">
        <v>0</v>
      </c>
      <c r="P72" s="12">
        <f>445+316+376</f>
        <v>1137</v>
      </c>
      <c r="R72" s="12">
        <f>+B72</f>
        <v>287</v>
      </c>
      <c r="S72" s="46">
        <f>+(R72-T72)/ABS(T72)</f>
        <v>-0.47047970479704798</v>
      </c>
      <c r="T72" s="12">
        <f>+D72</f>
        <v>542</v>
      </c>
      <c r="U72" s="12">
        <f>+D72+H72+L72+P72</f>
        <v>1884</v>
      </c>
    </row>
    <row r="73" spans="1:21">
      <c r="A73" t="s">
        <v>344</v>
      </c>
      <c r="B73" s="12">
        <v>4488</v>
      </c>
      <c r="C73" s="46">
        <f>+(B73-D73)/ABS(D73)</f>
        <v>1.2980030721966205</v>
      </c>
      <c r="D73" s="12">
        <f>588+781+584</f>
        <v>1953</v>
      </c>
      <c r="E73" s="29" t="s">
        <v>0</v>
      </c>
      <c r="F73" s="12">
        <v>0</v>
      </c>
      <c r="G73" s="43">
        <v>0</v>
      </c>
      <c r="H73" s="12">
        <f>2088+552+578</f>
        <v>3218</v>
      </c>
      <c r="J73" s="12">
        <v>0</v>
      </c>
      <c r="K73" s="43">
        <v>0</v>
      </c>
      <c r="L73" s="12">
        <f>1404+570</f>
        <v>1974</v>
      </c>
      <c r="M73" s="29" t="s">
        <v>0</v>
      </c>
      <c r="N73" s="12">
        <v>0</v>
      </c>
      <c r="O73" s="43">
        <v>0</v>
      </c>
      <c r="P73" s="12">
        <f>632+634+803</f>
        <v>2069</v>
      </c>
      <c r="R73" s="12">
        <f>+B73</f>
        <v>4488</v>
      </c>
      <c r="S73" s="46">
        <f>+(R73-T73)/ABS(T73)</f>
        <v>1.2980030721966205</v>
      </c>
      <c r="T73" s="12">
        <f>+D73</f>
        <v>1953</v>
      </c>
      <c r="U73" s="12">
        <f>+D73+H73+L73+P73</f>
        <v>9214</v>
      </c>
    </row>
    <row r="74" spans="1:21">
      <c r="A74" t="s">
        <v>345</v>
      </c>
      <c r="B74" s="240">
        <v>7048</v>
      </c>
      <c r="C74" s="46">
        <f>+(B74-D74)/ABS(D74)</f>
        <v>0.18673177302576191</v>
      </c>
      <c r="D74" s="240">
        <f>1915+2484+1540</f>
        <v>5939</v>
      </c>
      <c r="E74" s="29" t="s">
        <v>0</v>
      </c>
      <c r="F74" s="240">
        <v>0</v>
      </c>
      <c r="G74" s="43">
        <v>0</v>
      </c>
      <c r="H74" s="240">
        <f>1591+612+1333</f>
        <v>3536</v>
      </c>
      <c r="J74" s="240">
        <v>0</v>
      </c>
      <c r="K74" s="43">
        <v>0</v>
      </c>
      <c r="L74" s="240">
        <f>2532+2336</f>
        <v>4868</v>
      </c>
      <c r="M74" s="29" t="s">
        <v>0</v>
      </c>
      <c r="N74" s="240">
        <v>0</v>
      </c>
      <c r="O74" s="43">
        <v>0</v>
      </c>
      <c r="P74" s="240">
        <f>4174+31735+9364</f>
        <v>45273</v>
      </c>
      <c r="R74" s="240">
        <f>+B74</f>
        <v>7048</v>
      </c>
      <c r="S74" s="46">
        <f>+(R74-T74)/ABS(T74)</f>
        <v>0.18673177302576191</v>
      </c>
      <c r="T74" s="240">
        <f>+D74</f>
        <v>5939</v>
      </c>
      <c r="U74" s="240">
        <f>+D74+H74+L74+P74</f>
        <v>59616</v>
      </c>
    </row>
    <row r="75" spans="1:21">
      <c r="B75" s="12">
        <f>SUM(B71:B74)</f>
        <v>32292</v>
      </c>
      <c r="C75" s="46">
        <f>+(B75-D75)/ABS(D75)</f>
        <v>-0.17038331106772173</v>
      </c>
      <c r="D75" s="12">
        <f>SUM(D71:D74)</f>
        <v>38924</v>
      </c>
      <c r="E75" s="29" t="s">
        <v>0</v>
      </c>
      <c r="F75" s="12">
        <f>SUM(F71:F74)</f>
        <v>0</v>
      </c>
      <c r="G75" s="43">
        <v>0</v>
      </c>
      <c r="H75" s="12">
        <f>SUM(H71:H74)</f>
        <v>30113</v>
      </c>
      <c r="J75" s="12">
        <f>SUM(J71:J74)</f>
        <v>0</v>
      </c>
      <c r="K75" s="43">
        <v>0</v>
      </c>
      <c r="L75" s="12">
        <f>SUM(L71:L74)</f>
        <v>26785</v>
      </c>
      <c r="M75" s="29" t="s">
        <v>0</v>
      </c>
      <c r="N75" s="12">
        <f>SUM(N71:N74)</f>
        <v>0</v>
      </c>
      <c r="O75" s="43">
        <v>0</v>
      </c>
      <c r="P75" s="12">
        <f>SUM(P71:P74)</f>
        <v>74406</v>
      </c>
      <c r="R75" s="12">
        <f>SUM(R71:R74)</f>
        <v>32292</v>
      </c>
      <c r="S75" s="46">
        <f>+(R75-T75)/ABS(T75)</f>
        <v>-0.17038331106772173</v>
      </c>
      <c r="T75" s="12">
        <f>SUM(T71:T74)</f>
        <v>38924</v>
      </c>
      <c r="U75" s="12">
        <f>SUM(U71:U74)</f>
        <v>170228</v>
      </c>
    </row>
    <row r="76" spans="1:21">
      <c r="B76" s="240"/>
      <c r="C76" s="46"/>
      <c r="D76" s="240"/>
      <c r="E76" s="29"/>
      <c r="F76" s="379"/>
      <c r="G76" s="44" t="s">
        <v>0</v>
      </c>
      <c r="H76" s="379"/>
      <c r="J76" s="379"/>
      <c r="K76" s="44" t="s">
        <v>0</v>
      </c>
      <c r="L76" s="379"/>
      <c r="M76" s="29"/>
      <c r="N76" s="379"/>
      <c r="O76" s="44" t="s">
        <v>0</v>
      </c>
      <c r="P76" s="379"/>
      <c r="R76" s="240"/>
      <c r="S76" s="46"/>
      <c r="T76" s="240"/>
      <c r="U76" s="240"/>
    </row>
    <row r="77" spans="1:21">
      <c r="A77" t="s">
        <v>346</v>
      </c>
      <c r="B77" s="12">
        <f>+B68-B75</f>
        <v>-1254</v>
      </c>
      <c r="C77" s="46">
        <f>+(B77-D77)/ABS(D77)</f>
        <v>0.89532554257095154</v>
      </c>
      <c r="D77" s="12">
        <f>+D68-D75</f>
        <v>-11980</v>
      </c>
      <c r="E77" s="29" t="s">
        <v>0</v>
      </c>
      <c r="F77" s="12">
        <f>+F68-F75</f>
        <v>0</v>
      </c>
      <c r="G77" s="43">
        <v>0</v>
      </c>
      <c r="H77" s="12">
        <f>+H68-H75</f>
        <v>-3839</v>
      </c>
      <c r="J77" s="12">
        <f>+J68-J75</f>
        <v>0</v>
      </c>
      <c r="K77" s="43">
        <v>0</v>
      </c>
      <c r="L77" s="12">
        <f>+L68-L75</f>
        <v>17556</v>
      </c>
      <c r="M77" s="29" t="s">
        <v>0</v>
      </c>
      <c r="N77" s="12">
        <f>+N68-N75</f>
        <v>0</v>
      </c>
      <c r="O77" s="43">
        <v>0</v>
      </c>
      <c r="P77" s="12">
        <f>+P68-P75</f>
        <v>39322</v>
      </c>
      <c r="R77" s="12">
        <f>+R68-R75</f>
        <v>-1254</v>
      </c>
      <c r="S77" s="46">
        <f>+(R77-T77)/ABS(T77)</f>
        <v>0.89532554257095154</v>
      </c>
      <c r="T77" s="12">
        <f>+T68-T75</f>
        <v>-11980</v>
      </c>
      <c r="U77" s="12">
        <f>+U68-U75</f>
        <v>41059</v>
      </c>
    </row>
    <row r="78" spans="1:21">
      <c r="B78" s="12"/>
      <c r="C78" s="47" t="s">
        <v>0</v>
      </c>
      <c r="D78" s="12"/>
      <c r="E78" s="29" t="s">
        <v>0</v>
      </c>
      <c r="F78" s="29" t="s">
        <v>0</v>
      </c>
      <c r="G78" s="44" t="s">
        <v>0</v>
      </c>
      <c r="H78" s="29" t="s">
        <v>0</v>
      </c>
      <c r="K78" s="44" t="s">
        <v>0</v>
      </c>
      <c r="M78" s="29" t="s">
        <v>0</v>
      </c>
      <c r="O78" s="44" t="s">
        <v>0</v>
      </c>
      <c r="R78" s="12"/>
      <c r="S78" s="46"/>
      <c r="T78" s="12"/>
      <c r="U78" s="12"/>
    </row>
    <row r="79" spans="1:21">
      <c r="A79" t="s">
        <v>347</v>
      </c>
      <c r="B79" s="12">
        <f>+B116</f>
        <v>0</v>
      </c>
      <c r="C79" s="43">
        <v>0</v>
      </c>
      <c r="D79" s="12">
        <f>+D116</f>
        <v>0</v>
      </c>
      <c r="E79" s="29" t="s">
        <v>0</v>
      </c>
      <c r="F79" s="12">
        <v>0</v>
      </c>
      <c r="G79" s="43">
        <v>0</v>
      </c>
      <c r="H79" s="12">
        <v>0</v>
      </c>
      <c r="J79" s="12">
        <f>+F116</f>
        <v>0</v>
      </c>
      <c r="K79" s="43">
        <v>0</v>
      </c>
      <c r="L79" s="12">
        <f>+H116</f>
        <v>0</v>
      </c>
      <c r="M79" s="29" t="s">
        <v>0</v>
      </c>
      <c r="N79" s="12">
        <f>+H116</f>
        <v>0</v>
      </c>
      <c r="O79" s="43">
        <v>0</v>
      </c>
      <c r="P79" s="12">
        <f>+J116</f>
        <v>0</v>
      </c>
      <c r="R79" s="12">
        <f>+B79</f>
        <v>0</v>
      </c>
      <c r="S79" s="43">
        <v>0</v>
      </c>
      <c r="T79" s="12">
        <f>+D79</f>
        <v>0</v>
      </c>
      <c r="U79" s="12">
        <f>+D79+H79+L79+P79</f>
        <v>0</v>
      </c>
    </row>
    <row r="80" spans="1:21" ht="16.5" thickBot="1">
      <c r="B80" s="76"/>
      <c r="C80" s="47" t="s">
        <v>0</v>
      </c>
      <c r="D80" s="76"/>
      <c r="E80" s="29" t="s">
        <v>0</v>
      </c>
      <c r="F80" s="30"/>
      <c r="G80" s="44" t="s">
        <v>0</v>
      </c>
      <c r="H80" s="30"/>
      <c r="J80" s="30"/>
      <c r="K80" s="44" t="s">
        <v>0</v>
      </c>
      <c r="L80" s="30"/>
      <c r="M80" s="29" t="s">
        <v>0</v>
      </c>
      <c r="N80" s="30"/>
      <c r="O80" s="44" t="s">
        <v>0</v>
      </c>
      <c r="P80" s="30"/>
      <c r="R80" s="76"/>
      <c r="S80" s="46"/>
      <c r="T80" s="77" t="s">
        <v>0</v>
      </c>
      <c r="U80" s="76"/>
    </row>
    <row r="81" spans="1:21" s="2" customFormat="1">
      <c r="A81" s="2" t="s">
        <v>427</v>
      </c>
      <c r="B81" s="4">
        <f>+B77-B79</f>
        <v>-1254</v>
      </c>
      <c r="C81" s="112">
        <f>+(B81-D81)/ABS(D81)</f>
        <v>0.89532554257095154</v>
      </c>
      <c r="D81" s="4">
        <f>+D77-D79</f>
        <v>-11980</v>
      </c>
      <c r="E81" s="146" t="s">
        <v>0</v>
      </c>
      <c r="F81" s="4">
        <f>+F77-F79</f>
        <v>0</v>
      </c>
      <c r="G81" s="42">
        <v>0</v>
      </c>
      <c r="H81" s="4">
        <f>+H77-H79</f>
        <v>-3839</v>
      </c>
      <c r="I81" s="146"/>
      <c r="J81" s="4">
        <f>+J77-J79</f>
        <v>0</v>
      </c>
      <c r="K81" s="42">
        <v>0</v>
      </c>
      <c r="L81" s="4">
        <f>+L77-L79</f>
        <v>17556</v>
      </c>
      <c r="M81" s="146" t="s">
        <v>0</v>
      </c>
      <c r="N81" s="4">
        <f>+N77-N79</f>
        <v>0</v>
      </c>
      <c r="O81" s="42">
        <v>0</v>
      </c>
      <c r="P81" s="4">
        <f>+P77-P79</f>
        <v>39322</v>
      </c>
      <c r="Q81" s="146"/>
      <c r="R81" s="4">
        <f>+R77-R79</f>
        <v>-1254</v>
      </c>
      <c r="S81" s="112">
        <f>+(R81-T81)/ABS(T81)</f>
        <v>0.89532554257095154</v>
      </c>
      <c r="T81" s="4">
        <f>+T77-T79</f>
        <v>-11980</v>
      </c>
      <c r="U81" s="4">
        <f>+U77-U79</f>
        <v>41059</v>
      </c>
    </row>
    <row r="82" spans="1:21">
      <c r="E82" s="29"/>
      <c r="M82" s="29"/>
    </row>
    <row r="83" spans="1:21">
      <c r="E83" s="29"/>
      <c r="F83" s="29" t="s">
        <v>0</v>
      </c>
      <c r="M83" s="29"/>
    </row>
    <row r="84" spans="1:21">
      <c r="B84" s="566" t="s">
        <v>261</v>
      </c>
      <c r="C84" s="21"/>
      <c r="D84" s="566" t="s">
        <v>261</v>
      </c>
      <c r="E84" s="21" t="s">
        <v>0</v>
      </c>
      <c r="F84" s="566" t="s">
        <v>261</v>
      </c>
      <c r="G84" s="21"/>
      <c r="H84" s="566" t="s">
        <v>261</v>
      </c>
      <c r="I84" s="21"/>
      <c r="J84" s="21"/>
      <c r="K84" s="21"/>
      <c r="L84" s="21"/>
      <c r="M84" s="21" t="s">
        <v>0</v>
      </c>
      <c r="N84" s="21"/>
      <c r="O84" s="21"/>
      <c r="P84" s="21"/>
      <c r="Q84" s="21"/>
      <c r="R84" s="21"/>
      <c r="S84" s="21"/>
      <c r="T84" s="21"/>
    </row>
    <row r="85" spans="1:21">
      <c r="B85" s="26" t="s">
        <v>353</v>
      </c>
      <c r="C85" s="21"/>
      <c r="D85" s="26" t="s">
        <v>533</v>
      </c>
      <c r="E85" s="21"/>
      <c r="F85" s="26" t="s">
        <v>534</v>
      </c>
      <c r="G85" s="21"/>
      <c r="H85" s="26" t="s">
        <v>535</v>
      </c>
      <c r="I85" s="21"/>
      <c r="J85" s="21"/>
      <c r="K85" s="21"/>
      <c r="L85" s="21"/>
      <c r="M85" s="21" t="s">
        <v>0</v>
      </c>
      <c r="N85" s="21" t="s">
        <v>0</v>
      </c>
      <c r="O85" s="21"/>
      <c r="P85" s="21"/>
      <c r="Q85" s="21"/>
      <c r="R85" s="21"/>
      <c r="S85" s="21"/>
      <c r="T85" s="21"/>
    </row>
    <row r="86" spans="1:21">
      <c r="A86" t="s">
        <v>536</v>
      </c>
      <c r="B86" s="21" t="s">
        <v>0</v>
      </c>
      <c r="C86" s="21"/>
      <c r="D86" s="21" t="s">
        <v>0</v>
      </c>
      <c r="E86" s="21"/>
      <c r="F86" s="21" t="s">
        <v>0</v>
      </c>
      <c r="G86" s="21"/>
      <c r="H86" s="21" t="s">
        <v>0</v>
      </c>
      <c r="I86" s="21"/>
      <c r="J86" s="21"/>
      <c r="K86" s="21"/>
      <c r="L86" s="21"/>
      <c r="M86" s="21" t="s">
        <v>0</v>
      </c>
      <c r="N86" s="21"/>
      <c r="O86" s="21"/>
      <c r="P86" s="21"/>
      <c r="Q86" s="21"/>
      <c r="R86" s="21"/>
      <c r="S86" s="21"/>
      <c r="T86" s="21"/>
    </row>
    <row r="87" spans="1:21">
      <c r="A87" t="s">
        <v>329</v>
      </c>
      <c r="B87" s="3" t="s">
        <v>0</v>
      </c>
      <c r="C87" s="21"/>
      <c r="D87" s="21"/>
      <c r="E87" s="21"/>
      <c r="F87" s="21"/>
      <c r="G87" s="21"/>
      <c r="H87" s="21"/>
      <c r="I87" s="21"/>
      <c r="J87" s="21"/>
      <c r="K87" s="21"/>
      <c r="L87" s="21"/>
      <c r="M87" s="21"/>
      <c r="N87" s="21"/>
      <c r="O87" s="21"/>
      <c r="P87" s="21"/>
      <c r="Q87" s="21"/>
      <c r="R87" s="21"/>
      <c r="S87" s="21"/>
      <c r="T87" s="21"/>
    </row>
    <row r="88" spans="1:21">
      <c r="A88" t="s">
        <v>330</v>
      </c>
      <c r="B88" s="3">
        <f>+(8316568.6+6592125.54+8211768)/1000</f>
        <v>23120.46214</v>
      </c>
      <c r="C88" s="21"/>
      <c r="D88" s="3">
        <v>0</v>
      </c>
      <c r="E88" s="21"/>
      <c r="F88" s="3">
        <v>0</v>
      </c>
      <c r="G88" s="21"/>
      <c r="H88" s="3">
        <v>0</v>
      </c>
      <c r="I88" s="21"/>
      <c r="J88" s="21"/>
      <c r="K88" s="21"/>
      <c r="L88" s="21"/>
      <c r="M88" s="21"/>
      <c r="N88" s="21"/>
      <c r="O88" s="21"/>
      <c r="P88" s="21"/>
      <c r="Q88" s="21"/>
      <c r="R88" s="21"/>
      <c r="S88" s="21"/>
      <c r="T88" s="21"/>
    </row>
    <row r="89" spans="1:21" ht="18">
      <c r="A89" t="s">
        <v>537</v>
      </c>
      <c r="B89" s="6">
        <f>+(1012430.14+2989580+2239400)/1000</f>
        <v>6241.4101400000009</v>
      </c>
      <c r="C89" s="21"/>
      <c r="D89" s="6">
        <v>0</v>
      </c>
      <c r="E89" s="21"/>
      <c r="F89" s="6">
        <v>0</v>
      </c>
      <c r="G89" s="21"/>
      <c r="H89" s="6">
        <v>0</v>
      </c>
      <c r="I89" s="21"/>
      <c r="J89" s="21"/>
      <c r="K89" s="21"/>
      <c r="L89" s="21"/>
      <c r="M89" s="21"/>
      <c r="N89" s="21"/>
      <c r="O89" s="21"/>
      <c r="P89" s="21"/>
      <c r="Q89" s="21"/>
      <c r="R89" s="21"/>
      <c r="S89" s="21"/>
      <c r="T89" s="21"/>
    </row>
    <row r="90" spans="1:21">
      <c r="B90" s="3">
        <f>SUM(B88:B89)</f>
        <v>29361.87228</v>
      </c>
      <c r="C90" s="21"/>
      <c r="D90" s="3">
        <f>SUM(D88:D89)</f>
        <v>0</v>
      </c>
      <c r="E90" s="21"/>
      <c r="F90" s="3">
        <f>SUM(F88:F89)</f>
        <v>0</v>
      </c>
      <c r="G90" s="21"/>
      <c r="H90" s="3">
        <f>SUM(H88:H89)</f>
        <v>0</v>
      </c>
      <c r="I90" s="21"/>
      <c r="J90" s="21"/>
      <c r="K90" s="21"/>
      <c r="L90" s="21"/>
      <c r="M90" s="21"/>
      <c r="N90" s="21"/>
      <c r="O90" s="21"/>
      <c r="P90" s="21"/>
      <c r="Q90" s="21"/>
      <c r="R90" s="21"/>
      <c r="S90" s="21"/>
      <c r="T90" s="21"/>
    </row>
    <row r="91" spans="1:21">
      <c r="A91" t="s">
        <v>333</v>
      </c>
      <c r="B91" s="3">
        <f>+(2690202.27+2678654.77+2676410)/1000</f>
        <v>8045.2670399999997</v>
      </c>
      <c r="C91" s="21"/>
      <c r="D91" s="3">
        <v>0</v>
      </c>
      <c r="E91" s="21"/>
      <c r="F91" s="3">
        <v>0</v>
      </c>
      <c r="G91" s="21"/>
      <c r="H91" s="3">
        <v>0</v>
      </c>
      <c r="I91" s="21"/>
      <c r="J91" s="21"/>
      <c r="K91" s="21"/>
      <c r="L91" s="21"/>
      <c r="M91" s="21"/>
      <c r="N91" s="21"/>
      <c r="O91" s="21"/>
      <c r="P91" s="21"/>
      <c r="Q91" s="21"/>
      <c r="R91" s="21"/>
      <c r="S91" s="21"/>
      <c r="T91" s="21"/>
    </row>
    <row r="92" spans="1:21">
      <c r="B92" s="3">
        <f>+B90-B91</f>
        <v>21316.605240000001</v>
      </c>
      <c r="C92" s="21"/>
      <c r="D92" s="3">
        <f>+D90-D91</f>
        <v>0</v>
      </c>
      <c r="E92" s="21"/>
      <c r="F92" s="3">
        <f>+F90-F91</f>
        <v>0</v>
      </c>
      <c r="G92" s="21"/>
      <c r="H92" s="3">
        <f>+H90-H91</f>
        <v>0</v>
      </c>
      <c r="I92" s="21"/>
      <c r="J92" s="21"/>
      <c r="K92" s="21"/>
      <c r="L92" s="21"/>
      <c r="M92" s="21"/>
      <c r="N92" s="21"/>
      <c r="O92" s="21"/>
      <c r="P92" s="21"/>
      <c r="Q92" s="21"/>
      <c r="R92" s="21"/>
      <c r="S92" s="21"/>
      <c r="T92" s="21"/>
    </row>
    <row r="93" spans="1:21">
      <c r="B93" s="3"/>
      <c r="C93" s="21"/>
      <c r="D93" s="3"/>
      <c r="E93" s="21"/>
      <c r="F93" s="3"/>
      <c r="G93" s="21"/>
      <c r="H93" s="3"/>
      <c r="I93" s="21"/>
      <c r="J93" s="21"/>
      <c r="K93" s="21"/>
      <c r="L93" s="21"/>
      <c r="M93" s="21"/>
      <c r="N93" s="21"/>
      <c r="O93" s="21"/>
      <c r="P93" s="21"/>
      <c r="Q93" s="21"/>
      <c r="R93" s="21"/>
      <c r="S93" s="21"/>
      <c r="T93" s="21"/>
    </row>
    <row r="94" spans="1:21">
      <c r="A94" t="s">
        <v>334</v>
      </c>
      <c r="B94" s="3"/>
      <c r="C94" s="21"/>
      <c r="D94" s="3"/>
      <c r="E94" s="21"/>
      <c r="F94" s="3"/>
      <c r="G94" s="21"/>
      <c r="H94" s="3"/>
      <c r="I94" s="21"/>
      <c r="J94" s="21"/>
      <c r="K94" s="21"/>
      <c r="L94" s="21"/>
      <c r="M94" s="21"/>
      <c r="N94" s="21"/>
      <c r="O94" s="21"/>
      <c r="P94" s="21"/>
      <c r="Q94" s="21"/>
      <c r="R94" s="21"/>
      <c r="S94" s="21"/>
      <c r="T94" s="21"/>
    </row>
    <row r="95" spans="1:21">
      <c r="A95" t="s">
        <v>335</v>
      </c>
      <c r="B95" s="3">
        <f>+(3094631.31-3277017.69-5568828)/1000</f>
        <v>-5751.2143799999994</v>
      </c>
      <c r="C95" s="21"/>
      <c r="D95" s="3">
        <v>0</v>
      </c>
      <c r="E95" s="21"/>
      <c r="F95" s="3">
        <v>0</v>
      </c>
      <c r="G95" s="21"/>
      <c r="H95" s="3">
        <v>0</v>
      </c>
      <c r="I95" s="21"/>
      <c r="J95" s="21"/>
      <c r="K95" s="21"/>
      <c r="L95" s="21"/>
      <c r="M95" s="21"/>
      <c r="N95" s="21"/>
      <c r="O95" s="21"/>
      <c r="P95" s="21"/>
      <c r="Q95" s="21"/>
      <c r="R95" s="21"/>
      <c r="S95" s="21"/>
      <c r="T95" s="21"/>
    </row>
    <row r="96" spans="1:21">
      <c r="A96" t="s">
        <v>336</v>
      </c>
      <c r="B96" s="3">
        <f>+(194105.43+6003346.2+9356953)/1000</f>
        <v>15554.404629999999</v>
      </c>
      <c r="C96" s="21"/>
      <c r="D96" s="3">
        <v>0</v>
      </c>
      <c r="E96" s="21"/>
      <c r="F96" s="3">
        <v>0</v>
      </c>
      <c r="G96" s="21"/>
      <c r="H96" s="3">
        <v>0</v>
      </c>
      <c r="I96" s="21"/>
      <c r="J96" s="21"/>
      <c r="K96" s="21"/>
      <c r="L96" s="21"/>
      <c r="M96" s="21"/>
      <c r="N96" s="21"/>
      <c r="O96" s="21"/>
      <c r="P96" s="21"/>
      <c r="Q96" s="21"/>
      <c r="R96" s="21"/>
      <c r="S96" s="21"/>
      <c r="T96" s="21"/>
    </row>
    <row r="97" spans="1:20">
      <c r="A97" t="s">
        <v>284</v>
      </c>
      <c r="B97" s="3">
        <f>+(1899879.87+1808081.78+2900058)/1000</f>
        <v>6608.0196500000002</v>
      </c>
      <c r="C97" s="21"/>
      <c r="D97" s="3">
        <v>0</v>
      </c>
      <c r="E97" s="21"/>
      <c r="F97" s="3">
        <v>0</v>
      </c>
      <c r="G97" s="21"/>
      <c r="H97" s="3">
        <v>0</v>
      </c>
      <c r="I97" s="21"/>
      <c r="J97" s="21"/>
      <c r="K97" s="21"/>
      <c r="L97" s="21"/>
      <c r="M97" s="21"/>
      <c r="N97" s="21"/>
      <c r="O97" s="21"/>
      <c r="P97" s="21"/>
      <c r="Q97" s="21"/>
      <c r="R97" s="21"/>
      <c r="S97" s="21"/>
      <c r="T97" s="21"/>
    </row>
    <row r="98" spans="1:20">
      <c r="B98" s="3">
        <f>SUM(B95:B97)</f>
        <v>16411.209900000002</v>
      </c>
      <c r="C98" s="21"/>
      <c r="D98" s="3">
        <f>SUM(D95:D97)</f>
        <v>0</v>
      </c>
      <c r="E98" s="21"/>
      <c r="F98" s="3">
        <f>SUM(F95:F97)</f>
        <v>0</v>
      </c>
      <c r="G98" s="21"/>
      <c r="H98" s="3">
        <f>SUM(H95:H97)</f>
        <v>0</v>
      </c>
      <c r="I98" s="21"/>
      <c r="J98" s="21"/>
      <c r="K98" s="21"/>
      <c r="L98" s="21"/>
      <c r="M98" s="21"/>
      <c r="N98" s="21"/>
      <c r="O98" s="21"/>
      <c r="P98" s="21"/>
      <c r="Q98" s="21"/>
      <c r="R98" s="21"/>
      <c r="S98" s="21"/>
      <c r="T98" s="21"/>
    </row>
    <row r="99" spans="1:20">
      <c r="B99" s="3"/>
      <c r="C99" s="21"/>
      <c r="D99" s="3"/>
      <c r="E99" s="21"/>
      <c r="F99" s="3"/>
      <c r="G99" s="21"/>
      <c r="H99" s="3"/>
      <c r="I99" s="21"/>
      <c r="J99" s="21"/>
      <c r="K99" s="21"/>
      <c r="L99" s="21"/>
      <c r="M99" s="21"/>
      <c r="N99" s="21"/>
      <c r="O99" s="21"/>
      <c r="P99" s="21"/>
      <c r="Q99" s="21"/>
      <c r="R99" s="21"/>
      <c r="S99" s="21"/>
      <c r="T99" s="21"/>
    </row>
    <row r="100" spans="1:20">
      <c r="A100" t="s">
        <v>337</v>
      </c>
      <c r="B100" s="3">
        <f>+B92+B98</f>
        <v>37727.815140000006</v>
      </c>
      <c r="C100" s="21"/>
      <c r="D100" s="3">
        <f>+D92+D98</f>
        <v>0</v>
      </c>
      <c r="E100" s="21"/>
      <c r="F100" s="3">
        <f>+F92+F98</f>
        <v>0</v>
      </c>
      <c r="G100" s="21"/>
      <c r="H100" s="3">
        <f>+H92+H98</f>
        <v>0</v>
      </c>
      <c r="I100" s="21"/>
      <c r="J100" s="21"/>
      <c r="K100" s="21"/>
      <c r="L100" s="21"/>
      <c r="M100" s="21"/>
      <c r="N100" s="21"/>
      <c r="O100" s="21"/>
      <c r="P100" s="21"/>
      <c r="Q100" s="21"/>
      <c r="R100" s="21"/>
      <c r="S100" s="21"/>
      <c r="T100" s="21"/>
    </row>
    <row r="101" spans="1:20">
      <c r="B101" s="3"/>
      <c r="C101" s="21"/>
      <c r="D101" s="3"/>
      <c r="E101" s="21"/>
      <c r="F101" s="3"/>
      <c r="G101" s="21"/>
      <c r="H101" s="3"/>
      <c r="I101" s="21"/>
      <c r="J101" s="21"/>
      <c r="K101" s="21"/>
      <c r="L101" s="21"/>
      <c r="M101" s="21"/>
      <c r="N101" s="21"/>
      <c r="O101" s="21"/>
      <c r="P101" s="21"/>
      <c r="Q101" s="21"/>
      <c r="R101" s="21"/>
      <c r="S101" s="21"/>
      <c r="T101" s="21"/>
    </row>
    <row r="102" spans="1:20">
      <c r="A102" t="s">
        <v>538</v>
      </c>
      <c r="B102" s="3">
        <v>0</v>
      </c>
      <c r="C102" s="21"/>
      <c r="D102" s="3">
        <v>0</v>
      </c>
      <c r="E102" s="21"/>
      <c r="F102" s="3">
        <v>0</v>
      </c>
      <c r="G102" s="21"/>
      <c r="H102" s="3">
        <v>0</v>
      </c>
      <c r="I102" s="21"/>
      <c r="J102" s="21"/>
      <c r="K102" s="21"/>
      <c r="L102" s="21"/>
      <c r="M102" s="21"/>
      <c r="N102" s="21"/>
      <c r="O102" s="21"/>
      <c r="P102" s="21"/>
      <c r="Q102" s="21"/>
      <c r="R102" s="21"/>
      <c r="S102" s="21"/>
      <c r="T102" s="21"/>
    </row>
    <row r="103" spans="1:20">
      <c r="B103" s="3"/>
      <c r="C103" s="21"/>
      <c r="D103" s="3"/>
      <c r="E103" s="21"/>
      <c r="F103" s="3"/>
      <c r="G103" s="21"/>
      <c r="H103" s="3"/>
      <c r="I103" s="21"/>
      <c r="J103" s="21"/>
      <c r="K103" s="21"/>
      <c r="L103" s="21"/>
      <c r="M103" s="21"/>
      <c r="N103" s="21"/>
      <c r="O103" s="21"/>
      <c r="P103" s="21"/>
      <c r="Q103" s="21"/>
      <c r="R103" s="21"/>
      <c r="S103" s="21"/>
      <c r="T103" s="21"/>
    </row>
    <row r="104" spans="1:20">
      <c r="A104" t="s">
        <v>339</v>
      </c>
      <c r="B104" s="3"/>
      <c r="C104" s="21"/>
      <c r="D104" s="3"/>
      <c r="E104" s="21"/>
      <c r="F104" s="3"/>
      <c r="G104" s="21"/>
      <c r="H104" s="3"/>
      <c r="I104" s="21"/>
      <c r="J104" s="21"/>
      <c r="K104" s="21"/>
      <c r="L104" s="21"/>
      <c r="M104" s="21"/>
      <c r="N104" s="21"/>
      <c r="O104" s="21"/>
      <c r="P104" s="21"/>
      <c r="Q104" s="21"/>
      <c r="R104" s="21"/>
      <c r="S104" s="21"/>
      <c r="T104" s="21"/>
    </row>
    <row r="105" spans="1:20">
      <c r="A105" t="s">
        <v>340</v>
      </c>
      <c r="B105" s="3">
        <f>+B100-B102</f>
        <v>37727.815140000006</v>
      </c>
      <c r="C105" s="21"/>
      <c r="D105" s="3">
        <f>+D100-D102</f>
        <v>0</v>
      </c>
      <c r="E105" s="21"/>
      <c r="F105" s="3">
        <f>+F100-F102</f>
        <v>0</v>
      </c>
      <c r="G105" s="21"/>
      <c r="H105" s="3">
        <f>+H100-H102</f>
        <v>0</v>
      </c>
      <c r="I105" s="21"/>
      <c r="J105" s="21"/>
      <c r="K105" s="21"/>
      <c r="L105" s="21"/>
      <c r="M105" s="21"/>
      <c r="N105" s="21"/>
      <c r="O105" s="21"/>
      <c r="P105" s="21"/>
      <c r="Q105" s="21"/>
      <c r="R105" s="21"/>
      <c r="S105" s="21"/>
      <c r="T105" s="21"/>
    </row>
    <row r="106" spans="1:20">
      <c r="B106" s="3"/>
      <c r="C106" s="21"/>
      <c r="D106" s="3"/>
      <c r="E106" s="21"/>
      <c r="F106" s="3"/>
      <c r="G106" s="21"/>
      <c r="H106" s="3"/>
      <c r="I106" s="21"/>
      <c r="J106" s="21"/>
      <c r="K106" s="21"/>
      <c r="L106" s="21"/>
      <c r="M106" s="21"/>
      <c r="N106" s="21"/>
      <c r="O106" s="21"/>
      <c r="P106" s="21"/>
      <c r="Q106" s="21"/>
      <c r="R106" s="21"/>
      <c r="S106" s="21"/>
      <c r="T106" s="21"/>
    </row>
    <row r="107" spans="1:20">
      <c r="A107" t="s">
        <v>341</v>
      </c>
      <c r="B107" s="3"/>
      <c r="C107" s="21"/>
      <c r="D107" s="3"/>
      <c r="E107" s="21"/>
      <c r="F107" s="3"/>
      <c r="G107" s="21"/>
      <c r="H107" s="3"/>
      <c r="I107" s="21"/>
      <c r="J107" s="21"/>
      <c r="K107" s="21"/>
      <c r="L107" s="21"/>
      <c r="M107" s="21"/>
      <c r="N107" s="21"/>
      <c r="O107" s="21"/>
      <c r="P107" s="21"/>
      <c r="Q107" s="21"/>
      <c r="R107" s="21"/>
      <c r="S107" s="21"/>
      <c r="T107" s="21"/>
    </row>
    <row r="108" spans="1:20">
      <c r="A108" t="s">
        <v>342</v>
      </c>
      <c r="B108" s="3">
        <f>+(9380716.6+8051928.75+6978499)/1000</f>
        <v>24411.144350000002</v>
      </c>
      <c r="C108" s="21"/>
      <c r="D108" s="3">
        <v>0</v>
      </c>
      <c r="E108" s="21"/>
      <c r="F108" s="3">
        <v>0</v>
      </c>
      <c r="G108" s="21"/>
      <c r="H108" s="3">
        <v>0</v>
      </c>
      <c r="I108" s="21"/>
      <c r="J108" s="21"/>
      <c r="K108" s="21"/>
      <c r="L108" s="21"/>
      <c r="M108" s="21"/>
      <c r="N108" s="21"/>
      <c r="O108" s="21"/>
      <c r="P108" s="21"/>
      <c r="Q108" s="21"/>
      <c r="R108" s="21"/>
      <c r="S108" s="21"/>
      <c r="T108" s="21"/>
    </row>
    <row r="109" spans="1:20">
      <c r="A109" t="s">
        <v>343</v>
      </c>
      <c r="B109" s="3">
        <f>+(186185.4+111886.35+137255)/1000</f>
        <v>435.32675</v>
      </c>
      <c r="C109" s="21"/>
      <c r="D109" s="3">
        <v>0</v>
      </c>
      <c r="E109" s="21"/>
      <c r="F109" s="3">
        <v>0</v>
      </c>
      <c r="G109" s="21"/>
      <c r="H109" s="3">
        <v>0</v>
      </c>
      <c r="I109" s="21"/>
      <c r="J109" s="21"/>
      <c r="K109" s="21"/>
      <c r="L109" s="21"/>
      <c r="M109" s="21"/>
      <c r="N109" s="21"/>
      <c r="O109" s="21"/>
      <c r="P109" s="21"/>
      <c r="Q109" s="21"/>
      <c r="R109" s="21"/>
      <c r="S109" s="21"/>
      <c r="T109" s="21"/>
    </row>
    <row r="110" spans="1:20">
      <c r="A110" t="s">
        <v>344</v>
      </c>
      <c r="B110" s="3">
        <f>+(478147.8+435996.93+434185)/1000</f>
        <v>1348.3297299999999</v>
      </c>
      <c r="C110" s="21"/>
      <c r="D110" s="3">
        <v>0</v>
      </c>
      <c r="E110" s="21"/>
      <c r="F110" s="3">
        <v>0</v>
      </c>
      <c r="G110" s="21"/>
      <c r="H110" s="3">
        <v>0</v>
      </c>
      <c r="I110" s="21"/>
      <c r="J110" s="21"/>
      <c r="K110" s="21"/>
      <c r="L110" s="21"/>
      <c r="M110" s="21"/>
      <c r="N110" s="21"/>
      <c r="O110" s="21"/>
      <c r="P110" s="21"/>
      <c r="Q110" s="21"/>
      <c r="R110" s="21"/>
      <c r="S110" s="21"/>
      <c r="T110" s="21"/>
    </row>
    <row r="111" spans="1:20">
      <c r="A111" t="s">
        <v>345</v>
      </c>
      <c r="B111" s="3">
        <f>+(1317181.15+1418107.1+865858)/1000</f>
        <v>3601.1462499999998</v>
      </c>
      <c r="C111" s="21"/>
      <c r="D111" s="3">
        <v>0</v>
      </c>
      <c r="E111" s="21"/>
      <c r="F111" s="3">
        <v>0</v>
      </c>
      <c r="G111" s="21"/>
      <c r="H111" s="3">
        <v>0</v>
      </c>
      <c r="I111" s="21"/>
      <c r="J111" s="21"/>
      <c r="K111" s="21"/>
      <c r="L111" s="21"/>
      <c r="M111" s="21"/>
      <c r="N111" s="21"/>
      <c r="O111" s="21"/>
      <c r="P111" s="21"/>
      <c r="Q111" s="21"/>
      <c r="R111" s="21"/>
      <c r="S111" s="21"/>
      <c r="T111" s="21"/>
    </row>
    <row r="112" spans="1:20">
      <c r="B112" s="3">
        <f>SUM(B108:B111)</f>
        <v>29795.947080000005</v>
      </c>
      <c r="C112" s="21"/>
      <c r="D112" s="3">
        <f>SUM(D108:D111)</f>
        <v>0</v>
      </c>
      <c r="E112" s="21"/>
      <c r="F112" s="3">
        <f>SUM(F108:F111)</f>
        <v>0</v>
      </c>
      <c r="G112" s="21"/>
      <c r="H112" s="3">
        <f>SUM(H108:H111)</f>
        <v>0</v>
      </c>
      <c r="I112" s="21"/>
      <c r="J112" s="21"/>
      <c r="K112" s="21"/>
      <c r="L112" s="21"/>
      <c r="M112" s="21"/>
      <c r="N112" s="21"/>
      <c r="O112" s="21"/>
      <c r="P112" s="21"/>
      <c r="Q112" s="21"/>
      <c r="R112" s="21"/>
      <c r="S112" s="21"/>
      <c r="T112" s="21"/>
    </row>
    <row r="113" spans="1:20">
      <c r="B113" s="3"/>
      <c r="C113" s="21"/>
      <c r="D113" s="3"/>
      <c r="E113" s="21"/>
      <c r="F113" s="3"/>
      <c r="G113" s="21"/>
      <c r="H113" s="3"/>
      <c r="I113" s="21"/>
      <c r="J113" s="21"/>
      <c r="K113" s="21"/>
      <c r="L113" s="21"/>
      <c r="M113" s="21"/>
      <c r="N113" s="21"/>
      <c r="O113" s="21"/>
      <c r="P113" s="21"/>
      <c r="Q113" s="21"/>
      <c r="R113" s="21"/>
      <c r="S113" s="21"/>
      <c r="T113" s="21"/>
    </row>
    <row r="114" spans="1:20">
      <c r="A114" t="s">
        <v>346</v>
      </c>
      <c r="B114" s="3">
        <f>+B105-B112</f>
        <v>7931.8680600000007</v>
      </c>
      <c r="C114" s="21"/>
      <c r="D114" s="3">
        <f>+D105-D112</f>
        <v>0</v>
      </c>
      <c r="E114" s="21"/>
      <c r="F114" s="3">
        <f>+F105-F112</f>
        <v>0</v>
      </c>
      <c r="G114" s="21"/>
      <c r="H114" s="3">
        <f>+H105-H112</f>
        <v>0</v>
      </c>
      <c r="I114" s="21"/>
      <c r="J114" s="21"/>
      <c r="K114" s="21"/>
      <c r="L114" s="21"/>
      <c r="M114" s="21"/>
      <c r="N114" s="21"/>
      <c r="O114" s="21"/>
      <c r="P114" s="21"/>
      <c r="Q114" s="21"/>
      <c r="R114" s="21"/>
      <c r="S114" s="21"/>
      <c r="T114" s="21"/>
    </row>
    <row r="115" spans="1:20">
      <c r="B115" s="3"/>
      <c r="C115" s="21"/>
      <c r="D115" s="3"/>
      <c r="E115" s="21"/>
      <c r="F115" s="3"/>
      <c r="G115" s="21"/>
      <c r="H115" s="3"/>
      <c r="I115" s="21"/>
      <c r="J115" s="21"/>
      <c r="K115" s="21"/>
      <c r="L115" s="21"/>
      <c r="M115" s="21"/>
      <c r="N115" s="21"/>
      <c r="O115" s="21"/>
      <c r="P115" s="21"/>
      <c r="Q115" s="21"/>
      <c r="R115" s="21"/>
      <c r="S115" s="21"/>
      <c r="T115" s="21"/>
    </row>
    <row r="116" spans="1:20">
      <c r="A116" t="s">
        <v>347</v>
      </c>
      <c r="B116" s="3">
        <v>0</v>
      </c>
      <c r="C116" s="21"/>
      <c r="D116" s="3">
        <v>0</v>
      </c>
      <c r="E116" s="21"/>
      <c r="F116" s="3">
        <v>0</v>
      </c>
      <c r="G116" s="21"/>
      <c r="H116" s="3">
        <v>0</v>
      </c>
      <c r="I116" s="21"/>
      <c r="J116" s="21"/>
      <c r="K116" s="21"/>
      <c r="L116" s="21"/>
      <c r="M116" s="21"/>
      <c r="N116" s="21"/>
      <c r="O116" s="21"/>
      <c r="P116" s="21"/>
      <c r="Q116" s="21"/>
      <c r="R116" s="21"/>
      <c r="S116" s="21"/>
      <c r="T116" s="21"/>
    </row>
    <row r="117" spans="1:20">
      <c r="B117" s="3"/>
      <c r="C117" s="21"/>
      <c r="D117" s="3"/>
      <c r="E117" s="21"/>
      <c r="F117" s="3"/>
      <c r="G117" s="21"/>
      <c r="H117" s="3"/>
      <c r="I117" s="21"/>
      <c r="J117" s="21"/>
      <c r="K117" s="21"/>
      <c r="L117" s="21"/>
      <c r="M117" s="21"/>
      <c r="N117" s="21"/>
      <c r="O117" s="21"/>
      <c r="P117" s="21"/>
      <c r="Q117" s="21"/>
      <c r="R117" s="21"/>
      <c r="S117" s="21"/>
      <c r="T117" s="21"/>
    </row>
    <row r="118" spans="1:20">
      <c r="A118" t="s">
        <v>539</v>
      </c>
      <c r="B118" s="3">
        <f>+B114-B116</f>
        <v>7931.8680600000007</v>
      </c>
      <c r="C118" s="21"/>
      <c r="D118" s="3">
        <f>+D114-D116</f>
        <v>0</v>
      </c>
      <c r="E118" s="21"/>
      <c r="F118" s="3">
        <f>+F114-F116</f>
        <v>0</v>
      </c>
      <c r="G118" s="21"/>
      <c r="H118" s="3">
        <f>+H114-H116</f>
        <v>0</v>
      </c>
      <c r="I118" s="21"/>
      <c r="J118" s="21"/>
      <c r="K118" s="21"/>
      <c r="L118" s="21"/>
      <c r="M118" s="21"/>
      <c r="N118" s="21"/>
      <c r="O118" s="21"/>
      <c r="P118" s="21"/>
      <c r="Q118" s="21"/>
      <c r="R118" s="21"/>
      <c r="S118" s="21"/>
      <c r="T118" s="21"/>
    </row>
    <row r="119" spans="1:20">
      <c r="B119" s="21"/>
      <c r="C119" s="21"/>
      <c r="D119" s="21"/>
      <c r="E119" s="21"/>
      <c r="F119" s="21"/>
      <c r="G119" s="21"/>
      <c r="H119" s="21"/>
      <c r="I119" s="21"/>
      <c r="J119" s="21"/>
      <c r="K119" s="21"/>
      <c r="L119" s="21"/>
      <c r="M119" s="21"/>
      <c r="N119" s="21"/>
      <c r="O119" s="21"/>
      <c r="P119" s="21"/>
      <c r="Q119" s="21"/>
      <c r="R119" s="21"/>
      <c r="S119" s="21"/>
      <c r="T119" s="21"/>
    </row>
    <row r="121" spans="1:20">
      <c r="B121" s="29" t="s">
        <v>0</v>
      </c>
    </row>
  </sheetData>
  <pageMargins left="0.2" right="0.2" top="0.48" bottom="0.48" header="0.31" footer="0.2"/>
  <pageSetup scale="43" orientation="landscape" r:id="rId1"/>
  <headerFooter alignWithMargins="0">
    <oddFooter>&amp;R&amp;16&amp;P</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sheetViews>
  <sheetFormatPr defaultRowHeight="15.75"/>
  <cols>
    <col min="1" max="1" width="50" customWidth="1"/>
    <col min="2" max="2" width="15.75" customWidth="1"/>
    <col min="3" max="3" width="11" customWidth="1"/>
    <col min="4" max="4" width="15.75" customWidth="1"/>
    <col min="5" max="5" width="6.125" customWidth="1"/>
    <col min="6" max="6" width="16" customWidth="1"/>
    <col min="7" max="7" width="11"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584</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556</v>
      </c>
      <c r="C8" s="114"/>
      <c r="D8" s="34"/>
      <c r="E8" s="2"/>
      <c r="F8" s="114" t="s">
        <v>206</v>
      </c>
      <c r="G8" s="114"/>
      <c r="H8" s="114"/>
      <c r="I8" s="114"/>
      <c r="J8" s="114"/>
      <c r="K8" s="114"/>
      <c r="L8" s="114"/>
    </row>
    <row r="9" spans="1:14" ht="16.5" thickBot="1">
      <c r="B9" s="247" t="s">
        <v>185</v>
      </c>
      <c r="C9" s="226" t="s">
        <v>169</v>
      </c>
      <c r="D9" s="226">
        <v>1999</v>
      </c>
      <c r="E9" s="2"/>
      <c r="F9" s="226">
        <v>1999</v>
      </c>
      <c r="G9" s="226" t="s">
        <v>169</v>
      </c>
      <c r="H9" s="226">
        <v>1998</v>
      </c>
      <c r="I9" s="226" t="s">
        <v>169</v>
      </c>
      <c r="J9" s="226">
        <v>1997</v>
      </c>
      <c r="K9" s="226" t="s">
        <v>169</v>
      </c>
      <c r="L9" s="226">
        <v>1996</v>
      </c>
    </row>
    <row r="10" spans="1:14">
      <c r="A10" t="s">
        <v>328</v>
      </c>
    </row>
    <row r="11" spans="1:14">
      <c r="A11" t="s">
        <v>329</v>
      </c>
      <c r="B11" s="12" t="str">
        <f>+'bncrésult '!R49</f>
        <v xml:space="preserve"> </v>
      </c>
      <c r="C11" s="47" t="s">
        <v>0</v>
      </c>
      <c r="D11" s="12" t="str">
        <f>+'bncrésult '!T49</f>
        <v xml:space="preserve"> </v>
      </c>
      <c r="E11" s="44" t="s">
        <v>0</v>
      </c>
      <c r="F11" s="16" t="s">
        <v>0</v>
      </c>
      <c r="G11" s="47" t="s">
        <v>0</v>
      </c>
      <c r="M11" s="43"/>
      <c r="N11" s="43"/>
    </row>
    <row r="12" spans="1:14">
      <c r="A12" t="s">
        <v>330</v>
      </c>
      <c r="B12" s="12">
        <f>+'bncrésult '!R50</f>
        <v>13238</v>
      </c>
      <c r="C12" s="46">
        <f t="shared" ref="C12:C17" si="0">+(B12-D12)/ABS(D12)</f>
        <v>-0.35719141497523549</v>
      </c>
      <c r="D12" s="12">
        <f>+'bncrésult '!T50</f>
        <v>20594</v>
      </c>
      <c r="E12" s="44"/>
      <c r="F12" s="12">
        <f>+'bncrésult '!U50</f>
        <v>106159</v>
      </c>
      <c r="G12" s="46">
        <f t="shared" ref="G12:G17" si="1">+(F12-H12)/ABS(H12)</f>
        <v>0.16801869551679474</v>
      </c>
      <c r="H12" s="12">
        <v>90888.1</v>
      </c>
      <c r="I12" s="46">
        <f t="shared" ref="I12:I17" si="2">+(H12-J12)/ABS(J12)</f>
        <v>0.11239200490544653</v>
      </c>
      <c r="J12" s="12">
        <v>81705.100000000006</v>
      </c>
      <c r="K12" s="46">
        <f>+(J12-L12)/ABS(L12)</f>
        <v>0.12197449692815142</v>
      </c>
      <c r="L12" s="12">
        <v>72822.600000000006</v>
      </c>
      <c r="M12" s="43"/>
      <c r="N12" s="43"/>
    </row>
    <row r="13" spans="1:14">
      <c r="A13" t="s">
        <v>354</v>
      </c>
      <c r="B13" s="12">
        <f>+'bncrésult '!R51</f>
        <v>12860</v>
      </c>
      <c r="C13" s="46">
        <f t="shared" si="0"/>
        <v>0.28522886268239056</v>
      </c>
      <c r="D13" s="12">
        <f>+'bncrésult '!T51</f>
        <v>10006</v>
      </c>
      <c r="E13" s="44"/>
      <c r="F13" s="12">
        <f>+'bncrésult '!U51</f>
        <v>35087</v>
      </c>
      <c r="G13" s="43">
        <v>0</v>
      </c>
      <c r="H13" s="12">
        <v>12122</v>
      </c>
      <c r="I13" s="46"/>
      <c r="J13" s="12">
        <v>0</v>
      </c>
      <c r="K13" s="46"/>
      <c r="L13" s="12">
        <v>0</v>
      </c>
      <c r="M13" s="43"/>
      <c r="N13" s="43"/>
    </row>
    <row r="14" spans="1:14">
      <c r="A14" t="s">
        <v>332</v>
      </c>
      <c r="B14" s="221">
        <f>+'bncrésult '!R52</f>
        <v>4656</v>
      </c>
      <c r="C14" s="43">
        <v>0</v>
      </c>
      <c r="D14" s="240">
        <f>+'bncrésult '!T52</f>
        <v>0</v>
      </c>
      <c r="E14" s="44"/>
      <c r="F14" s="240">
        <f>+'bncrésult '!U52</f>
        <v>4657</v>
      </c>
      <c r="G14" s="46">
        <f t="shared" si="1"/>
        <v>-0.59327510917030568</v>
      </c>
      <c r="H14" s="240">
        <v>11450</v>
      </c>
      <c r="I14" s="46">
        <f t="shared" si="2"/>
        <v>-0.28158665821720552</v>
      </c>
      <c r="J14" s="240">
        <v>15937.9</v>
      </c>
      <c r="K14" s="43">
        <v>0</v>
      </c>
      <c r="L14" s="240">
        <v>711.1</v>
      </c>
      <c r="M14" s="43"/>
      <c r="N14" s="43"/>
    </row>
    <row r="15" spans="1:14">
      <c r="B15" s="12">
        <f>+'bncrésult '!R53</f>
        <v>30754</v>
      </c>
      <c r="C15" s="46">
        <f t="shared" si="0"/>
        <v>5.0326797385620917E-3</v>
      </c>
      <c r="D15" s="12">
        <f>SUM(D12:D14)</f>
        <v>30600</v>
      </c>
      <c r="E15" s="44"/>
      <c r="F15" s="12">
        <f>SUM(F12:F14)</f>
        <v>145903</v>
      </c>
      <c r="G15" s="46">
        <f t="shared" si="1"/>
        <v>0.27470620766537851</v>
      </c>
      <c r="H15" s="12">
        <f>SUM(H12:H14)</f>
        <v>114460.1</v>
      </c>
      <c r="I15" s="46">
        <f t="shared" si="2"/>
        <v>0.1722304722304723</v>
      </c>
      <c r="J15" s="12">
        <f>SUM(J12:J14)</f>
        <v>97643</v>
      </c>
      <c r="K15" s="46">
        <f>+(J15-L15)/ABS(L15)</f>
        <v>0.327867358775636</v>
      </c>
      <c r="L15" s="12">
        <f>SUM(L12:L14)</f>
        <v>73533.700000000012</v>
      </c>
      <c r="M15" s="43"/>
      <c r="N15" s="43"/>
    </row>
    <row r="16" spans="1:14">
      <c r="A16" t="s">
        <v>333</v>
      </c>
      <c r="B16" s="240">
        <f>+'bncrésult '!R54</f>
        <v>10052</v>
      </c>
      <c r="C16" s="46">
        <f t="shared" si="0"/>
        <v>-0.13382162860835847</v>
      </c>
      <c r="D16" s="240">
        <f>+'bncrésult '!T54</f>
        <v>11605</v>
      </c>
      <c r="E16" s="44" t="s">
        <v>0</v>
      </c>
      <c r="F16" s="240">
        <f>+'bncrésult '!U54</f>
        <v>35015</v>
      </c>
      <c r="G16" s="46">
        <f t="shared" si="1"/>
        <v>2.3232028053769727E-2</v>
      </c>
      <c r="H16" s="240">
        <v>34220</v>
      </c>
      <c r="I16" s="46">
        <f t="shared" si="2"/>
        <v>-0.10972589339604967</v>
      </c>
      <c r="J16" s="240">
        <v>38437.599999999999</v>
      </c>
      <c r="K16" s="46">
        <f>+(J16-L16)/ABS(L16)</f>
        <v>0.33697395103253241</v>
      </c>
      <c r="L16" s="240">
        <v>28749.7</v>
      </c>
      <c r="M16" s="43"/>
      <c r="N16" s="43"/>
    </row>
    <row r="17" spans="1:14" s="209" customFormat="1">
      <c r="B17" s="16">
        <f>+B15-B16</f>
        <v>20702</v>
      </c>
      <c r="C17" s="46">
        <f t="shared" si="0"/>
        <v>8.9865754145827856E-2</v>
      </c>
      <c r="D17" s="16">
        <f>+D15-D16</f>
        <v>18995</v>
      </c>
      <c r="E17" s="44" t="s">
        <v>0</v>
      </c>
      <c r="F17" s="16">
        <f>+F15-F16</f>
        <v>110888</v>
      </c>
      <c r="G17" s="46">
        <f t="shared" si="1"/>
        <v>0.38195241531354013</v>
      </c>
      <c r="H17" s="16">
        <f>+H15-H16</f>
        <v>80240.100000000006</v>
      </c>
      <c r="I17" s="46">
        <f t="shared" si="2"/>
        <v>0.35528347076449113</v>
      </c>
      <c r="J17" s="16">
        <f>+J15-J16</f>
        <v>59205.4</v>
      </c>
      <c r="K17" s="46">
        <f>+(J17-L17)/ABS(L17)</f>
        <v>0.32202125759199673</v>
      </c>
      <c r="L17" s="16">
        <f>+L15-L16</f>
        <v>44784.000000000015</v>
      </c>
      <c r="M17" s="44"/>
      <c r="N17" s="44"/>
    </row>
    <row r="18" spans="1:14">
      <c r="B18" s="12"/>
      <c r="C18" s="46"/>
      <c r="D18" s="12"/>
      <c r="E18" s="44"/>
      <c r="F18" s="12"/>
      <c r="G18" s="46"/>
      <c r="H18" s="12"/>
      <c r="I18" s="46"/>
      <c r="J18" s="12"/>
      <c r="K18" s="46"/>
      <c r="L18" s="12"/>
      <c r="M18" s="43"/>
      <c r="N18" s="43"/>
    </row>
    <row r="19" spans="1:14">
      <c r="A19" t="s">
        <v>334</v>
      </c>
      <c r="B19" s="12"/>
      <c r="C19" s="46"/>
      <c r="D19" s="12"/>
      <c r="E19" s="44" t="s">
        <v>0</v>
      </c>
      <c r="F19" s="12"/>
      <c r="G19" s="46"/>
      <c r="H19" s="12"/>
      <c r="I19" s="46"/>
      <c r="J19" s="12"/>
      <c r="K19" s="46"/>
      <c r="L19" s="12"/>
      <c r="M19" s="43"/>
      <c r="N19" s="43"/>
    </row>
    <row r="20" spans="1:14">
      <c r="A20" t="s">
        <v>335</v>
      </c>
      <c r="B20" s="12">
        <f>+'bncrésult '!R58</f>
        <v>7583</v>
      </c>
      <c r="C20" s="46">
        <f>+(B20-D20)/ABS(D20)</f>
        <v>0.59776654024441633</v>
      </c>
      <c r="D20" s="12">
        <f>+'bncrésult '!T58</f>
        <v>4746</v>
      </c>
      <c r="E20" s="44" t="s">
        <v>0</v>
      </c>
      <c r="F20" s="12">
        <f>+'bncrésult '!U58</f>
        <v>22838</v>
      </c>
      <c r="G20" s="46">
        <f>+(F20-H20)/ABS(H20)</f>
        <v>0.57664374672079077</v>
      </c>
      <c r="H20" s="12">
        <v>14485.2</v>
      </c>
      <c r="I20" s="46">
        <f>+(H20-J20)/ABS(J20)</f>
        <v>-0.51619723249266036</v>
      </c>
      <c r="J20" s="12">
        <v>29940.3</v>
      </c>
      <c r="K20" s="46">
        <f>+(J20-L20)/ABS(L20)</f>
        <v>0.10680526854730495</v>
      </c>
      <c r="L20" s="12">
        <v>27051.1</v>
      </c>
      <c r="M20" s="43"/>
      <c r="N20" s="43"/>
    </row>
    <row r="21" spans="1:14">
      <c r="A21" t="s">
        <v>336</v>
      </c>
      <c r="B21" s="12">
        <f>+'bncrésult '!R59</f>
        <v>2228</v>
      </c>
      <c r="C21" s="46">
        <f>+(B21-D21)/ABS(D21)</f>
        <v>68.625</v>
      </c>
      <c r="D21" s="12">
        <f>+'bncrésult '!T59</f>
        <v>32</v>
      </c>
      <c r="E21" s="44" t="s">
        <v>0</v>
      </c>
      <c r="F21" s="12">
        <f>+'bncrésult '!U59</f>
        <v>4648</v>
      </c>
      <c r="G21" s="46">
        <f>+(F21-H21)/ABS(H21)</f>
        <v>1.130824181082283</v>
      </c>
      <c r="H21" s="12">
        <v>-35528.6</v>
      </c>
      <c r="I21" s="46">
        <f>+(H21-J21)/ABS(J21)</f>
        <v>-1.979666905641648</v>
      </c>
      <c r="J21" s="12">
        <v>36266</v>
      </c>
      <c r="K21" s="46">
        <f>+(J21-L21)/ABS(L21)</f>
        <v>-8.7705175775108488E-2</v>
      </c>
      <c r="L21" s="12">
        <v>39752.5</v>
      </c>
      <c r="M21" s="43"/>
      <c r="N21" s="43"/>
    </row>
    <row r="22" spans="1:14">
      <c r="A22" t="s">
        <v>284</v>
      </c>
      <c r="B22" s="240">
        <f>+'bncrésult '!R60</f>
        <v>525</v>
      </c>
      <c r="C22" s="46">
        <f>+(B22-D22)/ABS(D22)</f>
        <v>-0.83443708609271527</v>
      </c>
      <c r="D22" s="240">
        <f>+'bncrésult '!T60</f>
        <v>3171</v>
      </c>
      <c r="E22" s="44" t="s">
        <v>0</v>
      </c>
      <c r="F22" s="240">
        <f>+'bncrésult '!U60</f>
        <v>72913</v>
      </c>
      <c r="G22" s="46">
        <f>+(F22-H22)/ABS(H22)</f>
        <v>-0.31912561059994976</v>
      </c>
      <c r="H22" s="240">
        <v>107087.3</v>
      </c>
      <c r="I22" s="46">
        <f>+(H22-J22)/ABS(J22)</f>
        <v>3.7181257434903294</v>
      </c>
      <c r="J22" s="240">
        <v>22697</v>
      </c>
      <c r="K22" s="46">
        <f>+(J22-L22)/ABS(L22)</f>
        <v>-8.5388459058671831E-2</v>
      </c>
      <c r="L22" s="240">
        <v>24816</v>
      </c>
      <c r="M22" s="43"/>
      <c r="N22" s="43"/>
    </row>
    <row r="23" spans="1:14" s="209" customFormat="1">
      <c r="B23" s="16">
        <f>SUM(B20:B22)</f>
        <v>10336</v>
      </c>
      <c r="C23" s="46">
        <f>+(B23-D23)/ABS(D23)</f>
        <v>0.30028934457164425</v>
      </c>
      <c r="D23" s="16">
        <f>SUM(D20:D22)</f>
        <v>7949</v>
      </c>
      <c r="E23" s="44" t="s">
        <v>0</v>
      </c>
      <c r="F23" s="16">
        <f>SUM(F20:F22)</f>
        <v>100399</v>
      </c>
      <c r="G23" s="46">
        <f>+(F23-H23)/ABS(H23)</f>
        <v>0.16683460419622995</v>
      </c>
      <c r="H23" s="16">
        <f>SUM(H20:H22)</f>
        <v>86043.900000000009</v>
      </c>
      <c r="I23" s="46">
        <f>+(H23-J23)/ABS(J23)</f>
        <v>-3.2163035567858496E-2</v>
      </c>
      <c r="J23" s="16">
        <f>SUM(J20:J22)</f>
        <v>88903.3</v>
      </c>
      <c r="K23" s="46">
        <f>+(J23-L23)/ABS(L23)</f>
        <v>-2.9647586324323648E-2</v>
      </c>
      <c r="L23" s="16">
        <f>SUM(L20:L22)</f>
        <v>91619.6</v>
      </c>
      <c r="M23" s="44"/>
      <c r="N23" s="44"/>
    </row>
    <row r="24" spans="1:14">
      <c r="B24" s="240"/>
      <c r="C24" s="46"/>
      <c r="D24" s="240"/>
      <c r="E24" s="44"/>
      <c r="F24" s="240"/>
      <c r="G24" s="46"/>
      <c r="H24" s="240"/>
      <c r="I24" s="46"/>
      <c r="J24" s="240"/>
      <c r="K24" s="46"/>
      <c r="L24" s="240"/>
      <c r="M24" s="43"/>
      <c r="N24" s="43"/>
    </row>
    <row r="25" spans="1:14" s="209" customFormat="1">
      <c r="A25" s="209" t="s">
        <v>337</v>
      </c>
      <c r="B25" s="16">
        <f>+B17+B23</f>
        <v>31038</v>
      </c>
      <c r="C25" s="46">
        <f>+(B25-D25)/ABS(D25)</f>
        <v>0.15194477434679335</v>
      </c>
      <c r="D25" s="16">
        <f>+D17+D23</f>
        <v>26944</v>
      </c>
      <c r="E25" s="44" t="s">
        <v>0</v>
      </c>
      <c r="F25" s="16">
        <f>+F17+F23</f>
        <v>211287</v>
      </c>
      <c r="G25" s="46">
        <f>+(F25-H25)/ABS(H25)</f>
        <v>0.27063938803492821</v>
      </c>
      <c r="H25" s="16">
        <f>+H17+H23</f>
        <v>166284</v>
      </c>
      <c r="I25" s="46">
        <f>+(H25-J25)/ABS(J25)</f>
        <v>0.122715951189903</v>
      </c>
      <c r="J25" s="16">
        <f>+J17+J23</f>
        <v>148108.70000000001</v>
      </c>
      <c r="K25" s="46">
        <f>+(J25-L25)/ABS(L25)</f>
        <v>8.5812251289555219E-2</v>
      </c>
      <c r="L25" s="16">
        <f>+L17+L23</f>
        <v>136403.60000000003</v>
      </c>
      <c r="M25" s="44"/>
      <c r="N25" s="44"/>
    </row>
    <row r="26" spans="1:14">
      <c r="B26" s="12"/>
      <c r="C26" s="46"/>
      <c r="D26" s="12"/>
      <c r="E26" s="44" t="s">
        <v>0</v>
      </c>
      <c r="F26" s="12"/>
      <c r="G26" s="46"/>
      <c r="H26" s="12"/>
      <c r="I26" s="46"/>
      <c r="J26" s="12"/>
      <c r="K26" s="46"/>
      <c r="L26" s="12"/>
      <c r="M26" s="43"/>
      <c r="N26" s="43"/>
    </row>
    <row r="27" spans="1:14">
      <c r="A27" t="s">
        <v>338</v>
      </c>
      <c r="B27" s="12">
        <f>+'bncrésult '!R65</f>
        <v>0</v>
      </c>
      <c r="C27" s="43">
        <v>0</v>
      </c>
      <c r="D27" s="12">
        <f>+'bncrésult '!T65</f>
        <v>0</v>
      </c>
      <c r="E27" s="44" t="s">
        <v>0</v>
      </c>
      <c r="F27" s="12">
        <f>+'bncrésult '!U65</f>
        <v>0</v>
      </c>
      <c r="G27" s="43">
        <v>0</v>
      </c>
      <c r="H27" s="12">
        <v>75514</v>
      </c>
      <c r="I27" s="43">
        <v>0</v>
      </c>
      <c r="J27" s="12">
        <f>+'bncrésult '!Y65</f>
        <v>0</v>
      </c>
      <c r="K27" s="43">
        <v>0</v>
      </c>
      <c r="L27" s="12">
        <v>0</v>
      </c>
      <c r="M27" s="43"/>
      <c r="N27" s="43"/>
    </row>
    <row r="28" spans="1:14">
      <c r="B28" s="12"/>
      <c r="C28" s="46"/>
      <c r="D28" s="12"/>
      <c r="E28" s="44" t="s">
        <v>0</v>
      </c>
      <c r="F28" s="12"/>
      <c r="G28" s="46"/>
      <c r="H28" s="12"/>
      <c r="I28" s="46"/>
      <c r="J28" s="12"/>
      <c r="K28" s="46"/>
      <c r="L28" s="12"/>
      <c r="M28" s="43"/>
      <c r="N28" s="43"/>
    </row>
    <row r="29" spans="1:14">
      <c r="A29" t="s">
        <v>339</v>
      </c>
      <c r="B29" s="240"/>
      <c r="C29" s="46"/>
      <c r="D29" s="240"/>
      <c r="E29" s="44" t="s">
        <v>0</v>
      </c>
      <c r="F29" s="240"/>
      <c r="G29" s="46"/>
      <c r="H29" s="240"/>
      <c r="I29" s="46"/>
      <c r="J29" s="240"/>
      <c r="K29" s="46"/>
      <c r="L29" s="240"/>
      <c r="M29" s="43"/>
      <c r="N29" s="43"/>
    </row>
    <row r="30" spans="1:14" s="209" customFormat="1">
      <c r="A30" s="209" t="s">
        <v>340</v>
      </c>
      <c r="B30" s="16">
        <f>+B25-B27</f>
        <v>31038</v>
      </c>
      <c r="C30" s="46">
        <f>+(B30-D30)/ABS(D30)</f>
        <v>0.15194477434679335</v>
      </c>
      <c r="D30" s="16">
        <f>+D25-D27</f>
        <v>26944</v>
      </c>
      <c r="E30" s="44" t="s">
        <v>0</v>
      </c>
      <c r="F30" s="16">
        <f>+F25-F27</f>
        <v>211287</v>
      </c>
      <c r="G30" s="46">
        <f>+(F30-H30)/ABS(H30)</f>
        <v>1.3277184091660241</v>
      </c>
      <c r="H30" s="16">
        <f>+H25-H27</f>
        <v>90770</v>
      </c>
      <c r="I30" s="46">
        <f>+(H30-J30)/ABS(J30)</f>
        <v>-0.38713931051990874</v>
      </c>
      <c r="J30" s="16">
        <f>+J25-J27</f>
        <v>148108.70000000001</v>
      </c>
      <c r="K30" s="46">
        <f>+(J30-L30)/ABS(L30)</f>
        <v>8.5812251289555219E-2</v>
      </c>
      <c r="L30" s="16">
        <f>+L25-L27</f>
        <v>136403.60000000003</v>
      </c>
      <c r="M30" s="44"/>
      <c r="N30" s="44"/>
    </row>
    <row r="31" spans="1:14">
      <c r="B31" s="12"/>
      <c r="C31" s="46"/>
      <c r="D31" s="12"/>
      <c r="E31" s="44" t="s">
        <v>0</v>
      </c>
      <c r="F31" s="12"/>
      <c r="G31" s="46"/>
      <c r="H31" s="12"/>
      <c r="I31" s="46"/>
      <c r="J31" s="12"/>
      <c r="K31" s="46"/>
      <c r="L31" s="12"/>
      <c r="M31" s="43"/>
      <c r="N31" s="43"/>
    </row>
    <row r="32" spans="1:14">
      <c r="A32" t="s">
        <v>341</v>
      </c>
      <c r="B32" s="12"/>
      <c r="C32" s="46"/>
      <c r="D32" s="12"/>
      <c r="E32" s="44" t="s">
        <v>0</v>
      </c>
      <c r="F32" s="12"/>
      <c r="G32" s="46"/>
      <c r="H32" s="12"/>
      <c r="I32" s="46"/>
      <c r="J32" s="12"/>
      <c r="K32" s="46"/>
      <c r="L32" s="12"/>
      <c r="M32" s="43"/>
      <c r="N32" s="43"/>
    </row>
    <row r="33" spans="1:14">
      <c r="A33" t="s">
        <v>342</v>
      </c>
      <c r="B33" s="12">
        <f>+'bncrésult '!R71</f>
        <v>20469</v>
      </c>
      <c r="C33" s="46">
        <f>+(B33-D33)/ABS(D33)</f>
        <v>-0.32866513611020004</v>
      </c>
      <c r="D33" s="12">
        <f>+'bncrésult '!T71</f>
        <v>30490</v>
      </c>
      <c r="E33" s="44" t="s">
        <v>0</v>
      </c>
      <c r="F33" s="12">
        <f>+'bncrésult '!U71</f>
        <v>99514</v>
      </c>
      <c r="G33" s="46">
        <f>+(F33-H33)/ABS(H33)</f>
        <v>-8.7287938945860455E-2</v>
      </c>
      <c r="H33" s="12">
        <v>109031.1</v>
      </c>
      <c r="I33" s="46">
        <f>+(H33-J33)/ABS(J33)</f>
        <v>0.29471704252229192</v>
      </c>
      <c r="J33" s="12">
        <v>84212.3</v>
      </c>
      <c r="K33" s="46">
        <f>+(J33-L33)/ABS(L33)</f>
        <v>8.2649919327363805E-2</v>
      </c>
      <c r="L33" s="12">
        <v>77783.5</v>
      </c>
      <c r="M33" s="43"/>
      <c r="N33" s="43"/>
    </row>
    <row r="34" spans="1:14">
      <c r="A34" t="s">
        <v>343</v>
      </c>
      <c r="B34" s="12">
        <f>+'bncrésult '!R72</f>
        <v>287</v>
      </c>
      <c r="C34" s="46">
        <f>+(B34-D34)/ABS(D34)</f>
        <v>-0.47047970479704798</v>
      </c>
      <c r="D34" s="12">
        <f>+'bncrésult '!T72</f>
        <v>542</v>
      </c>
      <c r="E34" s="44" t="s">
        <v>0</v>
      </c>
      <c r="F34" s="12">
        <f>+'bncrésult '!U72</f>
        <v>1884</v>
      </c>
      <c r="G34" s="46">
        <f>+(F34-H34)/ABS(H34)</f>
        <v>1.0057489619929736</v>
      </c>
      <c r="H34" s="12">
        <v>939.3</v>
      </c>
      <c r="I34" s="46">
        <f>+(H34-J34)/ABS(J34)</f>
        <v>-0.50047862156987877</v>
      </c>
      <c r="J34" s="12">
        <v>1880.4</v>
      </c>
      <c r="K34" s="46">
        <f>+(J34-L34)/ABS(L34)</f>
        <v>0.33579597925694399</v>
      </c>
      <c r="L34" s="12">
        <v>1407.7</v>
      </c>
      <c r="M34" s="43"/>
      <c r="N34" s="43"/>
    </row>
    <row r="35" spans="1:14">
      <c r="A35" t="s">
        <v>344</v>
      </c>
      <c r="B35" s="12">
        <f>+'bncrésult '!R73</f>
        <v>4488</v>
      </c>
      <c r="C35" s="46">
        <f>+(B35-D35)/ABS(D35)</f>
        <v>1.2980030721966205</v>
      </c>
      <c r="D35" s="12">
        <f>+'bncrésult '!T73</f>
        <v>1953</v>
      </c>
      <c r="E35" s="44" t="s">
        <v>0</v>
      </c>
      <c r="F35" s="12">
        <f>+'bncrésult '!U73</f>
        <v>9214</v>
      </c>
      <c r="G35" s="46">
        <f>+(F35-H35)/ABS(H35)</f>
        <v>0.75044644553364481</v>
      </c>
      <c r="H35" s="12">
        <v>5263.8</v>
      </c>
      <c r="I35" s="46">
        <f>+(H35-J35)/ABS(J35)</f>
        <v>0.17244297933000707</v>
      </c>
      <c r="J35" s="12">
        <v>4489.6000000000004</v>
      </c>
      <c r="K35" s="46">
        <f>+(J35-L35)/ABS(L35)</f>
        <v>1.9045739794267973</v>
      </c>
      <c r="L35" s="12">
        <v>1545.7</v>
      </c>
      <c r="M35" s="43"/>
      <c r="N35" s="43"/>
    </row>
    <row r="36" spans="1:14">
      <c r="A36" t="s">
        <v>345</v>
      </c>
      <c r="B36" s="240">
        <f>+'bncrésult '!R74</f>
        <v>7048</v>
      </c>
      <c r="C36" s="46">
        <f>+(B36-D36)/ABS(D36)</f>
        <v>0.18673177302576191</v>
      </c>
      <c r="D36" s="240">
        <f>+'bncrésult '!T74</f>
        <v>5939</v>
      </c>
      <c r="E36" s="44" t="s">
        <v>0</v>
      </c>
      <c r="F36" s="240">
        <f>+'bncrésult '!U74</f>
        <v>59616</v>
      </c>
      <c r="G36" s="46">
        <f>+(F36-H36)/ABS(H36)</f>
        <v>0.28247270098870186</v>
      </c>
      <c r="H36" s="240">
        <v>46485.2</v>
      </c>
      <c r="I36" s="46">
        <f>+(H36-J36)/ABS(J36)</f>
        <v>0.18715826410295047</v>
      </c>
      <c r="J36" s="240">
        <v>39156.699999999997</v>
      </c>
      <c r="K36" s="46">
        <f>+(J36-L36)/ABS(L36)</f>
        <v>3.8798260262705311</v>
      </c>
      <c r="L36" s="240">
        <v>8024.2</v>
      </c>
      <c r="M36" s="43"/>
      <c r="N36" s="43"/>
    </row>
    <row r="37" spans="1:14" s="209" customFormat="1">
      <c r="B37" s="16">
        <f>SUM(B33:B36)</f>
        <v>32292</v>
      </c>
      <c r="C37" s="46">
        <f>+(B37-D37)/ABS(D37)</f>
        <v>-0.17038331106772173</v>
      </c>
      <c r="D37" s="16">
        <f>SUM(D33:D36)</f>
        <v>38924</v>
      </c>
      <c r="E37" s="44" t="s">
        <v>0</v>
      </c>
      <c r="F37" s="16">
        <f>SUM(F33:F36)</f>
        <v>170228</v>
      </c>
      <c r="G37" s="46">
        <f>+(F37-H37)/ABS(H37)</f>
        <v>5.2613353747293E-2</v>
      </c>
      <c r="H37" s="16">
        <f>SUM(H33:H36)</f>
        <v>161719.40000000002</v>
      </c>
      <c r="I37" s="46">
        <f>+(H37-J37)/ABS(J37)</f>
        <v>0.24649796899929877</v>
      </c>
      <c r="J37" s="16">
        <f>SUM(J33:J36)</f>
        <v>129739</v>
      </c>
      <c r="K37" s="46">
        <f>+(J37-L37)/ABS(L37)</f>
        <v>0.46166507625525161</v>
      </c>
      <c r="L37" s="16">
        <f>SUM(L33:L36)</f>
        <v>88761.099999999991</v>
      </c>
      <c r="M37" s="44"/>
      <c r="N37" s="44"/>
    </row>
    <row r="38" spans="1:14">
      <c r="B38" s="249"/>
      <c r="C38" s="112"/>
      <c r="D38" s="249"/>
      <c r="E38" s="42"/>
      <c r="F38" s="249"/>
      <c r="G38" s="112"/>
      <c r="H38" s="249"/>
      <c r="I38" s="112"/>
      <c r="J38" s="249"/>
      <c r="K38" s="112"/>
      <c r="L38" s="249"/>
      <c r="M38" s="43"/>
      <c r="N38" s="43"/>
    </row>
    <row r="39" spans="1:14" s="209" customFormat="1">
      <c r="A39" s="209" t="s">
        <v>346</v>
      </c>
      <c r="B39" s="16">
        <f>+B30-B37</f>
        <v>-1254</v>
      </c>
      <c r="C39" s="46">
        <f>+(B39-D39)/ABS(D39)</f>
        <v>0.89532554257095154</v>
      </c>
      <c r="D39" s="16">
        <f>+D30-D37</f>
        <v>-11980</v>
      </c>
      <c r="E39" s="44" t="s">
        <v>0</v>
      </c>
      <c r="F39" s="16">
        <f>+F30-F37</f>
        <v>41059</v>
      </c>
      <c r="G39" s="46">
        <f>+(F39-H39)/ABS(H39)</f>
        <v>1.5787082061300024</v>
      </c>
      <c r="H39" s="16">
        <f>+H30-H37</f>
        <v>-70949.400000000023</v>
      </c>
      <c r="I39" s="46">
        <f>+(H39-J39)/ABS(J39)</f>
        <v>-4.8623058623711861</v>
      </c>
      <c r="J39" s="16">
        <f>+J30-J37</f>
        <v>18369.700000000012</v>
      </c>
      <c r="K39" s="46">
        <f>+(J39-L39)/ABS(L39)</f>
        <v>-0.61442619509891394</v>
      </c>
      <c r="L39" s="16">
        <f>+L30-L37</f>
        <v>47642.500000000044</v>
      </c>
      <c r="M39" s="44"/>
      <c r="N39" s="44"/>
    </row>
    <row r="40" spans="1:14">
      <c r="B40" s="12"/>
      <c r="C40" s="46"/>
      <c r="D40" s="12"/>
      <c r="E40" s="44" t="s">
        <v>0</v>
      </c>
      <c r="F40" s="12"/>
      <c r="G40" s="46"/>
      <c r="H40" s="12"/>
      <c r="I40" s="46"/>
      <c r="J40" s="12"/>
      <c r="K40" s="46"/>
      <c r="L40" s="12"/>
      <c r="M40" s="43"/>
      <c r="N40" s="43"/>
    </row>
    <row r="41" spans="1:14">
      <c r="A41" t="s">
        <v>347</v>
      </c>
      <c r="B41" s="12">
        <f>+'bncrésult '!R79</f>
        <v>0</v>
      </c>
      <c r="C41" s="43">
        <v>0</v>
      </c>
      <c r="D41" s="12">
        <f>+'bncrésult '!T79</f>
        <v>0</v>
      </c>
      <c r="E41" s="44" t="s">
        <v>0</v>
      </c>
      <c r="F41" s="12">
        <f>+'bncrésult '!U79</f>
        <v>0</v>
      </c>
      <c r="G41" s="43">
        <v>0</v>
      </c>
      <c r="H41" s="12">
        <v>240.2</v>
      </c>
      <c r="I41" s="46">
        <f>+(H41-J41)/ABS(J41)</f>
        <v>-0.76763084066943987</v>
      </c>
      <c r="J41" s="12">
        <v>1033.7</v>
      </c>
      <c r="K41" s="46">
        <f>+(J41-L41)/ABS(L41)</f>
        <v>-1.4585319351763541E-2</v>
      </c>
      <c r="L41" s="12">
        <v>1049</v>
      </c>
      <c r="M41" s="43"/>
      <c r="N41" s="43"/>
    </row>
    <row r="42" spans="1:14" ht="16.5" thickBot="1">
      <c r="B42" s="76"/>
      <c r="C42" s="46"/>
      <c r="D42" s="76"/>
      <c r="E42" s="44" t="s">
        <v>0</v>
      </c>
      <c r="F42" s="76"/>
      <c r="G42" s="46"/>
      <c r="H42" s="76"/>
      <c r="I42" s="46"/>
      <c r="J42" s="76"/>
      <c r="K42" s="46"/>
      <c r="L42" s="76"/>
      <c r="M42" s="43"/>
      <c r="N42" s="43"/>
    </row>
    <row r="43" spans="1:14">
      <c r="A43" s="2" t="s">
        <v>427</v>
      </c>
      <c r="B43" s="4">
        <f>+B39-B41</f>
        <v>-1254</v>
      </c>
      <c r="C43" s="112">
        <f>+(B43-D43)/ABS(D43)</f>
        <v>0.89532554257095154</v>
      </c>
      <c r="D43" s="4">
        <f>+D39-D41</f>
        <v>-11980</v>
      </c>
      <c r="E43" s="42" t="s">
        <v>0</v>
      </c>
      <c r="F43" s="4">
        <f>+F39-F41</f>
        <v>41059</v>
      </c>
      <c r="G43" s="112">
        <f>+(F43-H43)/ABS(H43)</f>
        <v>1.5767555935136592</v>
      </c>
      <c r="H43" s="4">
        <f>+H39-H41</f>
        <v>-71189.60000000002</v>
      </c>
      <c r="I43" s="112">
        <f>+(H43-J43)/ABS(J43)</f>
        <v>-5.1064605445316094</v>
      </c>
      <c r="J43" s="4">
        <f>+J39-J41</f>
        <v>17336.000000000011</v>
      </c>
      <c r="K43" s="112">
        <f>+(J43-L43)/ABS(L43)</f>
        <v>-0.627930934572419</v>
      </c>
      <c r="L43" s="4">
        <f>+L39-L41</f>
        <v>46593.500000000044</v>
      </c>
      <c r="M43" s="43"/>
      <c r="N43" s="43"/>
    </row>
    <row r="44" spans="1:14">
      <c r="E44" t="s">
        <v>0</v>
      </c>
    </row>
    <row r="45" spans="1:14">
      <c r="E45" t="s">
        <v>0</v>
      </c>
    </row>
  </sheetData>
  <pageMargins left="0.43" right="0.49" top="0.56999999999999995" bottom="0.75" header="0.34" footer="0.5"/>
  <pageSetup scale="62" orientation="landscape" r:id="rId1"/>
  <headerFooter alignWithMargins="0">
    <oddFooter>&amp;R&amp;P</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8"/>
  <sheetViews>
    <sheetView workbookViewId="0"/>
  </sheetViews>
  <sheetFormatPr defaultRowHeight="15.75"/>
  <cols>
    <col min="1" max="1" width="33.5" customWidth="1"/>
    <col min="2" max="2" width="14.875" customWidth="1"/>
    <col min="3" max="3" width="12.75" customWidth="1"/>
    <col min="4" max="4" width="13.875" customWidth="1"/>
    <col min="5" max="5" width="14.625" customWidth="1"/>
    <col min="6" max="6" width="14.75" customWidth="1"/>
    <col min="7" max="7" width="8.875" customWidth="1"/>
    <col min="8" max="8" width="14.75" customWidth="1"/>
    <col min="9" max="9" width="12.75" customWidth="1"/>
    <col min="10" max="10" width="13.75" customWidth="1"/>
    <col min="11" max="11" width="13.25" customWidth="1"/>
    <col min="12" max="12" width="14.5" customWidth="1"/>
    <col min="13" max="13" width="11" customWidth="1"/>
    <col min="14" max="14" width="14.25" customWidth="1"/>
    <col min="15" max="15" width="14" customWidth="1"/>
    <col min="16" max="16" width="15.125" customWidth="1"/>
    <col min="17" max="17" width="11" customWidth="1"/>
    <col min="18" max="18" width="15.875" customWidth="1"/>
    <col min="19" max="19" width="11" customWidth="1"/>
    <col min="20" max="20" width="15.875" customWidth="1"/>
    <col min="21" max="256" width="11" customWidth="1"/>
  </cols>
  <sheetData>
    <row r="1" spans="1:27">
      <c r="A1" s="114" t="s">
        <v>595</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166</v>
      </c>
      <c r="J4" s="175" t="s">
        <v>167</v>
      </c>
      <c r="K4" s="176"/>
      <c r="L4" s="176"/>
      <c r="M4" s="176"/>
      <c r="N4" s="176"/>
      <c r="O4" s="176"/>
      <c r="P4" s="176"/>
    </row>
    <row r="5" spans="1:27" ht="16.5" thickBot="1">
      <c r="B5" s="174" t="s">
        <v>567</v>
      </c>
      <c r="C5" s="174" t="s">
        <v>169</v>
      </c>
      <c r="D5" s="173" t="s">
        <v>527</v>
      </c>
      <c r="E5" s="174" t="s">
        <v>169</v>
      </c>
      <c r="F5" s="173" t="s">
        <v>299</v>
      </c>
      <c r="G5" s="174" t="s">
        <v>169</v>
      </c>
      <c r="H5" s="174" t="s">
        <v>298</v>
      </c>
      <c r="I5" s="173" t="s">
        <v>173</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+bphvar!B22</f>
        <v>800349.7</v>
      </c>
      <c r="C11" s="43">
        <v>0</v>
      </c>
      <c r="D11" s="12">
        <f>+bphvar!D22</f>
        <v>0</v>
      </c>
      <c r="E11" s="43">
        <v>0</v>
      </c>
      <c r="F11" s="43">
        <f>+bphvar!F22</f>
        <v>0</v>
      </c>
      <c r="G11" s="43">
        <v>0</v>
      </c>
      <c r="H11" s="43">
        <f>+bphvar!H22</f>
        <v>0</v>
      </c>
      <c r="I11" s="46">
        <f>+(B11-J11)/ABS(J11)</f>
        <v>-2.3558438161402642E-2</v>
      </c>
      <c r="J11" s="12">
        <f>+bphvar!J22</f>
        <v>819659.6</v>
      </c>
      <c r="K11" s="46">
        <f>+(-L11+J11)/L11</f>
        <v>8.3157192131057184E-2</v>
      </c>
      <c r="L11" s="12">
        <f>+bphvar!L22</f>
        <v>756731.9</v>
      </c>
      <c r="M11" s="46">
        <f>+(-N11+L11)/ABS(N11)</f>
        <v>-6.4010938006542423E-2</v>
      </c>
      <c r="N11" s="12">
        <f>+bphvar!N22</f>
        <v>808483.70000000007</v>
      </c>
      <c r="O11" s="46">
        <f>+(-P11+N11)/ABS(P11)</f>
        <v>0.55945309340941807</v>
      </c>
      <c r="P11" s="12">
        <f>+bphvar!P22</f>
        <v>518440.53753000003</v>
      </c>
      <c r="Q11" s="43"/>
      <c r="R11" s="43"/>
      <c r="S11" s="43"/>
      <c r="T11" s="43"/>
      <c r="U11" s="43"/>
      <c r="V11" s="43"/>
      <c r="W11" s="43"/>
      <c r="X11" s="43"/>
      <c r="Y11" s="43"/>
      <c r="Z11" s="43"/>
      <c r="AA11" s="43"/>
    </row>
    <row r="12" spans="1:27">
      <c r="A12" t="s">
        <v>181</v>
      </c>
      <c r="B12" s="12">
        <f>+bphvar!B17</f>
        <v>155000</v>
      </c>
      <c r="C12" s="43">
        <v>0</v>
      </c>
      <c r="D12" s="12">
        <f>+bphvar!D17</f>
        <v>0</v>
      </c>
      <c r="E12" s="43">
        <v>0</v>
      </c>
      <c r="F12" s="12">
        <f>+bphvar!F17</f>
        <v>0</v>
      </c>
      <c r="G12" s="43">
        <v>0</v>
      </c>
      <c r="H12" s="12">
        <f>+bphvar!H17</f>
        <v>0</v>
      </c>
      <c r="I12" s="46">
        <f>+(B12-J12)/ABS(J12)</f>
        <v>-6.0606060606060608E-2</v>
      </c>
      <c r="J12" s="12">
        <f>+bphvar!J17</f>
        <v>165000</v>
      </c>
      <c r="K12" s="46">
        <f>+(-L12+J12)/L12</f>
        <v>-0.28879310344827586</v>
      </c>
      <c r="L12" s="12">
        <f>+bphvar!L17</f>
        <v>232000</v>
      </c>
      <c r="M12" s="43">
        <v>0</v>
      </c>
      <c r="N12" s="12">
        <v>0</v>
      </c>
      <c r="O12" s="43">
        <v>0</v>
      </c>
      <c r="P12" s="12">
        <v>0</v>
      </c>
      <c r="Q12" s="43"/>
      <c r="R12" s="43"/>
      <c r="S12" s="43"/>
      <c r="T12" s="43"/>
      <c r="U12" s="43"/>
      <c r="V12" s="43"/>
      <c r="W12" s="43"/>
      <c r="X12" s="43"/>
      <c r="Y12" s="43"/>
      <c r="Z12" s="43"/>
      <c r="AA12" s="43"/>
    </row>
    <row r="13" spans="1:27">
      <c r="A13" t="s">
        <v>596</v>
      </c>
      <c r="B13" s="12">
        <f>+bphvar!B19</f>
        <v>316912.7</v>
      </c>
      <c r="C13" s="43">
        <v>0</v>
      </c>
      <c r="D13" s="12">
        <f>+bphvar!D19</f>
        <v>0</v>
      </c>
      <c r="E13" s="43">
        <v>0</v>
      </c>
      <c r="F13" s="43">
        <f>+bphvar!F19</f>
        <v>0</v>
      </c>
      <c r="G13" s="43">
        <v>0</v>
      </c>
      <c r="H13" s="43">
        <f>+bphvar!H19</f>
        <v>0</v>
      </c>
      <c r="I13" s="46">
        <f>+(B13-J13)/ABS(J13)</f>
        <v>5.290039343473641E-2</v>
      </c>
      <c r="J13" s="12">
        <f>+bphvar!J19</f>
        <v>300990.2</v>
      </c>
      <c r="K13" s="46">
        <f>+(-L13+J13)/L13</f>
        <v>0.12497453774561959</v>
      </c>
      <c r="L13" s="12">
        <f>+bphvar!L19</f>
        <v>267552.90000000002</v>
      </c>
      <c r="M13" s="46">
        <f>+(-N13+L13)/ABS(N13)</f>
        <v>4.7088534475471414E-2</v>
      </c>
      <c r="N13" s="12">
        <f>+bphvar!N19</f>
        <v>255520.8</v>
      </c>
      <c r="O13" s="46">
        <f>+(-P13+N13)/ABS(P13)</f>
        <v>0.13846233698390251</v>
      </c>
      <c r="P13" s="12">
        <f>+bphvar!P19</f>
        <v>224443.78852</v>
      </c>
      <c r="Q13" s="43"/>
      <c r="R13" s="43"/>
      <c r="S13" s="43"/>
      <c r="T13" s="43"/>
      <c r="U13" s="43"/>
      <c r="V13" s="43"/>
      <c r="W13" s="43"/>
      <c r="X13" s="43"/>
      <c r="Y13" s="43"/>
      <c r="Z13" s="43"/>
      <c r="AA13" s="43"/>
    </row>
    <row r="14" spans="1:27">
      <c r="A14" t="s">
        <v>183</v>
      </c>
      <c r="B14" s="12">
        <f>+bphvar!B29</f>
        <v>684781.8</v>
      </c>
      <c r="C14" s="43">
        <v>0</v>
      </c>
      <c r="D14" s="12">
        <f>+bphvar!D29</f>
        <v>0</v>
      </c>
      <c r="E14" s="43">
        <v>0</v>
      </c>
      <c r="F14" s="43">
        <f>+bphvar!F29</f>
        <v>0</v>
      </c>
      <c r="G14" s="43">
        <v>0</v>
      </c>
      <c r="H14" s="43">
        <f>+bphvar!H29</f>
        <v>0</v>
      </c>
      <c r="I14" s="46">
        <f>+(B14-J14)/ABS(J14)</f>
        <v>-1.6312438275484301E-2</v>
      </c>
      <c r="J14" s="12">
        <f>+bphvar!J29</f>
        <v>696137.5</v>
      </c>
      <c r="K14" s="46">
        <f>+(-L14+J14)/L14</f>
        <v>0.1107860434324105</v>
      </c>
      <c r="L14" s="12">
        <f>+bphvar!L29</f>
        <v>626707.1</v>
      </c>
      <c r="M14" s="46">
        <f>+(-N14+L14)/ABS(N14)</f>
        <v>-4.1163360731609824E-3</v>
      </c>
      <c r="N14" s="12">
        <f>+bphvar!N29</f>
        <v>629297.5</v>
      </c>
      <c r="O14" s="46">
        <f>+(-P14+N14)/ABS(P14)</f>
        <v>0.63772698787333826</v>
      </c>
      <c r="P14" s="12">
        <f>+bphvar!P29</f>
        <v>384250.55253999995</v>
      </c>
      <c r="Q14" s="43"/>
      <c r="R14" s="43"/>
      <c r="S14" s="43"/>
      <c r="T14" s="43"/>
      <c r="U14" s="43"/>
      <c r="V14" s="43"/>
      <c r="W14" s="43"/>
      <c r="X14" s="43"/>
      <c r="Y14" s="43"/>
      <c r="Z14" s="43"/>
      <c r="AA14" s="43"/>
    </row>
    <row r="15" spans="1:27">
      <c r="A15" t="s">
        <v>184</v>
      </c>
      <c r="B15" s="12">
        <f>+bphvar!B51</f>
        <v>29487</v>
      </c>
      <c r="C15" s="43">
        <v>0</v>
      </c>
      <c r="D15" s="12">
        <f>+bphvar!D51</f>
        <v>0</v>
      </c>
      <c r="E15" s="43">
        <v>0</v>
      </c>
      <c r="F15" s="43">
        <f>+bphvar!F51</f>
        <v>0</v>
      </c>
      <c r="G15" s="43">
        <v>0</v>
      </c>
      <c r="H15" s="43">
        <f>+bphvar!H51</f>
        <v>0</v>
      </c>
      <c r="I15" s="46">
        <f>+(B15-J15)/ABS(J15)</f>
        <v>3.5326308911215565E-3</v>
      </c>
      <c r="J15" s="12">
        <f>+bphvar!J51</f>
        <v>29383.199999999997</v>
      </c>
      <c r="K15" s="46">
        <f>+(-L15+J15)/L15</f>
        <v>0.18038476834760112</v>
      </c>
      <c r="L15" s="12">
        <f>+bphvar!L51</f>
        <v>24892.899999999998</v>
      </c>
      <c r="M15" s="46">
        <f>+(-N15+L15)/ABS(N15)</f>
        <v>1.0408031088082899</v>
      </c>
      <c r="N15" s="12">
        <f>+bphvar!N51</f>
        <v>12197.6</v>
      </c>
      <c r="O15" s="46">
        <f>+(-P15+N15)/ABS(P15)</f>
        <v>0.75486656837029487</v>
      </c>
      <c r="P15" s="12">
        <f>+bphvar!P51</f>
        <v>6950.7278900000001</v>
      </c>
      <c r="Q15" s="43"/>
      <c r="R15" s="43"/>
      <c r="S15" s="43"/>
      <c r="T15" s="43"/>
      <c r="U15" s="43"/>
      <c r="V15" s="43"/>
      <c r="W15" s="43"/>
      <c r="X15" s="43"/>
      <c r="Y15" s="43"/>
      <c r="Z15" s="43"/>
      <c r="AA15" s="43"/>
    </row>
    <row r="16" spans="1:27">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row>
    <row r="17" spans="1:27" ht="16.5" thickBot="1">
      <c r="B17" s="187"/>
      <c r="C17" s="187"/>
      <c r="D17" s="187"/>
      <c r="E17" s="187"/>
      <c r="F17" s="187"/>
      <c r="G17" s="187"/>
      <c r="H17" s="187"/>
      <c r="I17" s="187"/>
      <c r="J17" s="187"/>
      <c r="K17" s="187"/>
      <c r="L17" s="187"/>
      <c r="M17" s="187"/>
      <c r="N17" s="187"/>
      <c r="O17" s="187"/>
      <c r="P17" s="187"/>
      <c r="Q17" s="43"/>
      <c r="R17" s="43"/>
      <c r="S17" s="43"/>
      <c r="T17" s="43"/>
      <c r="U17" s="43"/>
      <c r="V17" s="43"/>
      <c r="W17" s="43"/>
      <c r="X17" s="43"/>
      <c r="Y17" s="43"/>
      <c r="Z17" s="43"/>
      <c r="AA17" s="43"/>
    </row>
    <row r="18" spans="1:27">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row>
    <row r="19" spans="1:27">
      <c r="B19" s="51" t="s">
        <v>185</v>
      </c>
      <c r="C19" s="43"/>
      <c r="D19" s="51" t="s">
        <v>174</v>
      </c>
      <c r="E19" s="43"/>
      <c r="F19" s="51" t="s">
        <v>185</v>
      </c>
      <c r="G19" s="43"/>
      <c r="H19" s="51" t="s">
        <v>174</v>
      </c>
      <c r="I19" s="43"/>
      <c r="J19" s="51" t="s">
        <v>185</v>
      </c>
      <c r="K19" s="43"/>
      <c r="L19" s="51" t="s">
        <v>174</v>
      </c>
      <c r="M19" s="43"/>
      <c r="N19" s="51" t="s">
        <v>185</v>
      </c>
      <c r="O19" s="43"/>
      <c r="P19" s="51" t="s">
        <v>174</v>
      </c>
      <c r="Q19" s="43"/>
      <c r="R19" s="51" t="s">
        <v>185</v>
      </c>
      <c r="S19" s="43"/>
      <c r="T19" s="51" t="s">
        <v>174</v>
      </c>
      <c r="U19" s="43"/>
      <c r="V19" s="43"/>
      <c r="W19" s="43"/>
      <c r="X19" s="43"/>
      <c r="Y19" s="43"/>
      <c r="Z19" s="43"/>
      <c r="AA19" s="43"/>
    </row>
    <row r="20" spans="1:27">
      <c r="B20" s="50" t="s">
        <v>186</v>
      </c>
      <c r="C20" s="50" t="s">
        <v>169</v>
      </c>
      <c r="D20" s="50" t="s">
        <v>186</v>
      </c>
      <c r="E20" s="43"/>
      <c r="F20" s="50" t="s">
        <v>187</v>
      </c>
      <c r="G20" s="50" t="s">
        <v>169</v>
      </c>
      <c r="H20" s="50" t="s">
        <v>187</v>
      </c>
      <c r="I20" s="43"/>
      <c r="J20" s="50" t="s">
        <v>188</v>
      </c>
      <c r="K20" s="50" t="s">
        <v>169</v>
      </c>
      <c r="L20" s="50" t="s">
        <v>188</v>
      </c>
      <c r="M20" s="43"/>
      <c r="N20" s="50" t="s">
        <v>189</v>
      </c>
      <c r="O20" s="50" t="s">
        <v>169</v>
      </c>
      <c r="P20" s="50" t="s">
        <v>189</v>
      </c>
      <c r="Q20" s="43"/>
      <c r="R20" s="50" t="s">
        <v>190</v>
      </c>
      <c r="S20" s="50" t="s">
        <v>169</v>
      </c>
      <c r="T20" s="50" t="s">
        <v>190</v>
      </c>
      <c r="U20" s="43"/>
      <c r="V20" s="43"/>
      <c r="W20" s="43"/>
      <c r="X20" s="43"/>
      <c r="Y20" s="43"/>
      <c r="Z20" s="43"/>
      <c r="AA20" s="43"/>
    </row>
    <row r="21" spans="1:27" ht="16.5" thickBot="1">
      <c r="B21" s="326" t="s">
        <v>191</v>
      </c>
      <c r="C21" s="326"/>
      <c r="D21" s="326" t="s">
        <v>192</v>
      </c>
      <c r="E21" s="208"/>
      <c r="F21" s="326" t="s">
        <v>193</v>
      </c>
      <c r="G21" s="326"/>
      <c r="H21" s="326" t="s">
        <v>194</v>
      </c>
      <c r="I21" s="208"/>
      <c r="J21" s="326" t="s">
        <v>195</v>
      </c>
      <c r="K21" s="326"/>
      <c r="L21" s="326" t="s">
        <v>196</v>
      </c>
      <c r="M21" s="208"/>
      <c r="N21" s="326" t="s">
        <v>197</v>
      </c>
      <c r="O21" s="326"/>
      <c r="P21" s="326" t="s">
        <v>198</v>
      </c>
      <c r="Q21" s="208"/>
      <c r="R21" s="326" t="s">
        <v>199</v>
      </c>
      <c r="S21" s="326"/>
      <c r="T21" s="326" t="s">
        <v>200</v>
      </c>
      <c r="U21" s="43"/>
      <c r="V21" s="43"/>
      <c r="W21" s="43"/>
      <c r="X21" s="43"/>
      <c r="Y21" s="43"/>
      <c r="Z21" s="43"/>
      <c r="AA21" s="43"/>
    </row>
    <row r="22" spans="1:27">
      <c r="A22" s="2" t="s">
        <v>52</v>
      </c>
      <c r="B22" s="43"/>
      <c r="C22" s="43"/>
      <c r="D22" s="43"/>
      <c r="E22" s="43"/>
      <c r="F22" s="43"/>
      <c r="G22" s="43"/>
      <c r="H22" s="43"/>
      <c r="I22" s="43"/>
      <c r="J22" s="43"/>
      <c r="K22" s="43"/>
      <c r="L22" s="43"/>
      <c r="M22" s="43"/>
      <c r="N22" s="43"/>
      <c r="O22" s="43"/>
      <c r="P22" s="43"/>
      <c r="Q22" s="43"/>
      <c r="R22" s="43"/>
      <c r="S22" s="47" t="s">
        <v>0</v>
      </c>
      <c r="T22" s="43"/>
      <c r="U22" s="43"/>
      <c r="V22" s="43"/>
      <c r="W22" s="43"/>
      <c r="X22" s="43"/>
      <c r="Y22" s="43"/>
      <c r="Z22" s="43"/>
      <c r="AA22" s="43"/>
    </row>
    <row r="23" spans="1:27">
      <c r="A23" t="s">
        <v>201</v>
      </c>
      <c r="B23" s="12">
        <f>+'BPHRÉSULT  '!B15</f>
        <v>9155.7999999999993</v>
      </c>
      <c r="C23" s="46">
        <f>+(-D23+B23)/ABS(D23)</f>
        <v>0.13308747091728104</v>
      </c>
      <c r="D23" s="12">
        <f>+'BPHRÉSULT  '!D55</f>
        <v>8080.4000000000015</v>
      </c>
      <c r="E23" s="43"/>
      <c r="F23" s="12">
        <f>+'BPHRÉSULT  '!D15</f>
        <v>0</v>
      </c>
      <c r="G23" s="43">
        <v>0</v>
      </c>
      <c r="H23" s="12">
        <f>+'BPHRÉSULT  '!H55</f>
        <v>3658.7999999999993</v>
      </c>
      <c r="I23" s="43"/>
      <c r="J23" s="12">
        <f>+'BPHRÉSULT  '!F15</f>
        <v>0</v>
      </c>
      <c r="K23" s="43">
        <v>0</v>
      </c>
      <c r="L23" s="12">
        <f>+'BPHRÉSULT  '!L55</f>
        <v>6319.1999999999971</v>
      </c>
      <c r="M23" s="43"/>
      <c r="N23" s="12">
        <f>+'BPHRÉSULT  '!H15</f>
        <v>0</v>
      </c>
      <c r="O23" s="43">
        <v>0</v>
      </c>
      <c r="P23" s="12">
        <f>+'BPHRÉSULT  '!P55</f>
        <v>15761.4</v>
      </c>
      <c r="Q23" s="43"/>
      <c r="R23" s="12">
        <f>+'BPHRÉSULT  '!R55</f>
        <v>9155.7999999999993</v>
      </c>
      <c r="S23" s="46">
        <f>+(-T23+R23)/ABS(T23)</f>
        <v>0.13308747091728104</v>
      </c>
      <c r="T23" s="12">
        <f>+'BPHRÉSULT  '!T55</f>
        <v>8080.4000000000015</v>
      </c>
      <c r="U23" s="43"/>
      <c r="V23" s="43"/>
      <c r="W23" s="43"/>
      <c r="X23" s="43"/>
      <c r="Y23" s="43"/>
      <c r="Z23" s="43"/>
      <c r="AA23" s="43"/>
    </row>
    <row r="24" spans="1:27">
      <c r="A24" t="s">
        <v>202</v>
      </c>
      <c r="B24" s="12">
        <f>+'BPHRÉSULT  '!B21</f>
        <v>1856.9</v>
      </c>
      <c r="C24" s="46">
        <f>+(-D24+B24)/ABS(D24)</f>
        <v>-0.67561665851442942</v>
      </c>
      <c r="D24" s="12">
        <f>+'BPHRÉSULT  '!D61</f>
        <v>5724.4000000000005</v>
      </c>
      <c r="E24" s="43"/>
      <c r="F24" s="12">
        <f>+'BPHRÉSULT  '!D21</f>
        <v>0</v>
      </c>
      <c r="G24" s="43">
        <v>0</v>
      </c>
      <c r="H24" s="12">
        <f>+'BPHRÉSULT  '!H61</f>
        <v>8841</v>
      </c>
      <c r="I24" s="43"/>
      <c r="J24" s="12">
        <f>+'BPHRÉSULT  '!F21</f>
        <v>0</v>
      </c>
      <c r="K24" s="43">
        <v>0</v>
      </c>
      <c r="L24" s="12">
        <f>+'BPHRÉSULT  '!L61</f>
        <v>2889.7</v>
      </c>
      <c r="M24" s="43"/>
      <c r="N24" s="12">
        <f>+'BPHRÉSULT  '!H21</f>
        <v>0</v>
      </c>
      <c r="O24" s="43">
        <v>0</v>
      </c>
      <c r="P24" s="12">
        <f>+'BPHRÉSULT  '!P61</f>
        <v>3539.2999999999997</v>
      </c>
      <c r="Q24" s="43"/>
      <c r="R24" s="12">
        <f>+'BPHRÉSULT  '!R61</f>
        <v>1856.9</v>
      </c>
      <c r="S24" s="46">
        <f>+(-T24+R24)/ABS(T24)</f>
        <v>-0.67561665851442942</v>
      </c>
      <c r="T24" s="12">
        <f>+'BPHRÉSULT  '!T61</f>
        <v>5724.4000000000005</v>
      </c>
      <c r="U24" s="43"/>
      <c r="V24" s="43"/>
      <c r="W24" s="43"/>
      <c r="X24" s="43"/>
      <c r="Y24" s="43"/>
      <c r="Z24" s="43"/>
      <c r="AA24" s="43"/>
    </row>
    <row r="25" spans="1:27">
      <c r="A25" t="s">
        <v>447</v>
      </c>
      <c r="B25" s="12">
        <f>+'BPHRÉSULT  '!B25</f>
        <v>1800</v>
      </c>
      <c r="C25" s="46">
        <f>+(-D25+B25)/ABS(D25)</f>
        <v>0</v>
      </c>
      <c r="D25" s="12">
        <f>+'BPHRÉSULT  '!D65</f>
        <v>1800</v>
      </c>
      <c r="E25" s="43"/>
      <c r="F25" s="12">
        <f>+'BPHRÉSULT  '!D25</f>
        <v>0</v>
      </c>
      <c r="G25" s="43">
        <v>0</v>
      </c>
      <c r="H25" s="12">
        <f>+'BPHRÉSULT  '!H65</f>
        <v>1500</v>
      </c>
      <c r="I25" s="43"/>
      <c r="J25" s="12">
        <f>+'BPHRÉSULT  '!F25</f>
        <v>0</v>
      </c>
      <c r="K25" s="43">
        <v>0</v>
      </c>
      <c r="L25" s="12">
        <f>+'BPHRÉSULT  '!L65</f>
        <v>1500</v>
      </c>
      <c r="M25" s="43"/>
      <c r="N25" s="12">
        <f>+'BPHRÉSULT  '!H25</f>
        <v>0</v>
      </c>
      <c r="O25" s="43">
        <v>0</v>
      </c>
      <c r="P25" s="12">
        <f>+'BPHRÉSULT  '!P65</f>
        <v>2400</v>
      </c>
      <c r="Q25" s="43"/>
      <c r="R25" s="12">
        <f>+'BPHRÉSULT  '!R65</f>
        <v>1800</v>
      </c>
      <c r="S25" s="46">
        <f>+(-T25+R25)/ABS(T25)</f>
        <v>0</v>
      </c>
      <c r="T25" s="12">
        <f>+'BPHRÉSULT  '!T65</f>
        <v>1800</v>
      </c>
      <c r="U25" s="43"/>
      <c r="V25" s="43"/>
      <c r="W25" s="43"/>
      <c r="X25" s="43"/>
      <c r="Y25" s="43"/>
      <c r="Z25" s="43"/>
      <c r="AA25" s="43"/>
    </row>
    <row r="26" spans="1:27">
      <c r="A26" t="s">
        <v>204</v>
      </c>
      <c r="B26" s="12">
        <f>+'BPHRÉSULT  '!B35</f>
        <v>8920.2000000000007</v>
      </c>
      <c r="C26" s="46">
        <f>+(-D26+B26)/ABS(D26)</f>
        <v>-4.7312884483937112E-2</v>
      </c>
      <c r="D26" s="12">
        <f>+'BPHRÉSULT  '!D75</f>
        <v>9363.2000000000007</v>
      </c>
      <c r="E26" s="43"/>
      <c r="F26" s="12">
        <f>+'BPHRÉSULT  '!D35</f>
        <v>0</v>
      </c>
      <c r="G26" s="43">
        <v>0</v>
      </c>
      <c r="H26" s="12">
        <f>+'BPHRÉSULT  '!H75</f>
        <v>8755.4</v>
      </c>
      <c r="I26" s="43"/>
      <c r="J26" s="12">
        <f>+'BPHRÉSULT  '!F35</f>
        <v>0</v>
      </c>
      <c r="K26" s="43">
        <v>0</v>
      </c>
      <c r="L26" s="12">
        <f>+'BPHRÉSULT  '!L75</f>
        <v>7640.9000000000005</v>
      </c>
      <c r="M26" s="43"/>
      <c r="N26" s="12">
        <f>+'BPHRÉSULT  '!H35</f>
        <v>0</v>
      </c>
      <c r="O26" s="43">
        <v>0</v>
      </c>
      <c r="P26" s="12">
        <f>+'BPHRÉSULT  '!P75</f>
        <v>10980.599999999999</v>
      </c>
      <c r="Q26" s="43"/>
      <c r="R26" s="12">
        <f>+'BPHRÉSULT  '!R75</f>
        <v>8920.2000000000007</v>
      </c>
      <c r="S26" s="46">
        <f>+(-T26+R26)/ABS(T26)</f>
        <v>-4.7312884483937112E-2</v>
      </c>
      <c r="T26" s="12">
        <f>+'BPHRÉSULT  '!T75</f>
        <v>9363.2000000000007</v>
      </c>
      <c r="U26" s="43"/>
      <c r="V26" s="43"/>
      <c r="W26" s="43"/>
      <c r="X26" s="43"/>
      <c r="Y26" s="43"/>
      <c r="Z26" s="43"/>
      <c r="AA26" s="43"/>
    </row>
    <row r="27" spans="1:27">
      <c r="A27" t="s">
        <v>448</v>
      </c>
      <c r="B27" s="12">
        <f>+'BPHRÉSULT  '!B41</f>
        <v>292.49999999999818</v>
      </c>
      <c r="C27" s="46">
        <f>+(-D27+B27)/ABS(D27)</f>
        <v>-0.88927165354330784</v>
      </c>
      <c r="D27" s="12">
        <f>+'BPHRÉSULT  '!D81</f>
        <v>2641.6000000000022</v>
      </c>
      <c r="E27" s="43"/>
      <c r="F27" s="12">
        <f>+'BPHRÉSULT  '!D41</f>
        <v>0</v>
      </c>
      <c r="G27" s="43">
        <v>0</v>
      </c>
      <c r="H27" s="12">
        <f>+'BPHRÉSULT  '!H81</f>
        <v>2244.3999999999996</v>
      </c>
      <c r="I27" s="43"/>
      <c r="J27" s="12">
        <f>+'BPHRÉSULT  '!F41</f>
        <v>0</v>
      </c>
      <c r="K27" s="43">
        <v>0</v>
      </c>
      <c r="L27" s="12">
        <f>+'BPHRÉSULT  '!L81</f>
        <v>67.999999999997272</v>
      </c>
      <c r="M27" s="43"/>
      <c r="N27" s="12">
        <f>+'BPHRÉSULT  '!H41</f>
        <v>0</v>
      </c>
      <c r="O27" s="43">
        <v>0</v>
      </c>
      <c r="P27" s="12">
        <f>+'BPHRÉSULT  '!P81</f>
        <v>5920.1000000000022</v>
      </c>
      <c r="Q27" s="43"/>
      <c r="R27" s="12">
        <f>+'BPHRÉSULT  '!R81</f>
        <v>292.49999999999818</v>
      </c>
      <c r="S27" s="46">
        <f>+(-T27+R27)/ABS(T27)</f>
        <v>-0.88927165354330784</v>
      </c>
      <c r="T27" s="12">
        <f>+'BPHRÉSULT  '!T81</f>
        <v>2641.6000000000022</v>
      </c>
      <c r="U27" s="43"/>
      <c r="V27" s="43"/>
      <c r="W27" s="43"/>
      <c r="X27" s="43"/>
      <c r="Y27" s="43"/>
      <c r="Z27" s="43"/>
      <c r="AA27" s="43"/>
    </row>
    <row r="28" spans="1:27">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ht="16.5" thickBot="1">
      <c r="B29" s="187"/>
      <c r="C29" s="187"/>
      <c r="D29" s="187"/>
      <c r="E29" s="187"/>
      <c r="F29" s="187"/>
      <c r="G29" s="187"/>
      <c r="H29" s="187"/>
      <c r="I29" s="187"/>
      <c r="J29" s="187"/>
      <c r="K29" s="187"/>
      <c r="L29" s="187"/>
      <c r="M29" s="187"/>
      <c r="N29" s="187"/>
      <c r="O29" s="187"/>
      <c r="P29" s="187"/>
      <c r="Q29" s="187"/>
      <c r="R29" s="187"/>
      <c r="S29" s="187"/>
      <c r="T29" s="187"/>
      <c r="U29" s="43"/>
      <c r="V29" s="43"/>
      <c r="W29" s="43"/>
      <c r="X29" s="43"/>
      <c r="Y29" s="43"/>
      <c r="Z29" s="43"/>
      <c r="AA29" s="43"/>
    </row>
    <row r="30" spans="1:27">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c r="B31" s="51" t="s">
        <v>185</v>
      </c>
      <c r="C31" s="51" t="s">
        <v>174</v>
      </c>
      <c r="D31" s="43"/>
      <c r="E31" s="51" t="s">
        <v>185</v>
      </c>
      <c r="F31" s="51" t="s">
        <v>174</v>
      </c>
      <c r="G31" s="43"/>
      <c r="H31" s="51" t="s">
        <v>185</v>
      </c>
      <c r="I31" s="51" t="s">
        <v>174</v>
      </c>
      <c r="J31" s="43"/>
      <c r="K31" s="51" t="s">
        <v>185</v>
      </c>
      <c r="L31" s="51" t="s">
        <v>174</v>
      </c>
      <c r="M31" s="43"/>
      <c r="N31" s="51" t="s">
        <v>185</v>
      </c>
      <c r="O31" s="51" t="s">
        <v>174</v>
      </c>
      <c r="P31" s="43"/>
      <c r="U31" s="43"/>
      <c r="V31" s="43"/>
      <c r="W31" s="43"/>
      <c r="X31" s="43"/>
      <c r="Y31" s="43"/>
      <c r="Z31" s="43"/>
      <c r="AA31" s="43"/>
    </row>
    <row r="32" spans="1:27" ht="16.5" thickBot="1">
      <c r="B32" s="50" t="s">
        <v>186</v>
      </c>
      <c r="C32" s="50" t="s">
        <v>186</v>
      </c>
      <c r="D32" s="43"/>
      <c r="E32" s="50" t="s">
        <v>187</v>
      </c>
      <c r="F32" s="50" t="s">
        <v>187</v>
      </c>
      <c r="G32" s="43"/>
      <c r="H32" s="50" t="s">
        <v>188</v>
      </c>
      <c r="I32" s="50" t="s">
        <v>188</v>
      </c>
      <c r="J32" s="43"/>
      <c r="K32" s="50" t="s">
        <v>189</v>
      </c>
      <c r="L32" s="50" t="s">
        <v>189</v>
      </c>
      <c r="M32" s="43"/>
      <c r="N32" s="50" t="s">
        <v>190</v>
      </c>
      <c r="O32" s="50" t="s">
        <v>190</v>
      </c>
      <c r="P32" s="43"/>
      <c r="Q32" s="114" t="s">
        <v>206</v>
      </c>
      <c r="R32" s="114"/>
      <c r="S32" s="114"/>
      <c r="T32" s="114"/>
      <c r="U32" s="43"/>
      <c r="V32" s="43"/>
      <c r="W32" s="43"/>
      <c r="X32" s="43"/>
      <c r="Y32" s="43"/>
      <c r="Z32" s="43"/>
      <c r="AA32" s="43"/>
    </row>
    <row r="33" spans="1:27" ht="16.5" thickBot="1">
      <c r="B33" s="326" t="s">
        <v>191</v>
      </c>
      <c r="C33" s="326" t="s">
        <v>192</v>
      </c>
      <c r="D33" s="208"/>
      <c r="E33" s="326" t="s">
        <v>193</v>
      </c>
      <c r="F33" s="326" t="s">
        <v>194</v>
      </c>
      <c r="G33" s="208"/>
      <c r="H33" s="326" t="s">
        <v>195</v>
      </c>
      <c r="I33" s="326" t="s">
        <v>196</v>
      </c>
      <c r="J33" s="208"/>
      <c r="K33" s="326" t="s">
        <v>197</v>
      </c>
      <c r="L33" s="326" t="s">
        <v>198</v>
      </c>
      <c r="M33" s="208"/>
      <c r="N33" s="181" t="s">
        <v>199</v>
      </c>
      <c r="O33" s="181" t="s">
        <v>200</v>
      </c>
      <c r="P33" s="43"/>
      <c r="Q33" s="182" t="s">
        <v>174</v>
      </c>
      <c r="R33" s="182" t="s">
        <v>175</v>
      </c>
      <c r="S33" s="182" t="s">
        <v>176</v>
      </c>
      <c r="T33" s="182" t="s">
        <v>177</v>
      </c>
      <c r="U33" s="43"/>
      <c r="V33" s="43"/>
      <c r="W33" s="43"/>
      <c r="X33" s="43"/>
      <c r="Y33" s="43"/>
      <c r="Z33" s="43"/>
      <c r="AA33" s="43"/>
    </row>
    <row r="34" spans="1:27">
      <c r="B34" s="355"/>
      <c r="C34" s="355"/>
      <c r="D34" s="208"/>
      <c r="E34" s="355"/>
      <c r="F34" s="355"/>
      <c r="G34" s="208"/>
      <c r="H34" s="355"/>
      <c r="I34" s="355"/>
      <c r="J34" s="208"/>
      <c r="K34" s="355"/>
      <c r="L34" s="355"/>
      <c r="M34" s="208"/>
      <c r="N34" s="355"/>
      <c r="O34" s="355"/>
      <c r="P34" s="43"/>
      <c r="Q34" s="356"/>
      <c r="R34" s="356"/>
      <c r="S34" s="356"/>
      <c r="T34" s="356"/>
      <c r="U34" s="43"/>
      <c r="V34" s="43"/>
      <c r="W34" s="43"/>
      <c r="X34" s="43"/>
      <c r="Y34" s="43"/>
      <c r="Z34" s="43"/>
      <c r="AA34" s="43"/>
    </row>
    <row r="35" spans="1:27">
      <c r="A35" s="2" t="s">
        <v>207</v>
      </c>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row>
    <row r="36" spans="1:27">
      <c r="A36" s="183" t="s">
        <v>208</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2" t="s">
        <v>209</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A38" s="2"/>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t="s">
        <v>210</v>
      </c>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s="2"/>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row>
    <row r="41" spans="1:27">
      <c r="A41" t="s">
        <v>211</v>
      </c>
      <c r="B41" s="57"/>
      <c r="C41" s="57"/>
      <c r="D41" s="57"/>
      <c r="E41" s="57"/>
      <c r="F41" s="57"/>
      <c r="G41" s="57"/>
      <c r="H41" s="57"/>
      <c r="I41" s="57"/>
      <c r="J41" s="57"/>
      <c r="K41" s="57"/>
      <c r="L41" s="57"/>
      <c r="M41" s="57"/>
      <c r="N41" s="57"/>
      <c r="O41" s="57"/>
      <c r="P41" s="57"/>
      <c r="Q41" s="59"/>
      <c r="R41" s="59"/>
      <c r="S41" s="59"/>
      <c r="T41" s="59"/>
      <c r="U41" s="43"/>
      <c r="V41" s="43"/>
      <c r="W41" s="43"/>
      <c r="X41" s="43"/>
      <c r="Y41" s="43"/>
      <c r="Z41" s="43"/>
      <c r="AA41" s="43"/>
    </row>
    <row r="42" spans="1:27">
      <c r="A42" t="s">
        <v>212</v>
      </c>
      <c r="B42" s="58">
        <f>+bphvar!B51/bphvar!B22</f>
        <v>3.6842645158734991E-2</v>
      </c>
      <c r="C42" s="59">
        <v>3.2899999999999999E-2</v>
      </c>
      <c r="D42" s="59"/>
      <c r="E42" s="364">
        <v>0</v>
      </c>
      <c r="F42" s="59">
        <v>3.32E-2</v>
      </c>
      <c r="G42" s="59"/>
      <c r="H42" s="364">
        <v>0</v>
      </c>
      <c r="I42" s="59">
        <v>3.2899999999999999E-2</v>
      </c>
      <c r="J42" s="59"/>
      <c r="K42" s="364">
        <v>0</v>
      </c>
      <c r="L42" s="59">
        <v>3.5799999999999998E-2</v>
      </c>
      <c r="M42" s="57"/>
      <c r="N42" s="59">
        <f>+B42</f>
        <v>3.6842645158734991E-2</v>
      </c>
      <c r="O42" s="359">
        <f>+C42</f>
        <v>3.2899999999999999E-2</v>
      </c>
      <c r="P42" s="57"/>
      <c r="Q42" s="59">
        <f>+bphvar!J51/bphvar!J22</f>
        <v>3.584805204501966E-2</v>
      </c>
      <c r="R42" s="59">
        <v>3.2899999999999999E-2</v>
      </c>
      <c r="S42" s="59">
        <v>1.5100000000000001E-2</v>
      </c>
      <c r="T42" s="59">
        <v>1.34E-2</v>
      </c>
      <c r="U42" s="43"/>
      <c r="V42" s="43"/>
      <c r="W42" s="43"/>
      <c r="X42" s="43"/>
      <c r="Y42" s="43"/>
      <c r="Z42" s="43"/>
      <c r="AA42" s="43"/>
    </row>
    <row r="43" spans="1:27">
      <c r="B43" s="58"/>
      <c r="C43" s="59"/>
      <c r="D43" s="59"/>
      <c r="E43" s="57"/>
      <c r="F43" s="59"/>
      <c r="G43" s="59"/>
      <c r="H43" s="57"/>
      <c r="I43" s="59"/>
      <c r="J43" s="59"/>
      <c r="K43" s="364" t="s">
        <v>0</v>
      </c>
      <c r="L43" s="59"/>
      <c r="M43" s="57"/>
      <c r="N43" s="57"/>
      <c r="O43" s="59"/>
      <c r="P43" s="57"/>
      <c r="Q43" s="59"/>
      <c r="R43" s="59"/>
      <c r="S43" s="59"/>
      <c r="T43" s="59"/>
      <c r="U43" s="43"/>
      <c r="V43" s="43"/>
      <c r="W43" s="43"/>
      <c r="X43" s="43"/>
      <c r="Y43" s="43"/>
      <c r="Z43" s="43"/>
      <c r="AA43" s="43"/>
    </row>
    <row r="44" spans="1:27">
      <c r="A44" t="s">
        <v>213</v>
      </c>
      <c r="B44" s="58">
        <f>+bphvar!B29/bphvar!B22</f>
        <v>0.85560324443177782</v>
      </c>
      <c r="C44" s="59">
        <v>0.87209999999999999</v>
      </c>
      <c r="D44" s="59"/>
      <c r="E44" s="364">
        <v>0</v>
      </c>
      <c r="F44" s="59">
        <v>0.82340000000000002</v>
      </c>
      <c r="G44" s="59"/>
      <c r="H44" s="364">
        <v>0</v>
      </c>
      <c r="I44" s="59">
        <v>0.74990000000000001</v>
      </c>
      <c r="J44" s="59"/>
      <c r="K44" s="364">
        <v>0</v>
      </c>
      <c r="L44" s="59">
        <v>0.84930000000000005</v>
      </c>
      <c r="M44" s="57"/>
      <c r="N44" s="59">
        <f>+B44</f>
        <v>0.85560324443177782</v>
      </c>
      <c r="O44" s="359">
        <f>+C44</f>
        <v>0.87209999999999999</v>
      </c>
      <c r="P44" s="57"/>
      <c r="Q44" s="59">
        <f>+bphvar!J29/bphvar!J22</f>
        <v>0.84930073410962315</v>
      </c>
      <c r="R44" s="59">
        <v>0.82820000000000005</v>
      </c>
      <c r="S44" s="59">
        <v>0.77839999999999998</v>
      </c>
      <c r="T44" s="59">
        <v>0.74119999999999997</v>
      </c>
      <c r="U44" s="43"/>
      <c r="V44" s="43"/>
      <c r="W44" s="43"/>
      <c r="X44" s="43"/>
      <c r="Y44" s="43"/>
      <c r="Z44" s="43"/>
      <c r="AA44" s="43"/>
    </row>
    <row r="45" spans="1:27">
      <c r="A45" t="s">
        <v>0</v>
      </c>
      <c r="B45" s="57"/>
      <c r="C45" s="59"/>
      <c r="D45" s="59"/>
      <c r="E45" s="57"/>
      <c r="F45" s="59"/>
      <c r="G45" s="59"/>
      <c r="H45" s="57"/>
      <c r="I45" s="59"/>
      <c r="J45" s="59"/>
      <c r="K45" s="57"/>
      <c r="L45" s="59"/>
      <c r="M45" s="57"/>
      <c r="N45" s="57"/>
      <c r="O45" s="59"/>
      <c r="P45" s="57"/>
      <c r="Q45" s="59"/>
      <c r="R45" s="59"/>
      <c r="S45" s="59"/>
      <c r="T45" s="59"/>
      <c r="U45" s="43"/>
      <c r="V45" s="43"/>
      <c r="W45" s="43"/>
      <c r="X45" s="43"/>
      <c r="Y45" s="43"/>
      <c r="Z45" s="43"/>
      <c r="AA45" s="43"/>
    </row>
    <row r="46" spans="1:27">
      <c r="A46" s="2" t="s">
        <v>214</v>
      </c>
      <c r="B46" s="57"/>
      <c r="C46" s="59"/>
      <c r="D46" s="59"/>
      <c r="E46" s="57"/>
      <c r="F46" s="59"/>
      <c r="G46" s="59"/>
      <c r="H46" s="57"/>
      <c r="I46" s="59"/>
      <c r="J46" s="59"/>
      <c r="K46" s="57"/>
      <c r="L46" s="59"/>
      <c r="M46" s="57"/>
      <c r="N46" s="57"/>
      <c r="O46" s="59"/>
      <c r="P46" s="57"/>
      <c r="Q46" s="59"/>
      <c r="R46" s="59"/>
      <c r="S46" s="59"/>
      <c r="T46" s="59"/>
      <c r="U46" s="43"/>
      <c r="V46" s="43"/>
      <c r="W46" s="43"/>
      <c r="X46" s="43"/>
      <c r="Y46" s="43"/>
      <c r="Z46" s="43"/>
      <c r="AA46" s="43"/>
    </row>
    <row r="47" spans="1:27">
      <c r="A47" s="2"/>
      <c r="B47" s="57"/>
      <c r="C47" s="59"/>
      <c r="D47" s="59"/>
      <c r="E47" s="57"/>
      <c r="F47" s="59"/>
      <c r="G47" s="59"/>
      <c r="H47" s="57"/>
      <c r="I47" s="59"/>
      <c r="J47" s="59"/>
      <c r="K47" s="57"/>
      <c r="L47" s="59"/>
      <c r="M47" s="57"/>
      <c r="N47" s="57"/>
      <c r="O47" s="59"/>
      <c r="P47" s="57"/>
      <c r="Q47" s="59"/>
      <c r="R47" s="59"/>
      <c r="S47" s="59"/>
      <c r="T47" s="59"/>
      <c r="U47" s="43"/>
      <c r="V47" s="43"/>
      <c r="W47" s="43"/>
      <c r="X47" s="43"/>
      <c r="Y47" s="43"/>
      <c r="Z47" s="43"/>
      <c r="AA47" s="43"/>
    </row>
    <row r="48" spans="1:27">
      <c r="A48" t="s">
        <v>215</v>
      </c>
      <c r="B48" s="57"/>
      <c r="C48" s="59"/>
      <c r="D48" s="59"/>
      <c r="E48" s="57"/>
      <c r="F48" s="59"/>
      <c r="G48" s="59"/>
      <c r="H48" s="57"/>
      <c r="I48" s="59"/>
      <c r="J48" s="59"/>
      <c r="K48" s="57"/>
      <c r="L48" s="59"/>
      <c r="M48" s="57"/>
      <c r="N48" s="57"/>
      <c r="O48" s="59"/>
      <c r="P48" s="57"/>
      <c r="Q48" s="59"/>
      <c r="R48" s="59"/>
      <c r="S48" s="59"/>
      <c r="T48" s="58" t="s">
        <v>0</v>
      </c>
      <c r="U48" s="43"/>
      <c r="V48" s="43"/>
      <c r="W48" s="43"/>
      <c r="X48" s="43"/>
      <c r="Y48" s="43"/>
      <c r="Z48" s="43"/>
      <c r="AA48" s="43"/>
    </row>
    <row r="49" spans="1:27">
      <c r="A49" t="s">
        <v>216</v>
      </c>
      <c r="B49" s="59">
        <f>+bphvar!B62/bphvar!B60</f>
        <v>0.23146779976885584</v>
      </c>
      <c r="C49" s="59">
        <v>0.2147</v>
      </c>
      <c r="D49" s="59"/>
      <c r="E49" s="57">
        <v>0</v>
      </c>
      <c r="F49" s="59">
        <v>0.19980000000000001</v>
      </c>
      <c r="G49" s="59"/>
      <c r="H49" s="57">
        <v>0</v>
      </c>
      <c r="I49" s="59">
        <v>0.23949999999999999</v>
      </c>
      <c r="J49" s="59"/>
      <c r="K49" s="57">
        <v>0</v>
      </c>
      <c r="L49" s="59">
        <v>0.25009999999999999</v>
      </c>
      <c r="M49" s="57"/>
      <c r="N49" s="59">
        <f>+B49</f>
        <v>0.23146779976885584</v>
      </c>
      <c r="O49" s="359">
        <f>+C49</f>
        <v>0.2147</v>
      </c>
      <c r="P49" s="57"/>
      <c r="Q49" s="59">
        <f>+bphvar!J62/bphvar!J60</f>
        <v>0.25014213337165558</v>
      </c>
      <c r="R49" s="59">
        <v>0.25330000000000003</v>
      </c>
      <c r="S49" s="59">
        <v>0.1193</v>
      </c>
      <c r="T49" s="59">
        <v>8.0600000000000005E-2</v>
      </c>
      <c r="U49" s="43"/>
      <c r="V49" s="43"/>
      <c r="W49" s="43"/>
      <c r="X49" s="43"/>
      <c r="Y49" s="43"/>
      <c r="Z49" s="43"/>
      <c r="AA49" s="43"/>
    </row>
    <row r="50" spans="1:27">
      <c r="B50" s="57"/>
      <c r="C50" s="59"/>
      <c r="D50" s="59"/>
      <c r="E50" s="57"/>
      <c r="F50" s="59"/>
      <c r="G50" s="59"/>
      <c r="H50" s="57"/>
      <c r="I50" s="59"/>
      <c r="J50" s="59"/>
      <c r="K50" s="57"/>
      <c r="L50" s="59"/>
      <c r="M50" s="57"/>
      <c r="N50" s="57"/>
      <c r="O50" s="59"/>
      <c r="P50" s="57"/>
      <c r="Q50" s="59"/>
      <c r="R50" s="59"/>
      <c r="S50" s="59"/>
      <c r="T50" s="59"/>
      <c r="U50" s="43"/>
      <c r="V50" s="43"/>
      <c r="W50" s="43"/>
      <c r="X50" s="43"/>
      <c r="Y50" s="43"/>
      <c r="Z50" s="43"/>
      <c r="AA50" s="43"/>
    </row>
    <row r="51" spans="1:27">
      <c r="A51" t="s">
        <v>217</v>
      </c>
      <c r="B51" s="57"/>
      <c r="C51" s="59"/>
      <c r="D51" s="59"/>
      <c r="E51" s="57"/>
      <c r="F51" s="59"/>
      <c r="G51" s="59"/>
      <c r="H51" s="57"/>
      <c r="I51" s="59"/>
      <c r="J51" s="59"/>
      <c r="K51" s="57"/>
      <c r="L51" s="59"/>
      <c r="M51" s="57"/>
      <c r="N51" s="57"/>
      <c r="O51" s="59"/>
      <c r="P51" s="57"/>
      <c r="Q51" s="59"/>
      <c r="R51" s="59"/>
      <c r="S51" s="59"/>
      <c r="T51" s="59"/>
      <c r="U51" s="43"/>
      <c r="V51" s="43"/>
      <c r="W51" s="43"/>
      <c r="X51" s="43"/>
      <c r="Y51" s="43"/>
      <c r="Z51" s="43"/>
      <c r="AA51" s="43"/>
    </row>
    <row r="52" spans="1:27">
      <c r="A52" t="s">
        <v>218</v>
      </c>
      <c r="B52" s="59">
        <f>+bphvar!B61/bphvar!B62</f>
        <v>0.41996293087321668</v>
      </c>
      <c r="C52" s="59">
        <v>0.33529999999999999</v>
      </c>
      <c r="D52" s="59"/>
      <c r="E52" s="57">
        <v>0</v>
      </c>
      <c r="F52" s="59">
        <v>0.37509999999999999</v>
      </c>
      <c r="G52" s="59"/>
      <c r="H52" s="57">
        <v>0</v>
      </c>
      <c r="I52" s="59">
        <v>0.31069999999999998</v>
      </c>
      <c r="J52" s="59"/>
      <c r="K52" s="57">
        <v>0</v>
      </c>
      <c r="L52" s="59">
        <v>0.38769999999999999</v>
      </c>
      <c r="M52" s="57"/>
      <c r="N52" s="59">
        <f>+B52</f>
        <v>0.41996293087321668</v>
      </c>
      <c r="O52" s="359">
        <f>+C52</f>
        <v>0.33529999999999999</v>
      </c>
      <c r="P52" s="57"/>
      <c r="Q52" s="59">
        <f>+bphvar!J61/bphvar!J62</f>
        <v>0.38768443601140856</v>
      </c>
      <c r="R52" s="59">
        <v>0.29260000000000003</v>
      </c>
      <c r="S52" s="59">
        <v>0.37909999999999999</v>
      </c>
      <c r="T52" s="59">
        <v>0.31180000000000002</v>
      </c>
      <c r="U52" s="43"/>
      <c r="V52" s="43"/>
      <c r="W52" s="43"/>
      <c r="X52" s="43"/>
      <c r="Y52" s="43"/>
      <c r="Z52" s="43"/>
      <c r="AA52" s="43"/>
    </row>
    <row r="53" spans="1:27">
      <c r="B53" s="57"/>
      <c r="C53" s="59"/>
      <c r="D53" s="59"/>
      <c r="E53" s="57"/>
      <c r="F53" s="59"/>
      <c r="G53" s="59"/>
      <c r="H53" s="57"/>
      <c r="I53" s="59"/>
      <c r="J53" s="59"/>
      <c r="K53" s="57"/>
      <c r="L53" s="59"/>
      <c r="M53" s="57"/>
      <c r="N53" s="57"/>
      <c r="O53" s="59"/>
      <c r="P53" s="57"/>
      <c r="Q53" s="59"/>
      <c r="R53" s="59"/>
      <c r="S53" s="59"/>
      <c r="T53" s="59"/>
      <c r="U53" s="43"/>
      <c r="V53" s="43"/>
      <c r="W53" s="43"/>
      <c r="X53" s="43"/>
      <c r="Y53" s="43"/>
      <c r="Z53" s="43"/>
      <c r="AA53" s="43"/>
    </row>
    <row r="54" spans="1:27">
      <c r="A54" t="s">
        <v>219</v>
      </c>
      <c r="B54" s="57"/>
      <c r="C54" s="59"/>
      <c r="D54" s="59"/>
      <c r="E54" s="57"/>
      <c r="F54" s="59"/>
      <c r="G54" s="59"/>
      <c r="H54" s="57"/>
      <c r="I54" s="59"/>
      <c r="J54" s="59"/>
      <c r="K54" s="57"/>
      <c r="L54" s="59"/>
      <c r="M54" s="57"/>
      <c r="N54" s="57"/>
      <c r="O54" s="59"/>
      <c r="P54" s="57"/>
      <c r="Q54" s="59"/>
      <c r="R54" s="59"/>
      <c r="S54" s="59"/>
      <c r="T54" s="59"/>
      <c r="U54" s="43"/>
      <c r="V54" s="43"/>
      <c r="W54" s="43"/>
      <c r="X54" s="43"/>
      <c r="Y54" s="43"/>
      <c r="Z54" s="43"/>
      <c r="AA54" s="43"/>
    </row>
    <row r="55" spans="1:27">
      <c r="A55" t="s">
        <v>220</v>
      </c>
      <c r="B55" s="58">
        <f>+(bphvar!B62-bphvar!B61)/bphvar!B51</f>
        <v>1.5983348594295794</v>
      </c>
      <c r="C55" s="59">
        <v>1.6664000000000001</v>
      </c>
      <c r="D55" s="59"/>
      <c r="E55" s="57">
        <v>0</v>
      </c>
      <c r="F55" s="59">
        <v>1.3742000000000001</v>
      </c>
      <c r="G55" s="59"/>
      <c r="H55" s="57">
        <v>0</v>
      </c>
      <c r="I55" s="59">
        <v>1.9369000000000001</v>
      </c>
      <c r="J55" s="59"/>
      <c r="K55" s="57">
        <v>0</v>
      </c>
      <c r="L55" s="59">
        <v>1.7375</v>
      </c>
      <c r="M55" s="57"/>
      <c r="N55" s="59">
        <f>+B55</f>
        <v>1.5983348594295794</v>
      </c>
      <c r="O55" s="359">
        <f>+C55</f>
        <v>1.6664000000000001</v>
      </c>
      <c r="P55" s="57"/>
      <c r="Q55" s="59">
        <f>+(bphvar!J62-bphvar!J61)/bphvar!J51</f>
        <v>1.7374656266165702</v>
      </c>
      <c r="R55" s="59">
        <v>2.0798999999999999</v>
      </c>
      <c r="S55" s="59">
        <v>1.6255999999999999</v>
      </c>
      <c r="T55" s="59">
        <v>1.8380000000000001</v>
      </c>
      <c r="U55" s="43"/>
      <c r="V55" s="43"/>
      <c r="W55" s="43"/>
      <c r="X55" s="43"/>
      <c r="Y55" s="43"/>
      <c r="Z55" s="43"/>
      <c r="AA55" s="43"/>
    </row>
    <row r="56" spans="1:27">
      <c r="A56" t="s">
        <v>0</v>
      </c>
      <c r="B56" s="57"/>
      <c r="C56" s="59"/>
      <c r="D56" s="59"/>
      <c r="E56" s="57"/>
      <c r="F56" s="59"/>
      <c r="G56" s="59"/>
      <c r="H56" s="57"/>
      <c r="I56" s="59"/>
      <c r="J56" s="59"/>
      <c r="K56" s="57"/>
      <c r="L56" s="59"/>
      <c r="M56" s="57"/>
      <c r="N56" s="57"/>
      <c r="O56" s="59"/>
      <c r="P56" s="57"/>
      <c r="Q56" s="59"/>
      <c r="R56" s="59"/>
      <c r="S56" s="59"/>
      <c r="T56" s="59"/>
      <c r="U56" s="43"/>
      <c r="V56" s="43"/>
      <c r="W56" s="43"/>
      <c r="X56" s="43"/>
      <c r="Y56" s="43"/>
      <c r="Z56" s="43"/>
      <c r="AA56" s="43"/>
    </row>
    <row r="57" spans="1:27">
      <c r="A57" s="2" t="s">
        <v>221</v>
      </c>
      <c r="B57" s="57"/>
      <c r="C57" s="59"/>
      <c r="D57" s="59"/>
      <c r="E57" s="57"/>
      <c r="F57" s="59"/>
      <c r="G57" s="59"/>
      <c r="H57" s="57"/>
      <c r="I57" s="59"/>
      <c r="J57" s="59"/>
      <c r="K57" s="57"/>
      <c r="L57" s="59"/>
      <c r="M57" s="57"/>
      <c r="N57" s="57"/>
      <c r="O57" s="59"/>
      <c r="P57" s="57"/>
      <c r="Q57" s="59"/>
      <c r="R57" s="59"/>
      <c r="S57" s="59"/>
      <c r="T57" s="59"/>
      <c r="U57" s="43"/>
      <c r="V57" s="43"/>
      <c r="W57" s="43"/>
      <c r="X57" s="43"/>
      <c r="Y57" s="43"/>
      <c r="Z57" s="43"/>
      <c r="AA57" s="43"/>
    </row>
    <row r="58" spans="1:27">
      <c r="A58" s="2"/>
      <c r="B58" s="57"/>
      <c r="C58" s="59"/>
      <c r="D58" s="59"/>
      <c r="E58" s="57"/>
      <c r="F58" s="59"/>
      <c r="G58" s="59"/>
      <c r="H58" s="57"/>
      <c r="I58" s="59"/>
      <c r="J58" s="59"/>
      <c r="K58" s="57"/>
      <c r="L58" s="59"/>
      <c r="M58" s="57"/>
      <c r="N58" s="57"/>
      <c r="O58" s="59"/>
      <c r="P58" s="57"/>
      <c r="Q58" s="59"/>
      <c r="R58" s="59"/>
      <c r="S58" s="59"/>
      <c r="T58" s="59"/>
      <c r="U58" s="43"/>
      <c r="V58" s="43"/>
      <c r="W58" s="43"/>
      <c r="X58" s="43"/>
      <c r="Y58" s="43"/>
      <c r="Z58" s="43"/>
      <c r="AA58" s="43"/>
    </row>
    <row r="59" spans="1:27">
      <c r="A59" t="s">
        <v>222</v>
      </c>
      <c r="B59" s="59">
        <f>+('BPHRÉSULT  '!B41/((bphvar!B22+bphvar!J22)/2)*4)</f>
        <v>1.4444361523109686E-3</v>
      </c>
      <c r="C59" s="59">
        <v>1.32E-2</v>
      </c>
      <c r="D59" s="59"/>
      <c r="E59" s="57">
        <v>0</v>
      </c>
      <c r="F59" s="59">
        <v>1.03E-2</v>
      </c>
      <c r="G59" s="59"/>
      <c r="H59" s="57">
        <v>0</v>
      </c>
      <c r="I59" s="59">
        <v>2.9999999999999997E-4</v>
      </c>
      <c r="J59" s="59"/>
      <c r="K59" s="57">
        <v>0</v>
      </c>
      <c r="L59" s="59">
        <v>2.7400000000000001E-2</v>
      </c>
      <c r="M59" s="57"/>
      <c r="N59" s="59">
        <f>+'sysratfinclé '!D37</f>
        <v>1.4444361523109686E-3</v>
      </c>
      <c r="O59" s="59">
        <f>+'sysratfinclé '!D38</f>
        <v>1.32E-2</v>
      </c>
      <c r="P59" s="57"/>
      <c r="Q59" s="59">
        <f>+'BPHVARAN    '!F43/((bphvar!J22+bphvar!L22)/2)</f>
        <v>1.379619212613112E-2</v>
      </c>
      <c r="R59" s="59">
        <v>1.7100000000000001E-2</v>
      </c>
      <c r="S59" s="59">
        <v>7.6E-3</v>
      </c>
      <c r="T59" s="59">
        <v>3.2000000000000002E-3</v>
      </c>
      <c r="U59" s="43"/>
      <c r="V59" s="43"/>
      <c r="W59" s="43"/>
      <c r="X59" s="43"/>
      <c r="Y59" s="43"/>
      <c r="Z59" s="43"/>
      <c r="AA59" s="43"/>
    </row>
    <row r="60" spans="1:27" ht="7.15" customHeight="1">
      <c r="B60" s="57"/>
      <c r="C60" s="59"/>
      <c r="D60" s="59"/>
      <c r="E60" s="57"/>
      <c r="F60" s="59"/>
      <c r="G60" s="59"/>
      <c r="H60" s="57"/>
      <c r="I60" s="59"/>
      <c r="J60" s="59"/>
      <c r="K60" s="57"/>
      <c r="L60" s="59"/>
      <c r="M60" s="57"/>
      <c r="N60" s="57"/>
      <c r="O60" s="57"/>
      <c r="P60" s="57"/>
      <c r="Q60" s="59"/>
      <c r="R60" s="59"/>
      <c r="S60" s="59"/>
      <c r="T60" s="59"/>
      <c r="U60" s="43"/>
      <c r="V60" s="43"/>
      <c r="W60" s="43"/>
      <c r="X60" s="43"/>
      <c r="Y60" s="43"/>
      <c r="Z60" s="43"/>
      <c r="AA60" s="43"/>
    </row>
    <row r="61" spans="1:27">
      <c r="A61" t="s">
        <v>547</v>
      </c>
      <c r="B61" s="59">
        <f>+('BPHRÉSULT  '!B41/((bphvar!J51+bphvar!B51)/2)*4)</f>
        <v>3.9748463569004105E-2</v>
      </c>
      <c r="C61" s="59">
        <v>0.40250000000000002</v>
      </c>
      <c r="D61" s="59"/>
      <c r="E61" s="57">
        <v>0</v>
      </c>
      <c r="F61" s="59">
        <v>0.31240000000000001</v>
      </c>
      <c r="G61" s="59"/>
      <c r="H61" s="57">
        <v>0</v>
      </c>
      <c r="I61" s="59">
        <v>9.1000000000000004E-3</v>
      </c>
      <c r="J61" s="59"/>
      <c r="K61" s="57">
        <v>0</v>
      </c>
      <c r="L61" s="59">
        <v>0.79859999999999998</v>
      </c>
      <c r="M61" s="57"/>
      <c r="N61" s="59">
        <f>+'sysratfinclé '!D43</f>
        <v>3.9748463569004105E-2</v>
      </c>
      <c r="O61" s="59">
        <f>+'sysratfinclé '!D44</f>
        <v>0.40250000000000002</v>
      </c>
      <c r="P61" s="57"/>
      <c r="Q61" s="59">
        <f>+'BPHVARAN    '!F43/((bphvar!J51+bphvar!L51)/2)</f>
        <v>0.40069570215988309</v>
      </c>
      <c r="R61" s="59">
        <v>0.72170000000000001</v>
      </c>
      <c r="S61" s="59">
        <v>0.52439999999999998</v>
      </c>
      <c r="T61" s="59">
        <v>0.28560000000000002</v>
      </c>
      <c r="U61" s="43"/>
      <c r="V61" s="43"/>
      <c r="W61" s="43"/>
      <c r="X61" s="43"/>
      <c r="Y61" s="43"/>
      <c r="Z61" s="43"/>
      <c r="AA61" s="43"/>
    </row>
    <row r="62" spans="1:27" ht="7.15" customHeight="1">
      <c r="B62" s="57"/>
      <c r="C62" s="59"/>
      <c r="D62" s="59"/>
      <c r="E62" s="57"/>
      <c r="F62" s="59"/>
      <c r="G62" s="59"/>
      <c r="H62" s="57"/>
      <c r="I62" s="59"/>
      <c r="J62" s="59"/>
      <c r="K62" s="57"/>
      <c r="L62" s="59"/>
      <c r="M62" s="57"/>
      <c r="N62" s="57"/>
      <c r="O62" s="57"/>
      <c r="P62" s="57"/>
      <c r="Q62" s="59"/>
      <c r="R62" s="59"/>
      <c r="S62" s="59"/>
      <c r="T62" s="59"/>
      <c r="U62" s="43"/>
      <c r="V62" s="43"/>
      <c r="W62" s="43"/>
      <c r="X62" s="43"/>
      <c r="Y62" s="43"/>
      <c r="Z62" s="43"/>
      <c r="AA62" s="43"/>
    </row>
    <row r="63" spans="1:27">
      <c r="A63" t="s">
        <v>201</v>
      </c>
      <c r="B63" s="57"/>
      <c r="C63" s="59"/>
      <c r="D63" s="59"/>
      <c r="E63" s="57"/>
      <c r="F63" s="59"/>
      <c r="G63" s="59"/>
      <c r="H63" s="57"/>
      <c r="I63" s="59"/>
      <c r="J63" s="59"/>
      <c r="K63" s="57"/>
      <c r="L63" s="59"/>
      <c r="M63" s="57"/>
      <c r="N63" s="57"/>
      <c r="O63" s="57"/>
      <c r="P63" s="57"/>
      <c r="Q63" s="59"/>
      <c r="R63" s="59"/>
      <c r="S63" s="59"/>
      <c r="T63" s="59"/>
      <c r="U63" s="43"/>
      <c r="V63" s="43"/>
      <c r="W63" s="43"/>
      <c r="X63" s="43"/>
      <c r="Y63" s="43"/>
      <c r="Z63" s="43"/>
      <c r="AA63" s="43"/>
    </row>
    <row r="64" spans="1:27">
      <c r="A64" t="s">
        <v>225</v>
      </c>
      <c r="B64" s="59">
        <f>+'BPHRÉSULT  '!B15/'BPHRÉSULT  '!B13</f>
        <v>0.46575913886599718</v>
      </c>
      <c r="C64" s="59">
        <v>0.37859999999999999</v>
      </c>
      <c r="D64" s="59"/>
      <c r="E64" s="57">
        <v>0</v>
      </c>
      <c r="F64" s="59">
        <v>0.21809999999999999</v>
      </c>
      <c r="G64" s="59"/>
      <c r="H64" s="57">
        <v>0</v>
      </c>
      <c r="I64" s="59">
        <v>0.3352</v>
      </c>
      <c r="J64" s="59"/>
      <c r="K64" s="57">
        <v>0</v>
      </c>
      <c r="L64" s="59">
        <v>0.58389999999999997</v>
      </c>
      <c r="M64" s="57"/>
      <c r="N64" s="59">
        <f>+'sysratfinclé '!D50</f>
        <v>0.46575913886599718</v>
      </c>
      <c r="O64" s="59">
        <f>+'sysratfinclé '!D51</f>
        <v>0.37860784166729144</v>
      </c>
      <c r="P64" s="57"/>
      <c r="Q64" s="59">
        <f>+'BPHVARAN    '!F17/'BPHVARAN    '!F15</f>
        <v>0.4027715419143314</v>
      </c>
      <c r="R64" s="59">
        <v>0.43440000000000001</v>
      </c>
      <c r="S64" s="59">
        <v>0.46820000000000001</v>
      </c>
      <c r="T64" s="59">
        <v>0.41549999999999998</v>
      </c>
      <c r="U64" s="43"/>
      <c r="V64" s="43"/>
      <c r="W64" s="43"/>
      <c r="X64" s="43"/>
      <c r="Y64" s="43"/>
      <c r="Z64" s="43"/>
      <c r="AA64" s="43"/>
    </row>
    <row r="65" spans="1:27" ht="7.15" customHeight="1">
      <c r="B65" s="57"/>
      <c r="C65" s="59"/>
      <c r="D65" s="59"/>
      <c r="E65" s="57"/>
      <c r="F65" s="59"/>
      <c r="G65" s="59"/>
      <c r="H65" s="57"/>
      <c r="I65" s="59"/>
      <c r="J65" s="59"/>
      <c r="K65" s="57"/>
      <c r="L65" s="59"/>
      <c r="M65" s="57"/>
      <c r="N65" s="57"/>
      <c r="O65" s="57"/>
      <c r="P65" s="57"/>
      <c r="Q65" s="59"/>
      <c r="R65" s="59"/>
      <c r="S65" s="59"/>
      <c r="T65" s="59"/>
      <c r="U65" s="43"/>
      <c r="V65" s="43"/>
      <c r="W65" s="43"/>
      <c r="X65" s="43"/>
      <c r="Y65" s="43"/>
      <c r="Z65" s="43"/>
      <c r="AA65" s="43"/>
    </row>
    <row r="66" spans="1:27">
      <c r="A66" t="s">
        <v>226</v>
      </c>
      <c r="B66" s="59">
        <f>+('BPHRÉSULT  '!B10/((bphvar!B60+bphvar!J60)/2)*4)</f>
        <v>0.15789464455322569</v>
      </c>
      <c r="C66" s="56">
        <v>0.1512</v>
      </c>
      <c r="D66" s="56"/>
      <c r="E66" s="49">
        <v>0</v>
      </c>
      <c r="F66" s="56">
        <v>0.16200000000000001</v>
      </c>
      <c r="G66" s="56"/>
      <c r="H66" s="49">
        <v>0</v>
      </c>
      <c r="I66" s="56">
        <v>0.14810000000000001</v>
      </c>
      <c r="J66" s="56"/>
      <c r="K66" s="49">
        <v>0</v>
      </c>
      <c r="L66" s="56">
        <v>0.25180000000000002</v>
      </c>
      <c r="M66" s="9"/>
      <c r="N66" s="59">
        <f>+'sysratfinclé '!D56</f>
        <v>0.15789464455322569</v>
      </c>
      <c r="O66" s="59">
        <f>+'sysratfinclé '!D57</f>
        <v>0.18440000000000001</v>
      </c>
      <c r="P66" s="9"/>
      <c r="Q66" s="56">
        <f>+'BPHVARAN    '!F12/((bphvar!J60+bphvar!L60)/2)</f>
        <v>0.18919763244232807</v>
      </c>
      <c r="R66" s="56">
        <v>0.2361</v>
      </c>
      <c r="S66" s="56">
        <v>0.2581</v>
      </c>
      <c r="T66" s="56">
        <v>0.23180000000000001</v>
      </c>
    </row>
    <row r="67" spans="1:27" ht="7.15" customHeight="1">
      <c r="B67" s="9"/>
      <c r="C67" s="56"/>
      <c r="D67" s="56"/>
      <c r="E67" s="49"/>
      <c r="F67" s="56"/>
      <c r="G67" s="56"/>
      <c r="H67" s="49"/>
      <c r="I67" s="56"/>
      <c r="J67" s="56"/>
      <c r="K67" s="49"/>
      <c r="L67" s="56"/>
      <c r="M67" s="9"/>
      <c r="N67" s="9"/>
      <c r="O67" s="9"/>
      <c r="P67" s="9"/>
      <c r="Q67" s="56"/>
      <c r="R67" s="56"/>
      <c r="S67" s="56"/>
      <c r="T67" s="56"/>
    </row>
    <row r="68" spans="1:27">
      <c r="A68" t="s">
        <v>227</v>
      </c>
      <c r="B68" s="59">
        <f>+('BPHRÉSULT  '!B14/((bphvar!J29+bphvar!B29)/2)*4)</f>
        <v>6.0840629861571197E-2</v>
      </c>
      <c r="C68" s="56">
        <v>7.8100000000000003E-2</v>
      </c>
      <c r="D68" s="56"/>
      <c r="E68" s="49">
        <v>0</v>
      </c>
      <c r="F68" s="56">
        <v>7.1300000000000002E-2</v>
      </c>
      <c r="G68" s="56"/>
      <c r="H68" s="49">
        <v>0</v>
      </c>
      <c r="I68" s="56">
        <v>7.0499999999999993E-2</v>
      </c>
      <c r="J68" s="56"/>
      <c r="K68" s="49">
        <v>0</v>
      </c>
      <c r="L68" s="56">
        <v>6.5199999999999994E-2</v>
      </c>
      <c r="M68" s="9"/>
      <c r="N68" s="59">
        <f>+'sysratfinclé '!D62</f>
        <v>6.0840629861571197E-2</v>
      </c>
      <c r="O68" s="59">
        <f>+'sysratfinclé '!D63</f>
        <v>7.8100000000000003E-2</v>
      </c>
      <c r="P68" s="9"/>
      <c r="Q68" s="56">
        <f>+'BPHVARAN    '!F16/((bphvar!J29+bphvar!L29)/2)</f>
        <v>7.5818278276979775E-2</v>
      </c>
      <c r="R68" s="56">
        <v>7.6999999999999999E-2</v>
      </c>
      <c r="S68" s="56">
        <v>6.13E-2</v>
      </c>
      <c r="T68" s="56">
        <v>5.8500000000000003E-2</v>
      </c>
    </row>
    <row r="69" spans="1:27" ht="6" customHeight="1">
      <c r="B69" s="9"/>
      <c r="C69" s="56"/>
      <c r="D69" s="56"/>
      <c r="E69" s="49"/>
      <c r="F69" s="56"/>
      <c r="G69" s="56"/>
      <c r="H69" s="49"/>
      <c r="I69" s="56"/>
      <c r="J69" s="56"/>
      <c r="K69" s="49"/>
      <c r="L69" s="56"/>
      <c r="M69" s="9"/>
      <c r="N69" s="9"/>
      <c r="O69" s="9"/>
      <c r="P69" s="9"/>
      <c r="Q69" s="56"/>
      <c r="R69" s="56"/>
      <c r="S69" s="56"/>
      <c r="T69" s="56"/>
    </row>
    <row r="70" spans="1:27">
      <c r="A70" t="s">
        <v>204</v>
      </c>
      <c r="B70" s="9"/>
      <c r="C70" s="56"/>
      <c r="D70" s="56"/>
      <c r="E70" s="49"/>
      <c r="F70" s="56"/>
      <c r="G70" s="56"/>
      <c r="H70" s="49"/>
      <c r="I70" s="56"/>
      <c r="J70" s="56"/>
      <c r="K70" s="49"/>
      <c r="L70" s="56"/>
      <c r="M70" s="9"/>
      <c r="N70" s="9"/>
      <c r="O70" s="9"/>
      <c r="P70" s="9"/>
      <c r="Q70" s="56"/>
      <c r="R70" s="56"/>
      <c r="S70" s="56"/>
      <c r="T70" s="56"/>
    </row>
    <row r="71" spans="1:27">
      <c r="A71" t="s">
        <v>228</v>
      </c>
      <c r="B71" s="59">
        <f>+'BPHRÉSULT  '!B35/'BPHRÉSULT  '!B23</f>
        <v>0.80999210002996558</v>
      </c>
      <c r="C71" s="56">
        <v>0.67830000000000001</v>
      </c>
      <c r="D71" s="56"/>
      <c r="E71" s="57">
        <v>0</v>
      </c>
      <c r="F71" s="56">
        <v>0.70040000000000002</v>
      </c>
      <c r="G71" s="56"/>
      <c r="H71" s="57">
        <v>0</v>
      </c>
      <c r="I71" s="56">
        <v>0.82969999999999999</v>
      </c>
      <c r="J71" s="56"/>
      <c r="K71" s="57">
        <v>0</v>
      </c>
      <c r="L71" s="56">
        <v>0.56889999999999996</v>
      </c>
      <c r="M71" s="9"/>
      <c r="N71" s="59">
        <f>+'sysratfinclé '!D70</f>
        <v>0.80999210002996558</v>
      </c>
      <c r="O71" s="59">
        <f>+'sysratfinclé '!D71</f>
        <v>0.6782568382012053</v>
      </c>
      <c r="P71" s="9"/>
      <c r="Q71" s="56">
        <f>+'BPHVARAN    '!F37/'BPHVARAN    '!F25</f>
        <v>0.67026609893056888</v>
      </c>
      <c r="R71" s="56">
        <v>0.65629999999999999</v>
      </c>
      <c r="S71" s="56">
        <v>0.7137</v>
      </c>
      <c r="T71" s="56">
        <v>0.73029999999999995</v>
      </c>
    </row>
    <row r="72" spans="1:27">
      <c r="A72" t="s">
        <v>452</v>
      </c>
      <c r="B72" s="9"/>
      <c r="C72" s="56"/>
      <c r="D72" s="56"/>
      <c r="E72" s="49"/>
      <c r="F72" s="56"/>
      <c r="G72" s="56"/>
      <c r="H72" s="49"/>
      <c r="I72" s="56"/>
      <c r="J72" s="56"/>
      <c r="K72" s="49"/>
      <c r="L72" s="56"/>
      <c r="M72" s="9"/>
      <c r="N72" s="9"/>
      <c r="O72" s="9"/>
      <c r="P72" s="9"/>
      <c r="Q72" s="56"/>
      <c r="R72" s="56"/>
      <c r="S72" s="56"/>
      <c r="T72" s="56"/>
    </row>
    <row r="73" spans="1:27">
      <c r="B73" s="9"/>
      <c r="C73" s="56"/>
      <c r="D73" s="56"/>
      <c r="E73" s="49"/>
      <c r="F73" s="56"/>
      <c r="G73" s="56"/>
      <c r="H73" s="49"/>
      <c r="I73" s="56"/>
      <c r="J73" s="56"/>
      <c r="K73" s="49"/>
      <c r="L73" s="56"/>
      <c r="M73" s="9"/>
      <c r="N73" s="9"/>
      <c r="O73" s="9"/>
      <c r="P73" s="9"/>
      <c r="Q73" s="56"/>
      <c r="R73" s="56"/>
      <c r="S73" s="56"/>
      <c r="T73" s="56"/>
    </row>
    <row r="74" spans="1:27">
      <c r="A74" t="s">
        <v>453</v>
      </c>
      <c r="B74" s="49">
        <f>+('BPHRÉSULT  '!B23/((107+111)/2)*4)</f>
        <v>404.13577981651372</v>
      </c>
      <c r="C74" s="49">
        <v>518.49</v>
      </c>
      <c r="D74" s="56"/>
      <c r="E74" s="49">
        <v>0</v>
      </c>
      <c r="F74" s="49">
        <v>462.96</v>
      </c>
      <c r="G74" s="56"/>
      <c r="H74" s="49">
        <v>0</v>
      </c>
      <c r="I74" s="49">
        <v>349.15</v>
      </c>
      <c r="J74" s="56"/>
      <c r="K74" s="49">
        <v>0</v>
      </c>
      <c r="L74" s="49">
        <v>724.91</v>
      </c>
      <c r="M74" s="9"/>
      <c r="N74" s="57">
        <f>+'sysratfinclé '!D76</f>
        <v>404.13577981651372</v>
      </c>
      <c r="O74" s="57">
        <f>+'sysratfinclé '!D77</f>
        <v>518.49</v>
      </c>
      <c r="P74" s="9"/>
      <c r="Q74" s="49">
        <v>524.54</v>
      </c>
      <c r="R74" s="49">
        <v>567.04999999999995</v>
      </c>
      <c r="S74" s="449">
        <v>402.9</v>
      </c>
      <c r="T74" s="49">
        <v>322.10000000000002</v>
      </c>
    </row>
    <row r="75" spans="1:27" ht="16.5" thickBot="1">
      <c r="B75" s="19"/>
      <c r="C75" s="19"/>
      <c r="D75" s="19"/>
      <c r="E75" s="19"/>
      <c r="F75" s="19"/>
      <c r="G75" s="19"/>
      <c r="H75" s="19"/>
      <c r="I75" s="19"/>
      <c r="J75" s="19"/>
      <c r="K75" s="19"/>
      <c r="L75" s="19"/>
      <c r="M75" s="19"/>
      <c r="N75" s="19"/>
      <c r="O75" s="19"/>
      <c r="P75" s="19"/>
      <c r="Q75" s="19"/>
      <c r="R75" s="19"/>
      <c r="S75" s="19"/>
      <c r="T75" s="19"/>
    </row>
    <row r="77" spans="1:27">
      <c r="E77" t="s">
        <v>0</v>
      </c>
    </row>
    <row r="78" spans="1:27">
      <c r="E78" t="s">
        <v>0</v>
      </c>
    </row>
  </sheetData>
  <pageMargins left="0.2" right="0.2" top="0.5" bottom="0.39" header="0.39" footer="0.2"/>
  <pageSetup scale="44"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0"/>
  <sheetViews>
    <sheetView workbookViewId="0"/>
  </sheetViews>
  <sheetFormatPr defaultRowHeight="15.75"/>
  <cols>
    <col min="1" max="1" width="33.25" customWidth="1"/>
    <col min="2" max="2" width="17.87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11.3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8" width="15.75" style="12" customWidth="1"/>
    <col min="19" max="21" width="15.75" customWidth="1"/>
    <col min="22" max="256" width="11" customWidth="1"/>
  </cols>
  <sheetData>
    <row r="1" spans="1:21">
      <c r="A1" s="114" t="s">
        <v>595</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6" spans="1:21" ht="16.5" thickBot="1">
      <c r="B6" s="238" t="s">
        <v>0</v>
      </c>
      <c r="C6" s="215"/>
      <c r="D6" s="216"/>
      <c r="E6" s="215"/>
      <c r="F6" s="216"/>
      <c r="G6" s="215"/>
      <c r="H6" s="216"/>
      <c r="I6" s="506" t="s">
        <v>166</v>
      </c>
      <c r="J6" s="123" t="s">
        <v>167</v>
      </c>
      <c r="K6" s="38"/>
      <c r="L6" s="37"/>
      <c r="M6" s="38"/>
      <c r="N6" s="37"/>
      <c r="O6" s="38"/>
      <c r="P6" s="37"/>
    </row>
    <row r="7" spans="1:21" s="2" customFormat="1" ht="16.5" thickBot="1">
      <c r="B7" s="223" t="s">
        <v>168</v>
      </c>
      <c r="C7" s="224" t="s">
        <v>169</v>
      </c>
      <c r="D7" s="225" t="s">
        <v>170</v>
      </c>
      <c r="E7" s="224" t="s">
        <v>169</v>
      </c>
      <c r="F7" s="225" t="s">
        <v>171</v>
      </c>
      <c r="G7" s="224" t="s">
        <v>169</v>
      </c>
      <c r="H7" s="225" t="s">
        <v>172</v>
      </c>
      <c r="I7" s="445" t="s">
        <v>173</v>
      </c>
      <c r="J7" s="228" t="s">
        <v>174</v>
      </c>
      <c r="K7" s="227" t="s">
        <v>169</v>
      </c>
      <c r="L7" s="228" t="s">
        <v>175</v>
      </c>
      <c r="M7" s="227" t="s">
        <v>169</v>
      </c>
      <c r="N7" s="228" t="s">
        <v>176</v>
      </c>
      <c r="O7" s="227" t="s">
        <v>169</v>
      </c>
      <c r="P7" s="228" t="s">
        <v>177</v>
      </c>
      <c r="Q7" s="80"/>
      <c r="R7" s="80"/>
      <c r="S7" s="18"/>
      <c r="T7" s="18"/>
      <c r="U7" s="18"/>
    </row>
    <row r="8" spans="1:21">
      <c r="A8" s="87" t="s">
        <v>243</v>
      </c>
      <c r="B8" s="125"/>
      <c r="C8" s="124"/>
      <c r="D8" s="125"/>
      <c r="E8" s="124"/>
      <c r="F8" s="125"/>
      <c r="G8" s="124"/>
      <c r="H8" s="125"/>
      <c r="I8" s="124"/>
      <c r="J8" s="219"/>
      <c r="K8" s="124"/>
      <c r="L8" s="219"/>
      <c r="M8" s="124"/>
      <c r="N8" s="219"/>
      <c r="O8" s="124"/>
      <c r="P8" s="219"/>
      <c r="Q8" s="14"/>
      <c r="R8" s="14"/>
      <c r="S8" s="9"/>
      <c r="T8" s="9"/>
      <c r="U8" s="9"/>
    </row>
    <row r="9" spans="1:21">
      <c r="A9" s="1" t="s">
        <v>264</v>
      </c>
      <c r="B9"/>
    </row>
    <row r="10" spans="1:21">
      <c r="A10" s="1" t="s">
        <v>265</v>
      </c>
      <c r="B10" s="12">
        <v>46037.1</v>
      </c>
      <c r="C10" s="44">
        <v>0</v>
      </c>
      <c r="D10" s="12">
        <v>0</v>
      </c>
      <c r="E10" s="44">
        <v>0</v>
      </c>
      <c r="F10" s="12">
        <v>0</v>
      </c>
      <c r="G10" s="44">
        <v>0</v>
      </c>
      <c r="H10" s="12">
        <v>0</v>
      </c>
      <c r="I10" s="47">
        <f>+(B10-J10)/ABS(J10)</f>
        <v>-3.6989545114150341E-2</v>
      </c>
      <c r="J10" s="12">
        <v>47805.4</v>
      </c>
      <c r="K10" s="47">
        <f>+(J10-L10)/L10</f>
        <v>0.11030492775704263</v>
      </c>
      <c r="L10" s="12">
        <v>43056.1</v>
      </c>
      <c r="M10" s="47">
        <f t="shared" ref="M10:M15" si="0">+(L10-N10)/N10</f>
        <v>-7.0187145565820536E-2</v>
      </c>
      <c r="N10" s="12">
        <v>46306.2</v>
      </c>
      <c r="O10" s="47">
        <f t="shared" ref="O10:O15" si="1">+(N10-P10)/P10</f>
        <v>-0.34381404109090441</v>
      </c>
      <c r="P10" s="12">
        <f>70568715.12/1000</f>
        <v>70568.715120000008</v>
      </c>
    </row>
    <row r="11" spans="1:21">
      <c r="A11" s="1" t="s">
        <v>266</v>
      </c>
      <c r="B11" s="12">
        <v>160218.29999999999</v>
      </c>
      <c r="C11" s="44">
        <v>0</v>
      </c>
      <c r="D11" s="12">
        <v>0</v>
      </c>
      <c r="E11" s="44">
        <v>0</v>
      </c>
      <c r="F11" s="12">
        <v>0</v>
      </c>
      <c r="G11" s="44">
        <v>0</v>
      </c>
      <c r="H11" s="12">
        <v>0</v>
      </c>
      <c r="I11" s="47">
        <f>+(B11-J11)/ABS(J11)</f>
        <v>-1.6601093768221869E-2</v>
      </c>
      <c r="J11" s="12">
        <v>162923</v>
      </c>
      <c r="K11" s="47">
        <f>+(J11-L11)/L11</f>
        <v>0.44405455256139464</v>
      </c>
      <c r="L11" s="12">
        <v>112823.3</v>
      </c>
      <c r="M11" s="47">
        <f t="shared" si="0"/>
        <v>-0.32608043790946495</v>
      </c>
      <c r="N11" s="12">
        <v>167413.6</v>
      </c>
      <c r="O11" s="47">
        <f t="shared" si="1"/>
        <v>0.3672996726874948</v>
      </c>
      <c r="P11" s="12">
        <f>122441044.45/1000</f>
        <v>122441.04445</v>
      </c>
    </row>
    <row r="12" spans="1:21">
      <c r="A12" s="1" t="s">
        <v>267</v>
      </c>
      <c r="B12" s="12">
        <v>47634.2</v>
      </c>
      <c r="C12" s="44">
        <v>0</v>
      </c>
      <c r="D12" s="12">
        <v>0</v>
      </c>
      <c r="E12" s="44">
        <v>0</v>
      </c>
      <c r="F12" s="12">
        <v>0</v>
      </c>
      <c r="G12" s="44">
        <v>0</v>
      </c>
      <c r="H12" s="12">
        <v>0</v>
      </c>
      <c r="I12" s="47">
        <f>+(B12-J12)/ABS(J12)</f>
        <v>-5.6851234024017247E-2</v>
      </c>
      <c r="J12" s="12">
        <v>50505.5</v>
      </c>
      <c r="K12" s="47">
        <f>+(J12-L12)/L12</f>
        <v>0.51018742225624358</v>
      </c>
      <c r="L12" s="12">
        <v>33443.199999999997</v>
      </c>
      <c r="M12" s="47">
        <f t="shared" si="0"/>
        <v>-0.68474258640940711</v>
      </c>
      <c r="N12" s="12">
        <v>106082.2</v>
      </c>
      <c r="O12" s="47">
        <f t="shared" si="1"/>
        <v>1.6298582990436226</v>
      </c>
      <c r="P12" s="12">
        <f>40337610.6/1000</f>
        <v>40337.6106</v>
      </c>
    </row>
    <row r="13" spans="1:21">
      <c r="A13" s="1" t="s">
        <v>268</v>
      </c>
      <c r="B13" s="12">
        <f>+B75</f>
        <v>0</v>
      </c>
      <c r="C13" s="44">
        <v>0</v>
      </c>
      <c r="D13" s="12">
        <f>+D75</f>
        <v>0</v>
      </c>
      <c r="E13" s="44">
        <v>0</v>
      </c>
      <c r="F13" s="12">
        <f>+F75</f>
        <v>0</v>
      </c>
      <c r="G13" s="44">
        <v>0</v>
      </c>
      <c r="H13" s="12">
        <f>+H75</f>
        <v>0</v>
      </c>
      <c r="I13" s="44">
        <v>0</v>
      </c>
      <c r="J13" s="12">
        <f>+J75</f>
        <v>0</v>
      </c>
      <c r="K13" s="44">
        <v>0</v>
      </c>
      <c r="L13" s="12">
        <f>+L75</f>
        <v>0</v>
      </c>
      <c r="M13" s="47">
        <f t="shared" si="0"/>
        <v>-1</v>
      </c>
      <c r="N13" s="12">
        <v>90000</v>
      </c>
      <c r="O13" s="47">
        <f t="shared" si="1"/>
        <v>5</v>
      </c>
      <c r="P13" s="12">
        <f>15000000/1000</f>
        <v>15000</v>
      </c>
    </row>
    <row r="14" spans="1:21">
      <c r="A14" s="1" t="s">
        <v>269</v>
      </c>
      <c r="B14" s="221">
        <v>8462.2999999999993</v>
      </c>
      <c r="C14" s="44">
        <v>0</v>
      </c>
      <c r="D14" s="221">
        <v>0</v>
      </c>
      <c r="E14" s="44">
        <v>0</v>
      </c>
      <c r="F14" s="221">
        <v>0</v>
      </c>
      <c r="G14" s="44">
        <v>0</v>
      </c>
      <c r="H14" s="221">
        <v>0</v>
      </c>
      <c r="I14" s="47">
        <f>+(B14-J14)/ABS(J14)</f>
        <v>0.64648999922172901</v>
      </c>
      <c r="J14" s="221">
        <v>5139.6000000000004</v>
      </c>
      <c r="K14" s="47">
        <f>+(J14-L14)/L14</f>
        <v>-0.56936379860744524</v>
      </c>
      <c r="L14" s="221">
        <f>9923.8+1864.8+146.3</f>
        <v>11934.899999999998</v>
      </c>
      <c r="M14" s="47">
        <f t="shared" si="0"/>
        <v>0.24063409563409541</v>
      </c>
      <c r="N14" s="221">
        <v>9620</v>
      </c>
      <c r="O14" s="47">
        <f t="shared" si="1"/>
        <v>0.15027625456616475</v>
      </c>
      <c r="P14" s="221">
        <f>8363208.37/1000</f>
        <v>8363.2083700000003</v>
      </c>
    </row>
    <row r="15" spans="1:21" ht="15.6" customHeight="1">
      <c r="A15" s="1"/>
      <c r="B15" s="12">
        <f>SUM(B10:B14)</f>
        <v>262351.89999999997</v>
      </c>
      <c r="C15" s="44">
        <v>0</v>
      </c>
      <c r="D15" s="12">
        <f>SUM(D10:D14)</f>
        <v>0</v>
      </c>
      <c r="E15" s="44">
        <v>0</v>
      </c>
      <c r="F15" s="12">
        <f>SUM(F10:F14)</f>
        <v>0</v>
      </c>
      <c r="G15" s="44">
        <v>0</v>
      </c>
      <c r="H15" s="12">
        <f>SUM(H10:H14)</f>
        <v>0</v>
      </c>
      <c r="I15" s="47">
        <f>+(B15-J15)/ABS(J15)</f>
        <v>-1.5097597921715316E-2</v>
      </c>
      <c r="J15" s="12">
        <f>SUM(J10:J14)</f>
        <v>266373.5</v>
      </c>
      <c r="K15" s="47">
        <f>+(J15-L15)/L15</f>
        <v>0.32354570637119134</v>
      </c>
      <c r="L15" s="12">
        <f>SUM(L10:L14)</f>
        <v>201257.49999999997</v>
      </c>
      <c r="M15" s="47">
        <f t="shared" si="0"/>
        <v>-0.52015511823414129</v>
      </c>
      <c r="N15" s="12">
        <f>SUM(N10:N14)</f>
        <v>419422</v>
      </c>
      <c r="O15" s="47">
        <f t="shared" si="1"/>
        <v>0.63383216377523255</v>
      </c>
      <c r="P15" s="12">
        <f>SUM(P10:P14)</f>
        <v>256710.57854000002</v>
      </c>
    </row>
    <row r="16" spans="1:21" ht="7.9" customHeight="1">
      <c r="A16" s="1"/>
      <c r="C16" s="44" t="s">
        <v>0</v>
      </c>
      <c r="E16" s="44" t="s">
        <v>0</v>
      </c>
      <c r="G16" s="44" t="s">
        <v>0</v>
      </c>
      <c r="I16" s="47" t="s">
        <v>0</v>
      </c>
      <c r="K16" s="47" t="s">
        <v>0</v>
      </c>
      <c r="M16" s="47" t="s">
        <v>0</v>
      </c>
      <c r="O16" s="47" t="s">
        <v>0</v>
      </c>
    </row>
    <row r="17" spans="1:16" ht="15.6" customHeight="1">
      <c r="A17" s="1" t="s">
        <v>270</v>
      </c>
      <c r="B17" s="12">
        <v>155000</v>
      </c>
      <c r="C17" s="44">
        <v>0</v>
      </c>
      <c r="D17" s="12">
        <v>0</v>
      </c>
      <c r="E17" s="44">
        <v>0</v>
      </c>
      <c r="F17" s="12">
        <v>0</v>
      </c>
      <c r="G17" s="44">
        <v>0</v>
      </c>
      <c r="H17" s="12">
        <v>0</v>
      </c>
      <c r="I17" s="47">
        <f t="shared" ref="I17:I22" si="2">+(B17-J17)/ABS(J17)</f>
        <v>-6.0606060606060608E-2</v>
      </c>
      <c r="J17" s="12">
        <v>165000</v>
      </c>
      <c r="K17" s="47">
        <f t="shared" ref="K17:K22" si="3">+(J17-L17)/L17</f>
        <v>-0.28879310344827586</v>
      </c>
      <c r="L17" s="12">
        <v>232000</v>
      </c>
      <c r="M17" s="47"/>
      <c r="N17" s="12">
        <v>100000</v>
      </c>
      <c r="O17" s="47"/>
    </row>
    <row r="18" spans="1:16">
      <c r="A18" s="1" t="s">
        <v>271</v>
      </c>
      <c r="B18" s="12">
        <v>18345.5</v>
      </c>
      <c r="C18" s="44">
        <v>0</v>
      </c>
      <c r="D18" s="12">
        <v>0</v>
      </c>
      <c r="E18" s="44">
        <v>0</v>
      </c>
      <c r="F18" s="12">
        <v>0</v>
      </c>
      <c r="G18" s="44">
        <v>0</v>
      </c>
      <c r="H18" s="12">
        <v>0</v>
      </c>
      <c r="I18" s="47">
        <f t="shared" si="2"/>
        <v>-0.52084258364457914</v>
      </c>
      <c r="J18" s="12">
        <v>38287</v>
      </c>
      <c r="K18" s="47">
        <f t="shared" si="3"/>
        <v>3.642480387045143</v>
      </c>
      <c r="L18" s="12">
        <f>3062.7+4917.2+267.2</f>
        <v>8247.1</v>
      </c>
      <c r="M18" s="47">
        <f>+(L18-N18)/N18</f>
        <v>3.21846547314578</v>
      </c>
      <c r="N18" s="12">
        <v>1955</v>
      </c>
      <c r="O18" s="47">
        <f>+(N18-P18)/P18</f>
        <v>0.10788599484762171</v>
      </c>
      <c r="P18" s="12">
        <f>1764622/1000</f>
        <v>1764.6220000000001</v>
      </c>
    </row>
    <row r="19" spans="1:16">
      <c r="A19" s="1" t="s">
        <v>272</v>
      </c>
      <c r="B19" s="12">
        <v>316912.7</v>
      </c>
      <c r="C19" s="44">
        <v>0</v>
      </c>
      <c r="D19" s="12">
        <v>0</v>
      </c>
      <c r="E19" s="44">
        <v>0</v>
      </c>
      <c r="F19" s="12">
        <v>0</v>
      </c>
      <c r="G19" s="44">
        <v>0</v>
      </c>
      <c r="H19" s="12">
        <v>0</v>
      </c>
      <c r="I19" s="47">
        <f t="shared" si="2"/>
        <v>5.290039343473641E-2</v>
      </c>
      <c r="J19" s="12">
        <v>300990.2</v>
      </c>
      <c r="K19" s="47">
        <f t="shared" si="3"/>
        <v>0.12497453774561959</v>
      </c>
      <c r="L19" s="12">
        <v>267552.90000000002</v>
      </c>
      <c r="M19" s="47">
        <f>+(L19-N19)/N19</f>
        <v>4.7088534475471414E-2</v>
      </c>
      <c r="N19" s="12">
        <v>255520.8</v>
      </c>
      <c r="O19" s="47">
        <f>+(N19-P19)/P19</f>
        <v>0.13846233698390251</v>
      </c>
      <c r="P19" s="12">
        <f>224443788.52/1000</f>
        <v>224443.78852</v>
      </c>
    </row>
    <row r="20" spans="1:16">
      <c r="A20" s="1" t="s">
        <v>273</v>
      </c>
      <c r="B20" s="12">
        <v>32763.1</v>
      </c>
      <c r="C20" s="44">
        <v>0</v>
      </c>
      <c r="D20" s="12">
        <v>0</v>
      </c>
      <c r="E20" s="44">
        <v>0</v>
      </c>
      <c r="F20" s="12">
        <v>0</v>
      </c>
      <c r="G20" s="44">
        <v>0</v>
      </c>
      <c r="H20" s="12">
        <v>0</v>
      </c>
      <c r="I20" s="47">
        <f t="shared" si="2"/>
        <v>8.5469302784140335E-5</v>
      </c>
      <c r="J20" s="12">
        <v>32760.3</v>
      </c>
      <c r="K20" s="47">
        <f t="shared" si="3"/>
        <v>0.34673063167501172</v>
      </c>
      <c r="L20" s="12">
        <v>24325.8</v>
      </c>
      <c r="M20" s="47">
        <f>+(L20-N20)/N20</f>
        <v>0.36327871057409949</v>
      </c>
      <c r="N20" s="12">
        <v>17843.599999999999</v>
      </c>
      <c r="O20" s="47">
        <f>+(N20-P20)/P20</f>
        <v>-7.4731379576617643E-2</v>
      </c>
      <c r="P20" s="12">
        <f>19284778.07/1000</f>
        <v>19284.77807</v>
      </c>
    </row>
    <row r="21" spans="1:16" ht="16.5" thickBot="1">
      <c r="A21" s="1" t="s">
        <v>274</v>
      </c>
      <c r="B21" s="99">
        <v>14976.5</v>
      </c>
      <c r="C21" s="44">
        <v>0</v>
      </c>
      <c r="D21" s="99">
        <v>0</v>
      </c>
      <c r="E21" s="44">
        <v>0</v>
      </c>
      <c r="F21" s="99">
        <v>0</v>
      </c>
      <c r="G21" s="44">
        <v>0</v>
      </c>
      <c r="H21" s="99">
        <v>0</v>
      </c>
      <c r="I21" s="47">
        <f t="shared" si="2"/>
        <v>-7.8289821892347664E-2</v>
      </c>
      <c r="J21" s="99">
        <v>16248.6</v>
      </c>
      <c r="K21" s="47">
        <f t="shared" si="3"/>
        <v>-0.30408675466623258</v>
      </c>
      <c r="L21" s="99">
        <v>23348.6</v>
      </c>
      <c r="M21" s="47">
        <f>+(L21-N21)/N21</f>
        <v>0.69903145761626506</v>
      </c>
      <c r="N21" s="99">
        <v>13742.3</v>
      </c>
      <c r="O21" s="47">
        <f>+(N21-P21)/P21</f>
        <v>-0.15363094621329385</v>
      </c>
      <c r="P21" s="99">
        <f>16236770.4/1000</f>
        <v>16236.770400000001</v>
      </c>
    </row>
    <row r="22" spans="1:16">
      <c r="A22" s="1" t="s">
        <v>275</v>
      </c>
      <c r="B22" s="4">
        <f>SUM(B15:B21)</f>
        <v>800349.7</v>
      </c>
      <c r="C22" s="44">
        <v>0</v>
      </c>
      <c r="D22" s="4">
        <f>SUM(D15:D21)</f>
        <v>0</v>
      </c>
      <c r="E22" s="44">
        <v>0</v>
      </c>
      <c r="F22" s="4">
        <f>SUM(F15:F21)</f>
        <v>0</v>
      </c>
      <c r="G22" s="44">
        <v>0</v>
      </c>
      <c r="H22" s="4">
        <f>SUM(H15:H21)</f>
        <v>0</v>
      </c>
      <c r="I22" s="47">
        <f t="shared" si="2"/>
        <v>-2.3558438161402642E-2</v>
      </c>
      <c r="J22" s="4">
        <f>SUM(J15:J21)</f>
        <v>819659.6</v>
      </c>
      <c r="K22" s="47">
        <f t="shared" si="3"/>
        <v>8.3157192131057184E-2</v>
      </c>
      <c r="L22" s="4">
        <f>SUM(L15:L21)</f>
        <v>756731.9</v>
      </c>
      <c r="M22" s="47">
        <f>+(L22-N22)/N22</f>
        <v>-6.4010938006542423E-2</v>
      </c>
      <c r="N22" s="4">
        <f>SUM(N15:N21)</f>
        <v>808483.70000000007</v>
      </c>
      <c r="O22" s="47">
        <f>+(N22-P22)/P22</f>
        <v>0.55945309340941807</v>
      </c>
      <c r="P22" s="4">
        <f>SUM(P15:P21)</f>
        <v>518440.53753000003</v>
      </c>
    </row>
    <row r="23" spans="1:16" ht="7.9" customHeight="1">
      <c r="A23" s="1"/>
      <c r="C23" s="44" t="s">
        <v>0</v>
      </c>
      <c r="E23" s="44" t="s">
        <v>0</v>
      </c>
      <c r="G23" s="44" t="s">
        <v>0</v>
      </c>
      <c r="I23" s="47" t="s">
        <v>0</v>
      </c>
      <c r="K23" s="47" t="s">
        <v>0</v>
      </c>
      <c r="M23" s="47" t="s">
        <v>0</v>
      </c>
      <c r="O23" s="47" t="s">
        <v>0</v>
      </c>
    </row>
    <row r="24" spans="1:16">
      <c r="A24" s="87" t="s">
        <v>276</v>
      </c>
      <c r="C24" s="44" t="s">
        <v>0</v>
      </c>
      <c r="E24" s="44" t="s">
        <v>0</v>
      </c>
      <c r="G24" s="44" t="s">
        <v>0</v>
      </c>
      <c r="I24" s="47" t="s">
        <v>0</v>
      </c>
      <c r="K24" s="47" t="s">
        <v>0</v>
      </c>
      <c r="M24" s="47" t="s">
        <v>0</v>
      </c>
      <c r="O24" s="47" t="s">
        <v>0</v>
      </c>
    </row>
    <row r="25" spans="1:16">
      <c r="A25" s="1" t="s">
        <v>277</v>
      </c>
      <c r="C25" s="44" t="s">
        <v>0</v>
      </c>
      <c r="E25" s="44" t="s">
        <v>0</v>
      </c>
      <c r="G25" s="44" t="s">
        <v>0</v>
      </c>
      <c r="I25" s="47" t="s">
        <v>0</v>
      </c>
      <c r="K25" s="47" t="s">
        <v>0</v>
      </c>
      <c r="M25" s="47" t="s">
        <v>0</v>
      </c>
      <c r="O25" s="47" t="s">
        <v>0</v>
      </c>
    </row>
    <row r="26" spans="1:16">
      <c r="A26" s="1" t="s">
        <v>597</v>
      </c>
      <c r="B26" s="12">
        <v>442282.4</v>
      </c>
      <c r="C26" s="44">
        <v>0</v>
      </c>
      <c r="D26" s="12">
        <v>0</v>
      </c>
      <c r="E26" s="44">
        <v>0</v>
      </c>
      <c r="F26" s="12">
        <v>0</v>
      </c>
      <c r="G26" s="44">
        <v>0</v>
      </c>
      <c r="H26" s="12">
        <v>0</v>
      </c>
      <c r="I26" s="47">
        <f>+(B26-J26)/ABS(J26)</f>
        <v>-3.0622416461006319E-2</v>
      </c>
      <c r="J26" s="12">
        <v>456254</v>
      </c>
      <c r="K26" s="47">
        <f>+(J26-L26)/L26</f>
        <v>0.23725871971623974</v>
      </c>
      <c r="L26" s="12">
        <v>368762</v>
      </c>
      <c r="M26" s="47">
        <f>+(L26-N26)/N26</f>
        <v>1.3706236805066854E-2</v>
      </c>
      <c r="N26" s="12">
        <v>363776</v>
      </c>
      <c r="O26" s="47">
        <f>+(N26-P26)/P26</f>
        <v>0.88247751932987384</v>
      </c>
      <c r="P26" s="12">
        <f>193243210.75/1000</f>
        <v>193243.21075</v>
      </c>
    </row>
    <row r="27" spans="1:16">
      <c r="A27" s="1" t="s">
        <v>279</v>
      </c>
      <c r="B27" s="12">
        <v>157311.20000000001</v>
      </c>
      <c r="C27" s="44">
        <v>0</v>
      </c>
      <c r="D27" s="12">
        <v>0</v>
      </c>
      <c r="E27" s="44">
        <v>0</v>
      </c>
      <c r="F27" s="12">
        <v>0</v>
      </c>
      <c r="G27" s="44">
        <v>0</v>
      </c>
      <c r="H27" s="12">
        <v>0</v>
      </c>
      <c r="I27" s="47">
        <f>+(B27-J27)/ABS(J27)</f>
        <v>9.854528390427067E-3</v>
      </c>
      <c r="J27" s="12">
        <v>155776.1</v>
      </c>
      <c r="K27" s="47">
        <f>+(J27-L27)/L27</f>
        <v>4.9594550434422319E-2</v>
      </c>
      <c r="L27" s="12">
        <v>148415.5</v>
      </c>
      <c r="M27" s="47">
        <f>+(L27-N27)/N27</f>
        <v>-5.1680567296492105E-2</v>
      </c>
      <c r="N27" s="12">
        <v>156503.70000000001</v>
      </c>
      <c r="O27" s="47">
        <f>+(N27-P27)/P27</f>
        <v>-1.2309561554431898E-2</v>
      </c>
      <c r="P27" s="12">
        <f>158454201.75/1000</f>
        <v>158454.20175000001</v>
      </c>
    </row>
    <row r="28" spans="1:16">
      <c r="A28" s="1" t="s">
        <v>280</v>
      </c>
      <c r="B28" s="221">
        <v>85188.2</v>
      </c>
      <c r="C28" s="44">
        <v>0</v>
      </c>
      <c r="D28" s="221">
        <v>0</v>
      </c>
      <c r="E28" s="44">
        <v>0</v>
      </c>
      <c r="F28" s="221">
        <v>0</v>
      </c>
      <c r="G28" s="44">
        <v>0</v>
      </c>
      <c r="H28" s="221">
        <v>0</v>
      </c>
      <c r="I28" s="47">
        <f>+(B28-J28)/ABS(J28)</f>
        <v>1.2850236721144668E-2</v>
      </c>
      <c r="J28" s="221">
        <v>84107.4</v>
      </c>
      <c r="K28" s="47">
        <f>+(J28-L28)/L28</f>
        <v>-0.23210346792100045</v>
      </c>
      <c r="L28" s="221">
        <v>109529.60000000001</v>
      </c>
      <c r="M28" s="47">
        <f>+(L28-N28)/N28</f>
        <v>4.6946461953919719E-3</v>
      </c>
      <c r="N28" s="221">
        <v>109017.8</v>
      </c>
      <c r="O28" s="47">
        <f>+(N28-P28)/P28</f>
        <v>2.3489181033240811</v>
      </c>
      <c r="P28" s="221">
        <f>32553140.04/1000</f>
        <v>32553.140039999998</v>
      </c>
    </row>
    <row r="29" spans="1:16">
      <c r="A29" s="1"/>
      <c r="B29" s="12">
        <f>SUM(B26:B28)</f>
        <v>684781.8</v>
      </c>
      <c r="C29" s="44">
        <v>0</v>
      </c>
      <c r="D29" s="12">
        <f>SUM(D26:D28)</f>
        <v>0</v>
      </c>
      <c r="E29" s="44">
        <v>0</v>
      </c>
      <c r="F29" s="12">
        <f>SUM(F26:F28)</f>
        <v>0</v>
      </c>
      <c r="G29" s="44">
        <v>0</v>
      </c>
      <c r="H29" s="12">
        <f>SUM(H26:H28)</f>
        <v>0</v>
      </c>
      <c r="I29" s="47">
        <f>+(B29-J29)/ABS(J29)</f>
        <v>-1.6312438275484301E-2</v>
      </c>
      <c r="J29" s="12">
        <f>SUM(J26:J28)</f>
        <v>696137.5</v>
      </c>
      <c r="K29" s="47">
        <f>+(J29-L29)/L29</f>
        <v>0.1107860434324105</v>
      </c>
      <c r="L29" s="12">
        <f>SUM(L26:L28)</f>
        <v>626707.1</v>
      </c>
      <c r="M29" s="47">
        <f>+(L29-N29)/N29</f>
        <v>-4.1163360731609824E-3</v>
      </c>
      <c r="N29" s="12">
        <f>SUM(N26:N28)</f>
        <v>629297.5</v>
      </c>
      <c r="O29" s="47">
        <f>+(N29-P29)/P29</f>
        <v>0.63772698787333826</v>
      </c>
      <c r="P29" s="12">
        <f>SUM(P26:P28)</f>
        <v>384250.55253999995</v>
      </c>
    </row>
    <row r="30" spans="1:16" ht="7.9" customHeight="1">
      <c r="A30" s="1"/>
      <c r="C30" s="44" t="s">
        <v>0</v>
      </c>
      <c r="E30" s="44" t="s">
        <v>0</v>
      </c>
      <c r="G30" s="44" t="s">
        <v>0</v>
      </c>
      <c r="I30" s="47" t="s">
        <v>0</v>
      </c>
      <c r="K30" s="47" t="s">
        <v>0</v>
      </c>
      <c r="M30" s="47" t="s">
        <v>0</v>
      </c>
      <c r="O30" s="15" t="s">
        <v>0</v>
      </c>
    </row>
    <row r="31" spans="1:16">
      <c r="A31" s="1" t="s">
        <v>281</v>
      </c>
      <c r="C31" s="44" t="s">
        <v>0</v>
      </c>
      <c r="E31" s="44" t="s">
        <v>0</v>
      </c>
      <c r="G31" s="44" t="s">
        <v>0</v>
      </c>
      <c r="I31" s="47" t="s">
        <v>0</v>
      </c>
      <c r="K31" s="47" t="s">
        <v>0</v>
      </c>
      <c r="M31" s="47" t="s">
        <v>0</v>
      </c>
      <c r="O31" s="15" t="s">
        <v>0</v>
      </c>
    </row>
    <row r="32" spans="1:16">
      <c r="A32" s="1" t="s">
        <v>282</v>
      </c>
      <c r="B32" s="12">
        <v>26000</v>
      </c>
      <c r="C32" s="44">
        <v>0</v>
      </c>
      <c r="D32" s="12">
        <v>0</v>
      </c>
      <c r="E32" s="44">
        <v>0</v>
      </c>
      <c r="F32" s="12">
        <v>0</v>
      </c>
      <c r="G32" s="44">
        <v>0</v>
      </c>
      <c r="H32" s="12">
        <v>0</v>
      </c>
      <c r="I32" s="47">
        <f>+(B32-J32)/ABS(J32)</f>
        <v>0</v>
      </c>
      <c r="J32" s="12">
        <v>26000</v>
      </c>
      <c r="K32" s="44">
        <v>0</v>
      </c>
      <c r="L32" s="12">
        <f>+L139</f>
        <v>0</v>
      </c>
      <c r="M32" s="44">
        <v>0</v>
      </c>
      <c r="N32" s="12">
        <v>0</v>
      </c>
      <c r="O32" s="44">
        <v>0</v>
      </c>
      <c r="P32" s="12">
        <v>0</v>
      </c>
    </row>
    <row r="33" spans="1:21">
      <c r="A33" s="1" t="s">
        <v>283</v>
      </c>
      <c r="B33" s="12">
        <v>0</v>
      </c>
      <c r="C33" s="44">
        <v>0</v>
      </c>
      <c r="D33" s="12">
        <f>+D140</f>
        <v>0</v>
      </c>
      <c r="E33" s="44">
        <v>0</v>
      </c>
      <c r="F33" s="12">
        <f>+F140</f>
        <v>0</v>
      </c>
      <c r="G33" s="44">
        <v>0</v>
      </c>
      <c r="H33" s="12">
        <f>+H140</f>
        <v>0</v>
      </c>
      <c r="I33" s="44">
        <v>0</v>
      </c>
      <c r="J33" s="12">
        <f>+J140</f>
        <v>0</v>
      </c>
      <c r="K33" s="44">
        <v>0</v>
      </c>
      <c r="L33" s="12">
        <f>+L140</f>
        <v>0</v>
      </c>
      <c r="M33" s="44">
        <v>0</v>
      </c>
      <c r="N33" s="12">
        <v>0</v>
      </c>
      <c r="O33" s="44">
        <v>0</v>
      </c>
      <c r="P33" s="12">
        <v>0</v>
      </c>
    </row>
    <row r="34" spans="1:21" ht="18">
      <c r="A34" s="1" t="s">
        <v>284</v>
      </c>
      <c r="B34" s="221">
        <v>38204.9</v>
      </c>
      <c r="C34" s="44">
        <v>0</v>
      </c>
      <c r="D34" s="221">
        <v>0</v>
      </c>
      <c r="E34" s="44">
        <v>0</v>
      </c>
      <c r="F34" s="221">
        <v>0</v>
      </c>
      <c r="G34" s="44">
        <v>0</v>
      </c>
      <c r="H34" s="221">
        <v>0</v>
      </c>
      <c r="I34" s="47">
        <f>+(B34-J34)/ABS(J34)</f>
        <v>-0.17080703551616069</v>
      </c>
      <c r="J34" s="221">
        <v>46074.8</v>
      </c>
      <c r="K34" s="47">
        <f>+(J34-L34)/L34</f>
        <v>-0.43816632300058889</v>
      </c>
      <c r="L34" s="221">
        <v>82007.899999999994</v>
      </c>
      <c r="M34" s="47">
        <f>+(L34-N34)/N34</f>
        <v>-0.43934809301002786</v>
      </c>
      <c r="N34" s="221">
        <v>146272.4</v>
      </c>
      <c r="O34" s="47">
        <f>+(N34-P34)/P34</f>
        <v>0.18901624976825121</v>
      </c>
      <c r="P34" s="221">
        <f>123019681.21/1000</f>
        <v>123019.68121</v>
      </c>
      <c r="Q34" s="6"/>
      <c r="R34" s="6"/>
      <c r="S34" s="7"/>
      <c r="T34" s="7"/>
      <c r="U34" s="7"/>
    </row>
    <row r="35" spans="1:21">
      <c r="A35" s="1"/>
      <c r="B35" s="12">
        <f>SUM(B32:B34)</f>
        <v>64204.9</v>
      </c>
      <c r="C35" s="44">
        <v>0</v>
      </c>
      <c r="D35" s="12">
        <f>SUM(D32:D34)</f>
        <v>0</v>
      </c>
      <c r="E35" s="44">
        <v>0</v>
      </c>
      <c r="F35" s="12">
        <f>SUM(F32:F34)</f>
        <v>0</v>
      </c>
      <c r="G35" s="44">
        <v>0</v>
      </c>
      <c r="H35" s="12">
        <f>SUM(H32:H34)</f>
        <v>0</v>
      </c>
      <c r="I35" s="47">
        <f>+(B35-J35)/ABS(J35)</f>
        <v>-0.10919072963088348</v>
      </c>
      <c r="J35" s="12">
        <f>SUM(J32:J34)</f>
        <v>72074.8</v>
      </c>
      <c r="K35" s="47">
        <f>+(J35-L35)/L35</f>
        <v>-0.12112369661947193</v>
      </c>
      <c r="L35" s="12">
        <f>SUM(L32:L34)</f>
        <v>82007.899999999994</v>
      </c>
      <c r="M35" s="47">
        <f>+(L35-N35)/N35</f>
        <v>-0.43934809301002786</v>
      </c>
      <c r="N35" s="12">
        <f>SUM(N32:N34)</f>
        <v>146272.4</v>
      </c>
      <c r="O35" s="47">
        <f>+(N35-P35)/P35</f>
        <v>0.18901624976825121</v>
      </c>
      <c r="P35" s="12">
        <f>SUM(P32:P34)</f>
        <v>123019.68121</v>
      </c>
    </row>
    <row r="36" spans="1:21" ht="7.15" customHeight="1">
      <c r="A36" s="1"/>
      <c r="C36" s="44" t="s">
        <v>0</v>
      </c>
      <c r="E36" s="44" t="s">
        <v>0</v>
      </c>
      <c r="G36" s="44" t="s">
        <v>0</v>
      </c>
      <c r="I36" s="47" t="s">
        <v>0</v>
      </c>
      <c r="K36" s="47" t="s">
        <v>0</v>
      </c>
      <c r="M36" s="47" t="s">
        <v>0</v>
      </c>
      <c r="O36" s="15" t="s">
        <v>0</v>
      </c>
    </row>
    <row r="37" spans="1:21">
      <c r="A37" s="1" t="s">
        <v>285</v>
      </c>
      <c r="C37" s="44" t="s">
        <v>0</v>
      </c>
      <c r="E37" s="44" t="s">
        <v>0</v>
      </c>
      <c r="G37" s="44" t="s">
        <v>0</v>
      </c>
      <c r="I37" s="47" t="s">
        <v>0</v>
      </c>
      <c r="K37" s="47" t="s">
        <v>0</v>
      </c>
      <c r="M37" s="47" t="s">
        <v>0</v>
      </c>
      <c r="O37" s="15" t="s">
        <v>0</v>
      </c>
    </row>
    <row r="38" spans="1:21">
      <c r="A38" s="1" t="s">
        <v>282</v>
      </c>
      <c r="B38" s="12">
        <f>+B146</f>
        <v>0</v>
      </c>
      <c r="C38" s="44">
        <v>0</v>
      </c>
      <c r="D38" s="12">
        <f>+D146</f>
        <v>0</v>
      </c>
      <c r="E38" s="44">
        <v>0</v>
      </c>
      <c r="F38" s="12">
        <f>+F146</f>
        <v>0</v>
      </c>
      <c r="G38" s="44">
        <v>0</v>
      </c>
      <c r="H38" s="12">
        <f>+H146</f>
        <v>0</v>
      </c>
      <c r="I38" s="44">
        <v>0</v>
      </c>
      <c r="J38" s="12">
        <f>+J146</f>
        <v>0</v>
      </c>
      <c r="K38" s="44">
        <v>0</v>
      </c>
      <c r="L38" s="12">
        <f>+L146</f>
        <v>0</v>
      </c>
      <c r="M38" s="44">
        <v>0</v>
      </c>
      <c r="N38" s="12">
        <v>8474.7999999999993</v>
      </c>
      <c r="O38" s="44">
        <v>0</v>
      </c>
      <c r="P38" s="12">
        <v>0</v>
      </c>
    </row>
    <row r="39" spans="1:21">
      <c r="A39" s="1" t="s">
        <v>286</v>
      </c>
      <c r="B39" s="12">
        <f>+B147</f>
        <v>0</v>
      </c>
      <c r="C39" s="44">
        <v>0</v>
      </c>
      <c r="D39" s="12">
        <f>+D147</f>
        <v>0</v>
      </c>
      <c r="E39" s="44">
        <v>0</v>
      </c>
      <c r="F39" s="12">
        <f>+F147</f>
        <v>0</v>
      </c>
      <c r="G39" s="44">
        <v>0</v>
      </c>
      <c r="H39" s="12">
        <f>+H147</f>
        <v>0</v>
      </c>
      <c r="I39" s="44">
        <v>0</v>
      </c>
      <c r="J39" s="12">
        <f>+J147</f>
        <v>0</v>
      </c>
      <c r="K39" s="44">
        <v>0</v>
      </c>
      <c r="L39" s="12">
        <f>+L147</f>
        <v>0</v>
      </c>
      <c r="M39" s="44">
        <v>0</v>
      </c>
      <c r="N39" s="12">
        <v>0</v>
      </c>
      <c r="O39" s="44">
        <v>0</v>
      </c>
      <c r="P39" s="12">
        <v>0</v>
      </c>
    </row>
    <row r="40" spans="1:21">
      <c r="A40" s="1" t="s">
        <v>284</v>
      </c>
      <c r="B40" s="221">
        <v>18383.7</v>
      </c>
      <c r="C40" s="44">
        <v>0</v>
      </c>
      <c r="D40" s="221">
        <v>0</v>
      </c>
      <c r="E40" s="44">
        <v>0</v>
      </c>
      <c r="F40" s="221">
        <v>0</v>
      </c>
      <c r="G40" s="44">
        <v>0</v>
      </c>
      <c r="H40" s="221">
        <v>0</v>
      </c>
      <c r="I40" s="47">
        <f>+(B40-J40)/ABS(J40)</f>
        <v>-7.0210753645324961E-2</v>
      </c>
      <c r="J40" s="221">
        <v>19771.900000000001</v>
      </c>
      <c r="K40" s="47">
        <f>+(J40-L40)/L40</f>
        <v>0.10300410030403623</v>
      </c>
      <c r="L40" s="221">
        <v>17925.5</v>
      </c>
      <c r="M40" s="47">
        <f>+(L40-N40)/N40</f>
        <v>0.51155240745425412</v>
      </c>
      <c r="N40" s="221">
        <v>11859</v>
      </c>
      <c r="O40" s="47">
        <f>+(N40-P40)/P40</f>
        <v>1.8107051646860275</v>
      </c>
      <c r="P40" s="221">
        <f>4219225.89/1000</f>
        <v>4219.2258899999997</v>
      </c>
    </row>
    <row r="41" spans="1:21">
      <c r="A41" s="1"/>
      <c r="B41" s="12">
        <f>SUM(B38:B40)</f>
        <v>18383.7</v>
      </c>
      <c r="C41" s="44">
        <v>0</v>
      </c>
      <c r="D41" s="12">
        <f>SUM(D38:D40)</f>
        <v>0</v>
      </c>
      <c r="E41" s="44">
        <v>0</v>
      </c>
      <c r="F41" s="12">
        <f>SUM(F38:F40)</f>
        <v>0</v>
      </c>
      <c r="G41" s="44">
        <v>0</v>
      </c>
      <c r="H41" s="12">
        <f>SUM(H38:H40)</f>
        <v>0</v>
      </c>
      <c r="I41" s="47">
        <f>+(B41-J41)/ABS(J41)</f>
        <v>-7.0210753645324961E-2</v>
      </c>
      <c r="J41" s="12">
        <f>SUM(J38:J40)</f>
        <v>19771.900000000001</v>
      </c>
      <c r="K41" s="47">
        <f>+(J41-L41)/L41</f>
        <v>0.10300410030403623</v>
      </c>
      <c r="L41" s="12">
        <f>SUM(L38:L40)</f>
        <v>17925.5</v>
      </c>
      <c r="M41" s="47">
        <f>+(L41-N41)/N41</f>
        <v>-0.11843826535128699</v>
      </c>
      <c r="N41" s="12">
        <f>SUM(N38:N40)</f>
        <v>20333.8</v>
      </c>
      <c r="O41" s="47">
        <f>+(N41-P41)/P41</f>
        <v>3.8193200672647563</v>
      </c>
      <c r="P41" s="12">
        <f>SUM(P38:P40)</f>
        <v>4219.2258899999997</v>
      </c>
    </row>
    <row r="42" spans="1:21" ht="8.4499999999999993" customHeight="1">
      <c r="A42" s="1"/>
      <c r="C42" s="44" t="s">
        <v>0</v>
      </c>
      <c r="E42" s="44" t="s">
        <v>0</v>
      </c>
      <c r="G42" s="44" t="s">
        <v>0</v>
      </c>
      <c r="I42" s="47" t="s">
        <v>0</v>
      </c>
      <c r="K42" s="47" t="s">
        <v>0</v>
      </c>
      <c r="M42" s="47" t="s">
        <v>0</v>
      </c>
      <c r="O42" s="15" t="s">
        <v>0</v>
      </c>
    </row>
    <row r="43" spans="1:21" ht="18">
      <c r="A43" s="1" t="s">
        <v>287</v>
      </c>
      <c r="B43" s="221">
        <v>3492.3</v>
      </c>
      <c r="C43" s="44">
        <v>0</v>
      </c>
      <c r="D43" s="221">
        <v>0</v>
      </c>
      <c r="E43" s="44">
        <v>0</v>
      </c>
      <c r="F43" s="221">
        <v>0</v>
      </c>
      <c r="G43" s="44">
        <v>0</v>
      </c>
      <c r="H43" s="221">
        <v>0</v>
      </c>
      <c r="I43" s="47">
        <f>+(B43-J43)/ABS(J43)</f>
        <v>0.52355815373876646</v>
      </c>
      <c r="J43" s="221">
        <v>2292.1999999999998</v>
      </c>
      <c r="K43" s="116">
        <f>+(J43-L43)/L43</f>
        <v>-0.55906511493700106</v>
      </c>
      <c r="L43" s="221">
        <v>5198.5</v>
      </c>
      <c r="M43" s="113">
        <f>+(L43-N43)/N43</f>
        <v>12.590849673202614</v>
      </c>
      <c r="N43" s="221">
        <v>382.5</v>
      </c>
      <c r="O43" s="104">
        <f>+(N43-P43)/P43</f>
        <v>1091.8571428571429</v>
      </c>
      <c r="P43" s="221">
        <v>0.35</v>
      </c>
      <c r="Q43" s="6"/>
      <c r="R43" s="6"/>
    </row>
    <row r="44" spans="1:21">
      <c r="A44" s="1"/>
      <c r="B44" s="12">
        <f>+B29+B35+B41+B43</f>
        <v>770862.70000000007</v>
      </c>
      <c r="C44" s="44">
        <v>0</v>
      </c>
      <c r="D44" s="12">
        <f>+D29+D35+D41+D43</f>
        <v>0</v>
      </c>
      <c r="E44" s="44">
        <v>0</v>
      </c>
      <c r="F44" s="12">
        <f>+F29+F35+F41+F43</f>
        <v>0</v>
      </c>
      <c r="G44" s="44">
        <v>0</v>
      </c>
      <c r="H44" s="12">
        <f>+H29+H35+H41+H43</f>
        <v>0</v>
      </c>
      <c r="I44" s="47">
        <f>+(B44-J44)/ABS(J44)</f>
        <v>-2.4565708908933573E-2</v>
      </c>
      <c r="J44" s="12">
        <f>+J29+J35+J41+J43</f>
        <v>790276.4</v>
      </c>
      <c r="K44" s="47">
        <f>+(J44-L44)/L44</f>
        <v>7.9850076314599283E-2</v>
      </c>
      <c r="L44" s="12">
        <f>+L29+L35+L41+L43</f>
        <v>731839</v>
      </c>
      <c r="M44" s="47">
        <f>+(L44-N44)/N44</f>
        <v>-8.0934719200207242E-2</v>
      </c>
      <c r="N44" s="12">
        <f>+N29+N35+N41+N43</f>
        <v>796286.20000000007</v>
      </c>
      <c r="O44" s="104">
        <f>+(N44-P44)/P44</f>
        <v>0.55679777972594879</v>
      </c>
      <c r="P44" s="12">
        <f>+P29+P35+P41+P43</f>
        <v>511489.80963999993</v>
      </c>
    </row>
    <row r="45" spans="1:21" ht="8.4499999999999993" customHeight="1">
      <c r="A45" s="1"/>
      <c r="C45" s="44" t="s">
        <v>0</v>
      </c>
      <c r="E45" s="44" t="s">
        <v>0</v>
      </c>
      <c r="G45" s="44" t="s">
        <v>0</v>
      </c>
      <c r="I45" s="47" t="s">
        <v>0</v>
      </c>
      <c r="K45" s="47" t="s">
        <v>0</v>
      </c>
      <c r="M45" s="47" t="s">
        <v>0</v>
      </c>
      <c r="O45" s="15" t="s">
        <v>0</v>
      </c>
    </row>
    <row r="46" spans="1:21">
      <c r="A46" s="87" t="s">
        <v>288</v>
      </c>
      <c r="C46" s="44" t="s">
        <v>0</v>
      </c>
      <c r="E46" s="44" t="s">
        <v>0</v>
      </c>
      <c r="G46" s="44" t="s">
        <v>0</v>
      </c>
      <c r="I46" s="47" t="s">
        <v>0</v>
      </c>
      <c r="K46" s="47" t="s">
        <v>0</v>
      </c>
      <c r="M46" s="47" t="s">
        <v>0</v>
      </c>
      <c r="O46" s="15" t="s">
        <v>0</v>
      </c>
    </row>
    <row r="47" spans="1:21">
      <c r="A47" s="1" t="s">
        <v>289</v>
      </c>
      <c r="B47" s="12">
        <v>5000</v>
      </c>
      <c r="C47" s="44">
        <v>0</v>
      </c>
      <c r="D47" s="12">
        <v>0</v>
      </c>
      <c r="E47" s="44">
        <v>0</v>
      </c>
      <c r="F47" s="12">
        <v>0</v>
      </c>
      <c r="G47" s="44">
        <v>0</v>
      </c>
      <c r="H47" s="12">
        <v>0</v>
      </c>
      <c r="I47" s="47">
        <f>+(B47-J47)/ABS(J47)</f>
        <v>0</v>
      </c>
      <c r="J47" s="12">
        <v>5000</v>
      </c>
      <c r="K47" s="47">
        <f>+(J47-L47)/L47</f>
        <v>0</v>
      </c>
      <c r="L47" s="12">
        <v>5000</v>
      </c>
      <c r="M47" s="47">
        <f>+(L47-N47)/N47</f>
        <v>0</v>
      </c>
      <c r="N47" s="12">
        <f>5000000/1000</f>
        <v>5000</v>
      </c>
      <c r="O47" s="47">
        <f>+(N47-P47)/P47</f>
        <v>0</v>
      </c>
      <c r="P47" s="12">
        <f>5000000/1000</f>
        <v>5000</v>
      </c>
    </row>
    <row r="48" spans="1:21">
      <c r="A48" s="1" t="s">
        <v>290</v>
      </c>
      <c r="B48" s="12">
        <v>1771.9</v>
      </c>
      <c r="C48" s="44">
        <v>0</v>
      </c>
      <c r="D48" s="12">
        <v>0</v>
      </c>
      <c r="E48" s="44">
        <v>0</v>
      </c>
      <c r="F48" s="12">
        <v>0</v>
      </c>
      <c r="G48" s="44">
        <v>0</v>
      </c>
      <c r="H48" s="12">
        <v>0</v>
      </c>
      <c r="I48" s="47">
        <f>+(B48-J48)/ABS(J48)</f>
        <v>0</v>
      </c>
      <c r="J48" s="12">
        <v>1771.9</v>
      </c>
      <c r="K48" s="44">
        <v>0</v>
      </c>
      <c r="L48" s="12">
        <v>838.3</v>
      </c>
      <c r="M48" s="44">
        <v>0</v>
      </c>
      <c r="N48" s="12">
        <v>0</v>
      </c>
      <c r="O48" s="44">
        <v>0</v>
      </c>
      <c r="P48" s="12">
        <v>0</v>
      </c>
    </row>
    <row r="49" spans="1:21">
      <c r="A49" s="1" t="s">
        <v>302</v>
      </c>
      <c r="B49" s="12">
        <f>+B161</f>
        <v>0</v>
      </c>
      <c r="C49" s="44">
        <v>0</v>
      </c>
      <c r="D49" s="12">
        <f>+D161</f>
        <v>0</v>
      </c>
      <c r="E49" s="44">
        <v>0</v>
      </c>
      <c r="F49" s="12">
        <f>+F161</f>
        <v>0</v>
      </c>
      <c r="G49" s="44">
        <v>0</v>
      </c>
      <c r="H49" s="12">
        <f>+H161</f>
        <v>0</v>
      </c>
      <c r="I49" s="44">
        <v>0</v>
      </c>
      <c r="J49" s="12">
        <f>+J161</f>
        <v>0</v>
      </c>
      <c r="K49" s="44">
        <v>0</v>
      </c>
      <c r="L49" s="12">
        <f>+L161</f>
        <v>0</v>
      </c>
      <c r="M49" s="44">
        <v>0</v>
      </c>
      <c r="N49" s="16">
        <v>0</v>
      </c>
      <c r="O49" s="44">
        <v>0</v>
      </c>
      <c r="P49" s="16">
        <v>0</v>
      </c>
    </row>
    <row r="50" spans="1:21" ht="18">
      <c r="A50" s="1" t="s">
        <v>292</v>
      </c>
      <c r="B50" s="221">
        <v>22715.1</v>
      </c>
      <c r="C50" s="44">
        <v>0</v>
      </c>
      <c r="D50" s="221">
        <v>0</v>
      </c>
      <c r="E50" s="44">
        <v>0</v>
      </c>
      <c r="F50" s="221">
        <v>0</v>
      </c>
      <c r="G50" s="44">
        <v>0</v>
      </c>
      <c r="H50" s="221">
        <v>0</v>
      </c>
      <c r="I50" s="47">
        <f>+(B50-J50)/ABS(J50)</f>
        <v>4.5906250414615383E-3</v>
      </c>
      <c r="J50" s="221">
        <v>22611.3</v>
      </c>
      <c r="K50" s="47">
        <f>+(J50-L50)/L50</f>
        <v>0.18665833971849322</v>
      </c>
      <c r="L50" s="221">
        <f>5669.6+13385</f>
        <v>19054.599999999999</v>
      </c>
      <c r="M50" s="47">
        <f>+(L50-N50)/N50</f>
        <v>1.6473546737801485</v>
      </c>
      <c r="N50" s="221">
        <v>7197.6</v>
      </c>
      <c r="O50" s="47">
        <f>+(N50-P50)/P50</f>
        <v>2.6896996433469766</v>
      </c>
      <c r="P50" s="221">
        <f>1950727.89/1000</f>
        <v>1950.7278899999999</v>
      </c>
      <c r="Q50" s="6"/>
      <c r="R50" s="6"/>
      <c r="S50" s="7"/>
      <c r="T50" s="7"/>
      <c r="U50" s="7"/>
    </row>
    <row r="51" spans="1:21" ht="16.5" thickBot="1">
      <c r="A51" s="1" t="s">
        <v>275</v>
      </c>
      <c r="B51" s="76">
        <f>SUM(B47:B50)</f>
        <v>29487</v>
      </c>
      <c r="C51" s="44">
        <v>0</v>
      </c>
      <c r="D51" s="76">
        <f>SUM(D47:D50)</f>
        <v>0</v>
      </c>
      <c r="E51" s="44">
        <v>0</v>
      </c>
      <c r="F51" s="76">
        <f>SUM(F47:F50)</f>
        <v>0</v>
      </c>
      <c r="G51" s="44">
        <v>0</v>
      </c>
      <c r="H51" s="76">
        <f>SUM(H47:H50)</f>
        <v>0</v>
      </c>
      <c r="I51" s="47">
        <f>+(B51-J51)/ABS(J51)</f>
        <v>3.5326308911215565E-3</v>
      </c>
      <c r="J51" s="76">
        <f>SUM(J47:J50)</f>
        <v>29383.199999999997</v>
      </c>
      <c r="K51" s="305">
        <f>+(J51-L51)/L51</f>
        <v>0.18038476834760112</v>
      </c>
      <c r="L51" s="76">
        <f>SUM(L47:L50)</f>
        <v>24892.899999999998</v>
      </c>
      <c r="M51" s="47">
        <f>+(L51-N51)/N51</f>
        <v>1.0408031088082899</v>
      </c>
      <c r="N51" s="76">
        <f>SUM(N47:N50)</f>
        <v>12197.6</v>
      </c>
      <c r="O51" s="47">
        <f>+(N51-P51)/P51</f>
        <v>0.75486656837029487</v>
      </c>
      <c r="P51" s="76">
        <f>SUM(P47:P50)</f>
        <v>6950.7278900000001</v>
      </c>
    </row>
    <row r="52" spans="1:21">
      <c r="A52" s="1" t="s">
        <v>0</v>
      </c>
      <c r="B52" s="4">
        <f>+B29+B35+B41+B43+B51</f>
        <v>800349.70000000007</v>
      </c>
      <c r="C52" s="44">
        <v>0</v>
      </c>
      <c r="D52" s="4">
        <f>+D29+D35+D41+D43+D51</f>
        <v>0</v>
      </c>
      <c r="E52" s="44">
        <v>0</v>
      </c>
      <c r="F52" s="4">
        <f>+F29+F35+F41+F43+F51</f>
        <v>0</v>
      </c>
      <c r="G52" s="44">
        <v>0</v>
      </c>
      <c r="H52" s="4">
        <f>+H29+H35+H41+H43+H51</f>
        <v>0</v>
      </c>
      <c r="I52" s="47">
        <f>+(B52-J52)/ABS(J52)</f>
        <v>-2.35584381614025E-2</v>
      </c>
      <c r="J52" s="4">
        <f>+J29+J35+J41+J43+J51</f>
        <v>819659.6</v>
      </c>
      <c r="K52" s="47">
        <f>+(J52-L52)/L52</f>
        <v>8.3157192131057184E-2</v>
      </c>
      <c r="L52" s="4">
        <f>+L29+L35+L41+L43+L51</f>
        <v>756731.9</v>
      </c>
      <c r="M52" s="47">
        <f>+(L52-N52)/N52</f>
        <v>-6.4010938006542423E-2</v>
      </c>
      <c r="N52" s="4">
        <f>+N29+N35+N41+N43+N51-0.1</f>
        <v>808483.70000000007</v>
      </c>
      <c r="O52" s="47">
        <f>+(N52-P52)/P52</f>
        <v>0.5594530934094184</v>
      </c>
      <c r="P52" s="4">
        <f>+P29+P35+P41+P43+P51</f>
        <v>518440.53752999991</v>
      </c>
    </row>
    <row r="55" spans="1:21">
      <c r="A55" s="185" t="s">
        <v>293</v>
      </c>
    </row>
    <row r="56" spans="1:21">
      <c r="A56" t="s">
        <v>294</v>
      </c>
      <c r="B56" s="12">
        <v>0</v>
      </c>
      <c r="D56" s="43">
        <v>0</v>
      </c>
      <c r="E56" s="43"/>
      <c r="F56" s="43">
        <v>0</v>
      </c>
      <c r="G56" s="43"/>
      <c r="H56" s="43">
        <v>0</v>
      </c>
      <c r="J56" s="43">
        <v>0</v>
      </c>
      <c r="K56" s="12"/>
      <c r="L56" s="43">
        <v>0</v>
      </c>
      <c r="M56" s="12"/>
      <c r="N56" s="12">
        <v>0</v>
      </c>
      <c r="O56" s="12"/>
      <c r="P56" s="12">
        <v>0</v>
      </c>
    </row>
    <row r="57" spans="1:21">
      <c r="A57" t="s">
        <v>295</v>
      </c>
      <c r="B57" s="12">
        <v>0</v>
      </c>
      <c r="D57" s="43">
        <v>0</v>
      </c>
      <c r="E57" s="43"/>
      <c r="F57" s="43">
        <v>0</v>
      </c>
      <c r="G57" s="43"/>
      <c r="H57" s="12">
        <v>0</v>
      </c>
      <c r="J57" s="12">
        <v>0</v>
      </c>
      <c r="K57" s="12"/>
      <c r="L57" s="12">
        <v>0</v>
      </c>
      <c r="M57" s="12"/>
      <c r="N57" s="12">
        <v>12304.9</v>
      </c>
      <c r="O57" s="12"/>
      <c r="P57" s="12">
        <v>0</v>
      </c>
    </row>
    <row r="58" spans="1:21">
      <c r="A58" t="s">
        <v>284</v>
      </c>
      <c r="B58" s="12">
        <v>45620.1</v>
      </c>
      <c r="D58" s="12">
        <v>0</v>
      </c>
      <c r="E58" s="43"/>
      <c r="F58" s="12">
        <v>0</v>
      </c>
      <c r="G58" s="43"/>
      <c r="H58" s="12">
        <v>0</v>
      </c>
      <c r="J58" s="12">
        <v>35128.1</v>
      </c>
      <c r="K58" s="12"/>
      <c r="L58" s="12">
        <v>12831</v>
      </c>
      <c r="M58" s="12"/>
      <c r="N58" s="12">
        <v>2706.5</v>
      </c>
      <c r="O58" s="12"/>
      <c r="P58" s="12">
        <v>0.45200000000000001</v>
      </c>
    </row>
    <row r="59" spans="1:21">
      <c r="D59" s="43"/>
      <c r="E59" s="43"/>
      <c r="F59" s="43"/>
      <c r="G59" s="43"/>
      <c r="H59" s="43"/>
      <c r="J59" s="43"/>
      <c r="K59" s="12"/>
      <c r="L59" s="43"/>
      <c r="M59" s="12"/>
      <c r="O59" s="12"/>
    </row>
    <row r="60" spans="1:21" ht="18.75">
      <c r="A60" s="122" t="s">
        <v>303</v>
      </c>
      <c r="B60" s="12">
        <v>351036.3</v>
      </c>
      <c r="D60" s="12">
        <v>0</v>
      </c>
      <c r="E60" s="43"/>
      <c r="F60" s="12">
        <v>0</v>
      </c>
      <c r="G60" s="43"/>
      <c r="H60" s="12">
        <v>0</v>
      </c>
      <c r="J60" s="12">
        <v>333313.7</v>
      </c>
      <c r="K60" s="12"/>
      <c r="L60" s="12">
        <v>288964.7</v>
      </c>
      <c r="M60" s="12"/>
      <c r="N60" s="12">
        <v>267625.40000000002</v>
      </c>
      <c r="O60" s="12"/>
      <c r="P60" s="12">
        <f>230230510.37/1000</f>
        <v>230230.51037</v>
      </c>
    </row>
    <row r="61" spans="1:21">
      <c r="A61" t="s">
        <v>217</v>
      </c>
      <c r="B61" s="12">
        <v>34123.5</v>
      </c>
      <c r="D61" s="12">
        <v>0</v>
      </c>
      <c r="E61" s="43"/>
      <c r="F61" s="12">
        <v>0</v>
      </c>
      <c r="G61" s="43"/>
      <c r="H61" s="12">
        <v>0</v>
      </c>
      <c r="J61" s="12">
        <v>32323.5</v>
      </c>
      <c r="K61" s="12"/>
      <c r="L61" s="12">
        <v>21411.8</v>
      </c>
      <c r="M61" s="12"/>
      <c r="N61" s="12">
        <v>12104.6</v>
      </c>
      <c r="O61" s="12"/>
      <c r="P61" s="12">
        <f>5786721.85/1000</f>
        <v>5786.7218499999999</v>
      </c>
    </row>
    <row r="62" spans="1:21">
      <c r="A62" t="s">
        <v>297</v>
      </c>
      <c r="B62" s="12">
        <v>81253.600000000006</v>
      </c>
      <c r="D62" s="12">
        <v>0</v>
      </c>
      <c r="E62" s="43"/>
      <c r="F62" s="12">
        <v>0</v>
      </c>
      <c r="G62" s="43"/>
      <c r="H62" s="12">
        <v>0</v>
      </c>
      <c r="J62" s="12">
        <v>83375.8</v>
      </c>
      <c r="K62" s="12"/>
      <c r="L62" s="12">
        <f>33316.9+9198.1+30672.5</f>
        <v>73187.5</v>
      </c>
      <c r="M62" s="12"/>
      <c r="N62" s="12">
        <v>31933.3</v>
      </c>
      <c r="O62" s="12"/>
      <c r="P62" s="12">
        <f>18561956.94/1000</f>
        <v>18561.95694</v>
      </c>
    </row>
    <row r="67" spans="1:15">
      <c r="B67" s="17" t="s">
        <v>548</v>
      </c>
      <c r="D67" s="17" t="s">
        <v>458</v>
      </c>
      <c r="F67" s="17" t="s">
        <v>459</v>
      </c>
      <c r="H67" s="17" t="s">
        <v>460</v>
      </c>
    </row>
    <row r="69" spans="1:15">
      <c r="A69" t="s">
        <v>414</v>
      </c>
      <c r="B69" s="4">
        <f t="shared" ref="B69:M69" si="4">SUM(B70:B78)</f>
        <v>381146.41632000002</v>
      </c>
      <c r="C69" s="11" t="s">
        <v>0</v>
      </c>
      <c r="D69" s="4">
        <f t="shared" si="4"/>
        <v>0</v>
      </c>
      <c r="E69" s="11">
        <f t="shared" si="4"/>
        <v>0</v>
      </c>
      <c r="F69" s="4">
        <f t="shared" si="4"/>
        <v>0</v>
      </c>
      <c r="G69" s="11">
        <f t="shared" si="4"/>
        <v>0</v>
      </c>
      <c r="H69" s="4">
        <f t="shared" si="4"/>
        <v>0</v>
      </c>
      <c r="I69" s="11">
        <f t="shared" si="4"/>
        <v>0</v>
      </c>
      <c r="J69" s="4">
        <f t="shared" si="4"/>
        <v>0</v>
      </c>
      <c r="K69" s="11">
        <f t="shared" si="4"/>
        <v>0</v>
      </c>
      <c r="L69" s="4">
        <f t="shared" si="4"/>
        <v>0</v>
      </c>
      <c r="M69" s="11">
        <f t="shared" si="4"/>
        <v>0</v>
      </c>
      <c r="O69" s="11">
        <f>SUM(O70:O78)</f>
        <v>0</v>
      </c>
    </row>
    <row r="70" spans="1:15">
      <c r="A70" t="s">
        <v>461</v>
      </c>
      <c r="B70" s="12">
        <f>26054603.61/1000</f>
        <v>26054.603609999998</v>
      </c>
      <c r="D70" s="12">
        <v>0</v>
      </c>
      <c r="F70" s="12">
        <v>0</v>
      </c>
      <c r="H70" s="12">
        <v>0</v>
      </c>
    </row>
    <row r="71" spans="1:15">
      <c r="A71" t="s">
        <v>462</v>
      </c>
      <c r="B71" s="12">
        <f>13400990.22/1000</f>
        <v>13400.990220000002</v>
      </c>
      <c r="D71" s="12">
        <v>0</v>
      </c>
      <c r="F71" s="12">
        <v>0</v>
      </c>
      <c r="H71" s="12">
        <v>0</v>
      </c>
    </row>
    <row r="72" spans="1:15">
      <c r="A72" t="s">
        <v>463</v>
      </c>
      <c r="B72" s="12">
        <f>13292295.14/1000</f>
        <v>13292.29514</v>
      </c>
      <c r="D72" s="12">
        <v>0</v>
      </c>
      <c r="F72" s="12">
        <v>0</v>
      </c>
      <c r="H72" s="12">
        <v>0</v>
      </c>
    </row>
    <row r="73" spans="1:15">
      <c r="A73" t="s">
        <v>464</v>
      </c>
      <c r="B73" s="12">
        <f>166294050.75/1000</f>
        <v>166294.05074999999</v>
      </c>
      <c r="D73" s="12">
        <v>0</v>
      </c>
      <c r="F73" s="12">
        <v>0</v>
      </c>
      <c r="H73" s="12">
        <v>0</v>
      </c>
    </row>
    <row r="74" spans="1:15">
      <c r="A74" t="s">
        <v>465</v>
      </c>
      <c r="B74" s="12">
        <v>85000</v>
      </c>
      <c r="D74" s="12">
        <v>0</v>
      </c>
      <c r="F74" s="12">
        <v>0</v>
      </c>
      <c r="H74" s="12">
        <v>0</v>
      </c>
    </row>
    <row r="75" spans="1:15">
      <c r="A75" t="s">
        <v>466</v>
      </c>
      <c r="B75" s="12">
        <v>0</v>
      </c>
      <c r="D75" s="12">
        <v>0</v>
      </c>
      <c r="F75" s="12">
        <v>0</v>
      </c>
      <c r="H75" s="12">
        <v>0</v>
      </c>
    </row>
    <row r="76" spans="1:15">
      <c r="A76" t="s">
        <v>467</v>
      </c>
      <c r="B76" s="12">
        <f>76531340.2/1000</f>
        <v>76531.340200000006</v>
      </c>
      <c r="D76" s="12">
        <v>0</v>
      </c>
      <c r="F76" s="12">
        <v>0</v>
      </c>
      <c r="H76" s="12">
        <v>0</v>
      </c>
    </row>
    <row r="77" spans="1:15">
      <c r="A77" t="s">
        <v>468</v>
      </c>
      <c r="B77" s="12">
        <v>0</v>
      </c>
      <c r="D77" s="12">
        <v>0</v>
      </c>
      <c r="F77" s="12">
        <v>0</v>
      </c>
      <c r="H77" s="12">
        <v>0</v>
      </c>
    </row>
    <row r="78" spans="1:15">
      <c r="A78" t="s">
        <v>469</v>
      </c>
      <c r="B78" s="12">
        <f>573136.4/1000</f>
        <v>573.13639999999998</v>
      </c>
      <c r="D78" s="12">
        <v>0</v>
      </c>
      <c r="F78" s="12">
        <v>0</v>
      </c>
      <c r="H78" s="12">
        <v>0</v>
      </c>
    </row>
    <row r="80" spans="1:15">
      <c r="A80" t="s">
        <v>470</v>
      </c>
      <c r="B80" s="4">
        <f t="shared" ref="B80:M80" si="5">SUM(B81:B82)</f>
        <v>207291.182</v>
      </c>
      <c r="C80" s="11" t="s">
        <v>0</v>
      </c>
      <c r="D80" s="4">
        <f t="shared" si="5"/>
        <v>0</v>
      </c>
      <c r="E80" s="11">
        <f t="shared" si="5"/>
        <v>0</v>
      </c>
      <c r="F80" s="4">
        <f t="shared" si="5"/>
        <v>0</v>
      </c>
      <c r="G80" s="11">
        <f t="shared" si="5"/>
        <v>0</v>
      </c>
      <c r="H80" s="4">
        <f t="shared" si="5"/>
        <v>0</v>
      </c>
      <c r="I80" s="11">
        <f t="shared" si="5"/>
        <v>0</v>
      </c>
      <c r="J80" s="4">
        <f t="shared" si="5"/>
        <v>0</v>
      </c>
      <c r="K80" s="11">
        <f t="shared" si="5"/>
        <v>0</v>
      </c>
      <c r="L80" s="4">
        <f t="shared" si="5"/>
        <v>0</v>
      </c>
      <c r="M80" s="11">
        <f t="shared" si="5"/>
        <v>0</v>
      </c>
      <c r="O80" s="11">
        <f>SUM(O81:O82)</f>
        <v>0</v>
      </c>
    </row>
    <row r="81" spans="1:15">
      <c r="A81" t="s">
        <v>471</v>
      </c>
      <c r="B81" s="12">
        <f>1731100/1000</f>
        <v>1731.1</v>
      </c>
      <c r="D81" s="12">
        <v>0</v>
      </c>
      <c r="F81" s="12">
        <v>0</v>
      </c>
      <c r="H81" s="12">
        <v>0</v>
      </c>
    </row>
    <row r="82" spans="1:15">
      <c r="A82" t="s">
        <v>472</v>
      </c>
      <c r="B82" s="12">
        <f>205560082/1000</f>
        <v>205560.08199999999</v>
      </c>
      <c r="D82" s="12">
        <v>0</v>
      </c>
      <c r="F82" s="12">
        <v>0</v>
      </c>
      <c r="H82" s="12">
        <v>0</v>
      </c>
    </row>
    <row r="84" spans="1:15">
      <c r="A84" t="s">
        <v>473</v>
      </c>
      <c r="B84" s="4">
        <f t="shared" ref="B84:M84" si="6">SUM(B85:B95)</f>
        <v>262949.97486000002</v>
      </c>
      <c r="C84" s="11" t="s">
        <v>0</v>
      </c>
      <c r="D84" s="4">
        <f t="shared" si="6"/>
        <v>0</v>
      </c>
      <c r="E84" s="11">
        <f t="shared" si="6"/>
        <v>0</v>
      </c>
      <c r="F84" s="4">
        <f t="shared" si="6"/>
        <v>0</v>
      </c>
      <c r="G84" s="11">
        <f t="shared" si="6"/>
        <v>0</v>
      </c>
      <c r="H84" s="4">
        <f t="shared" si="6"/>
        <v>0</v>
      </c>
      <c r="I84" s="11">
        <f t="shared" si="6"/>
        <v>0</v>
      </c>
      <c r="J84" s="4">
        <f t="shared" si="6"/>
        <v>0</v>
      </c>
      <c r="K84" s="11">
        <f t="shared" si="6"/>
        <v>0</v>
      </c>
      <c r="L84" s="4">
        <f t="shared" si="6"/>
        <v>0</v>
      </c>
      <c r="M84" s="11">
        <f t="shared" si="6"/>
        <v>0</v>
      </c>
      <c r="O84" s="11">
        <f>SUM(O85:O95)</f>
        <v>0</v>
      </c>
    </row>
    <row r="85" spans="1:15">
      <c r="A85" t="s">
        <v>474</v>
      </c>
      <c r="B85" s="12">
        <v>0</v>
      </c>
      <c r="D85" s="12">
        <v>0</v>
      </c>
      <c r="F85" s="12">
        <v>0</v>
      </c>
      <c r="H85" s="12">
        <v>0</v>
      </c>
    </row>
    <row r="86" spans="1:15">
      <c r="A86" t="s">
        <v>475</v>
      </c>
      <c r="B86" s="12">
        <f>87040001.43/1000</f>
        <v>87040.001430000004</v>
      </c>
      <c r="D86" s="12">
        <v>0</v>
      </c>
      <c r="F86" s="12">
        <v>0</v>
      </c>
      <c r="H86" s="12">
        <v>0</v>
      </c>
    </row>
    <row r="87" spans="1:15">
      <c r="A87" t="s">
        <v>476</v>
      </c>
      <c r="B87" s="12">
        <f>141979586.31/1000</f>
        <v>141979.58631000001</v>
      </c>
      <c r="D87" s="12">
        <v>0</v>
      </c>
      <c r="F87" s="12">
        <v>0</v>
      </c>
      <c r="H87" s="12">
        <v>0</v>
      </c>
    </row>
    <row r="88" spans="1:15">
      <c r="A88" t="s">
        <v>477</v>
      </c>
      <c r="B88" s="12">
        <v>0</v>
      </c>
      <c r="D88" s="12">
        <v>0</v>
      </c>
      <c r="F88" s="12">
        <v>0</v>
      </c>
      <c r="H88" s="12">
        <v>0</v>
      </c>
    </row>
    <row r="89" spans="1:15">
      <c r="A89" t="s">
        <v>478</v>
      </c>
      <c r="B89" s="12">
        <v>0</v>
      </c>
      <c r="D89" s="12">
        <v>0</v>
      </c>
      <c r="F89" s="12">
        <v>0</v>
      </c>
      <c r="H89" s="12">
        <v>0</v>
      </c>
    </row>
    <row r="90" spans="1:15">
      <c r="A90" t="s">
        <v>479</v>
      </c>
      <c r="B90" s="12">
        <v>0</v>
      </c>
      <c r="D90" s="12">
        <v>0</v>
      </c>
      <c r="F90" s="12">
        <v>0</v>
      </c>
      <c r="H90" s="12">
        <v>0</v>
      </c>
    </row>
    <row r="91" spans="1:15">
      <c r="A91" t="s">
        <v>480</v>
      </c>
      <c r="B91" s="12">
        <v>0</v>
      </c>
      <c r="D91" s="12">
        <v>0</v>
      </c>
      <c r="F91" s="12">
        <v>0</v>
      </c>
      <c r="H91" s="12">
        <v>0</v>
      </c>
    </row>
    <row r="92" spans="1:15">
      <c r="A92" t="s">
        <v>481</v>
      </c>
      <c r="B92" s="12">
        <v>0</v>
      </c>
      <c r="D92" s="12">
        <v>0</v>
      </c>
      <c r="F92" s="12">
        <v>0</v>
      </c>
      <c r="H92" s="12">
        <v>0</v>
      </c>
    </row>
    <row r="93" spans="1:15">
      <c r="A93" t="s">
        <v>482</v>
      </c>
      <c r="B93" s="12">
        <v>0</v>
      </c>
      <c r="D93" s="12">
        <v>0</v>
      </c>
      <c r="F93" s="12">
        <v>0</v>
      </c>
      <c r="H93" s="12">
        <v>0</v>
      </c>
    </row>
    <row r="94" spans="1:15">
      <c r="A94" t="s">
        <v>483</v>
      </c>
      <c r="B94" s="12">
        <f>47535007.17/1000</f>
        <v>47535.007170000004</v>
      </c>
      <c r="D94" s="12">
        <v>0</v>
      </c>
      <c r="F94" s="12">
        <v>0</v>
      </c>
      <c r="H94" s="12">
        <v>0</v>
      </c>
    </row>
    <row r="95" spans="1:15">
      <c r="A95" t="s">
        <v>484</v>
      </c>
      <c r="B95" s="12">
        <f>-13604620.05/1000</f>
        <v>-13604.620050000001</v>
      </c>
      <c r="D95" s="12">
        <v>0</v>
      </c>
      <c r="F95" s="12">
        <v>0</v>
      </c>
      <c r="H95" s="12">
        <v>0</v>
      </c>
    </row>
    <row r="97" spans="1:15">
      <c r="A97" t="s">
        <v>485</v>
      </c>
      <c r="B97" s="4">
        <f t="shared" ref="B97:M97" si="7">SUM(B98:B101)</f>
        <v>15026.166220000001</v>
      </c>
      <c r="C97" s="11" t="s">
        <v>0</v>
      </c>
      <c r="D97" s="4">
        <f t="shared" si="7"/>
        <v>0</v>
      </c>
      <c r="E97" s="11">
        <f t="shared" si="7"/>
        <v>0</v>
      </c>
      <c r="F97" s="4">
        <f t="shared" si="7"/>
        <v>0</v>
      </c>
      <c r="G97" s="11">
        <f t="shared" si="7"/>
        <v>0</v>
      </c>
      <c r="H97" s="4">
        <f t="shared" si="7"/>
        <v>0</v>
      </c>
      <c r="I97" s="11">
        <f t="shared" si="7"/>
        <v>0</v>
      </c>
      <c r="J97" s="4">
        <f t="shared" si="7"/>
        <v>0</v>
      </c>
      <c r="K97" s="11">
        <f t="shared" si="7"/>
        <v>0</v>
      </c>
      <c r="L97" s="4">
        <f t="shared" si="7"/>
        <v>0</v>
      </c>
      <c r="M97" s="11">
        <f t="shared" si="7"/>
        <v>0</v>
      </c>
      <c r="O97" s="11">
        <f>SUM(O98:O101)</f>
        <v>0</v>
      </c>
    </row>
    <row r="98" spans="1:15">
      <c r="A98" t="s">
        <v>486</v>
      </c>
      <c r="B98" s="12">
        <f>10272648.29/1000</f>
        <v>10272.648289999999</v>
      </c>
      <c r="D98" s="12">
        <v>0</v>
      </c>
      <c r="F98" s="12">
        <v>0</v>
      </c>
      <c r="H98" s="12">
        <v>0</v>
      </c>
    </row>
    <row r="99" spans="1:15">
      <c r="A99" t="s">
        <v>487</v>
      </c>
      <c r="B99" s="12">
        <f>4740696.17/1000</f>
        <v>4740.6961700000002</v>
      </c>
      <c r="D99" s="12">
        <v>0</v>
      </c>
      <c r="F99" s="12">
        <v>0</v>
      </c>
      <c r="H99" s="12">
        <v>0</v>
      </c>
    </row>
    <row r="100" spans="1:15">
      <c r="A100" t="s">
        <v>488</v>
      </c>
      <c r="B100" s="12">
        <v>0</v>
      </c>
      <c r="D100" s="12">
        <v>0</v>
      </c>
      <c r="F100" s="12">
        <v>0</v>
      </c>
      <c r="H100" s="12">
        <v>0</v>
      </c>
    </row>
    <row r="101" spans="1:15">
      <c r="A101" t="s">
        <v>489</v>
      </c>
      <c r="B101" s="12">
        <f>12821.76/1000</f>
        <v>12.821759999999999</v>
      </c>
      <c r="D101" s="12">
        <v>0</v>
      </c>
      <c r="F101" s="12">
        <v>0</v>
      </c>
      <c r="H101" s="12">
        <v>0</v>
      </c>
    </row>
    <row r="103" spans="1:15">
      <c r="A103" t="s">
        <v>490</v>
      </c>
      <c r="B103" s="4">
        <f>2461498.51/1000</f>
        <v>2461.4985099999999</v>
      </c>
      <c r="C103" s="11" t="s">
        <v>0</v>
      </c>
      <c r="D103" s="4">
        <v>0</v>
      </c>
      <c r="E103" s="11">
        <v>0</v>
      </c>
      <c r="F103" s="4">
        <v>0</v>
      </c>
      <c r="G103" s="11">
        <v>0</v>
      </c>
      <c r="H103" s="4">
        <v>0</v>
      </c>
      <c r="I103" s="11">
        <v>0</v>
      </c>
      <c r="J103" s="4">
        <v>0</v>
      </c>
      <c r="K103" s="11">
        <v>0</v>
      </c>
      <c r="L103" s="4">
        <v>0</v>
      </c>
      <c r="M103" s="11">
        <v>0</v>
      </c>
      <c r="N103" s="12">
        <v>0</v>
      </c>
      <c r="O103" s="11">
        <v>0</v>
      </c>
    </row>
    <row r="104" spans="1:15">
      <c r="B104" s="16" t="s">
        <v>0</v>
      </c>
      <c r="D104" s="16" t="s">
        <v>0</v>
      </c>
      <c r="F104" s="16" t="s">
        <v>0</v>
      </c>
      <c r="H104" s="16" t="s">
        <v>0</v>
      </c>
    </row>
    <row r="105" spans="1:15">
      <c r="A105" t="s">
        <v>491</v>
      </c>
      <c r="B105" s="4">
        <v>0</v>
      </c>
      <c r="D105" s="4">
        <v>0</v>
      </c>
      <c r="F105" s="4">
        <v>0</v>
      </c>
      <c r="H105" s="4">
        <v>0</v>
      </c>
    </row>
    <row r="107" spans="1:15">
      <c r="A107" t="s">
        <v>492</v>
      </c>
      <c r="B107" s="4">
        <f t="shared" ref="B107:M107" si="8">SUM(B108:B111)</f>
        <v>17653.521959999998</v>
      </c>
      <c r="C107" s="11" t="s">
        <v>0</v>
      </c>
      <c r="D107" s="4">
        <f t="shared" si="8"/>
        <v>0</v>
      </c>
      <c r="E107" s="11">
        <f t="shared" si="8"/>
        <v>0</v>
      </c>
      <c r="F107" s="4">
        <f t="shared" si="8"/>
        <v>0</v>
      </c>
      <c r="G107" s="11">
        <f t="shared" si="8"/>
        <v>0</v>
      </c>
      <c r="H107" s="4">
        <f t="shared" si="8"/>
        <v>0</v>
      </c>
      <c r="I107" s="11">
        <f t="shared" si="8"/>
        <v>0</v>
      </c>
      <c r="J107" s="4">
        <f t="shared" si="8"/>
        <v>0</v>
      </c>
      <c r="K107" s="11">
        <f t="shared" si="8"/>
        <v>0</v>
      </c>
      <c r="L107" s="4">
        <f t="shared" si="8"/>
        <v>0</v>
      </c>
      <c r="M107" s="11">
        <f t="shared" si="8"/>
        <v>0</v>
      </c>
      <c r="O107" s="11">
        <f>SUM(O108:O111)</f>
        <v>0</v>
      </c>
    </row>
    <row r="108" spans="1:15">
      <c r="A108" t="s">
        <v>493</v>
      </c>
      <c r="B108" s="12">
        <f>23428413.44/1000</f>
        <v>23428.41344</v>
      </c>
      <c r="D108" s="12">
        <v>0</v>
      </c>
      <c r="F108" s="12">
        <v>0</v>
      </c>
      <c r="H108" s="12">
        <v>0</v>
      </c>
    </row>
    <row r="109" spans="1:15">
      <c r="A109" t="s">
        <v>494</v>
      </c>
      <c r="B109" s="12">
        <f>1462938.4/1000</f>
        <v>1462.9384</v>
      </c>
      <c r="D109" s="12">
        <v>0</v>
      </c>
      <c r="F109" s="12">
        <v>0</v>
      </c>
      <c r="H109" s="12">
        <v>0</v>
      </c>
    </row>
    <row r="110" spans="1:15">
      <c r="A110" t="s">
        <v>495</v>
      </c>
      <c r="B110" s="12">
        <f>-7334267.88/1000</f>
        <v>-7334.2678800000003</v>
      </c>
      <c r="D110" s="12">
        <v>0</v>
      </c>
      <c r="F110" s="12">
        <v>0</v>
      </c>
      <c r="H110" s="12">
        <v>0</v>
      </c>
    </row>
    <row r="111" spans="1:15">
      <c r="A111" t="s">
        <v>496</v>
      </c>
      <c r="B111" s="12">
        <f>96438/1000</f>
        <v>96.438000000000002</v>
      </c>
      <c r="D111" s="12">
        <v>0</v>
      </c>
      <c r="F111" s="12">
        <v>0</v>
      </c>
      <c r="H111" s="12">
        <v>0</v>
      </c>
    </row>
    <row r="113" spans="1:15">
      <c r="A113" t="s">
        <v>497</v>
      </c>
      <c r="B113" s="12">
        <v>0</v>
      </c>
      <c r="D113" s="12">
        <v>0</v>
      </c>
      <c r="F113" s="12">
        <v>0</v>
      </c>
      <c r="H113" s="12">
        <v>0</v>
      </c>
    </row>
    <row r="115" spans="1:15">
      <c r="A115" s="2" t="s">
        <v>498</v>
      </c>
      <c r="B115" s="4">
        <f t="shared" ref="B115:M115" si="9">+B69+B80+B84+B97+B103+B105+B107+B113</f>
        <v>886528.75987000007</v>
      </c>
      <c r="C115" s="11" t="s">
        <v>0</v>
      </c>
      <c r="D115" s="4">
        <f t="shared" si="9"/>
        <v>0</v>
      </c>
      <c r="E115" s="11">
        <f t="shared" si="9"/>
        <v>0</v>
      </c>
      <c r="F115" s="4">
        <f t="shared" si="9"/>
        <v>0</v>
      </c>
      <c r="G115" s="11">
        <f t="shared" si="9"/>
        <v>0</v>
      </c>
      <c r="H115" s="4">
        <f t="shared" si="9"/>
        <v>0</v>
      </c>
      <c r="I115" s="11">
        <f t="shared" si="9"/>
        <v>0</v>
      </c>
      <c r="J115" s="4">
        <f t="shared" si="9"/>
        <v>0</v>
      </c>
      <c r="K115" s="11">
        <f t="shared" si="9"/>
        <v>0</v>
      </c>
      <c r="L115" s="4">
        <f t="shared" si="9"/>
        <v>0</v>
      </c>
      <c r="M115" s="11">
        <f t="shared" si="9"/>
        <v>0</v>
      </c>
      <c r="O115" s="11">
        <f>+O69+O80+O84+O97+O103+O105+O107+O113</f>
        <v>0</v>
      </c>
    </row>
    <row r="118" spans="1:15">
      <c r="A118" t="s">
        <v>276</v>
      </c>
    </row>
    <row r="120" spans="1:15">
      <c r="A120" t="s">
        <v>499</v>
      </c>
      <c r="B120" s="4">
        <f>SUM(B121:B122)</f>
        <v>374241.67017</v>
      </c>
      <c r="C120" s="11"/>
      <c r="D120" s="4">
        <f>SUM(D121:D122)</f>
        <v>0</v>
      </c>
      <c r="E120" s="11"/>
      <c r="F120" s="4">
        <f>SUM(F121:F122)</f>
        <v>0</v>
      </c>
      <c r="G120" s="11"/>
      <c r="H120" s="4">
        <f>SUM(H121:H122)</f>
        <v>0</v>
      </c>
      <c r="I120" s="11"/>
      <c r="J120" s="4"/>
      <c r="K120" s="11"/>
      <c r="L120" s="4"/>
      <c r="M120" s="11"/>
      <c r="O120" s="11"/>
    </row>
    <row r="121" spans="1:15">
      <c r="A121" t="s">
        <v>500</v>
      </c>
      <c r="B121" s="12">
        <f>373776187.39/1000</f>
        <v>373776.18738999998</v>
      </c>
      <c r="D121" s="12">
        <v>0</v>
      </c>
      <c r="F121" s="12">
        <v>0</v>
      </c>
      <c r="H121" s="12">
        <v>0</v>
      </c>
    </row>
    <row r="122" spans="1:15">
      <c r="A122" t="s">
        <v>501</v>
      </c>
      <c r="B122" s="12">
        <f>465482.78/1000</f>
        <v>465.48278000000005</v>
      </c>
      <c r="D122" s="12">
        <v>0</v>
      </c>
      <c r="F122" s="12">
        <v>0</v>
      </c>
      <c r="H122" s="12">
        <v>0</v>
      </c>
    </row>
    <row r="123" spans="1:15">
      <c r="A123" t="s">
        <v>0</v>
      </c>
    </row>
    <row r="124" spans="1:15">
      <c r="A124" t="s">
        <v>502</v>
      </c>
      <c r="B124" s="4">
        <f>153412139.98/1000</f>
        <v>153412.13997999998</v>
      </c>
      <c r="C124" s="11"/>
      <c r="D124" s="4">
        <v>0</v>
      </c>
      <c r="E124" s="11"/>
      <c r="F124" s="4">
        <v>0</v>
      </c>
      <c r="G124" s="11"/>
      <c r="H124" s="4">
        <v>0</v>
      </c>
      <c r="I124" s="11"/>
      <c r="J124" s="4"/>
      <c r="K124" s="11"/>
      <c r="L124" s="4"/>
      <c r="M124" s="11"/>
      <c r="O124" s="11"/>
    </row>
    <row r="126" spans="1:15">
      <c r="A126" t="s">
        <v>503</v>
      </c>
      <c r="B126" s="4">
        <f>119464847.7/1000</f>
        <v>119464.8477</v>
      </c>
      <c r="C126" s="11"/>
      <c r="D126" s="4">
        <v>0</v>
      </c>
      <c r="E126" s="11"/>
      <c r="F126" s="4">
        <v>0</v>
      </c>
      <c r="G126" s="11"/>
      <c r="H126" s="4">
        <v>0</v>
      </c>
      <c r="I126" s="11"/>
      <c r="J126" s="4"/>
      <c r="K126" s="11"/>
      <c r="L126" s="4"/>
      <c r="M126" s="11"/>
      <c r="O126" s="11"/>
    </row>
    <row r="128" spans="1:15">
      <c r="A128" t="s">
        <v>504</v>
      </c>
      <c r="B128" s="4">
        <f>SUM(B129:B141)</f>
        <v>127718.69569000001</v>
      </c>
      <c r="C128" s="11"/>
      <c r="D128" s="4">
        <f>SUM(D129:D141)</f>
        <v>0</v>
      </c>
      <c r="E128" s="11"/>
      <c r="F128" s="4">
        <f>SUM(F129:F141)</f>
        <v>0</v>
      </c>
      <c r="G128" s="11"/>
      <c r="H128" s="4">
        <f>SUM(H129:H141)</f>
        <v>0</v>
      </c>
      <c r="I128" s="11"/>
      <c r="J128" s="4"/>
      <c r="K128" s="11"/>
      <c r="L128" s="4"/>
      <c r="M128" s="11"/>
      <c r="O128" s="11"/>
    </row>
    <row r="129" spans="1:15">
      <c r="A129" t="s">
        <v>505</v>
      </c>
      <c r="B129" s="12">
        <f>47200746.64/1000</f>
        <v>47200.746639999998</v>
      </c>
      <c r="D129" s="12">
        <v>0</v>
      </c>
      <c r="F129" s="12">
        <v>0</v>
      </c>
      <c r="H129" s="12">
        <v>0</v>
      </c>
    </row>
    <row r="130" spans="1:15">
      <c r="A130" t="s">
        <v>506</v>
      </c>
      <c r="B130" s="12">
        <f>12784974.97/1000</f>
        <v>12784.974970000001</v>
      </c>
      <c r="D130" s="12">
        <v>0</v>
      </c>
      <c r="F130" s="12">
        <v>0</v>
      </c>
      <c r="H130" s="12">
        <v>0</v>
      </c>
    </row>
    <row r="131" spans="1:15">
      <c r="A131" t="s">
        <v>507</v>
      </c>
      <c r="B131" s="12">
        <v>0</v>
      </c>
      <c r="D131" s="12">
        <v>0</v>
      </c>
      <c r="F131" s="12">
        <v>0</v>
      </c>
      <c r="H131" s="12">
        <v>0</v>
      </c>
    </row>
    <row r="132" spans="1:15">
      <c r="A132" t="s">
        <v>508</v>
      </c>
      <c r="B132" s="12">
        <f>34396/1000</f>
        <v>34.396000000000001</v>
      </c>
      <c r="D132" s="12">
        <v>0</v>
      </c>
      <c r="F132" s="12">
        <v>0</v>
      </c>
      <c r="H132" s="12">
        <v>0</v>
      </c>
    </row>
    <row r="133" spans="1:15">
      <c r="A133" t="s">
        <v>509</v>
      </c>
      <c r="B133" s="12">
        <v>0</v>
      </c>
      <c r="D133" s="12">
        <v>0</v>
      </c>
      <c r="F133" s="12">
        <v>0</v>
      </c>
      <c r="H133" s="12">
        <v>0</v>
      </c>
    </row>
    <row r="134" spans="1:15">
      <c r="A134" t="s">
        <v>510</v>
      </c>
      <c r="B134" s="12">
        <f>6301091.91/1000</f>
        <v>6301.0919100000001</v>
      </c>
      <c r="D134" s="12">
        <v>0</v>
      </c>
      <c r="F134" s="12">
        <v>0</v>
      </c>
      <c r="H134" s="12">
        <v>0</v>
      </c>
    </row>
    <row r="135" spans="1:15">
      <c r="A135" t="s">
        <v>511</v>
      </c>
      <c r="B135" s="12">
        <v>0</v>
      </c>
      <c r="D135" s="12">
        <v>0</v>
      </c>
      <c r="F135" s="12">
        <v>0</v>
      </c>
      <c r="H135" s="12">
        <v>0</v>
      </c>
    </row>
    <row r="136" spans="1:15">
      <c r="A136" t="s">
        <v>512</v>
      </c>
      <c r="B136" s="12">
        <f>35139004.28/1000</f>
        <v>35139.004280000001</v>
      </c>
      <c r="D136" s="12">
        <v>0</v>
      </c>
      <c r="F136" s="12">
        <v>0</v>
      </c>
      <c r="H136" s="12">
        <v>0</v>
      </c>
    </row>
    <row r="137" spans="1:15">
      <c r="A137" t="s">
        <v>513</v>
      </c>
      <c r="B137" s="12">
        <f>258481.75/1000</f>
        <v>258.48174999999998</v>
      </c>
      <c r="D137" s="12">
        <v>0</v>
      </c>
      <c r="F137" s="12">
        <v>0</v>
      </c>
      <c r="H137" s="12">
        <v>0</v>
      </c>
    </row>
    <row r="138" spans="1:15">
      <c r="A138" t="s">
        <v>514</v>
      </c>
      <c r="B138" s="12">
        <f>26000000.14/1000</f>
        <v>26000.00014</v>
      </c>
      <c r="D138" s="12">
        <v>0</v>
      </c>
      <c r="F138" s="12">
        <v>0</v>
      </c>
      <c r="H138" s="12">
        <v>0</v>
      </c>
    </row>
    <row r="139" spans="1:15">
      <c r="A139" t="s">
        <v>515</v>
      </c>
      <c r="B139" s="12">
        <v>0</v>
      </c>
      <c r="D139" s="12">
        <v>0</v>
      </c>
      <c r="F139" s="12">
        <v>0</v>
      </c>
      <c r="H139" s="12">
        <v>0</v>
      </c>
    </row>
    <row r="140" spans="1:15">
      <c r="A140" t="s">
        <v>516</v>
      </c>
      <c r="B140" s="12">
        <v>0</v>
      </c>
      <c r="D140" s="12">
        <v>0</v>
      </c>
      <c r="F140" s="12">
        <v>0</v>
      </c>
      <c r="H140" s="12">
        <v>0</v>
      </c>
    </row>
    <row r="141" spans="1:15">
      <c r="A141" t="s">
        <v>273</v>
      </c>
      <c r="B141" s="12">
        <v>0</v>
      </c>
      <c r="D141" s="12">
        <v>0</v>
      </c>
      <c r="F141" s="12">
        <v>0</v>
      </c>
      <c r="H141" s="12">
        <v>0</v>
      </c>
    </row>
    <row r="143" spans="1:15">
      <c r="A143" t="s">
        <v>517</v>
      </c>
      <c r="B143" s="4">
        <f>SUM(B144:B150)</f>
        <v>12097.155570000001</v>
      </c>
      <c r="C143" s="11"/>
      <c r="D143" s="4">
        <f>SUM(D144:D150)</f>
        <v>0</v>
      </c>
      <c r="E143" s="11"/>
      <c r="F143" s="4">
        <f>SUM(F144:F150)</f>
        <v>0</v>
      </c>
      <c r="G143" s="11"/>
      <c r="H143" s="4">
        <f>SUM(H144:H150)</f>
        <v>0</v>
      </c>
      <c r="I143" s="11"/>
      <c r="J143" s="4"/>
      <c r="K143" s="11"/>
      <c r="L143" s="4"/>
      <c r="M143" s="11"/>
      <c r="O143" s="11"/>
    </row>
    <row r="144" spans="1:15">
      <c r="A144" t="s">
        <v>518</v>
      </c>
      <c r="B144" s="12">
        <v>0</v>
      </c>
      <c r="D144" s="12">
        <v>0</v>
      </c>
      <c r="F144" s="12">
        <v>0</v>
      </c>
      <c r="H144" s="12">
        <v>0</v>
      </c>
    </row>
    <row r="145" spans="1:15">
      <c r="A145" t="s">
        <v>519</v>
      </c>
      <c r="B145" s="12">
        <v>0</v>
      </c>
      <c r="D145" s="12">
        <v>0</v>
      </c>
      <c r="F145" s="12">
        <v>0</v>
      </c>
      <c r="H145" s="12">
        <v>0</v>
      </c>
    </row>
    <row r="146" spans="1:15">
      <c r="A146" t="s">
        <v>520</v>
      </c>
      <c r="B146" s="12">
        <v>0</v>
      </c>
      <c r="D146" s="12">
        <v>0</v>
      </c>
      <c r="F146" s="12">
        <v>0</v>
      </c>
      <c r="H146" s="12">
        <v>0</v>
      </c>
    </row>
    <row r="147" spans="1:15">
      <c r="A147" t="s">
        <v>521</v>
      </c>
      <c r="B147" s="12">
        <v>0</v>
      </c>
      <c r="D147" s="12">
        <v>0</v>
      </c>
      <c r="F147" s="12">
        <v>0</v>
      </c>
      <c r="H147" s="12">
        <v>0</v>
      </c>
    </row>
    <row r="148" spans="1:15">
      <c r="A148" t="s">
        <v>522</v>
      </c>
      <c r="B148" s="12">
        <v>0</v>
      </c>
      <c r="D148" s="12">
        <v>0</v>
      </c>
      <c r="F148" s="12">
        <v>0</v>
      </c>
      <c r="H148" s="12">
        <v>0</v>
      </c>
    </row>
    <row r="149" spans="1:15">
      <c r="A149" t="s">
        <v>523</v>
      </c>
      <c r="B149" s="12">
        <v>0</v>
      </c>
      <c r="D149" s="12">
        <v>0</v>
      </c>
      <c r="F149" s="12">
        <v>0</v>
      </c>
      <c r="H149" s="12">
        <v>0</v>
      </c>
    </row>
    <row r="150" spans="1:15">
      <c r="A150" t="s">
        <v>524</v>
      </c>
      <c r="B150" s="12">
        <f>12097155.57/1000</f>
        <v>12097.155570000001</v>
      </c>
      <c r="D150" s="12">
        <v>0</v>
      </c>
      <c r="F150" s="12">
        <v>0</v>
      </c>
      <c r="H150" s="12">
        <v>0</v>
      </c>
    </row>
    <row r="152" spans="1:15">
      <c r="A152" t="s">
        <v>525</v>
      </c>
      <c r="B152" s="4">
        <v>0</v>
      </c>
      <c r="C152" s="11"/>
      <c r="D152" s="4">
        <v>0</v>
      </c>
      <c r="E152" s="11"/>
      <c r="F152" s="4">
        <v>0</v>
      </c>
      <c r="G152" s="11"/>
      <c r="H152" s="4">
        <v>0</v>
      </c>
      <c r="I152" s="11"/>
      <c r="J152" s="4"/>
      <c r="K152" s="11"/>
      <c r="L152" s="4"/>
      <c r="M152" s="11"/>
      <c r="O152" s="11"/>
    </row>
    <row r="154" spans="1:15">
      <c r="A154" t="s">
        <v>374</v>
      </c>
      <c r="B154" s="4">
        <f>979748.91/1000</f>
        <v>979.74891000000002</v>
      </c>
      <c r="C154" s="11"/>
      <c r="D154" s="4">
        <v>0</v>
      </c>
      <c r="E154" s="11"/>
      <c r="F154" s="4">
        <v>0</v>
      </c>
      <c r="G154" s="11"/>
      <c r="H154" s="4">
        <v>0</v>
      </c>
      <c r="I154" s="11"/>
      <c r="J154" s="4"/>
      <c r="K154" s="11"/>
      <c r="L154" s="4"/>
      <c r="M154" s="11"/>
      <c r="O154" s="11"/>
    </row>
    <row r="156" spans="1:15">
      <c r="A156" t="s">
        <v>375</v>
      </c>
      <c r="B156" s="4">
        <v>0</v>
      </c>
      <c r="C156" s="11"/>
      <c r="D156" s="4">
        <v>0</v>
      </c>
      <c r="E156" s="11"/>
      <c r="F156" s="4">
        <v>0</v>
      </c>
      <c r="G156" s="11"/>
      <c r="H156" s="4">
        <v>0</v>
      </c>
      <c r="I156" s="11"/>
      <c r="J156" s="4"/>
      <c r="K156" s="11"/>
      <c r="L156" s="4"/>
      <c r="M156" s="11"/>
      <c r="O156" s="11"/>
    </row>
    <row r="158" spans="1:15">
      <c r="A158" t="s">
        <v>376</v>
      </c>
      <c r="B158" s="4">
        <f>+B162+B163+B164</f>
        <v>13614.501850000001</v>
      </c>
      <c r="C158" s="11"/>
      <c r="D158" s="4">
        <f>+D162+D163+D164</f>
        <v>0</v>
      </c>
      <c r="E158" s="11"/>
      <c r="F158" s="4">
        <f>+F162+F163+F164</f>
        <v>0</v>
      </c>
      <c r="G158" s="11"/>
      <c r="H158" s="4">
        <f>+H162+H163+H164</f>
        <v>0</v>
      </c>
      <c r="I158" s="11"/>
      <c r="J158" s="4"/>
      <c r="K158" s="11"/>
      <c r="L158" s="4"/>
      <c r="M158" s="11"/>
      <c r="O158" s="11"/>
    </row>
    <row r="159" spans="1:15">
      <c r="A159" t="s">
        <v>377</v>
      </c>
      <c r="B159" s="12">
        <f>5000000/1000</f>
        <v>5000</v>
      </c>
      <c r="D159" s="12">
        <v>0</v>
      </c>
      <c r="F159" s="12">
        <v>0</v>
      </c>
      <c r="H159" s="12">
        <v>0</v>
      </c>
    </row>
    <row r="160" spans="1:15">
      <c r="A160" t="s">
        <v>378</v>
      </c>
      <c r="B160" s="12">
        <v>0</v>
      </c>
      <c r="D160" s="12">
        <v>0</v>
      </c>
      <c r="F160" s="12">
        <v>0</v>
      </c>
      <c r="H160" s="12">
        <v>0</v>
      </c>
    </row>
    <row r="161" spans="1:15">
      <c r="A161" t="s">
        <v>302</v>
      </c>
      <c r="B161" s="12">
        <v>0</v>
      </c>
      <c r="D161" s="12">
        <v>0</v>
      </c>
      <c r="F161" s="12">
        <v>0</v>
      </c>
      <c r="H161" s="12">
        <v>0</v>
      </c>
    </row>
    <row r="162" spans="1:15">
      <c r="A162" t="s">
        <v>289</v>
      </c>
      <c r="B162" s="4">
        <f>+B159+B160</f>
        <v>5000</v>
      </c>
      <c r="D162" s="4">
        <f>+D159+D160</f>
        <v>0</v>
      </c>
      <c r="F162" s="4">
        <f>+F159+F160</f>
        <v>0</v>
      </c>
      <c r="H162" s="4">
        <f>+H159+H160</f>
        <v>0</v>
      </c>
    </row>
    <row r="163" spans="1:15">
      <c r="A163" t="s">
        <v>379</v>
      </c>
      <c r="B163" s="12">
        <f>7197578.54/1000</f>
        <v>7197.5785400000004</v>
      </c>
      <c r="D163" s="12">
        <v>0</v>
      </c>
      <c r="F163" s="12">
        <v>0</v>
      </c>
      <c r="H163" s="12">
        <v>0</v>
      </c>
    </row>
    <row r="164" spans="1:15">
      <c r="A164" t="s">
        <v>380</v>
      </c>
      <c r="B164" s="12">
        <f>1416923.31/1000</f>
        <v>1416.9233100000001</v>
      </c>
      <c r="D164" s="12">
        <v>0</v>
      </c>
      <c r="F164" s="12">
        <v>0</v>
      </c>
      <c r="H164" s="12">
        <v>0</v>
      </c>
    </row>
    <row r="166" spans="1:15">
      <c r="A166" t="s">
        <v>381</v>
      </c>
      <c r="B166" s="4">
        <f>SUM(B167:B168)</f>
        <v>0</v>
      </c>
      <c r="C166" s="11"/>
      <c r="D166" s="4">
        <f>SUM(D167:D168)</f>
        <v>0</v>
      </c>
      <c r="E166" s="11"/>
      <c r="F166" s="4">
        <f>SUM(F167:F168)</f>
        <v>0</v>
      </c>
      <c r="G166" s="11"/>
      <c r="H166" s="4">
        <f>SUM(H167:H168)</f>
        <v>0</v>
      </c>
      <c r="I166" s="11"/>
      <c r="J166" s="4"/>
      <c r="K166" s="11"/>
      <c r="L166" s="4"/>
      <c r="M166" s="11"/>
      <c r="O166" s="11"/>
    </row>
    <row r="167" spans="1:15">
      <c r="A167" t="s">
        <v>382</v>
      </c>
      <c r="B167" s="12">
        <v>0</v>
      </c>
      <c r="D167" s="12">
        <v>0</v>
      </c>
      <c r="F167" s="12">
        <v>0</v>
      </c>
      <c r="H167" s="12">
        <v>0</v>
      </c>
    </row>
    <row r="168" spans="1:15">
      <c r="A168" t="s">
        <v>383</v>
      </c>
      <c r="B168" s="12">
        <v>0</v>
      </c>
      <c r="D168" s="12">
        <v>0</v>
      </c>
      <c r="F168" s="12">
        <v>0</v>
      </c>
      <c r="H168" s="12">
        <v>0</v>
      </c>
    </row>
    <row r="170" spans="1:15">
      <c r="A170" t="s">
        <v>384</v>
      </c>
      <c r="B170" s="4">
        <f t="shared" ref="B170:M170" si="10">+B120+B124+B126+B128+B143+B152+B154+B156+B158+B166</f>
        <v>801528.75986999995</v>
      </c>
      <c r="C170" s="11" t="s">
        <v>0</v>
      </c>
      <c r="D170" s="4">
        <f t="shared" si="10"/>
        <v>0</v>
      </c>
      <c r="E170" s="11">
        <f t="shared" si="10"/>
        <v>0</v>
      </c>
      <c r="F170" s="4">
        <f t="shared" si="10"/>
        <v>0</v>
      </c>
      <c r="G170" s="11">
        <f t="shared" si="10"/>
        <v>0</v>
      </c>
      <c r="H170" s="4">
        <f t="shared" si="10"/>
        <v>0</v>
      </c>
      <c r="I170" s="11">
        <f t="shared" si="10"/>
        <v>0</v>
      </c>
      <c r="J170" s="4">
        <f t="shared" si="10"/>
        <v>0</v>
      </c>
      <c r="K170" s="11">
        <f t="shared" si="10"/>
        <v>0</v>
      </c>
      <c r="L170" s="4">
        <f t="shared" si="10"/>
        <v>0</v>
      </c>
      <c r="M170" s="11">
        <f t="shared" si="10"/>
        <v>0</v>
      </c>
      <c r="O170" s="11">
        <f>+O120+O124+O126+O128+O143+O152+O154+O156+O158+O166</f>
        <v>0</v>
      </c>
    </row>
  </sheetData>
  <pageMargins left="0.27" right="0.25" top="0.55000000000000004" bottom="0.56999999999999995" header="0.36" footer="0.28999999999999998"/>
  <pageSetup scale="54" orientation="landscape" r:id="rId1"/>
  <headerFooter alignWithMargins="0">
    <oddFooter>&amp;R&amp;P</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6"/>
  <sheetViews>
    <sheetView workbookViewId="0"/>
  </sheetViews>
  <sheetFormatPr defaultRowHeight="15.75"/>
  <cols>
    <col min="1" max="1" width="33.25" customWidth="1"/>
    <col min="2" max="2" width="17.37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9.75" style="13" customWidth="1"/>
    <col min="18" max="18" width="15.75" style="12" customWidth="1"/>
    <col min="19" max="21" width="15.75" customWidth="1"/>
    <col min="22" max="256" width="11" customWidth="1"/>
  </cols>
  <sheetData>
    <row r="1" spans="1:21">
      <c r="A1" s="114" t="s">
        <v>595</v>
      </c>
      <c r="B1" s="37"/>
      <c r="C1" s="38"/>
      <c r="D1" s="37"/>
      <c r="E1" s="38"/>
      <c r="F1" s="37"/>
      <c r="G1" s="38"/>
      <c r="H1" s="37"/>
      <c r="I1" s="38"/>
      <c r="J1" s="37"/>
      <c r="K1" s="38"/>
      <c r="L1" s="37"/>
      <c r="M1" s="38"/>
      <c r="N1" s="37"/>
      <c r="O1" s="38"/>
      <c r="P1" s="37"/>
      <c r="Q1" s="38"/>
    </row>
    <row r="2" spans="1:21">
      <c r="A2" s="114" t="s">
        <v>305</v>
      </c>
      <c r="B2" s="37"/>
      <c r="C2" s="38"/>
      <c r="D2" s="37"/>
      <c r="E2" s="38"/>
      <c r="F2" s="37"/>
      <c r="G2" s="38"/>
      <c r="H2" s="37"/>
      <c r="I2" s="38"/>
      <c r="J2" s="37"/>
      <c r="K2" s="38"/>
      <c r="L2" s="37"/>
      <c r="M2" s="38"/>
      <c r="N2" s="37"/>
      <c r="O2" s="38"/>
      <c r="P2" s="37"/>
      <c r="Q2" s="38"/>
    </row>
    <row r="3" spans="1:21">
      <c r="A3" s="114" t="s">
        <v>526</v>
      </c>
      <c r="B3" s="37"/>
      <c r="C3" s="38"/>
      <c r="D3" s="37"/>
      <c r="E3" s="38"/>
      <c r="F3" s="37"/>
      <c r="G3" s="38"/>
      <c r="H3" s="37"/>
      <c r="I3" s="38"/>
      <c r="J3" s="37"/>
      <c r="K3" s="38"/>
      <c r="L3" s="37"/>
      <c r="M3" s="38"/>
      <c r="N3" s="37"/>
      <c r="O3" s="38"/>
      <c r="P3" s="37"/>
      <c r="Q3" s="38"/>
    </row>
    <row r="4" spans="1:21">
      <c r="A4" s="114" t="s">
        <v>179</v>
      </c>
      <c r="B4" s="37"/>
      <c r="C4" s="38"/>
      <c r="D4" s="37"/>
      <c r="E4" s="38"/>
      <c r="F4" s="37"/>
      <c r="G4" s="38"/>
      <c r="H4" s="37"/>
      <c r="I4" s="38"/>
      <c r="J4" s="37"/>
      <c r="K4" s="38"/>
      <c r="L4" s="37"/>
      <c r="M4" s="38"/>
      <c r="N4" s="37"/>
      <c r="O4" s="38"/>
      <c r="P4" s="37"/>
      <c r="Q4" s="38"/>
    </row>
    <row r="6" spans="1:21" s="2" customFormat="1" ht="16.5" thickBot="1">
      <c r="B6" s="400" t="s">
        <v>0</v>
      </c>
      <c r="C6" s="399"/>
      <c r="D6" s="400"/>
      <c r="E6" s="399"/>
      <c r="F6" s="400"/>
      <c r="G6" s="399"/>
      <c r="H6" s="400"/>
      <c r="I6" s="11"/>
      <c r="J6" s="123" t="s">
        <v>167</v>
      </c>
      <c r="K6" s="230"/>
      <c r="L6" s="123"/>
      <c r="M6" s="230"/>
      <c r="N6" s="123"/>
      <c r="O6" s="230"/>
      <c r="P6" s="123"/>
      <c r="Q6" s="230"/>
      <c r="R6" s="4"/>
    </row>
    <row r="7" spans="1:21" s="2" customFormat="1" ht="16.5" thickBot="1">
      <c r="B7" s="223" t="s">
        <v>168</v>
      </c>
      <c r="C7" s="224" t="s">
        <v>301</v>
      </c>
      <c r="D7" s="225" t="s">
        <v>170</v>
      </c>
      <c r="E7" s="224" t="s">
        <v>301</v>
      </c>
      <c r="F7" s="225" t="s">
        <v>171</v>
      </c>
      <c r="G7" s="224" t="s">
        <v>301</v>
      </c>
      <c r="H7" s="225" t="s">
        <v>172</v>
      </c>
      <c r="I7" s="224" t="s">
        <v>301</v>
      </c>
      <c r="J7" s="228" t="s">
        <v>174</v>
      </c>
      <c r="K7" s="227" t="s">
        <v>301</v>
      </c>
      <c r="L7" s="228" t="s">
        <v>175</v>
      </c>
      <c r="M7" s="227" t="s">
        <v>301</v>
      </c>
      <c r="N7" s="228" t="s">
        <v>176</v>
      </c>
      <c r="O7" s="227" t="s">
        <v>301</v>
      </c>
      <c r="P7" s="228" t="s">
        <v>177</v>
      </c>
      <c r="Q7" s="227" t="s">
        <v>301</v>
      </c>
      <c r="R7" s="80"/>
      <c r="S7" s="18"/>
      <c r="T7" s="18"/>
      <c r="U7" s="18"/>
    </row>
    <row r="8" spans="1:21">
      <c r="A8" s="411" t="s">
        <v>243</v>
      </c>
      <c r="B8" s="125"/>
      <c r="C8" s="124"/>
      <c r="D8" s="125"/>
      <c r="E8" s="124"/>
      <c r="F8" s="125"/>
      <c r="G8" s="124"/>
      <c r="H8" s="125"/>
      <c r="I8" s="124"/>
      <c r="J8" s="219"/>
      <c r="K8" s="124"/>
      <c r="L8" s="219"/>
      <c r="M8" s="124"/>
      <c r="N8" s="219"/>
      <c r="O8" s="124"/>
      <c r="P8" s="219"/>
      <c r="Q8" s="124"/>
      <c r="R8" s="14"/>
      <c r="S8" s="9"/>
      <c r="T8" s="9"/>
      <c r="U8" s="9"/>
    </row>
    <row r="9" spans="1:21">
      <c r="A9" s="1" t="s">
        <v>264</v>
      </c>
      <c r="B9"/>
    </row>
    <row r="10" spans="1:21">
      <c r="A10" s="1" t="s">
        <v>265</v>
      </c>
      <c r="B10" s="12">
        <f>+bphvar!B10</f>
        <v>46037.1</v>
      </c>
      <c r="C10" s="47">
        <f t="shared" ref="C10:C15" si="0">+B10/$B$22</f>
        <v>5.7521231031885188E-2</v>
      </c>
      <c r="D10" s="12">
        <f>+bphvar!D10</f>
        <v>0</v>
      </c>
      <c r="E10" s="44">
        <v>0</v>
      </c>
      <c r="F10" s="12">
        <f>+bphvar!F10</f>
        <v>0</v>
      </c>
      <c r="G10" s="44">
        <v>0</v>
      </c>
      <c r="H10" s="12">
        <f>+bphvar!H10</f>
        <v>0</v>
      </c>
      <c r="I10" s="44">
        <v>0</v>
      </c>
      <c r="J10" s="12">
        <f>+bphvar!J10</f>
        <v>47805.4</v>
      </c>
      <c r="K10" s="47">
        <f t="shared" ref="K10:K15" si="1">+J10/$J$22</f>
        <v>5.8323479649356885E-2</v>
      </c>
      <c r="L10" s="12">
        <f>+bphvar!L10</f>
        <v>43056.1</v>
      </c>
      <c r="M10" s="47">
        <f t="shared" ref="M10:M15" si="2">+L10/$L$22</f>
        <v>5.6897429591642693E-2</v>
      </c>
      <c r="N10" s="12">
        <f>+bphvar!N10</f>
        <v>46306.2</v>
      </c>
      <c r="O10" s="47">
        <f t="shared" ref="O10:O15" si="3">+N10/$N$22</f>
        <v>5.7275366219504478E-2</v>
      </c>
      <c r="P10" s="12">
        <f>+bphvar!P10</f>
        <v>70568.715120000008</v>
      </c>
      <c r="Q10" s="47">
        <f t="shared" ref="Q10:Q15" si="4">+P10/$P$22</f>
        <v>0.1361172786684654</v>
      </c>
    </row>
    <row r="11" spans="1:21">
      <c r="A11" s="1" t="s">
        <v>266</v>
      </c>
      <c r="B11" s="12">
        <f>+bphvar!B11</f>
        <v>160218.29999999999</v>
      </c>
      <c r="C11" s="47">
        <f t="shared" si="0"/>
        <v>0.20018536897058872</v>
      </c>
      <c r="D11" s="12">
        <f>+bphvar!D11</f>
        <v>0</v>
      </c>
      <c r="E11" s="44">
        <v>0</v>
      </c>
      <c r="F11" s="12">
        <f>+bphvar!F11</f>
        <v>0</v>
      </c>
      <c r="G11" s="44">
        <v>0</v>
      </c>
      <c r="H11" s="12">
        <f>+bphvar!H11</f>
        <v>0</v>
      </c>
      <c r="I11" s="44">
        <v>0</v>
      </c>
      <c r="J11" s="12">
        <f>+bphvar!J11</f>
        <v>162923</v>
      </c>
      <c r="K11" s="47">
        <f t="shared" si="1"/>
        <v>0.19876909878198218</v>
      </c>
      <c r="L11" s="12">
        <f>+bphvar!L11</f>
        <v>112823.3</v>
      </c>
      <c r="M11" s="47">
        <f t="shared" si="2"/>
        <v>0.14909282930982559</v>
      </c>
      <c r="N11" s="12">
        <f>+bphvar!N11</f>
        <v>167413.6</v>
      </c>
      <c r="O11" s="47">
        <f t="shared" si="3"/>
        <v>0.20707108875540717</v>
      </c>
      <c r="P11" s="12">
        <f>+bphvar!P11</f>
        <v>122441.04445</v>
      </c>
      <c r="Q11" s="47">
        <f t="shared" si="4"/>
        <v>0.23617181834071924</v>
      </c>
    </row>
    <row r="12" spans="1:21">
      <c r="A12" s="1" t="s">
        <v>267</v>
      </c>
      <c r="B12" s="12">
        <f>+bphvar!B12</f>
        <v>47634.2</v>
      </c>
      <c r="C12" s="47">
        <f t="shared" si="0"/>
        <v>5.9516733747760509E-2</v>
      </c>
      <c r="D12" s="12">
        <f>+bphvar!D12</f>
        <v>0</v>
      </c>
      <c r="E12" s="44">
        <v>0</v>
      </c>
      <c r="F12" s="12">
        <f>+bphvar!F12</f>
        <v>0</v>
      </c>
      <c r="G12" s="44">
        <v>0</v>
      </c>
      <c r="H12" s="12">
        <f>+bphvar!H12</f>
        <v>0</v>
      </c>
      <c r="I12" s="44">
        <v>0</v>
      </c>
      <c r="J12" s="12">
        <f>+bphvar!J12</f>
        <v>50505.5</v>
      </c>
      <c r="K12" s="47">
        <f t="shared" si="1"/>
        <v>6.1617652010663944E-2</v>
      </c>
      <c r="L12" s="12">
        <f>+bphvar!L12</f>
        <v>33443.199999999997</v>
      </c>
      <c r="M12" s="47">
        <f t="shared" si="2"/>
        <v>4.4194251623329212E-2</v>
      </c>
      <c r="N12" s="12">
        <f>+bphvar!N12</f>
        <v>106082.2</v>
      </c>
      <c r="O12" s="47">
        <f t="shared" si="3"/>
        <v>0.13121130333239864</v>
      </c>
      <c r="P12" s="12">
        <f>+bphvar!P12</f>
        <v>40337.6106</v>
      </c>
      <c r="Q12" s="47">
        <f t="shared" si="4"/>
        <v>7.7805664642236483E-2</v>
      </c>
    </row>
    <row r="13" spans="1:21">
      <c r="A13" s="1" t="s">
        <v>268</v>
      </c>
      <c r="B13" s="12">
        <f>+bphvar!B13</f>
        <v>0</v>
      </c>
      <c r="C13" s="47">
        <f t="shared" si="0"/>
        <v>0</v>
      </c>
      <c r="D13" s="12">
        <f>+bphvar!D13</f>
        <v>0</v>
      </c>
      <c r="E13" s="44">
        <v>0</v>
      </c>
      <c r="F13" s="12">
        <f>+bphvar!F13</f>
        <v>0</v>
      </c>
      <c r="G13" s="44">
        <v>0</v>
      </c>
      <c r="H13" s="12">
        <f>+bphvar!H13</f>
        <v>0</v>
      </c>
      <c r="I13" s="44">
        <v>0</v>
      </c>
      <c r="J13" s="12">
        <f>+bphvar!J13</f>
        <v>0</v>
      </c>
      <c r="K13" s="47">
        <f t="shared" si="1"/>
        <v>0</v>
      </c>
      <c r="L13" s="12">
        <f>+bphvar!L13</f>
        <v>0</v>
      </c>
      <c r="M13" s="47">
        <f t="shared" si="2"/>
        <v>0</v>
      </c>
      <c r="N13" s="12">
        <f>+bphvar!N13</f>
        <v>90000</v>
      </c>
      <c r="O13" s="47">
        <f t="shared" si="3"/>
        <v>0.11131949846360538</v>
      </c>
      <c r="P13" s="12">
        <f>+bphvar!P13</f>
        <v>15000</v>
      </c>
      <c r="Q13" s="47">
        <f t="shared" si="4"/>
        <v>2.8932922705975729E-2</v>
      </c>
    </row>
    <row r="14" spans="1:21">
      <c r="A14" s="1" t="s">
        <v>269</v>
      </c>
      <c r="B14" s="221">
        <f>+bphvar!B14</f>
        <v>8462.2999999999993</v>
      </c>
      <c r="C14" s="236">
        <f t="shared" si="0"/>
        <v>1.0573253166709502E-2</v>
      </c>
      <c r="D14" s="221">
        <f>+bphvar!D14</f>
        <v>0</v>
      </c>
      <c r="E14" s="545">
        <v>0</v>
      </c>
      <c r="F14" s="221">
        <f>+bphvar!F14</f>
        <v>0</v>
      </c>
      <c r="G14" s="545">
        <v>0</v>
      </c>
      <c r="H14" s="221">
        <f>+bphvar!H14</f>
        <v>0</v>
      </c>
      <c r="I14" s="545">
        <v>0</v>
      </c>
      <c r="J14" s="221">
        <f>+bphvar!J14</f>
        <v>5139.6000000000004</v>
      </c>
      <c r="K14" s="236">
        <f t="shared" si="1"/>
        <v>6.2704078619953947E-3</v>
      </c>
      <c r="L14" s="221">
        <f>+bphvar!L14</f>
        <v>11934.899999999998</v>
      </c>
      <c r="M14" s="236">
        <f t="shared" si="2"/>
        <v>1.5771635899054868E-2</v>
      </c>
      <c r="N14" s="221">
        <f>+bphvar!N14</f>
        <v>9620</v>
      </c>
      <c r="O14" s="236">
        <f t="shared" si="3"/>
        <v>1.1898817502443152E-2</v>
      </c>
      <c r="P14" s="221">
        <f>+bphvar!P14</f>
        <v>8363.2083700000003</v>
      </c>
      <c r="Q14" s="236">
        <f t="shared" si="4"/>
        <v>1.6131470756211953E-2</v>
      </c>
    </row>
    <row r="15" spans="1:21" ht="15.6" customHeight="1">
      <c r="A15" s="1"/>
      <c r="B15" s="12">
        <f>SUM(B10:B14)</f>
        <v>262351.89999999997</v>
      </c>
      <c r="C15" s="47">
        <f t="shared" si="0"/>
        <v>0.32779658691694391</v>
      </c>
      <c r="D15" s="12">
        <f>SUM(D10:D14)</f>
        <v>0</v>
      </c>
      <c r="E15" s="44">
        <v>0</v>
      </c>
      <c r="F15" s="12">
        <f>SUM(F10:F14)</f>
        <v>0</v>
      </c>
      <c r="G15" s="44">
        <v>0</v>
      </c>
      <c r="H15" s="12">
        <f>SUM(H10:H14)</f>
        <v>0</v>
      </c>
      <c r="I15" s="44">
        <v>0</v>
      </c>
      <c r="J15" s="12">
        <f>SUM(J10:J14)</f>
        <v>266373.5</v>
      </c>
      <c r="K15" s="47">
        <f t="shared" si="1"/>
        <v>0.32498063830399843</v>
      </c>
      <c r="L15" s="12">
        <f>SUM(L10:L14)</f>
        <v>201257.49999999997</v>
      </c>
      <c r="M15" s="47">
        <f t="shared" si="2"/>
        <v>0.26595614642385229</v>
      </c>
      <c r="N15" s="12">
        <f>SUM(N10:N14)</f>
        <v>419422</v>
      </c>
      <c r="O15" s="47">
        <f t="shared" si="3"/>
        <v>0.51877607427335881</v>
      </c>
      <c r="P15" s="12">
        <f>SUM(P10:P14)</f>
        <v>256710.57854000002</v>
      </c>
      <c r="Q15" s="47">
        <f t="shared" si="4"/>
        <v>0.49515915511360881</v>
      </c>
    </row>
    <row r="16" spans="1:21" ht="7.9" customHeight="1">
      <c r="A16" s="1"/>
      <c r="C16" s="47" t="s">
        <v>0</v>
      </c>
      <c r="E16" s="44" t="s">
        <v>0</v>
      </c>
      <c r="G16" s="44" t="s">
        <v>0</v>
      </c>
      <c r="I16" s="44" t="s">
        <v>0</v>
      </c>
      <c r="K16" s="47" t="s">
        <v>0</v>
      </c>
      <c r="M16" s="47" t="s">
        <v>0</v>
      </c>
      <c r="O16" s="47" t="s">
        <v>0</v>
      </c>
      <c r="Q16" s="47" t="s">
        <v>0</v>
      </c>
    </row>
    <row r="17" spans="1:17" ht="15.6" customHeight="1">
      <c r="A17" s="1" t="s">
        <v>270</v>
      </c>
      <c r="B17" s="12">
        <f>+bphvar!B17</f>
        <v>155000</v>
      </c>
      <c r="C17" s="47">
        <f t="shared" ref="C17:C22" si="5">+B17/$B$22</f>
        <v>0.19366534403648805</v>
      </c>
      <c r="D17" s="12">
        <f>+bphvar!D17</f>
        <v>0</v>
      </c>
      <c r="E17" s="44">
        <v>0</v>
      </c>
      <c r="F17" s="12">
        <f>+bphvar!F17</f>
        <v>0</v>
      </c>
      <c r="G17" s="44">
        <v>0</v>
      </c>
      <c r="H17" s="12">
        <f>+bphvar!H17</f>
        <v>0</v>
      </c>
      <c r="I17" s="44">
        <v>0</v>
      </c>
      <c r="J17" s="12">
        <f>+bphvar!J17</f>
        <v>165000</v>
      </c>
      <c r="K17" s="47">
        <f t="shared" ref="K17:K22" si="6">+J17/$J$22</f>
        <v>0.20130307752144916</v>
      </c>
      <c r="L17" s="12">
        <f>+bphvar!L17</f>
        <v>232000</v>
      </c>
      <c r="M17" s="47">
        <f t="shared" ref="M17:M22" si="7">+L17/$L$22</f>
        <v>0.30658149867872625</v>
      </c>
      <c r="N17" s="12">
        <f>+bphvar!N17</f>
        <v>100000</v>
      </c>
      <c r="O17" s="47">
        <f t="shared" ref="O17:O22" si="8">+N17/$N$22</f>
        <v>0.12368833162622819</v>
      </c>
      <c r="P17" s="12">
        <f>+bphvar!P17</f>
        <v>0</v>
      </c>
      <c r="Q17" s="47">
        <f t="shared" ref="Q17:Q22" si="9">+P17/$P$22</f>
        <v>0</v>
      </c>
    </row>
    <row r="18" spans="1:17">
      <c r="A18" s="1" t="s">
        <v>598</v>
      </c>
      <c r="B18" s="12">
        <f>+bphvar!B18</f>
        <v>18345.5</v>
      </c>
      <c r="C18" s="47">
        <f t="shared" si="5"/>
        <v>2.2921855284008977E-2</v>
      </c>
      <c r="D18" s="12">
        <f>+bphvar!D18</f>
        <v>0</v>
      </c>
      <c r="E18" s="44">
        <v>0</v>
      </c>
      <c r="F18" s="12">
        <f>+bphvar!F18</f>
        <v>0</v>
      </c>
      <c r="G18" s="44">
        <v>0</v>
      </c>
      <c r="H18" s="12">
        <f>+bphvar!H18</f>
        <v>0</v>
      </c>
      <c r="I18" s="44">
        <v>0</v>
      </c>
      <c r="J18" s="12">
        <f>+bphvar!J18</f>
        <v>38287</v>
      </c>
      <c r="K18" s="47">
        <f t="shared" si="6"/>
        <v>4.6710854115537721E-2</v>
      </c>
      <c r="L18" s="12">
        <f>+bphvar!L18</f>
        <v>8247.1</v>
      </c>
      <c r="M18" s="47">
        <f t="shared" si="7"/>
        <v>1.0898311542040186E-2</v>
      </c>
      <c r="N18" s="12">
        <f>+bphvar!N18</f>
        <v>1955</v>
      </c>
      <c r="O18" s="47">
        <f t="shared" si="8"/>
        <v>2.4181068832927611E-3</v>
      </c>
      <c r="P18" s="12">
        <f>+bphvar!P18</f>
        <v>1764.6220000000001</v>
      </c>
      <c r="Q18" s="47">
        <f t="shared" si="9"/>
        <v>3.4037114620842869E-3</v>
      </c>
    </row>
    <row r="19" spans="1:17">
      <c r="A19" s="1" t="s">
        <v>272</v>
      </c>
      <c r="B19" s="12">
        <f>+bphvar!B19</f>
        <v>316912.7</v>
      </c>
      <c r="C19" s="47">
        <f t="shared" si="5"/>
        <v>0.39596778758085377</v>
      </c>
      <c r="D19" s="12">
        <f>+bphvar!D19</f>
        <v>0</v>
      </c>
      <c r="E19" s="44">
        <v>0</v>
      </c>
      <c r="F19" s="12">
        <f>+bphvar!F19</f>
        <v>0</v>
      </c>
      <c r="G19" s="44">
        <v>0</v>
      </c>
      <c r="H19" s="12">
        <f>+bphvar!H19</f>
        <v>0</v>
      </c>
      <c r="I19" s="44">
        <v>0</v>
      </c>
      <c r="J19" s="12">
        <f>+bphvar!J19</f>
        <v>300990.2</v>
      </c>
      <c r="K19" s="47">
        <f t="shared" si="6"/>
        <v>0.36721365796240296</v>
      </c>
      <c r="L19" s="12">
        <f>+bphvar!L19</f>
        <v>267552.90000000002</v>
      </c>
      <c r="M19" s="47">
        <f t="shared" si="7"/>
        <v>0.35356365973206627</v>
      </c>
      <c r="N19" s="12">
        <f>+bphvar!N19</f>
        <v>255520.8</v>
      </c>
      <c r="O19" s="47">
        <f t="shared" si="8"/>
        <v>0.31604941447799129</v>
      </c>
      <c r="P19" s="12">
        <f>+bphvar!P19</f>
        <v>224443.78852</v>
      </c>
      <c r="Q19" s="47">
        <f t="shared" si="9"/>
        <v>0.4329209856723682</v>
      </c>
    </row>
    <row r="20" spans="1:17">
      <c r="A20" s="1" t="s">
        <v>273</v>
      </c>
      <c r="B20" s="12">
        <f>+bphvar!B20</f>
        <v>32763.1</v>
      </c>
      <c r="C20" s="47">
        <f t="shared" si="5"/>
        <v>4.0935980859366852E-2</v>
      </c>
      <c r="D20" s="12">
        <f>+bphvar!D20</f>
        <v>0</v>
      </c>
      <c r="E20" s="44">
        <v>0</v>
      </c>
      <c r="F20" s="12">
        <f>+bphvar!F20</f>
        <v>0</v>
      </c>
      <c r="G20" s="44">
        <v>0</v>
      </c>
      <c r="H20" s="12">
        <f>+bphvar!H20</f>
        <v>0</v>
      </c>
      <c r="I20" s="44">
        <v>0</v>
      </c>
      <c r="J20" s="12">
        <f>+bphvar!J20</f>
        <v>32760.3</v>
      </c>
      <c r="K20" s="47">
        <f t="shared" si="6"/>
        <v>3.9968177033490489E-2</v>
      </c>
      <c r="L20" s="12">
        <f>+bphvar!L20</f>
        <v>24325.8</v>
      </c>
      <c r="M20" s="47">
        <f t="shared" si="7"/>
        <v>3.2145863019650681E-2</v>
      </c>
      <c r="N20" s="12">
        <f>+bphvar!N20</f>
        <v>17843.599999999999</v>
      </c>
      <c r="O20" s="47">
        <f t="shared" si="8"/>
        <v>2.2070451142057652E-2</v>
      </c>
      <c r="P20" s="12">
        <f>+bphvar!P20</f>
        <v>19284.77807</v>
      </c>
      <c r="Q20" s="47">
        <f t="shared" si="9"/>
        <v>3.7197666220080389E-2</v>
      </c>
    </row>
    <row r="21" spans="1:17" ht="16.5" thickBot="1">
      <c r="A21" s="1" t="s">
        <v>274</v>
      </c>
      <c r="B21" s="99">
        <f>+bphvar!B21</f>
        <v>14976.5</v>
      </c>
      <c r="C21" s="329">
        <f t="shared" si="5"/>
        <v>1.8712445322338473E-2</v>
      </c>
      <c r="D21" s="99">
        <f>+bphvar!D21</f>
        <v>0</v>
      </c>
      <c r="E21" s="232">
        <v>0</v>
      </c>
      <c r="F21" s="99">
        <f>+bphvar!F21</f>
        <v>0</v>
      </c>
      <c r="G21" s="232">
        <v>0</v>
      </c>
      <c r="H21" s="99">
        <f>+bphvar!H21</f>
        <v>0</v>
      </c>
      <c r="I21" s="232">
        <v>0</v>
      </c>
      <c r="J21" s="99">
        <f>+bphvar!J21</f>
        <v>16248.6</v>
      </c>
      <c r="K21" s="329">
        <f t="shared" si="6"/>
        <v>1.9823595063121327E-2</v>
      </c>
      <c r="L21" s="99">
        <f>+bphvar!L21</f>
        <v>23348.6</v>
      </c>
      <c r="M21" s="329">
        <f t="shared" si="7"/>
        <v>3.0854520603664254E-2</v>
      </c>
      <c r="N21" s="99">
        <f>+bphvar!N21</f>
        <v>13742.3</v>
      </c>
      <c r="O21" s="329">
        <f t="shared" si="8"/>
        <v>1.6997621597071157E-2</v>
      </c>
      <c r="P21" s="99">
        <f>+bphvar!P21</f>
        <v>16236.770400000001</v>
      </c>
      <c r="Q21" s="329">
        <f t="shared" si="9"/>
        <v>3.131848153185831E-2</v>
      </c>
    </row>
    <row r="22" spans="1:17">
      <c r="A22" s="1" t="s">
        <v>275</v>
      </c>
      <c r="B22" s="4">
        <f>SUM(B15:B21)</f>
        <v>800349.7</v>
      </c>
      <c r="C22" s="112">
        <f t="shared" si="5"/>
        <v>1</v>
      </c>
      <c r="D22" s="4">
        <f>SUM(D15:D21)</f>
        <v>0</v>
      </c>
      <c r="E22" s="42">
        <v>0</v>
      </c>
      <c r="F22" s="4">
        <f>SUM(F15:F21)</f>
        <v>0</v>
      </c>
      <c r="G22" s="42">
        <v>0</v>
      </c>
      <c r="H22" s="4">
        <f>SUM(H15:H21)</f>
        <v>0</v>
      </c>
      <c r="I22" s="42">
        <v>0</v>
      </c>
      <c r="J22" s="4">
        <f>SUM(J15:J21)</f>
        <v>819659.6</v>
      </c>
      <c r="K22" s="47">
        <f t="shared" si="6"/>
        <v>1</v>
      </c>
      <c r="L22" s="4">
        <f>SUM(L15:L21)</f>
        <v>756731.9</v>
      </c>
      <c r="M22" s="47">
        <f t="shared" si="7"/>
        <v>1</v>
      </c>
      <c r="N22" s="4">
        <f>SUM(N15:N21)</f>
        <v>808483.70000000007</v>
      </c>
      <c r="O22" s="47">
        <f t="shared" si="8"/>
        <v>1</v>
      </c>
      <c r="P22" s="4">
        <f>SUM(P15:P21)</f>
        <v>518440.53753000003</v>
      </c>
      <c r="Q22" s="47">
        <f t="shared" si="9"/>
        <v>1</v>
      </c>
    </row>
    <row r="23" spans="1:17" ht="7.9" customHeight="1">
      <c r="A23" s="1"/>
      <c r="C23" s="47" t="s">
        <v>0</v>
      </c>
      <c r="E23" s="44" t="s">
        <v>0</v>
      </c>
      <c r="G23" s="44" t="s">
        <v>0</v>
      </c>
      <c r="I23" s="44" t="s">
        <v>0</v>
      </c>
      <c r="K23" s="47" t="s">
        <v>0</v>
      </c>
      <c r="M23" s="47" t="s">
        <v>0</v>
      </c>
      <c r="O23" s="47" t="s">
        <v>0</v>
      </c>
      <c r="Q23" s="47" t="s">
        <v>0</v>
      </c>
    </row>
    <row r="24" spans="1:17">
      <c r="A24" s="87" t="s">
        <v>276</v>
      </c>
      <c r="C24" s="47" t="s">
        <v>0</v>
      </c>
      <c r="E24" s="44" t="s">
        <v>0</v>
      </c>
      <c r="G24" s="44" t="s">
        <v>0</v>
      </c>
      <c r="I24" s="44" t="s">
        <v>0</v>
      </c>
      <c r="K24" s="47" t="s">
        <v>0</v>
      </c>
      <c r="M24" s="47" t="s">
        <v>0</v>
      </c>
      <c r="O24" s="47" t="s">
        <v>0</v>
      </c>
      <c r="Q24" s="47" t="s">
        <v>0</v>
      </c>
    </row>
    <row r="25" spans="1:17">
      <c r="A25" s="1" t="s">
        <v>277</v>
      </c>
      <c r="B25" s="16" t="s">
        <v>0</v>
      </c>
      <c r="C25" s="47" t="s">
        <v>0</v>
      </c>
      <c r="E25" s="44" t="s">
        <v>0</v>
      </c>
      <c r="G25" s="44" t="s">
        <v>0</v>
      </c>
      <c r="I25" s="44" t="s">
        <v>0</v>
      </c>
      <c r="K25" s="47" t="s">
        <v>0</v>
      </c>
      <c r="M25" s="47" t="s">
        <v>0</v>
      </c>
      <c r="O25" s="47" t="s">
        <v>0</v>
      </c>
      <c r="Q25" s="47" t="s">
        <v>0</v>
      </c>
    </row>
    <row r="26" spans="1:17">
      <c r="A26" s="1" t="s">
        <v>278</v>
      </c>
      <c r="B26" s="12">
        <f>+bphvar!B26</f>
        <v>442282.4</v>
      </c>
      <c r="C26" s="47">
        <f>+B26/$B$22</f>
        <v>0.55261143972441051</v>
      </c>
      <c r="D26" s="12">
        <f>+bphvar!D26</f>
        <v>0</v>
      </c>
      <c r="E26" s="44">
        <v>0</v>
      </c>
      <c r="F26" s="12">
        <f>+bphvar!F26</f>
        <v>0</v>
      </c>
      <c r="G26" s="44">
        <v>0</v>
      </c>
      <c r="H26" s="12">
        <f>+bphvar!H26</f>
        <v>0</v>
      </c>
      <c r="I26" s="44">
        <v>0</v>
      </c>
      <c r="J26" s="12">
        <f>+bphvar!J26</f>
        <v>456254</v>
      </c>
      <c r="K26" s="47">
        <f>+J26/$J$22</f>
        <v>0.55663838988770464</v>
      </c>
      <c r="L26" s="12">
        <f>+bphvar!L26</f>
        <v>368762</v>
      </c>
      <c r="M26" s="47">
        <f>+L26/$L$22</f>
        <v>0.48730864920588124</v>
      </c>
      <c r="N26" s="12">
        <f>+bphvar!N26</f>
        <v>363776</v>
      </c>
      <c r="O26" s="47">
        <f>+N26/$N$22</f>
        <v>0.44994846525662791</v>
      </c>
      <c r="P26" s="12">
        <f>+bphvar!P26</f>
        <v>193243.21075</v>
      </c>
      <c r="Q26" s="47">
        <f>+P26/$P$22</f>
        <v>0.37273939200562189</v>
      </c>
    </row>
    <row r="27" spans="1:17">
      <c r="A27" s="1" t="s">
        <v>279</v>
      </c>
      <c r="B27" s="12">
        <f>+bphvar!B27</f>
        <v>157311.20000000001</v>
      </c>
      <c r="C27" s="47">
        <f>+B27/$B$22</f>
        <v>0.19655308173414698</v>
      </c>
      <c r="D27" s="12">
        <f>+bphvar!D27</f>
        <v>0</v>
      </c>
      <c r="E27" s="44">
        <v>0</v>
      </c>
      <c r="F27" s="12">
        <f>+bphvar!F27</f>
        <v>0</v>
      </c>
      <c r="G27" s="44">
        <v>0</v>
      </c>
      <c r="H27" s="12">
        <f>+bphvar!H27</f>
        <v>0</v>
      </c>
      <c r="I27" s="44">
        <v>0</v>
      </c>
      <c r="J27" s="12">
        <f>+bphvar!J27</f>
        <v>155776.1</v>
      </c>
      <c r="K27" s="47">
        <f>+J27/$J$22</f>
        <v>0.19004974748053949</v>
      </c>
      <c r="L27" s="12">
        <f>+bphvar!L27</f>
        <v>148415.5</v>
      </c>
      <c r="M27" s="47">
        <f>+L27/$L$22</f>
        <v>0.1961269242118642</v>
      </c>
      <c r="N27" s="12">
        <f>+bphvar!N27</f>
        <v>156503.70000000001</v>
      </c>
      <c r="O27" s="47">
        <f>+N27/$N$22</f>
        <v>0.19357681546331731</v>
      </c>
      <c r="P27" s="12">
        <f>+bphvar!P27</f>
        <v>158454.20175000001</v>
      </c>
      <c r="Q27" s="47">
        <f>+P27/$P$22</f>
        <v>0.30563621144465564</v>
      </c>
    </row>
    <row r="28" spans="1:17">
      <c r="A28" s="1" t="s">
        <v>280</v>
      </c>
      <c r="B28" s="221">
        <f>+bphvar!B28</f>
        <v>85188.2</v>
      </c>
      <c r="C28" s="328">
        <f>+B28/$B$22</f>
        <v>0.10643872297322034</v>
      </c>
      <c r="D28" s="221">
        <f>+bphvar!D28</f>
        <v>0</v>
      </c>
      <c r="E28" s="545">
        <v>0</v>
      </c>
      <c r="F28" s="221">
        <f>+bphvar!F28</f>
        <v>0</v>
      </c>
      <c r="G28" s="545">
        <v>0</v>
      </c>
      <c r="H28" s="221">
        <f>+bphvar!H28</f>
        <v>0</v>
      </c>
      <c r="I28" s="545">
        <v>0</v>
      </c>
      <c r="J28" s="221">
        <f>+bphvar!J28</f>
        <v>84107.4</v>
      </c>
      <c r="K28" s="328">
        <f>+J28/$J$22</f>
        <v>0.10261259674137897</v>
      </c>
      <c r="L28" s="221">
        <f>+bphvar!L28</f>
        <v>109529.60000000001</v>
      </c>
      <c r="M28" s="328">
        <f>+L28/$L$22</f>
        <v>0.14474029705897162</v>
      </c>
      <c r="N28" s="221">
        <f>+bphvar!N28</f>
        <v>109017.8</v>
      </c>
      <c r="O28" s="328">
        <f>+N28/$N$22</f>
        <v>0.1348422979956182</v>
      </c>
      <c r="P28" s="221">
        <f>+bphvar!P28</f>
        <v>32553.140039999998</v>
      </c>
      <c r="Q28" s="328">
        <f>+P28/$P$22</f>
        <v>6.2790498974274911E-2</v>
      </c>
    </row>
    <row r="29" spans="1:17">
      <c r="A29" s="1"/>
      <c r="B29" s="12">
        <f>SUM(B26:B28)</f>
        <v>684781.8</v>
      </c>
      <c r="C29" s="47">
        <f>+B29/$B$22</f>
        <v>0.85560324443177782</v>
      </c>
      <c r="D29" s="12">
        <f>SUM(D26:D28)</f>
        <v>0</v>
      </c>
      <c r="E29" s="44">
        <v>0</v>
      </c>
      <c r="F29" s="12">
        <f>SUM(F26:F28)</f>
        <v>0</v>
      </c>
      <c r="G29" s="44">
        <v>0</v>
      </c>
      <c r="H29" s="12">
        <f>SUM(H26:H28)</f>
        <v>0</v>
      </c>
      <c r="I29" s="44">
        <v>0</v>
      </c>
      <c r="J29" s="12">
        <f>SUM(J26:J28)</f>
        <v>696137.5</v>
      </c>
      <c r="K29" s="47">
        <f>+J29/$J$22</f>
        <v>0.84930073410962315</v>
      </c>
      <c r="L29" s="12">
        <f>SUM(L26:L28)</f>
        <v>626707.1</v>
      </c>
      <c r="M29" s="47">
        <f>+L29/$L$22</f>
        <v>0.82817587047671704</v>
      </c>
      <c r="N29" s="12">
        <f>SUM(N26:N28)</f>
        <v>629297.5</v>
      </c>
      <c r="O29" s="47">
        <f>+N29/$N$22</f>
        <v>0.77836757871556339</v>
      </c>
      <c r="P29" s="12">
        <f>SUM(P26:P28)</f>
        <v>384250.55253999995</v>
      </c>
      <c r="Q29" s="47">
        <f>+P29/$P$22</f>
        <v>0.74116610242455228</v>
      </c>
    </row>
    <row r="30" spans="1:17" ht="7.9" customHeight="1">
      <c r="A30" s="1"/>
      <c r="C30" s="47" t="s">
        <v>0</v>
      </c>
      <c r="E30" s="44" t="s">
        <v>0</v>
      </c>
      <c r="G30" s="44" t="s">
        <v>0</v>
      </c>
      <c r="I30" s="44" t="s">
        <v>0</v>
      </c>
      <c r="K30" s="47" t="s">
        <v>0</v>
      </c>
      <c r="M30" s="47" t="s">
        <v>0</v>
      </c>
      <c r="O30" s="47" t="s">
        <v>0</v>
      </c>
      <c r="Q30" s="47" t="s">
        <v>0</v>
      </c>
    </row>
    <row r="31" spans="1:17">
      <c r="A31" s="1" t="s">
        <v>281</v>
      </c>
      <c r="C31" s="47" t="s">
        <v>0</v>
      </c>
      <c r="E31" s="44" t="s">
        <v>0</v>
      </c>
      <c r="G31" s="44" t="s">
        <v>0</v>
      </c>
      <c r="I31" s="44" t="s">
        <v>0</v>
      </c>
      <c r="K31" s="47" t="s">
        <v>0</v>
      </c>
      <c r="M31" s="47" t="s">
        <v>0</v>
      </c>
      <c r="O31" s="47" t="s">
        <v>0</v>
      </c>
      <c r="Q31" s="47" t="s">
        <v>0</v>
      </c>
    </row>
    <row r="32" spans="1:17">
      <c r="A32" s="1" t="s">
        <v>282</v>
      </c>
      <c r="B32" s="12">
        <f>+bphvar!B32</f>
        <v>26000</v>
      </c>
      <c r="C32" s="47">
        <f>+B32/$B$22</f>
        <v>3.2485799644830254E-2</v>
      </c>
      <c r="D32" s="12">
        <f>+bphvar!D32</f>
        <v>0</v>
      </c>
      <c r="E32" s="44">
        <v>0</v>
      </c>
      <c r="F32" s="12">
        <f>+bphvar!F32</f>
        <v>0</v>
      </c>
      <c r="G32" s="44">
        <v>0</v>
      </c>
      <c r="H32" s="12">
        <f>+bphvar!H32</f>
        <v>0</v>
      </c>
      <c r="I32" s="44">
        <v>0</v>
      </c>
      <c r="J32" s="12">
        <f>+bphvar!J32</f>
        <v>26000</v>
      </c>
      <c r="K32" s="47">
        <f>+J32/$J$22</f>
        <v>3.1720484942773804E-2</v>
      </c>
      <c r="L32" s="12">
        <f>+bphvar!L32</f>
        <v>0</v>
      </c>
      <c r="M32" s="47">
        <f>+L32/$L$22</f>
        <v>0</v>
      </c>
      <c r="N32" s="12">
        <f>+bphvar!N32</f>
        <v>0</v>
      </c>
      <c r="O32" s="47">
        <f>+N32/$N$22</f>
        <v>0</v>
      </c>
      <c r="P32" s="12">
        <f>+bphvar!P32</f>
        <v>0</v>
      </c>
      <c r="Q32" s="47">
        <f>+P32/$P$22</f>
        <v>0</v>
      </c>
    </row>
    <row r="33" spans="1:21">
      <c r="A33" s="1" t="s">
        <v>283</v>
      </c>
      <c r="B33" s="12">
        <f>+bphvar!B33</f>
        <v>0</v>
      </c>
      <c r="C33" s="47">
        <f>+B33/$B$22</f>
        <v>0</v>
      </c>
      <c r="D33" s="12">
        <f>+bphvar!D33</f>
        <v>0</v>
      </c>
      <c r="E33" s="44">
        <v>0</v>
      </c>
      <c r="F33" s="12">
        <f>+bphvar!F33</f>
        <v>0</v>
      </c>
      <c r="G33" s="44">
        <v>0</v>
      </c>
      <c r="H33" s="12">
        <f>+bphvar!H33</f>
        <v>0</v>
      </c>
      <c r="I33" s="44">
        <v>0</v>
      </c>
      <c r="J33" s="12">
        <f>+bphvar!J33</f>
        <v>0</v>
      </c>
      <c r="K33" s="47">
        <f>+J33/$J$22</f>
        <v>0</v>
      </c>
      <c r="L33" s="12">
        <f>+bphvar!L33</f>
        <v>0</v>
      </c>
      <c r="M33" s="47">
        <f>+L33/$L$22</f>
        <v>0</v>
      </c>
      <c r="N33" s="12">
        <f>+bphvar!N33</f>
        <v>0</v>
      </c>
      <c r="O33" s="47">
        <f>+N33/$N$22</f>
        <v>0</v>
      </c>
      <c r="P33" s="12">
        <f>+bphvar!P33</f>
        <v>0</v>
      </c>
      <c r="Q33" s="47">
        <f>+P33/$P$22</f>
        <v>0</v>
      </c>
    </row>
    <row r="34" spans="1:21" ht="18">
      <c r="A34" s="1" t="s">
        <v>284</v>
      </c>
      <c r="B34" s="221">
        <f>+bphvar!B34</f>
        <v>38204.9</v>
      </c>
      <c r="C34" s="328">
        <f>+B34/$B$22</f>
        <v>4.7735258725029824E-2</v>
      </c>
      <c r="D34" s="221">
        <f>+bphvar!D34</f>
        <v>0</v>
      </c>
      <c r="E34" s="545">
        <v>0</v>
      </c>
      <c r="F34" s="221">
        <f>+bphvar!F34</f>
        <v>0</v>
      </c>
      <c r="G34" s="545">
        <v>0</v>
      </c>
      <c r="H34" s="221">
        <f>+bphvar!H34</f>
        <v>0</v>
      </c>
      <c r="I34" s="545">
        <v>0</v>
      </c>
      <c r="J34" s="221">
        <f>+bphvar!J34</f>
        <v>46074.8</v>
      </c>
      <c r="K34" s="328">
        <f>+J34/$J$22</f>
        <v>5.6212115370819792E-2</v>
      </c>
      <c r="L34" s="221">
        <f>+bphvar!L34</f>
        <v>82007.899999999994</v>
      </c>
      <c r="M34" s="328">
        <f>+L34/$L$22</f>
        <v>0.10837114174782375</v>
      </c>
      <c r="N34" s="221">
        <f>+bphvar!N34</f>
        <v>146272.4</v>
      </c>
      <c r="O34" s="328">
        <f>+N34/$N$22</f>
        <v>0.180921891189643</v>
      </c>
      <c r="P34" s="221">
        <f>+bphvar!P34</f>
        <v>123019.68121</v>
      </c>
      <c r="Q34" s="328">
        <f>+P34/$P$22</f>
        <v>0.23728792851751365</v>
      </c>
      <c r="R34" s="6"/>
      <c r="S34" s="7"/>
      <c r="T34" s="7"/>
      <c r="U34" s="7"/>
    </row>
    <row r="35" spans="1:21">
      <c r="A35" s="1"/>
      <c r="B35" s="12">
        <f>SUM(B32:B34)</f>
        <v>64204.9</v>
      </c>
      <c r="C35" s="47">
        <f>+B35/$B$22</f>
        <v>8.0221058369860085E-2</v>
      </c>
      <c r="D35" s="12">
        <f>SUM(D32:D34)</f>
        <v>0</v>
      </c>
      <c r="E35" s="44">
        <v>0</v>
      </c>
      <c r="F35" s="12">
        <f>SUM(F32:F34)</f>
        <v>0</v>
      </c>
      <c r="G35" s="44">
        <v>0</v>
      </c>
      <c r="H35" s="12">
        <f>SUM(H32:H34)</f>
        <v>0</v>
      </c>
      <c r="I35" s="44">
        <v>0</v>
      </c>
      <c r="J35" s="12">
        <f>SUM(J32:J34)</f>
        <v>72074.8</v>
      </c>
      <c r="K35" s="47">
        <f>+J35/$J$22</f>
        <v>8.7932600313593595E-2</v>
      </c>
      <c r="L35" s="12">
        <f>SUM(L32:L34)</f>
        <v>82007.899999999994</v>
      </c>
      <c r="M35" s="47">
        <f>+L35/$L$22</f>
        <v>0.10837114174782375</v>
      </c>
      <c r="N35" s="12">
        <f>SUM(N32:N34)</f>
        <v>146272.4</v>
      </c>
      <c r="O35" s="47">
        <f>+N35/$N$22</f>
        <v>0.180921891189643</v>
      </c>
      <c r="P35" s="12">
        <f>SUM(P32:P34)</f>
        <v>123019.68121</v>
      </c>
      <c r="Q35" s="47">
        <f>+P35/$P$22</f>
        <v>0.23728792851751365</v>
      </c>
    </row>
    <row r="36" spans="1:21" ht="7.15" customHeight="1">
      <c r="A36" s="1"/>
      <c r="C36" s="47" t="s">
        <v>0</v>
      </c>
      <c r="E36" s="44" t="s">
        <v>0</v>
      </c>
      <c r="G36" s="44" t="s">
        <v>0</v>
      </c>
      <c r="I36" s="44" t="s">
        <v>0</v>
      </c>
      <c r="K36" s="47" t="s">
        <v>0</v>
      </c>
      <c r="M36" s="47" t="s">
        <v>0</v>
      </c>
      <c r="O36" s="47" t="s">
        <v>0</v>
      </c>
      <c r="Q36" s="47" t="s">
        <v>0</v>
      </c>
    </row>
    <row r="37" spans="1:21">
      <c r="A37" s="1" t="s">
        <v>285</v>
      </c>
      <c r="C37" s="47" t="s">
        <v>0</v>
      </c>
      <c r="E37" s="44" t="s">
        <v>0</v>
      </c>
      <c r="G37" s="44" t="s">
        <v>0</v>
      </c>
      <c r="I37" s="44" t="s">
        <v>0</v>
      </c>
      <c r="K37" s="47" t="s">
        <v>0</v>
      </c>
      <c r="M37" s="47" t="s">
        <v>0</v>
      </c>
      <c r="O37" s="47" t="s">
        <v>0</v>
      </c>
      <c r="Q37" s="47" t="s">
        <v>0</v>
      </c>
    </row>
    <row r="38" spans="1:21">
      <c r="A38" s="1" t="s">
        <v>282</v>
      </c>
      <c r="B38" s="12">
        <f>+bphvar!B38</f>
        <v>0</v>
      </c>
      <c r="C38" s="47">
        <f>+B38/$B$22</f>
        <v>0</v>
      </c>
      <c r="D38" s="12">
        <f>+bphvar!D38</f>
        <v>0</v>
      </c>
      <c r="E38" s="44">
        <v>0</v>
      </c>
      <c r="F38" s="12">
        <f>+bphvar!F38</f>
        <v>0</v>
      </c>
      <c r="G38" s="44">
        <v>0</v>
      </c>
      <c r="H38" s="12">
        <f>+bphvar!H38</f>
        <v>0</v>
      </c>
      <c r="I38" s="44">
        <v>0</v>
      </c>
      <c r="J38" s="12">
        <f>+bphvar!J38</f>
        <v>0</v>
      </c>
      <c r="K38" s="47">
        <f>+J38/$J$22</f>
        <v>0</v>
      </c>
      <c r="L38" s="12">
        <f>+bphvar!L38</f>
        <v>0</v>
      </c>
      <c r="M38" s="47">
        <f>+L38/$L$22</f>
        <v>0</v>
      </c>
      <c r="N38" s="12">
        <f>+bphvar!N38</f>
        <v>8474.7999999999993</v>
      </c>
      <c r="O38" s="47">
        <f>+N38/$N$22</f>
        <v>1.0482338728659587E-2</v>
      </c>
      <c r="P38" s="12">
        <f>+bphvar!P38</f>
        <v>0</v>
      </c>
      <c r="Q38" s="47">
        <f>+P38/$P$22</f>
        <v>0</v>
      </c>
    </row>
    <row r="39" spans="1:21">
      <c r="A39" s="1" t="s">
        <v>286</v>
      </c>
      <c r="B39" s="12">
        <f>+bphvar!B39</f>
        <v>0</v>
      </c>
      <c r="C39" s="47">
        <f>+B39/$B$22</f>
        <v>0</v>
      </c>
      <c r="D39" s="12">
        <f>+bphvar!D39</f>
        <v>0</v>
      </c>
      <c r="E39" s="44">
        <v>0</v>
      </c>
      <c r="F39" s="12">
        <f>+bphvar!F39</f>
        <v>0</v>
      </c>
      <c r="G39" s="44">
        <v>0</v>
      </c>
      <c r="H39" s="12">
        <f>+bphvar!H39</f>
        <v>0</v>
      </c>
      <c r="I39" s="44">
        <v>0</v>
      </c>
      <c r="J39" s="12">
        <f>+bphvar!J39</f>
        <v>0</v>
      </c>
      <c r="K39" s="47">
        <f>+J39/$L$22</f>
        <v>0</v>
      </c>
      <c r="L39" s="12">
        <f>+bphvar!L39</f>
        <v>0</v>
      </c>
      <c r="M39" s="47">
        <f>+L39/$L$22</f>
        <v>0</v>
      </c>
      <c r="N39" s="12">
        <f>+bphvar!N39</f>
        <v>0</v>
      </c>
      <c r="O39" s="47">
        <f>+N39/$N$22</f>
        <v>0</v>
      </c>
      <c r="P39" s="12">
        <f>+bphvar!P39</f>
        <v>0</v>
      </c>
      <c r="Q39" s="47">
        <f>+P39/$P$22</f>
        <v>0</v>
      </c>
    </row>
    <row r="40" spans="1:21">
      <c r="A40" s="1" t="s">
        <v>284</v>
      </c>
      <c r="B40" s="221">
        <f>+bphvar!B40</f>
        <v>18383.7</v>
      </c>
      <c r="C40" s="328">
        <f>+B40/$B$22</f>
        <v>2.2969584420410232E-2</v>
      </c>
      <c r="D40" s="221">
        <f>+bphvar!D40</f>
        <v>0</v>
      </c>
      <c r="E40" s="545">
        <v>0</v>
      </c>
      <c r="F40" s="221">
        <f>+bphvar!F40</f>
        <v>0</v>
      </c>
      <c r="G40" s="545">
        <v>0</v>
      </c>
      <c r="H40" s="221">
        <f>+bphvar!H40</f>
        <v>0</v>
      </c>
      <c r="I40" s="545">
        <v>0</v>
      </c>
      <c r="J40" s="221">
        <f>+bphvar!J40</f>
        <v>19771.900000000001</v>
      </c>
      <c r="K40" s="328">
        <f>+J40/$J$22</f>
        <v>2.412208677846267E-2</v>
      </c>
      <c r="L40" s="221">
        <f>+bphvar!L40</f>
        <v>17925.5</v>
      </c>
      <c r="M40" s="328">
        <f>+L40/$L$22</f>
        <v>2.3688045924851325E-2</v>
      </c>
      <c r="N40" s="221">
        <f>+bphvar!N40</f>
        <v>11859</v>
      </c>
      <c r="O40" s="328">
        <f>+N40/$N$22</f>
        <v>1.4668199247554402E-2</v>
      </c>
      <c r="P40" s="221">
        <f>+bphvar!P40</f>
        <v>4219.2258899999997</v>
      </c>
      <c r="Q40" s="328">
        <f>+P40/$P$22</f>
        <v>8.1383024369614428E-3</v>
      </c>
    </row>
    <row r="41" spans="1:21">
      <c r="A41" s="1"/>
      <c r="B41" s="12">
        <f>SUM(B38:B40)</f>
        <v>18383.7</v>
      </c>
      <c r="C41" s="47">
        <f>+B41/$B$22</f>
        <v>2.2969584420410232E-2</v>
      </c>
      <c r="D41" s="12">
        <f>SUM(D38:D40)</f>
        <v>0</v>
      </c>
      <c r="E41" s="44">
        <v>0</v>
      </c>
      <c r="F41" s="12">
        <f>SUM(F38:F40)</f>
        <v>0</v>
      </c>
      <c r="G41" s="44">
        <v>0</v>
      </c>
      <c r="H41" s="12">
        <f>SUM(H38:H40)</f>
        <v>0</v>
      </c>
      <c r="I41" s="44">
        <v>0</v>
      </c>
      <c r="J41" s="12">
        <f>SUM(J38:J40)</f>
        <v>19771.900000000001</v>
      </c>
      <c r="K41" s="47">
        <f>+J41/$J$22</f>
        <v>2.412208677846267E-2</v>
      </c>
      <c r="L41" s="12">
        <f>SUM(L38:L40)</f>
        <v>17925.5</v>
      </c>
      <c r="M41" s="47">
        <f>+L41/$L$22</f>
        <v>2.3688045924851325E-2</v>
      </c>
      <c r="N41" s="12">
        <f>SUM(N38:N40)</f>
        <v>20333.8</v>
      </c>
      <c r="O41" s="47">
        <f>+N41/$N$22</f>
        <v>2.5150537976213989E-2</v>
      </c>
      <c r="P41" s="12">
        <f>SUM(P38:P40)</f>
        <v>4219.2258899999997</v>
      </c>
      <c r="Q41" s="47">
        <f>+P41/$P$22</f>
        <v>8.1383024369614428E-3</v>
      </c>
    </row>
    <row r="42" spans="1:21" ht="8.4499999999999993" customHeight="1">
      <c r="A42" s="1"/>
      <c r="C42" s="47" t="s">
        <v>0</v>
      </c>
      <c r="E42" s="44" t="s">
        <v>0</v>
      </c>
      <c r="G42" s="44" t="s">
        <v>0</v>
      </c>
      <c r="I42" s="44" t="s">
        <v>0</v>
      </c>
      <c r="K42" s="47" t="s">
        <v>0</v>
      </c>
      <c r="M42" s="47" t="s">
        <v>0</v>
      </c>
      <c r="O42" s="47" t="s">
        <v>0</v>
      </c>
      <c r="Q42" s="47" t="s">
        <v>0</v>
      </c>
    </row>
    <row r="43" spans="1:21" ht="18">
      <c r="A43" s="1" t="s">
        <v>287</v>
      </c>
      <c r="B43" s="221">
        <f>+bphvar!B43</f>
        <v>3492.3</v>
      </c>
      <c r="C43" s="328">
        <f>+B43/$B$22</f>
        <v>4.3634676192169505E-3</v>
      </c>
      <c r="D43" s="221">
        <f>+bphvar!D43</f>
        <v>0</v>
      </c>
      <c r="E43" s="545">
        <v>0</v>
      </c>
      <c r="F43" s="221">
        <f>+bphvar!F43</f>
        <v>0</v>
      </c>
      <c r="G43" s="545">
        <v>0</v>
      </c>
      <c r="H43" s="221">
        <f>+bphvar!H43</f>
        <v>0</v>
      </c>
      <c r="I43" s="545">
        <v>0</v>
      </c>
      <c r="J43" s="221">
        <f>+bphvar!J43</f>
        <v>2292.1999999999998</v>
      </c>
      <c r="K43" s="328">
        <f>+J43/$J$22</f>
        <v>2.7965267533010042E-3</v>
      </c>
      <c r="L43" s="221">
        <f>+bphvar!L43</f>
        <v>5198.5</v>
      </c>
      <c r="M43" s="328">
        <f>+L43/$L$22</f>
        <v>6.8696720727644753E-3</v>
      </c>
      <c r="N43" s="221">
        <f>+bphvar!N43</f>
        <v>382.5</v>
      </c>
      <c r="O43" s="328">
        <f>+N43/$N$22</f>
        <v>4.7310786847032285E-4</v>
      </c>
      <c r="P43" s="221">
        <f>+bphvar!P43</f>
        <v>0.35</v>
      </c>
      <c r="Q43" s="328">
        <f>+P43/$P$22</f>
        <v>6.7510152980610034E-7</v>
      </c>
      <c r="R43" s="6"/>
    </row>
    <row r="44" spans="1:21">
      <c r="A44" s="1"/>
      <c r="B44" s="12">
        <f>+B29+B35+B41+B43</f>
        <v>770862.70000000007</v>
      </c>
      <c r="C44" s="47">
        <f>+B44/$B$22</f>
        <v>0.96315735484126519</v>
      </c>
      <c r="D44" s="12">
        <f t="shared" ref="D44:J44" si="10">+D29+D35+D41+D43</f>
        <v>0</v>
      </c>
      <c r="E44" s="44">
        <v>0</v>
      </c>
      <c r="F44" s="12">
        <f t="shared" si="10"/>
        <v>0</v>
      </c>
      <c r="G44" s="44">
        <v>0</v>
      </c>
      <c r="H44" s="12">
        <f t="shared" si="10"/>
        <v>0</v>
      </c>
      <c r="I44" s="44">
        <v>0</v>
      </c>
      <c r="J44" s="12">
        <f t="shared" si="10"/>
        <v>790276.4</v>
      </c>
      <c r="K44" s="47">
        <f>+J44/$J$22</f>
        <v>0.96415194795498038</v>
      </c>
      <c r="L44" s="12">
        <f>+L29+L35+L41+L43</f>
        <v>731839</v>
      </c>
      <c r="M44" s="47">
        <f>+L44/$L$22</f>
        <v>0.96710473022215659</v>
      </c>
      <c r="N44" s="12">
        <f>+N29+N35+N41+N43</f>
        <v>796286.20000000007</v>
      </c>
      <c r="O44" s="47">
        <f>+N44/$N$22</f>
        <v>0.98491311574989082</v>
      </c>
      <c r="P44" s="12">
        <f>+P29+P35+P41+P43</f>
        <v>511489.80963999993</v>
      </c>
      <c r="Q44" s="47">
        <f>+P44/$P$22</f>
        <v>0.9865930084805572</v>
      </c>
    </row>
    <row r="45" spans="1:21" ht="8.4499999999999993" customHeight="1">
      <c r="A45" s="1"/>
      <c r="C45" s="47" t="s">
        <v>0</v>
      </c>
      <c r="E45" s="44" t="s">
        <v>0</v>
      </c>
      <c r="G45" s="44" t="s">
        <v>0</v>
      </c>
      <c r="I45" s="44" t="s">
        <v>0</v>
      </c>
      <c r="K45" s="47" t="s">
        <v>0</v>
      </c>
      <c r="M45" s="47" t="s">
        <v>0</v>
      </c>
      <c r="O45" s="47" t="s">
        <v>0</v>
      </c>
      <c r="Q45" s="47" t="s">
        <v>0</v>
      </c>
    </row>
    <row r="46" spans="1:21">
      <c r="A46" s="87" t="s">
        <v>288</v>
      </c>
      <c r="C46" s="47" t="s">
        <v>0</v>
      </c>
      <c r="E46" s="44" t="s">
        <v>0</v>
      </c>
      <c r="G46" s="44" t="s">
        <v>0</v>
      </c>
      <c r="I46" s="44" t="s">
        <v>0</v>
      </c>
      <c r="K46" s="47" t="s">
        <v>0</v>
      </c>
      <c r="M46" s="47" t="s">
        <v>0</v>
      </c>
      <c r="O46" s="47" t="s">
        <v>0</v>
      </c>
      <c r="Q46" s="47" t="s">
        <v>0</v>
      </c>
    </row>
    <row r="47" spans="1:21">
      <c r="A47" s="1" t="s">
        <v>289</v>
      </c>
      <c r="B47" s="12">
        <f>+bphvar!B47</f>
        <v>5000</v>
      </c>
      <c r="C47" s="47">
        <f t="shared" ref="C47:C52" si="11">+B47/$B$22</f>
        <v>6.247269162467357E-3</v>
      </c>
      <c r="D47" s="12">
        <f>+bphvar!D47</f>
        <v>0</v>
      </c>
      <c r="E47" s="44">
        <v>0</v>
      </c>
      <c r="F47" s="12">
        <f>+bphvar!F47</f>
        <v>0</v>
      </c>
      <c r="G47" s="44">
        <v>0</v>
      </c>
      <c r="H47" s="12">
        <f>+bphvar!H47</f>
        <v>0</v>
      </c>
      <c r="I47" s="44">
        <v>0</v>
      </c>
      <c r="J47" s="12">
        <f>+bphvar!J47</f>
        <v>5000</v>
      </c>
      <c r="K47" s="47">
        <f t="shared" ref="K47:K52" si="12">+J47/$J$22</f>
        <v>6.1000932582257316E-3</v>
      </c>
      <c r="L47" s="12">
        <f>+bphvar!L47</f>
        <v>5000</v>
      </c>
      <c r="M47" s="47">
        <f t="shared" ref="M47:M52" si="13">+L47/$L$22</f>
        <v>6.607359885317376E-3</v>
      </c>
      <c r="N47" s="12">
        <f>+bphvar!N47</f>
        <v>5000</v>
      </c>
      <c r="O47" s="47">
        <f t="shared" ref="O47:O52" si="14">+N47/$N$22</f>
        <v>6.1844165813114103E-3</v>
      </c>
      <c r="P47" s="12">
        <f>+bphvar!P47</f>
        <v>5000</v>
      </c>
      <c r="Q47" s="47">
        <f t="shared" ref="Q47:Q52" si="15">+P47/$P$22</f>
        <v>9.6443075686585764E-3</v>
      </c>
    </row>
    <row r="48" spans="1:21">
      <c r="A48" s="1" t="s">
        <v>290</v>
      </c>
      <c r="B48" s="12">
        <f>+bphvar!B48</f>
        <v>1771.9</v>
      </c>
      <c r="C48" s="47">
        <f t="shared" si="11"/>
        <v>2.2139072457951822E-3</v>
      </c>
      <c r="D48" s="12">
        <f>+bphvar!D48</f>
        <v>0</v>
      </c>
      <c r="E48" s="44">
        <v>0</v>
      </c>
      <c r="F48" s="12">
        <f>+bphvar!F48</f>
        <v>0</v>
      </c>
      <c r="G48" s="44">
        <v>0</v>
      </c>
      <c r="H48" s="12">
        <f>+bphvar!H48</f>
        <v>0</v>
      </c>
      <c r="I48" s="44">
        <v>0</v>
      </c>
      <c r="J48" s="12">
        <f>+bphvar!J48</f>
        <v>1771.9</v>
      </c>
      <c r="K48" s="47">
        <f t="shared" si="12"/>
        <v>2.1617510488500351E-3</v>
      </c>
      <c r="L48" s="12">
        <f>+bphvar!L48</f>
        <v>838.3</v>
      </c>
      <c r="M48" s="47">
        <f t="shared" si="13"/>
        <v>1.1077899583723111E-3</v>
      </c>
      <c r="N48" s="12">
        <f>+bphvar!N48</f>
        <v>0</v>
      </c>
      <c r="O48" s="47">
        <f t="shared" si="14"/>
        <v>0</v>
      </c>
      <c r="P48" s="12">
        <f>+bphvar!P48</f>
        <v>0</v>
      </c>
      <c r="Q48" s="47">
        <f t="shared" si="15"/>
        <v>0</v>
      </c>
    </row>
    <row r="49" spans="1:21">
      <c r="A49" s="1" t="s">
        <v>302</v>
      </c>
      <c r="B49" s="12">
        <f>+bphvar!B49</f>
        <v>0</v>
      </c>
      <c r="C49" s="47">
        <f t="shared" si="11"/>
        <v>0</v>
      </c>
      <c r="D49" s="12">
        <f>+bphvar!D49</f>
        <v>0</v>
      </c>
      <c r="E49" s="44">
        <v>0</v>
      </c>
      <c r="F49" s="12">
        <f>+bphvar!F49</f>
        <v>0</v>
      </c>
      <c r="G49" s="44">
        <v>0</v>
      </c>
      <c r="H49" s="12">
        <f>+bphvar!H49</f>
        <v>0</v>
      </c>
      <c r="I49" s="44">
        <v>0</v>
      </c>
      <c r="J49" s="12">
        <f>+bphvar!J49</f>
        <v>0</v>
      </c>
      <c r="K49" s="47">
        <f t="shared" si="12"/>
        <v>0</v>
      </c>
      <c r="L49" s="12">
        <f>+bphvar!L49</f>
        <v>0</v>
      </c>
      <c r="M49" s="47">
        <f t="shared" si="13"/>
        <v>0</v>
      </c>
      <c r="N49" s="12">
        <f>+bphvar!N49</f>
        <v>0</v>
      </c>
      <c r="O49" s="47">
        <f t="shared" si="14"/>
        <v>0</v>
      </c>
      <c r="P49" s="12">
        <f>+bphvar!P49</f>
        <v>0</v>
      </c>
      <c r="Q49" s="47">
        <f t="shared" si="15"/>
        <v>0</v>
      </c>
    </row>
    <row r="50" spans="1:21" ht="18">
      <c r="A50" s="1" t="s">
        <v>292</v>
      </c>
      <c r="B50" s="221">
        <f>+bphvar!B50</f>
        <v>22715.1</v>
      </c>
      <c r="C50" s="328">
        <f t="shared" si="11"/>
        <v>2.8381468750472448E-2</v>
      </c>
      <c r="D50" s="221">
        <f>+bphvar!D50</f>
        <v>0</v>
      </c>
      <c r="E50" s="545">
        <v>0</v>
      </c>
      <c r="F50" s="221">
        <f>+bphvar!F50</f>
        <v>0</v>
      </c>
      <c r="G50" s="545">
        <v>0</v>
      </c>
      <c r="H50" s="221">
        <f>+bphvar!H50</f>
        <v>0</v>
      </c>
      <c r="I50" s="545">
        <v>0</v>
      </c>
      <c r="J50" s="221">
        <f>+bphvar!J50</f>
        <v>22611.3</v>
      </c>
      <c r="K50" s="328">
        <f t="shared" si="12"/>
        <v>2.7586207737943898E-2</v>
      </c>
      <c r="L50" s="221">
        <f>+bphvar!L50</f>
        <v>19054.599999999999</v>
      </c>
      <c r="M50" s="328">
        <f t="shared" si="13"/>
        <v>2.5180119934153693E-2</v>
      </c>
      <c r="N50" s="221">
        <f>+bphvar!N50</f>
        <v>7197.6</v>
      </c>
      <c r="O50" s="328">
        <f t="shared" si="14"/>
        <v>8.9025913571294021E-3</v>
      </c>
      <c r="P50" s="221">
        <f>+bphvar!P50</f>
        <v>1950.7278899999999</v>
      </c>
      <c r="Q50" s="328">
        <f t="shared" si="15"/>
        <v>3.7626839507840749E-3</v>
      </c>
      <c r="R50" s="6"/>
      <c r="S50" s="7"/>
      <c r="T50" s="7"/>
      <c r="U50" s="7"/>
    </row>
    <row r="51" spans="1:21" ht="16.5" thickBot="1">
      <c r="A51" s="1" t="s">
        <v>275</v>
      </c>
      <c r="B51" s="76">
        <f>SUM(B47:B50)</f>
        <v>29487</v>
      </c>
      <c r="C51" s="231">
        <f t="shared" si="11"/>
        <v>3.6842645158734991E-2</v>
      </c>
      <c r="D51" s="76">
        <f>SUM(D47:D50)</f>
        <v>0</v>
      </c>
      <c r="E51" s="232">
        <v>0</v>
      </c>
      <c r="F51" s="76">
        <f>SUM(F47:F50)</f>
        <v>0</v>
      </c>
      <c r="G51" s="232">
        <v>0</v>
      </c>
      <c r="H51" s="76">
        <f>SUM(H47:H50)</f>
        <v>0</v>
      </c>
      <c r="I51" s="232">
        <v>0</v>
      </c>
      <c r="J51" s="76">
        <f>SUM(J47:J50)</f>
        <v>29383.199999999997</v>
      </c>
      <c r="K51" s="231">
        <f t="shared" si="12"/>
        <v>3.584805204501966E-2</v>
      </c>
      <c r="L51" s="76">
        <f>SUM(L47:L50)</f>
        <v>24892.899999999998</v>
      </c>
      <c r="M51" s="231">
        <f t="shared" si="13"/>
        <v>3.2895269777843378E-2</v>
      </c>
      <c r="N51" s="76">
        <f>SUM(N47:N50)</f>
        <v>12197.6</v>
      </c>
      <c r="O51" s="231">
        <f t="shared" si="14"/>
        <v>1.5087007938440811E-2</v>
      </c>
      <c r="P51" s="76">
        <f>SUM(P47:P50)</f>
        <v>6950.7278900000001</v>
      </c>
      <c r="Q51" s="231">
        <f t="shared" si="15"/>
        <v>1.3406991519442652E-2</v>
      </c>
    </row>
    <row r="52" spans="1:21">
      <c r="A52" s="1" t="s">
        <v>0</v>
      </c>
      <c r="B52" s="4">
        <f>+B29+B35+B41+B43+B51</f>
        <v>800349.70000000007</v>
      </c>
      <c r="C52" s="112">
        <f t="shared" si="11"/>
        <v>1.0000000000000002</v>
      </c>
      <c r="D52" s="4">
        <f>+D29+D35+D41+D43+D51</f>
        <v>0</v>
      </c>
      <c r="E52" s="42">
        <v>0</v>
      </c>
      <c r="F52" s="4">
        <f>+F29+F35+F41+F43+F51</f>
        <v>0</v>
      </c>
      <c r="G52" s="42">
        <v>0</v>
      </c>
      <c r="H52" s="4">
        <f>+H29+H35+H41+H43+H51</f>
        <v>0</v>
      </c>
      <c r="I52" s="42">
        <v>0</v>
      </c>
      <c r="J52" s="4">
        <f>+J29+J35+J41+J43+J51</f>
        <v>819659.6</v>
      </c>
      <c r="K52" s="47">
        <f t="shared" si="12"/>
        <v>1</v>
      </c>
      <c r="L52" s="4">
        <f>+L29+L35+L41+L43+L51-0.1</f>
        <v>756731.8</v>
      </c>
      <c r="M52" s="47">
        <f t="shared" si="13"/>
        <v>0.99999986785280237</v>
      </c>
      <c r="N52" s="4">
        <f>+N29+N35+N41+N43+N51</f>
        <v>808483.8</v>
      </c>
      <c r="O52" s="47">
        <f t="shared" si="14"/>
        <v>1.0000001236883316</v>
      </c>
      <c r="P52" s="4">
        <f>+P29+P35+P41+P43+P51</f>
        <v>518440.53752999991</v>
      </c>
      <c r="Q52" s="47">
        <f t="shared" si="15"/>
        <v>0.99999999999999978</v>
      </c>
    </row>
    <row r="55" spans="1:21">
      <c r="B55"/>
      <c r="C55"/>
      <c r="D55"/>
      <c r="E55"/>
      <c r="F55"/>
      <c r="G55"/>
      <c r="H55"/>
      <c r="I55"/>
      <c r="J55"/>
      <c r="K55"/>
      <c r="L55"/>
      <c r="M55"/>
      <c r="N55"/>
      <c r="O55"/>
      <c r="P55"/>
      <c r="Q55"/>
      <c r="R55"/>
    </row>
    <row r="56" spans="1:21">
      <c r="A56" s="185" t="s">
        <v>293</v>
      </c>
      <c r="B56"/>
      <c r="C56"/>
      <c r="D56"/>
      <c r="E56"/>
      <c r="F56"/>
      <c r="G56"/>
      <c r="H56"/>
      <c r="I56"/>
      <c r="J56"/>
      <c r="K56"/>
      <c r="L56"/>
      <c r="M56"/>
      <c r="N56"/>
      <c r="O56"/>
      <c r="P56"/>
      <c r="Q56"/>
      <c r="R56"/>
    </row>
    <row r="57" spans="1:21">
      <c r="A57" t="s">
        <v>294</v>
      </c>
      <c r="B57" s="3">
        <f>+bphvar!B56</f>
        <v>0</v>
      </c>
      <c r="C57"/>
      <c r="D57" s="3">
        <f>+bphvar!D56</f>
        <v>0</v>
      </c>
      <c r="E57"/>
      <c r="F57" s="3">
        <f>+bphvar!F56</f>
        <v>0</v>
      </c>
      <c r="G57"/>
      <c r="H57" s="3">
        <f>+bphvar!H56</f>
        <v>0</v>
      </c>
      <c r="I57"/>
      <c r="J57" s="3">
        <f>+bphvar!J56</f>
        <v>0</v>
      </c>
      <c r="K57"/>
      <c r="L57" s="3">
        <f>+bphvar!L56</f>
        <v>0</v>
      </c>
      <c r="M57"/>
      <c r="N57" s="3">
        <f>+bphvar!N56</f>
        <v>0</v>
      </c>
      <c r="O57"/>
      <c r="P57" s="3">
        <f>+bphvar!P56</f>
        <v>0</v>
      </c>
      <c r="Q57"/>
      <c r="R57"/>
    </row>
    <row r="58" spans="1:21">
      <c r="A58" t="s">
        <v>295</v>
      </c>
      <c r="B58" s="3">
        <f>+bphvar!B57</f>
        <v>0</v>
      </c>
      <c r="C58"/>
      <c r="D58" s="3">
        <f>+bphvar!D57</f>
        <v>0</v>
      </c>
      <c r="E58"/>
      <c r="F58" s="3">
        <f>+bphvar!F57</f>
        <v>0</v>
      </c>
      <c r="G58"/>
      <c r="H58" s="3">
        <f>+bphvar!H57</f>
        <v>0</v>
      </c>
      <c r="I58"/>
      <c r="J58" s="3">
        <f>+bphvar!J57</f>
        <v>0</v>
      </c>
      <c r="K58"/>
      <c r="L58" s="3">
        <f>+bphvar!L57</f>
        <v>0</v>
      </c>
      <c r="M58"/>
      <c r="N58" s="3">
        <f>+bphvar!N57</f>
        <v>12304.9</v>
      </c>
      <c r="O58"/>
      <c r="P58" s="3">
        <f>+bphvar!P57</f>
        <v>0</v>
      </c>
      <c r="Q58"/>
      <c r="R58"/>
    </row>
    <row r="59" spans="1:21">
      <c r="A59" t="s">
        <v>284</v>
      </c>
      <c r="B59" s="3">
        <f>+bphvar!B58</f>
        <v>45620.1</v>
      </c>
      <c r="C59"/>
      <c r="D59" s="3">
        <f>+bphvar!D58</f>
        <v>0</v>
      </c>
      <c r="E59"/>
      <c r="F59" s="3">
        <f>+bphvar!F58</f>
        <v>0</v>
      </c>
      <c r="G59"/>
      <c r="H59" s="3">
        <f>+bphvar!H58</f>
        <v>0</v>
      </c>
      <c r="I59"/>
      <c r="J59" s="3">
        <f>+bphvar!J58</f>
        <v>35128.1</v>
      </c>
      <c r="K59"/>
      <c r="L59" s="3">
        <f>+bphvar!L58</f>
        <v>12831</v>
      </c>
      <c r="M59"/>
      <c r="N59" s="3">
        <f>+bphvar!N58</f>
        <v>2706.5</v>
      </c>
      <c r="O59"/>
      <c r="P59" s="3">
        <f>+bphvar!P58</f>
        <v>0.45200000000000001</v>
      </c>
      <c r="Q59"/>
      <c r="R59"/>
    </row>
    <row r="60" spans="1:21">
      <c r="B60" s="3"/>
      <c r="C60"/>
      <c r="D60" s="3"/>
      <c r="E60"/>
      <c r="F60" s="3"/>
      <c r="G60"/>
      <c r="H60" s="3"/>
      <c r="I60"/>
      <c r="J60" s="3"/>
      <c r="K60"/>
      <c r="L60" s="3"/>
      <c r="M60"/>
      <c r="N60" s="3"/>
      <c r="O60"/>
      <c r="P60" s="3"/>
      <c r="Q60"/>
      <c r="R60"/>
    </row>
    <row r="61" spans="1:21" ht="18.75">
      <c r="A61" s="122" t="s">
        <v>303</v>
      </c>
      <c r="B61" s="3">
        <f>+bphvar!B60</f>
        <v>351036.3</v>
      </c>
      <c r="C61"/>
      <c r="D61" s="3">
        <f>+bphvar!D60</f>
        <v>0</v>
      </c>
      <c r="E61"/>
      <c r="F61" s="3">
        <f>+bphvar!F60</f>
        <v>0</v>
      </c>
      <c r="G61"/>
      <c r="H61" s="3">
        <f>+bphvar!H60</f>
        <v>0</v>
      </c>
      <c r="I61"/>
      <c r="J61" s="3">
        <f>+bphvar!J60</f>
        <v>333313.7</v>
      </c>
      <c r="K61"/>
      <c r="L61" s="3">
        <f>+bphvar!L60</f>
        <v>288964.7</v>
      </c>
      <c r="M61"/>
      <c r="N61" s="3">
        <f>+bphvar!N60</f>
        <v>267625.40000000002</v>
      </c>
      <c r="O61"/>
      <c r="P61" s="3">
        <f>+bphvar!P60</f>
        <v>230230.51037</v>
      </c>
      <c r="Q61"/>
      <c r="R61"/>
    </row>
    <row r="62" spans="1:21">
      <c r="A62" t="s">
        <v>217</v>
      </c>
      <c r="B62" s="3">
        <f>+bphvar!B61</f>
        <v>34123.5</v>
      </c>
      <c r="C62"/>
      <c r="D62" s="3">
        <f>+bphvar!D61</f>
        <v>0</v>
      </c>
      <c r="E62"/>
      <c r="F62" s="3">
        <f>+bphvar!F61</f>
        <v>0</v>
      </c>
      <c r="G62"/>
      <c r="H62" s="3">
        <f>+bphvar!H61</f>
        <v>0</v>
      </c>
      <c r="I62"/>
      <c r="J62" s="3">
        <f>+bphvar!J61</f>
        <v>32323.5</v>
      </c>
      <c r="K62"/>
      <c r="L62" s="3">
        <f>+bphvar!L61</f>
        <v>21411.8</v>
      </c>
      <c r="M62"/>
      <c r="N62" s="3">
        <f>+bphvar!N61</f>
        <v>12104.6</v>
      </c>
      <c r="O62"/>
      <c r="P62" s="3">
        <f>+bphvar!P61</f>
        <v>5786.7218499999999</v>
      </c>
      <c r="Q62"/>
      <c r="R62"/>
    </row>
    <row r="63" spans="1:21">
      <c r="A63" t="s">
        <v>297</v>
      </c>
      <c r="B63" s="3">
        <f>+bphvar!B62</f>
        <v>81253.600000000006</v>
      </c>
      <c r="C63"/>
      <c r="D63" s="3">
        <f>+bphvar!D62</f>
        <v>0</v>
      </c>
      <c r="E63"/>
      <c r="F63" s="3">
        <f>+bphvar!F62</f>
        <v>0</v>
      </c>
      <c r="G63"/>
      <c r="H63" s="3">
        <f>+bphvar!H62</f>
        <v>0</v>
      </c>
      <c r="I63"/>
      <c r="J63" s="3">
        <f>+bphvar!J62</f>
        <v>83375.8</v>
      </c>
      <c r="K63"/>
      <c r="L63" s="3">
        <f>+bphvar!L62</f>
        <v>73187.5</v>
      </c>
      <c r="M63"/>
      <c r="N63" s="3">
        <f>+bphvar!N62</f>
        <v>31933.3</v>
      </c>
      <c r="O63"/>
      <c r="P63" s="3">
        <f>+bphvar!P62</f>
        <v>18561.95694</v>
      </c>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row r="156" spans="2:18">
      <c r="B156"/>
      <c r="C156"/>
      <c r="D156"/>
      <c r="E156"/>
      <c r="F156"/>
      <c r="G156"/>
      <c r="H156"/>
      <c r="I156"/>
      <c r="J156"/>
      <c r="K156"/>
      <c r="L156"/>
      <c r="M156"/>
      <c r="N156"/>
      <c r="O156"/>
      <c r="P156"/>
      <c r="Q156"/>
      <c r="R156"/>
    </row>
  </sheetData>
  <pageMargins left="0.2" right="0.2" top="0.47" bottom="0.56999999999999995" header="0.31" footer="0.34"/>
  <pageSetup scale="52" orientation="landscape" r:id="rId1"/>
  <headerFooter alignWithMargins="0">
    <oddFooter>&amp;R&amp;P</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1"/>
  <sheetViews>
    <sheetView workbookViewId="0"/>
  </sheetViews>
  <sheetFormatPr defaultRowHeight="15.75"/>
  <cols>
    <col min="1" max="1" width="33.25" customWidth="1"/>
    <col min="2" max="2" width="17.75" style="12" customWidth="1"/>
    <col min="3" max="3" width="15.75" style="13" customWidth="1"/>
    <col min="4" max="4" width="15.75" style="12" customWidth="1"/>
    <col min="5" max="5" width="14.75" style="13" customWidth="1"/>
    <col min="6" max="6" width="12.5" style="12" customWidth="1"/>
    <col min="7" max="7" width="8.125" style="13" customWidth="1"/>
    <col min="8" max="8" width="17.75"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595</v>
      </c>
      <c r="B1" s="37"/>
      <c r="C1" s="38"/>
      <c r="D1" s="37"/>
      <c r="E1" s="38"/>
      <c r="F1" s="37"/>
      <c r="G1" s="38"/>
      <c r="H1" s="37"/>
      <c r="I1" s="37"/>
      <c r="J1" s="38"/>
      <c r="K1" s="37"/>
    </row>
    <row r="2" spans="1:15">
      <c r="A2" s="114" t="s">
        <v>305</v>
      </c>
      <c r="B2" s="37"/>
      <c r="C2" s="38"/>
      <c r="D2" s="37"/>
      <c r="E2" s="38"/>
      <c r="F2" s="37"/>
      <c r="G2" s="38"/>
      <c r="H2" s="37"/>
      <c r="I2" s="37"/>
      <c r="J2" s="38"/>
      <c r="K2" s="37"/>
    </row>
    <row r="3" spans="1:15">
      <c r="A3" s="114" t="s">
        <v>306</v>
      </c>
      <c r="B3" s="37"/>
      <c r="C3" s="38"/>
      <c r="D3" s="37"/>
      <c r="E3" s="38"/>
      <c r="F3" s="37"/>
      <c r="G3" s="38"/>
      <c r="H3" s="37"/>
      <c r="I3" s="37"/>
      <c r="J3" s="38"/>
      <c r="K3" s="37"/>
    </row>
    <row r="4" spans="1:15">
      <c r="A4" s="114" t="s">
        <v>179</v>
      </c>
      <c r="B4" s="37"/>
      <c r="C4" s="38"/>
      <c r="D4" s="37"/>
      <c r="E4" s="38"/>
      <c r="F4" s="37"/>
      <c r="G4" s="38"/>
      <c r="H4" s="37"/>
      <c r="I4" s="37"/>
      <c r="J4" s="38"/>
      <c r="K4" s="37"/>
    </row>
    <row r="5" spans="1:15">
      <c r="A5" s="34"/>
      <c r="B5" s="37"/>
      <c r="C5" s="38"/>
      <c r="D5" s="37"/>
      <c r="E5" s="38"/>
      <c r="F5" s="37"/>
      <c r="G5" s="38"/>
      <c r="H5" s="37"/>
      <c r="I5" s="37"/>
      <c r="J5" s="38"/>
    </row>
    <row r="6" spans="1:15">
      <c r="B6" s="238" t="s">
        <v>0</v>
      </c>
      <c r="C6" s="215"/>
      <c r="D6" s="216"/>
      <c r="E6" s="124" t="s">
        <v>0</v>
      </c>
    </row>
    <row r="7" spans="1:15" ht="16.5" thickBot="1">
      <c r="B7" s="429" t="s">
        <v>307</v>
      </c>
      <c r="C7" s="38"/>
      <c r="D7" s="37"/>
      <c r="E7" s="410" t="s">
        <v>0</v>
      </c>
      <c r="H7" s="377" t="s">
        <v>308</v>
      </c>
      <c r="I7" s="215"/>
      <c r="J7" s="216"/>
      <c r="K7" s="37"/>
    </row>
    <row r="8" spans="1:15" ht="16.5" thickTop="1">
      <c r="A8" s="87" t="s">
        <v>243</v>
      </c>
      <c r="B8" s="402" t="s">
        <v>313</v>
      </c>
      <c r="C8" s="403" t="s">
        <v>310</v>
      </c>
      <c r="D8" s="408" t="s">
        <v>311</v>
      </c>
      <c r="E8" s="407" t="s">
        <v>312</v>
      </c>
      <c r="F8" s="125" t="s">
        <v>0</v>
      </c>
      <c r="G8" s="124" t="s">
        <v>0</v>
      </c>
      <c r="H8" s="402" t="s">
        <v>313</v>
      </c>
      <c r="I8" s="404" t="s">
        <v>310</v>
      </c>
      <c r="J8" s="406" t="s">
        <v>311</v>
      </c>
      <c r="K8" s="407" t="s">
        <v>312</v>
      </c>
      <c r="L8" s="14"/>
      <c r="M8" s="9"/>
      <c r="N8" s="9"/>
      <c r="O8" s="9"/>
    </row>
    <row r="9" spans="1:15">
      <c r="A9" s="1" t="s">
        <v>264</v>
      </c>
      <c r="B9" s="126" t="s">
        <v>0</v>
      </c>
      <c r="C9" s="127"/>
      <c r="D9" s="365"/>
      <c r="E9" s="372" t="s">
        <v>0</v>
      </c>
      <c r="H9" s="135"/>
      <c r="I9" s="78"/>
      <c r="J9" s="370" t="s">
        <v>0</v>
      </c>
      <c r="K9" s="372" t="s">
        <v>0</v>
      </c>
    </row>
    <row r="10" spans="1:15">
      <c r="A10" s="1" t="s">
        <v>265</v>
      </c>
      <c r="B10" s="129">
        <v>7801.2</v>
      </c>
      <c r="C10" s="92">
        <v>38235.9</v>
      </c>
      <c r="D10" s="366">
        <f t="shared" ref="D10:D15" si="0">SUM(B10:C10)</f>
        <v>46037.1</v>
      </c>
      <c r="E10" s="373">
        <f>+B10/D10</f>
        <v>0.16945463550049852</v>
      </c>
      <c r="F10" s="88" t="s">
        <v>0</v>
      </c>
      <c r="G10" s="100" t="s">
        <v>0</v>
      </c>
      <c r="H10" s="129">
        <v>14459.3</v>
      </c>
      <c r="I10" s="92">
        <v>33346.1</v>
      </c>
      <c r="J10" s="366">
        <f t="shared" ref="J10:J15" si="1">SUM(H10:I10)</f>
        <v>47805.399999999994</v>
      </c>
      <c r="K10" s="373">
        <f>+H10/J10</f>
        <v>0.30246164659222602</v>
      </c>
    </row>
    <row r="11" spans="1:15">
      <c r="A11" s="1" t="s">
        <v>266</v>
      </c>
      <c r="B11" s="129">
        <v>6090.6</v>
      </c>
      <c r="C11" s="92">
        <v>154127.70000000001</v>
      </c>
      <c r="D11" s="366">
        <f t="shared" si="0"/>
        <v>160218.30000000002</v>
      </c>
      <c r="E11" s="373">
        <f>+B11/D11</f>
        <v>3.8014384124659913E-2</v>
      </c>
      <c r="F11" s="88" t="s">
        <v>0</v>
      </c>
      <c r="G11" s="100" t="s">
        <v>0</v>
      </c>
      <c r="H11" s="129">
        <v>1033.0999999999999</v>
      </c>
      <c r="I11" s="92">
        <v>161889.9</v>
      </c>
      <c r="J11" s="366">
        <f t="shared" si="1"/>
        <v>162923</v>
      </c>
      <c r="K11" s="373">
        <f>+H11/J11</f>
        <v>6.3410322667763292E-3</v>
      </c>
    </row>
    <row r="12" spans="1:15">
      <c r="A12" s="1" t="s">
        <v>267</v>
      </c>
      <c r="B12" s="129">
        <v>47634.2</v>
      </c>
      <c r="C12" s="92">
        <v>0</v>
      </c>
      <c r="D12" s="366">
        <f t="shared" si="0"/>
        <v>47634.2</v>
      </c>
      <c r="E12" s="373">
        <f>+B12/D12</f>
        <v>1</v>
      </c>
      <c r="F12" s="88" t="s">
        <v>0</v>
      </c>
      <c r="G12" s="100" t="s">
        <v>0</v>
      </c>
      <c r="H12" s="129">
        <v>50505.5</v>
      </c>
      <c r="I12" s="92">
        <v>0</v>
      </c>
      <c r="J12" s="366">
        <f t="shared" si="1"/>
        <v>50505.5</v>
      </c>
      <c r="K12" s="373">
        <f>+H12/J12</f>
        <v>1</v>
      </c>
    </row>
    <row r="13" spans="1:15">
      <c r="A13" s="1" t="s">
        <v>268</v>
      </c>
      <c r="B13" s="129">
        <v>0</v>
      </c>
      <c r="C13" s="92">
        <v>0</v>
      </c>
      <c r="D13" s="366">
        <f t="shared" si="0"/>
        <v>0</v>
      </c>
      <c r="E13" s="136">
        <v>0</v>
      </c>
      <c r="F13" s="88" t="s">
        <v>0</v>
      </c>
      <c r="G13" s="100" t="s">
        <v>0</v>
      </c>
      <c r="H13" s="129">
        <v>0</v>
      </c>
      <c r="I13" s="92">
        <v>0</v>
      </c>
      <c r="J13" s="366">
        <f t="shared" si="1"/>
        <v>0</v>
      </c>
      <c r="K13" s="136">
        <v>0</v>
      </c>
    </row>
    <row r="14" spans="1:15" ht="18">
      <c r="A14" s="1" t="s">
        <v>269</v>
      </c>
      <c r="B14" s="130">
        <v>3515.3</v>
      </c>
      <c r="C14" s="137">
        <v>4947</v>
      </c>
      <c r="D14" s="367">
        <f t="shared" si="0"/>
        <v>8462.2999999999993</v>
      </c>
      <c r="E14" s="373">
        <f>+B14/D14</f>
        <v>0.41540715881025259</v>
      </c>
      <c r="F14" s="88" t="s">
        <v>0</v>
      </c>
      <c r="G14" s="100" t="s">
        <v>0</v>
      </c>
      <c r="H14" s="130">
        <f>1630.8+1461.1</f>
        <v>3091.8999999999996</v>
      </c>
      <c r="I14" s="137">
        <f>2047.6+0.1</f>
        <v>2047.6999999999998</v>
      </c>
      <c r="J14" s="367">
        <f t="shared" si="1"/>
        <v>5139.5999999999995</v>
      </c>
      <c r="K14" s="373">
        <f>+H14/J14</f>
        <v>0.60158378083897579</v>
      </c>
    </row>
    <row r="15" spans="1:15" ht="15.6" customHeight="1">
      <c r="A15" s="1"/>
      <c r="B15" s="129">
        <f>SUM(B10:B14)</f>
        <v>65041.3</v>
      </c>
      <c r="C15" s="92">
        <f>SUM(C10:C14)</f>
        <v>197310.6</v>
      </c>
      <c r="D15" s="366">
        <f t="shared" si="0"/>
        <v>262351.90000000002</v>
      </c>
      <c r="E15" s="373">
        <f>+B15/D15</f>
        <v>0.24791625294118319</v>
      </c>
      <c r="F15" s="88" t="s">
        <v>0</v>
      </c>
      <c r="G15" s="100" t="s">
        <v>0</v>
      </c>
      <c r="H15" s="129">
        <f>SUM(H10:H14)</f>
        <v>69089.799999999988</v>
      </c>
      <c r="I15" s="92">
        <f>SUM(I10:I14)</f>
        <v>197283.7</v>
      </c>
      <c r="J15" s="366">
        <f t="shared" si="1"/>
        <v>266373.5</v>
      </c>
      <c r="K15" s="373">
        <f>+H15/J15</f>
        <v>0.25937189697924151</v>
      </c>
    </row>
    <row r="16" spans="1:15" ht="7.9" customHeight="1">
      <c r="A16" s="1"/>
      <c r="B16" s="129"/>
      <c r="C16" s="93" t="s">
        <v>0</v>
      </c>
      <c r="D16" s="366"/>
      <c r="E16" s="373" t="s">
        <v>0</v>
      </c>
      <c r="F16" s="88"/>
      <c r="G16" s="100" t="s">
        <v>0</v>
      </c>
      <c r="H16" s="129"/>
      <c r="I16" s="93" t="s">
        <v>0</v>
      </c>
      <c r="J16" s="371" t="s">
        <v>0</v>
      </c>
      <c r="K16" s="373" t="s">
        <v>0</v>
      </c>
    </row>
    <row r="17" spans="1:11" ht="15.6" customHeight="1">
      <c r="A17" s="1" t="s">
        <v>270</v>
      </c>
      <c r="B17" s="129">
        <v>0</v>
      </c>
      <c r="C17" s="92">
        <v>155000</v>
      </c>
      <c r="D17" s="366">
        <f t="shared" ref="D17:D22" si="2">SUM(B17:C17)</f>
        <v>155000</v>
      </c>
      <c r="E17" s="136">
        <v>0</v>
      </c>
      <c r="F17"/>
      <c r="G17"/>
      <c r="H17" s="129">
        <v>0</v>
      </c>
      <c r="I17" s="92">
        <v>165000</v>
      </c>
      <c r="J17" s="371">
        <f t="shared" ref="J17:J22" si="3">SUM(H17:I17)</f>
        <v>165000</v>
      </c>
      <c r="K17" s="136">
        <v>0</v>
      </c>
    </row>
    <row r="18" spans="1:11">
      <c r="A18" s="1" t="s">
        <v>271</v>
      </c>
      <c r="B18" s="129">
        <v>834.4</v>
      </c>
      <c r="C18" s="92">
        <v>17511.099999999999</v>
      </c>
      <c r="D18" s="366">
        <f t="shared" si="2"/>
        <v>18345.5</v>
      </c>
      <c r="E18" s="373">
        <f>+B18/D18</f>
        <v>4.5482543403014365E-2</v>
      </c>
      <c r="F18"/>
      <c r="G18"/>
      <c r="H18" s="129">
        <v>786.9</v>
      </c>
      <c r="I18" s="92">
        <f>20000+16498.1+1002</f>
        <v>37500.1</v>
      </c>
      <c r="J18" s="366">
        <f t="shared" si="3"/>
        <v>38287</v>
      </c>
      <c r="K18" s="373">
        <f>+H18/J18</f>
        <v>2.055266800741766E-2</v>
      </c>
    </row>
    <row r="19" spans="1:11">
      <c r="A19" s="1" t="s">
        <v>314</v>
      </c>
      <c r="B19" s="129">
        <v>26654.400000000001</v>
      </c>
      <c r="C19" s="92">
        <v>290258.3</v>
      </c>
      <c r="D19" s="366">
        <f t="shared" si="2"/>
        <v>316912.7</v>
      </c>
      <c r="E19" s="373">
        <f>+B19/D19</f>
        <v>8.4106443193977393E-2</v>
      </c>
      <c r="F19"/>
      <c r="G19"/>
      <c r="H19" s="129">
        <v>24974.400000000001</v>
      </c>
      <c r="I19" s="92">
        <v>276015.8</v>
      </c>
      <c r="J19" s="366">
        <f t="shared" si="3"/>
        <v>300990.2</v>
      </c>
      <c r="K19" s="373">
        <f>+H19/J19</f>
        <v>8.2974130054732684E-2</v>
      </c>
    </row>
    <row r="20" spans="1:11">
      <c r="A20" s="1" t="s">
        <v>273</v>
      </c>
      <c r="B20" s="129">
        <v>0</v>
      </c>
      <c r="C20" s="92">
        <v>32763.1</v>
      </c>
      <c r="D20" s="366">
        <f t="shared" si="2"/>
        <v>32763.1</v>
      </c>
      <c r="E20" s="136">
        <v>0</v>
      </c>
      <c r="F20"/>
      <c r="G20"/>
      <c r="H20" s="129">
        <v>0</v>
      </c>
      <c r="I20" s="92">
        <v>32760.3</v>
      </c>
      <c r="J20" s="366">
        <f t="shared" si="3"/>
        <v>32760.3</v>
      </c>
      <c r="K20" s="136">
        <v>0</v>
      </c>
    </row>
    <row r="21" spans="1:11" ht="18">
      <c r="A21" s="1" t="s">
        <v>274</v>
      </c>
      <c r="B21" s="130">
        <v>1399.4</v>
      </c>
      <c r="C21" s="137">
        <v>13577.1</v>
      </c>
      <c r="D21" s="367">
        <f t="shared" si="2"/>
        <v>14976.5</v>
      </c>
      <c r="E21" s="373">
        <f>+B21/D21</f>
        <v>9.343972223149602E-2</v>
      </c>
      <c r="F21"/>
      <c r="G21"/>
      <c r="H21" s="130">
        <v>739.9</v>
      </c>
      <c r="I21" s="137">
        <v>15508.7</v>
      </c>
      <c r="J21" s="367">
        <f t="shared" si="3"/>
        <v>16248.6</v>
      </c>
      <c r="K21" s="373">
        <f>+H21/J21</f>
        <v>4.5536230813731642E-2</v>
      </c>
    </row>
    <row r="22" spans="1:11">
      <c r="A22" s="1" t="s">
        <v>275</v>
      </c>
      <c r="B22" s="132">
        <f>SUM(B15:B21)</f>
        <v>93929.5</v>
      </c>
      <c r="C22" s="95">
        <f>SUM(C15:C21)</f>
        <v>706420.2</v>
      </c>
      <c r="D22" s="368">
        <f t="shared" si="2"/>
        <v>800349.7</v>
      </c>
      <c r="E22" s="431">
        <f>+B22/D22</f>
        <v>0.11736057375919552</v>
      </c>
      <c r="F22"/>
      <c r="G22"/>
      <c r="H22" s="132">
        <f>SUM(H15:H21)</f>
        <v>95590.999999999971</v>
      </c>
      <c r="I22" s="95">
        <f>SUM(I15:I21)</f>
        <v>724068.6</v>
      </c>
      <c r="J22" s="368">
        <f t="shared" si="3"/>
        <v>819659.6</v>
      </c>
      <c r="K22" s="431">
        <f>+H22/J22</f>
        <v>0.11662280292941116</v>
      </c>
    </row>
    <row r="23" spans="1:11" ht="7.9" customHeight="1">
      <c r="A23" s="1"/>
      <c r="B23" s="129"/>
      <c r="C23" s="93" t="s">
        <v>0</v>
      </c>
      <c r="D23" s="366"/>
      <c r="E23" s="373" t="s">
        <v>0</v>
      </c>
      <c r="F23"/>
      <c r="G23"/>
      <c r="H23" s="129"/>
      <c r="I23" s="93" t="s">
        <v>0</v>
      </c>
      <c r="J23" s="371" t="s">
        <v>0</v>
      </c>
      <c r="K23" s="373" t="s">
        <v>0</v>
      </c>
    </row>
    <row r="24" spans="1:11">
      <c r="A24" s="87" t="s">
        <v>276</v>
      </c>
      <c r="B24" s="129"/>
      <c r="C24" s="93" t="s">
        <v>0</v>
      </c>
      <c r="D24" s="366"/>
      <c r="E24" s="373" t="s">
        <v>0</v>
      </c>
      <c r="F24"/>
      <c r="G24"/>
      <c r="H24" s="129"/>
      <c r="I24" s="93" t="s">
        <v>0</v>
      </c>
      <c r="J24" s="371" t="s">
        <v>0</v>
      </c>
      <c r="K24" s="373" t="s">
        <v>0</v>
      </c>
    </row>
    <row r="25" spans="1:11">
      <c r="A25" s="1" t="s">
        <v>277</v>
      </c>
      <c r="B25" s="129"/>
      <c r="C25" s="93" t="s">
        <v>0</v>
      </c>
      <c r="D25" s="366"/>
      <c r="E25" s="373" t="s">
        <v>0</v>
      </c>
      <c r="F25"/>
      <c r="G25"/>
      <c r="H25" s="129"/>
      <c r="I25" s="93" t="s">
        <v>0</v>
      </c>
      <c r="J25" s="371" t="s">
        <v>0</v>
      </c>
      <c r="K25" s="373" t="s">
        <v>0</v>
      </c>
    </row>
    <row r="26" spans="1:11">
      <c r="A26" s="1" t="s">
        <v>278</v>
      </c>
      <c r="B26" s="129">
        <v>33110.1</v>
      </c>
      <c r="C26" s="92">
        <v>409172.3</v>
      </c>
      <c r="D26" s="366">
        <f>SUM(B26:C26)</f>
        <v>442282.39999999997</v>
      </c>
      <c r="E26" s="373">
        <f>+B26/D26</f>
        <v>7.4861898189934759E-2</v>
      </c>
      <c r="F26"/>
      <c r="G26"/>
      <c r="H26" s="129">
        <v>31187.5</v>
      </c>
      <c r="I26" s="92">
        <v>425066.5</v>
      </c>
      <c r="J26" s="366">
        <f>SUM(H26:I26)</f>
        <v>456254</v>
      </c>
      <c r="K26" s="373">
        <f>+H26/J26</f>
        <v>6.8355565101894999E-2</v>
      </c>
    </row>
    <row r="27" spans="1:11">
      <c r="A27" s="1" t="s">
        <v>279</v>
      </c>
      <c r="B27" s="129">
        <v>16523.099999999999</v>
      </c>
      <c r="C27" s="92">
        <v>140788.1</v>
      </c>
      <c r="D27" s="366">
        <f>SUM(B27:C27)</f>
        <v>157311.20000000001</v>
      </c>
      <c r="E27" s="373">
        <f>+B27/D27</f>
        <v>0.1050344794267668</v>
      </c>
      <c r="F27"/>
      <c r="G27"/>
      <c r="H27" s="129">
        <v>17617</v>
      </c>
      <c r="I27" s="92">
        <v>138159.1</v>
      </c>
      <c r="J27" s="366">
        <f>SUM(H27:I27)</f>
        <v>155776.1</v>
      </c>
      <c r="K27" s="373">
        <f>+H27/J27</f>
        <v>0.11309180291456776</v>
      </c>
    </row>
    <row r="28" spans="1:11" ht="18">
      <c r="A28" s="1" t="s">
        <v>280</v>
      </c>
      <c r="B28" s="130">
        <v>20025.5</v>
      </c>
      <c r="C28" s="137">
        <v>65162.7</v>
      </c>
      <c r="D28" s="367">
        <f>SUM(B28:C28)</f>
        <v>85188.2</v>
      </c>
      <c r="E28" s="373">
        <f>+B28/D28</f>
        <v>0.23507363695910938</v>
      </c>
      <c r="F28"/>
      <c r="G28"/>
      <c r="H28" s="130">
        <v>17381.599999999999</v>
      </c>
      <c r="I28" s="137">
        <v>66725.8</v>
      </c>
      <c r="J28" s="367">
        <f>SUM(H28:I28)</f>
        <v>84107.4</v>
      </c>
      <c r="K28" s="373">
        <f>+H28/J28</f>
        <v>0.20665958048875605</v>
      </c>
    </row>
    <row r="29" spans="1:11">
      <c r="A29" s="1"/>
      <c r="B29" s="129">
        <f>SUM(B26:B28)</f>
        <v>69658.7</v>
      </c>
      <c r="C29" s="92">
        <f>SUM(C26:C28)</f>
        <v>615123.1</v>
      </c>
      <c r="D29" s="366">
        <f>SUM(B29:C29)</f>
        <v>684781.79999999993</v>
      </c>
      <c r="E29" s="373">
        <f>+B29/D29</f>
        <v>0.1017239360041403</v>
      </c>
      <c r="F29"/>
      <c r="G29"/>
      <c r="H29" s="129">
        <f>SUM(H26:H28)</f>
        <v>66186.100000000006</v>
      </c>
      <c r="I29" s="92">
        <f>SUM(I26:I28)</f>
        <v>629951.4</v>
      </c>
      <c r="J29" s="366">
        <f>SUM(H29:I29)</f>
        <v>696137.5</v>
      </c>
      <c r="K29" s="373">
        <f>+H29/J29</f>
        <v>9.5076188253039096E-2</v>
      </c>
    </row>
    <row r="30" spans="1:11" ht="7.9" customHeight="1">
      <c r="A30" s="1"/>
      <c r="B30" s="129"/>
      <c r="C30" s="93" t="s">
        <v>0</v>
      </c>
      <c r="D30" s="366"/>
      <c r="E30" s="373" t="s">
        <v>0</v>
      </c>
      <c r="F30"/>
      <c r="G30"/>
      <c r="H30" s="129"/>
      <c r="I30" s="93" t="s">
        <v>0</v>
      </c>
      <c r="J30" s="371" t="s">
        <v>0</v>
      </c>
      <c r="K30" s="373" t="s">
        <v>0</v>
      </c>
    </row>
    <row r="31" spans="1:11">
      <c r="A31" s="1" t="s">
        <v>281</v>
      </c>
      <c r="B31" s="129"/>
      <c r="C31" s="93" t="s">
        <v>0</v>
      </c>
      <c r="D31" s="366"/>
      <c r="E31" s="373" t="s">
        <v>0</v>
      </c>
      <c r="F31"/>
      <c r="G31"/>
      <c r="H31" s="129"/>
      <c r="I31" s="93" t="s">
        <v>0</v>
      </c>
      <c r="J31" s="371" t="s">
        <v>0</v>
      </c>
      <c r="K31" s="373" t="s">
        <v>0</v>
      </c>
    </row>
    <row r="32" spans="1:11">
      <c r="A32" s="1" t="s">
        <v>282</v>
      </c>
      <c r="B32" s="129">
        <v>0</v>
      </c>
      <c r="C32" s="92">
        <v>26000</v>
      </c>
      <c r="D32" s="366">
        <f>SUM(B32:C32)</f>
        <v>26000</v>
      </c>
      <c r="E32" s="136">
        <v>0</v>
      </c>
      <c r="F32"/>
      <c r="G32"/>
      <c r="H32" s="129">
        <v>0</v>
      </c>
      <c r="I32" s="92">
        <v>26000</v>
      </c>
      <c r="J32" s="371">
        <f>SUM(H32:I32)</f>
        <v>26000</v>
      </c>
      <c r="K32" s="136">
        <v>0</v>
      </c>
    </row>
    <row r="33" spans="1:15">
      <c r="A33" s="1" t="s">
        <v>283</v>
      </c>
      <c r="B33" s="129">
        <v>0</v>
      </c>
      <c r="C33" s="93">
        <v>0</v>
      </c>
      <c r="D33" s="366">
        <f>SUM(B33:C33)</f>
        <v>0</v>
      </c>
      <c r="E33" s="136">
        <v>0</v>
      </c>
      <c r="F33"/>
      <c r="G33"/>
      <c r="H33" s="129">
        <v>0</v>
      </c>
      <c r="I33" s="93">
        <v>0</v>
      </c>
      <c r="J33" s="371">
        <f>SUM(H33:I33)</f>
        <v>0</v>
      </c>
      <c r="K33" s="136">
        <v>0</v>
      </c>
    </row>
    <row r="34" spans="1:15" ht="18">
      <c r="A34" s="1" t="s">
        <v>284</v>
      </c>
      <c r="B34" s="130">
        <v>19988.7</v>
      </c>
      <c r="C34" s="137">
        <v>18216.2</v>
      </c>
      <c r="D34" s="367">
        <f>SUM(B34:C34)</f>
        <v>38204.9</v>
      </c>
      <c r="E34" s="373">
        <f>+B34/D34</f>
        <v>0.52319728621197803</v>
      </c>
      <c r="F34"/>
      <c r="G34"/>
      <c r="H34" s="130">
        <v>22081.4</v>
      </c>
      <c r="I34" s="137">
        <f>49993.4-26000</f>
        <v>23993.4</v>
      </c>
      <c r="J34" s="367">
        <f>SUM(H34:I34)</f>
        <v>46074.8</v>
      </c>
      <c r="K34" s="373">
        <f>+H34/J34</f>
        <v>0.47925113076996534</v>
      </c>
      <c r="L34" s="6"/>
      <c r="M34" s="7"/>
      <c r="N34" s="7"/>
      <c r="O34" s="7"/>
    </row>
    <row r="35" spans="1:15">
      <c r="A35" s="1"/>
      <c r="B35" s="129">
        <f>SUM(B32:B34)</f>
        <v>19988.7</v>
      </c>
      <c r="C35" s="92">
        <f>SUM(C32:C34)</f>
        <v>44216.2</v>
      </c>
      <c r="D35" s="366">
        <f>SUM(B35:C35)</f>
        <v>64204.899999999994</v>
      </c>
      <c r="E35" s="373">
        <f>+B35/D35</f>
        <v>0.31132670559412134</v>
      </c>
      <c r="F35"/>
      <c r="G35"/>
      <c r="H35" s="129">
        <f>SUM(H32:H34)</f>
        <v>22081.4</v>
      </c>
      <c r="I35" s="92">
        <f>SUM(I32:I34)</f>
        <v>49993.4</v>
      </c>
      <c r="J35" s="366">
        <f>SUM(H35:I35)</f>
        <v>72074.8</v>
      </c>
      <c r="K35" s="373">
        <f>+H35/J35</f>
        <v>0.30636782897767323</v>
      </c>
    </row>
    <row r="36" spans="1:15" ht="7.15" customHeight="1">
      <c r="A36" s="1"/>
      <c r="B36" s="129"/>
      <c r="C36" s="93" t="s">
        <v>0</v>
      </c>
      <c r="D36" s="366"/>
      <c r="E36" s="373" t="s">
        <v>275</v>
      </c>
      <c r="F36"/>
      <c r="G36"/>
      <c r="H36" s="129"/>
      <c r="I36" s="93" t="s">
        <v>0</v>
      </c>
      <c r="J36" s="371" t="s">
        <v>0</v>
      </c>
      <c r="K36" s="373" t="s">
        <v>275</v>
      </c>
    </row>
    <row r="37" spans="1:15">
      <c r="A37" s="1" t="s">
        <v>285</v>
      </c>
      <c r="B37" s="129"/>
      <c r="C37" s="93" t="s">
        <v>0</v>
      </c>
      <c r="D37" s="366"/>
      <c r="E37" s="373" t="s">
        <v>0</v>
      </c>
      <c r="F37"/>
      <c r="G37"/>
      <c r="H37" s="129"/>
      <c r="I37" s="93" t="s">
        <v>0</v>
      </c>
      <c r="J37" s="371" t="s">
        <v>0</v>
      </c>
      <c r="K37" s="373" t="s">
        <v>0</v>
      </c>
    </row>
    <row r="38" spans="1:15">
      <c r="A38" s="1" t="s">
        <v>282</v>
      </c>
      <c r="B38" s="129">
        <v>0</v>
      </c>
      <c r="C38" s="93">
        <v>0</v>
      </c>
      <c r="D38" s="366">
        <f>SUM(B38:C38)</f>
        <v>0</v>
      </c>
      <c r="E38" s="136">
        <v>0</v>
      </c>
      <c r="F38"/>
      <c r="G38"/>
      <c r="H38" s="129">
        <v>0</v>
      </c>
      <c r="I38" s="93">
        <v>0</v>
      </c>
      <c r="J38" s="371">
        <f>SUM(H38:I38)</f>
        <v>0</v>
      </c>
      <c r="K38" s="136">
        <v>0</v>
      </c>
    </row>
    <row r="39" spans="1:15">
      <c r="A39" s="1" t="s">
        <v>286</v>
      </c>
      <c r="B39" s="129">
        <v>0</v>
      </c>
      <c r="C39" s="93">
        <v>0</v>
      </c>
      <c r="D39" s="366">
        <f>SUM(B39:C39)</f>
        <v>0</v>
      </c>
      <c r="E39" s="136">
        <v>0</v>
      </c>
      <c r="F39"/>
      <c r="G39"/>
      <c r="H39" s="129">
        <v>0</v>
      </c>
      <c r="I39" s="93">
        <v>0</v>
      </c>
      <c r="J39" s="371">
        <f>SUM(H39:I39)</f>
        <v>0</v>
      </c>
      <c r="K39" s="136">
        <v>0</v>
      </c>
    </row>
    <row r="40" spans="1:15" ht="18">
      <c r="A40" s="1" t="s">
        <v>284</v>
      </c>
      <c r="B40" s="130">
        <v>3759.3</v>
      </c>
      <c r="C40" s="137">
        <v>14624.4</v>
      </c>
      <c r="D40" s="367">
        <f>SUM(B40:C40)</f>
        <v>18383.7</v>
      </c>
      <c r="E40" s="373">
        <f>+B40/D40</f>
        <v>0.20449093490429021</v>
      </c>
      <c r="F40"/>
      <c r="G40"/>
      <c r="H40" s="130">
        <v>4515.5</v>
      </c>
      <c r="I40" s="137">
        <v>15256.4</v>
      </c>
      <c r="J40" s="367">
        <f>SUM(H40:I40)</f>
        <v>19771.900000000001</v>
      </c>
      <c r="K40" s="373">
        <f>+H40/J40</f>
        <v>0.22837967013792299</v>
      </c>
    </row>
    <row r="41" spans="1:15">
      <c r="A41" s="1"/>
      <c r="B41" s="129">
        <f>SUM(B38:B40)</f>
        <v>3759.3</v>
      </c>
      <c r="C41" s="92">
        <f>SUM(C38:C40)</f>
        <v>14624.4</v>
      </c>
      <c r="D41" s="366">
        <f>SUM(B41:C41)</f>
        <v>18383.7</v>
      </c>
      <c r="E41" s="373">
        <f>+B41/D41</f>
        <v>0.20449093490429021</v>
      </c>
      <c r="F41"/>
      <c r="G41"/>
      <c r="H41" s="129">
        <f>SUM(H38:H40)</f>
        <v>4515.5</v>
      </c>
      <c r="I41" s="92">
        <f>SUM(I38:I40)</f>
        <v>15256.4</v>
      </c>
      <c r="J41" s="366">
        <f>SUM(H41:I41)</f>
        <v>19771.900000000001</v>
      </c>
      <c r="K41" s="373">
        <f>+H41/J41</f>
        <v>0.22837967013792299</v>
      </c>
    </row>
    <row r="42" spans="1:15" ht="8.4499999999999993" customHeight="1">
      <c r="A42" s="1"/>
      <c r="B42" s="129"/>
      <c r="C42" s="93" t="s">
        <v>0</v>
      </c>
      <c r="D42" s="366"/>
      <c r="E42" s="373" t="s">
        <v>0</v>
      </c>
      <c r="F42"/>
      <c r="G42"/>
      <c r="H42" s="129"/>
      <c r="I42" s="93" t="s">
        <v>0</v>
      </c>
      <c r="J42" s="371" t="s">
        <v>0</v>
      </c>
      <c r="K42" s="373" t="s">
        <v>0</v>
      </c>
    </row>
    <row r="43" spans="1:15" ht="18">
      <c r="A43" s="1" t="s">
        <v>287</v>
      </c>
      <c r="B43" s="130">
        <v>0</v>
      </c>
      <c r="C43" s="137">
        <v>3492.3</v>
      </c>
      <c r="D43" s="367">
        <f>SUM(B43:C43)</f>
        <v>3492.3</v>
      </c>
      <c r="E43" s="136">
        <v>0</v>
      </c>
      <c r="F43"/>
      <c r="G43"/>
      <c r="H43" s="130">
        <v>0</v>
      </c>
      <c r="I43" s="137">
        <v>2292.1999999999998</v>
      </c>
      <c r="J43" s="367">
        <f>SUM(H43:I43)</f>
        <v>2292.1999999999998</v>
      </c>
      <c r="K43" s="136">
        <v>0</v>
      </c>
      <c r="L43" s="6"/>
    </row>
    <row r="44" spans="1:15">
      <c r="A44" s="1"/>
      <c r="B44" s="129">
        <f>+B29+B35+B41+B43</f>
        <v>93406.7</v>
      </c>
      <c r="C44" s="92">
        <f>+C29+C35+C41+C43</f>
        <v>677456</v>
      </c>
      <c r="D44" s="366">
        <f>SUM(B44:C44)</f>
        <v>770862.7</v>
      </c>
      <c r="E44" s="373">
        <f>+B44/D44</f>
        <v>0.12117164314734648</v>
      </c>
      <c r="F44"/>
      <c r="G44"/>
      <c r="H44" s="129">
        <f>+H29+H35+H41+H43</f>
        <v>92783</v>
      </c>
      <c r="I44" s="92">
        <f>+I29+I35+I41+I43</f>
        <v>697493.4</v>
      </c>
      <c r="J44" s="366">
        <f>SUM(H44:I44)</f>
        <v>790276.4</v>
      </c>
      <c r="K44" s="373">
        <f>+H44/J44</f>
        <v>0.11740575828912517</v>
      </c>
    </row>
    <row r="45" spans="1:15" ht="8.4499999999999993" customHeight="1">
      <c r="A45" s="1"/>
      <c r="B45" s="129"/>
      <c r="C45" s="93" t="s">
        <v>0</v>
      </c>
      <c r="D45" s="366"/>
      <c r="E45" s="373" t="s">
        <v>0</v>
      </c>
      <c r="F45"/>
      <c r="G45"/>
      <c r="H45" s="129"/>
      <c r="I45" s="93" t="s">
        <v>0</v>
      </c>
      <c r="J45" s="371" t="s">
        <v>0</v>
      </c>
      <c r="K45" s="373" t="s">
        <v>0</v>
      </c>
    </row>
    <row r="46" spans="1:15">
      <c r="A46" s="87" t="s">
        <v>288</v>
      </c>
      <c r="B46" s="129"/>
      <c r="C46" s="93" t="s">
        <v>0</v>
      </c>
      <c r="D46" s="366"/>
      <c r="E46" s="373" t="s">
        <v>0</v>
      </c>
      <c r="F46"/>
      <c r="G46"/>
      <c r="H46" s="129"/>
      <c r="I46" s="93" t="s">
        <v>0</v>
      </c>
      <c r="J46" s="371" t="s">
        <v>0</v>
      </c>
      <c r="K46" s="373" t="s">
        <v>0</v>
      </c>
    </row>
    <row r="47" spans="1:15">
      <c r="A47" s="1" t="s">
        <v>289</v>
      </c>
      <c r="B47" s="129">
        <v>0</v>
      </c>
      <c r="C47" s="92">
        <v>5000</v>
      </c>
      <c r="D47" s="366">
        <f>SUM(B47:C47)</f>
        <v>5000</v>
      </c>
      <c r="E47" s="136">
        <f>+B47/D47</f>
        <v>0</v>
      </c>
      <c r="F47"/>
      <c r="G47"/>
      <c r="H47" s="129">
        <v>0</v>
      </c>
      <c r="I47" s="92">
        <v>5000</v>
      </c>
      <c r="J47" s="366">
        <f>SUM(H47:I47)</f>
        <v>5000</v>
      </c>
      <c r="K47" s="136">
        <f>+H47/J47</f>
        <v>0</v>
      </c>
    </row>
    <row r="48" spans="1:15">
      <c r="A48" s="1" t="s">
        <v>290</v>
      </c>
      <c r="B48" s="129">
        <v>0</v>
      </c>
      <c r="C48" s="92">
        <v>1771.9</v>
      </c>
      <c r="D48" s="366">
        <f>SUM(B48:C48)</f>
        <v>1771.9</v>
      </c>
      <c r="E48" s="136">
        <v>0</v>
      </c>
      <c r="F48"/>
      <c r="G48"/>
      <c r="H48" s="129">
        <v>0</v>
      </c>
      <c r="I48" s="92">
        <v>1771.9</v>
      </c>
      <c r="J48" s="371">
        <f>SUM(H48:I48)</f>
        <v>1771.9</v>
      </c>
      <c r="K48" s="136">
        <v>0</v>
      </c>
    </row>
    <row r="49" spans="1:15">
      <c r="A49" s="1" t="s">
        <v>302</v>
      </c>
      <c r="B49" s="129">
        <v>0</v>
      </c>
      <c r="C49" s="93">
        <v>0</v>
      </c>
      <c r="D49" s="366">
        <v>0</v>
      </c>
      <c r="E49" s="136">
        <v>0</v>
      </c>
      <c r="F49"/>
      <c r="G49"/>
      <c r="H49" s="129">
        <v>0</v>
      </c>
      <c r="I49" s="93">
        <v>0</v>
      </c>
      <c r="J49" s="371">
        <v>0</v>
      </c>
      <c r="K49" s="136">
        <v>0</v>
      </c>
    </row>
    <row r="50" spans="1:15" ht="18">
      <c r="A50" s="1" t="s">
        <v>292</v>
      </c>
      <c r="B50" s="130">
        <v>0</v>
      </c>
      <c r="C50" s="137">
        <v>22715.1</v>
      </c>
      <c r="D50" s="367">
        <f>SUM(B50:C50)</f>
        <v>22715.1</v>
      </c>
      <c r="E50" s="136">
        <v>0</v>
      </c>
      <c r="F50"/>
      <c r="G50"/>
      <c r="H50" s="130">
        <v>0</v>
      </c>
      <c r="I50" s="137">
        <v>22611.3</v>
      </c>
      <c r="J50" s="367">
        <f>SUM(H50:I50)</f>
        <v>22611.3</v>
      </c>
      <c r="K50" s="136">
        <v>0</v>
      </c>
      <c r="L50" s="6"/>
      <c r="M50" s="7"/>
      <c r="N50" s="7"/>
      <c r="O50" s="7"/>
    </row>
    <row r="51" spans="1:15">
      <c r="A51" s="1" t="s">
        <v>275</v>
      </c>
      <c r="B51" s="129">
        <f>SUM(B47:B50)</f>
        <v>0</v>
      </c>
      <c r="C51" s="92">
        <f>SUM(C47:C50)</f>
        <v>29487</v>
      </c>
      <c r="D51" s="366">
        <f>SUM(B51:C51)</f>
        <v>29487</v>
      </c>
      <c r="E51" s="136">
        <v>0</v>
      </c>
      <c r="F51"/>
      <c r="G51"/>
      <c r="H51" s="129">
        <f>SUM(H47:H50)</f>
        <v>0</v>
      </c>
      <c r="I51" s="92">
        <f>SUM(I47:I50)</f>
        <v>29383.199999999997</v>
      </c>
      <c r="J51" s="366">
        <f>SUM(H51:I51)</f>
        <v>29383.199999999997</v>
      </c>
      <c r="K51" s="373" t="s">
        <v>0</v>
      </c>
    </row>
    <row r="52" spans="1:15">
      <c r="A52" s="1" t="s">
        <v>0</v>
      </c>
      <c r="B52" s="129"/>
      <c r="C52" s="93" t="s">
        <v>0</v>
      </c>
      <c r="D52" s="366"/>
      <c r="E52" s="373" t="s">
        <v>0</v>
      </c>
      <c r="F52"/>
      <c r="G52"/>
      <c r="H52" s="129"/>
      <c r="I52" s="93" t="s">
        <v>0</v>
      </c>
      <c r="J52" s="371" t="s">
        <v>0</v>
      </c>
      <c r="K52" s="373" t="s">
        <v>0</v>
      </c>
    </row>
    <row r="53" spans="1:15" ht="16.5" thickBot="1">
      <c r="A53" s="1" t="s">
        <v>0</v>
      </c>
      <c r="B53" s="133">
        <f>+B29+B35+B41+B43+B51</f>
        <v>93406.7</v>
      </c>
      <c r="C53" s="134">
        <f>+C29+C35+C41+C43+C51</f>
        <v>706943</v>
      </c>
      <c r="D53" s="369">
        <f>SUM(B53:C53)</f>
        <v>800349.7</v>
      </c>
      <c r="E53" s="430">
        <f>+B53/D53</f>
        <v>0.11670735929556793</v>
      </c>
      <c r="F53"/>
      <c r="G53"/>
      <c r="H53" s="133">
        <f>+H29+H35+H41+H43+H51</f>
        <v>92783</v>
      </c>
      <c r="I53" s="134">
        <f>+I29+I35+I41+I43+I51</f>
        <v>726876.6</v>
      </c>
      <c r="J53" s="369">
        <f>SUM(H53:I53)</f>
        <v>819659.6</v>
      </c>
      <c r="K53" s="374">
        <f>+H53/J53</f>
        <v>0.11319699055559161</v>
      </c>
    </row>
    <row r="54" spans="1:15" ht="16.5" thickTop="1">
      <c r="A54" s="1"/>
      <c r="B54" s="95"/>
      <c r="C54" s="95"/>
      <c r="D54" s="384"/>
      <c r="E54" s="261"/>
      <c r="F54"/>
      <c r="G54"/>
      <c r="H54" s="95"/>
      <c r="I54" s="95"/>
      <c r="J54" s="384"/>
      <c r="K54" s="254"/>
    </row>
    <row r="55" spans="1:15">
      <c r="A55" s="1"/>
      <c r="B55" s="91" t="s">
        <v>599</v>
      </c>
      <c r="C55"/>
      <c r="D55" s="91"/>
      <c r="E55" s="100" t="s">
        <v>0</v>
      </c>
      <c r="F55"/>
      <c r="G55"/>
      <c r="H55" s="91" t="s">
        <v>530</v>
      </c>
      <c r="I55"/>
      <c r="J55" s="89" t="s">
        <v>0</v>
      </c>
    </row>
    <row r="56" spans="1:15">
      <c r="C56" s="43"/>
      <c r="E56" s="115" t="s">
        <v>0</v>
      </c>
      <c r="F56"/>
      <c r="G56"/>
      <c r="H56"/>
      <c r="J56" s="43"/>
    </row>
    <row r="57" spans="1:15">
      <c r="A57" s="18" t="s">
        <v>319</v>
      </c>
      <c r="C57" s="43"/>
      <c r="E57" s="115" t="s">
        <v>0</v>
      </c>
      <c r="F57"/>
      <c r="G57"/>
      <c r="H57"/>
      <c r="J57" s="43"/>
    </row>
    <row r="58" spans="1:15">
      <c r="A58" t="s">
        <v>294</v>
      </c>
      <c r="B58" s="12">
        <f>+'bphcomp  '!B57</f>
        <v>0</v>
      </c>
      <c r="C58" s="43"/>
      <c r="D58" s="12">
        <f>+B58+C58</f>
        <v>0</v>
      </c>
      <c r="E58" s="115" t="s">
        <v>0</v>
      </c>
      <c r="F58"/>
      <c r="G58"/>
      <c r="H58"/>
      <c r="J58" s="43"/>
    </row>
    <row r="59" spans="1:15">
      <c r="A59" t="s">
        <v>295</v>
      </c>
      <c r="B59" s="12">
        <f>+'bphcomp  '!B58</f>
        <v>0</v>
      </c>
      <c r="C59" s="43"/>
      <c r="D59" s="12">
        <f>+B59+C59</f>
        <v>0</v>
      </c>
      <c r="E59" s="115" t="s">
        <v>0</v>
      </c>
      <c r="F59"/>
      <c r="G59"/>
      <c r="H59"/>
      <c r="J59" s="43"/>
    </row>
    <row r="60" spans="1:15">
      <c r="A60" t="s">
        <v>284</v>
      </c>
      <c r="B60" s="12">
        <v>0</v>
      </c>
      <c r="C60" s="12">
        <f>+(51+396+5)/1000</f>
        <v>0.45200000000000001</v>
      </c>
      <c r="D60" s="12">
        <f>+B60+C60</f>
        <v>0.45200000000000001</v>
      </c>
      <c r="E60" s="115" t="s">
        <v>0</v>
      </c>
      <c r="F60"/>
      <c r="G60"/>
      <c r="H60"/>
      <c r="J60" s="43"/>
    </row>
    <row r="61" spans="1:15">
      <c r="C61" s="43"/>
      <c r="E61" s="115" t="s">
        <v>0</v>
      </c>
      <c r="F61"/>
      <c r="G61"/>
      <c r="H61"/>
      <c r="J61" s="43"/>
    </row>
    <row r="62" spans="1:15" ht="18.75">
      <c r="A62" s="122" t="s">
        <v>303</v>
      </c>
      <c r="B62" s="12">
        <f>+'bphcomp  '!B61</f>
        <v>351036.3</v>
      </c>
      <c r="C62" s="43"/>
      <c r="E62" s="115" t="s">
        <v>0</v>
      </c>
      <c r="F62"/>
      <c r="G62"/>
      <c r="H62" s="41">
        <v>0</v>
      </c>
      <c r="I62" s="43">
        <v>0</v>
      </c>
      <c r="J62" s="12">
        <f>+J19+J63</f>
        <v>306776.92184999998</v>
      </c>
    </row>
    <row r="63" spans="1:15">
      <c r="A63" t="s">
        <v>217</v>
      </c>
      <c r="B63" s="12">
        <f>+'bphcomp  '!B62</f>
        <v>34123.5</v>
      </c>
      <c r="C63" s="43"/>
      <c r="E63" s="115" t="s">
        <v>0</v>
      </c>
      <c r="F63"/>
      <c r="G63"/>
      <c r="H63" s="41">
        <v>0</v>
      </c>
      <c r="I63" s="43">
        <v>0</v>
      </c>
      <c r="J63" s="12">
        <f>5786721.85/1000</f>
        <v>5786.7218499999999</v>
      </c>
    </row>
    <row r="64" spans="1:15">
      <c r="A64" t="s">
        <v>320</v>
      </c>
      <c r="B64" s="12">
        <f>+'bphcomp  '!B63</f>
        <v>81253.600000000006</v>
      </c>
      <c r="C64" s="43"/>
      <c r="E64" s="115" t="s">
        <v>0</v>
      </c>
      <c r="F64"/>
      <c r="G64"/>
      <c r="H64" s="41">
        <v>0</v>
      </c>
      <c r="I64" s="43">
        <v>0</v>
      </c>
      <c r="J64" s="12">
        <f>18561956.94/1000</f>
        <v>18561.95694</v>
      </c>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sheetData>
  <pageMargins left="0.68" right="0.28999999999999998" top="0.56999999999999995" bottom="0.62" header="0.36" footer="0.38"/>
  <pageSetup scale="63" orientation="landscape" r:id="rId1"/>
  <headerFooter alignWithMargins="0">
    <oddFooter>&amp;R&amp;P</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121"/>
  <sheetViews>
    <sheetView workbookViewId="0"/>
  </sheetViews>
  <sheetFormatPr defaultRowHeight="15.75"/>
  <cols>
    <col min="1" max="1" width="50" customWidth="1"/>
    <col min="2" max="2" width="15.75" style="27" customWidth="1"/>
    <col min="3" max="3" width="8.7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 style="27" customWidth="1"/>
    <col min="14" max="14" width="15.75" style="27" customWidth="1"/>
    <col min="15" max="15" width="10.5" style="27" customWidth="1"/>
    <col min="16" max="16" width="15.75" style="27" customWidth="1"/>
    <col min="17" max="17" width="11" style="27" customWidth="1"/>
    <col min="18" max="18" width="15.75" style="27" customWidth="1"/>
    <col min="19" max="19" width="11" style="27" customWidth="1"/>
    <col min="20" max="20" width="16.25" style="27" customWidth="1"/>
    <col min="21" max="21" width="12" style="27" customWidth="1"/>
    <col min="22" max="256" width="11" customWidth="1"/>
  </cols>
  <sheetData>
    <row r="1" spans="1:22">
      <c r="A1" s="114" t="s">
        <v>595</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6" spans="1:22" s="2" customFormat="1" ht="16.5" thickBot="1">
      <c r="B6" s="377" t="s">
        <v>185</v>
      </c>
      <c r="C6" s="399"/>
      <c r="D6" s="400"/>
      <c r="E6" s="399"/>
      <c r="F6" s="400"/>
      <c r="G6" s="399"/>
      <c r="H6" s="400"/>
      <c r="I6" s="401"/>
      <c r="J6" s="377" t="s">
        <v>174</v>
      </c>
      <c r="K6" s="399"/>
      <c r="L6" s="400"/>
      <c r="M6" s="399"/>
      <c r="N6" s="400"/>
      <c r="O6" s="399"/>
      <c r="P6" s="400"/>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7" t="s">
        <v>0</v>
      </c>
      <c r="D9" s="29" t="s">
        <v>0</v>
      </c>
      <c r="E9" s="29" t="s">
        <v>0</v>
      </c>
      <c r="F9" s="29" t="s">
        <v>0</v>
      </c>
      <c r="G9" s="29" t="s">
        <v>0</v>
      </c>
      <c r="H9" s="29" t="s">
        <v>0</v>
      </c>
      <c r="I9" s="29" t="s">
        <v>0</v>
      </c>
      <c r="J9" s="16" t="s">
        <v>0</v>
      </c>
      <c r="K9" s="47" t="s">
        <v>0</v>
      </c>
      <c r="L9" s="16" t="s">
        <v>0</v>
      </c>
      <c r="M9" s="47" t="s">
        <v>0</v>
      </c>
      <c r="N9" s="16" t="s">
        <v>0</v>
      </c>
      <c r="O9" s="47" t="s">
        <v>0</v>
      </c>
      <c r="P9" s="16" t="s">
        <v>0</v>
      </c>
      <c r="Q9" s="29" t="s">
        <v>0</v>
      </c>
    </row>
    <row r="10" spans="1:22">
      <c r="A10" t="s">
        <v>330</v>
      </c>
      <c r="B10" s="12">
        <f>+B50</f>
        <v>13506.9</v>
      </c>
      <c r="C10" s="43">
        <v>0</v>
      </c>
      <c r="D10" s="12">
        <f>+F50</f>
        <v>0</v>
      </c>
      <c r="E10" s="43">
        <v>0</v>
      </c>
      <c r="F10" s="12">
        <f>+J50</f>
        <v>0</v>
      </c>
      <c r="G10" s="43">
        <v>0</v>
      </c>
      <c r="H10" s="12">
        <f>+N50</f>
        <v>0</v>
      </c>
      <c r="J10" s="12">
        <f>+D50</f>
        <v>11557.400000000001</v>
      </c>
      <c r="K10" s="46">
        <f t="shared" ref="K10:K15" si="0">+(-J10+L10)/ABS(J10)</f>
        <v>0.1410611383183068</v>
      </c>
      <c r="L10" s="12">
        <f>+H50</f>
        <v>13187.7</v>
      </c>
      <c r="M10" s="46">
        <f t="shared" ref="M10:M15" si="1">+(-L10+N10)/ABS(L10)</f>
        <v>-4.5883664323574262E-2</v>
      </c>
      <c r="N10" s="12">
        <f>+L50</f>
        <v>12582.6</v>
      </c>
      <c r="O10" s="46">
        <f t="shared" ref="O10:O15" si="2">+(-N10+P10)/ABS(N10)</f>
        <v>0.71181631777216137</v>
      </c>
      <c r="P10" s="12">
        <f>+P50</f>
        <v>21539.1</v>
      </c>
    </row>
    <row r="11" spans="1:22">
      <c r="A11" t="s">
        <v>354</v>
      </c>
      <c r="B11" s="12">
        <f>+B51</f>
        <v>5701.3</v>
      </c>
      <c r="C11" s="43">
        <v>0</v>
      </c>
      <c r="D11" s="12">
        <f>+F51</f>
        <v>0</v>
      </c>
      <c r="E11" s="43">
        <v>0</v>
      </c>
      <c r="F11" s="12">
        <f>+J51</f>
        <v>0</v>
      </c>
      <c r="G11" s="43">
        <v>0</v>
      </c>
      <c r="H11" s="12">
        <f>+N51</f>
        <v>0</v>
      </c>
      <c r="J11" s="12">
        <f>+D51</f>
        <v>8554.7000000000007</v>
      </c>
      <c r="K11" s="43">
        <v>0</v>
      </c>
      <c r="L11" s="12">
        <f>+H51</f>
        <v>3591.5</v>
      </c>
      <c r="M11" s="46">
        <f t="shared" si="1"/>
        <v>0.70722539328971179</v>
      </c>
      <c r="N11" s="12">
        <f>+L51</f>
        <v>6131.5</v>
      </c>
      <c r="O11" s="46">
        <f t="shared" si="2"/>
        <v>-0.18360923102014193</v>
      </c>
      <c r="P11" s="12">
        <f>+P51</f>
        <v>5005.7</v>
      </c>
    </row>
    <row r="12" spans="1:22">
      <c r="A12" t="s">
        <v>332</v>
      </c>
      <c r="B12" s="240">
        <f>+B52</f>
        <v>449.6</v>
      </c>
      <c r="C12" s="43">
        <v>0</v>
      </c>
      <c r="D12" s="240">
        <f>+F52</f>
        <v>0</v>
      </c>
      <c r="E12" s="43">
        <v>0</v>
      </c>
      <c r="F12" s="240">
        <f>+J52</f>
        <v>0</v>
      </c>
      <c r="G12" s="43">
        <v>0</v>
      </c>
      <c r="H12" s="240">
        <f>+N52</f>
        <v>0</v>
      </c>
      <c r="J12" s="221">
        <f>+D52</f>
        <v>1230.3000000000002</v>
      </c>
      <c r="K12" s="294">
        <v>0</v>
      </c>
      <c r="L12" s="221">
        <f>+H52</f>
        <v>0</v>
      </c>
      <c r="M12" s="43">
        <v>0</v>
      </c>
      <c r="N12" s="221">
        <f>+L52</f>
        <v>137.5</v>
      </c>
      <c r="O12" s="46">
        <f t="shared" si="2"/>
        <v>2.2705454545454544</v>
      </c>
      <c r="P12" s="221">
        <f>+P52</f>
        <v>449.7</v>
      </c>
    </row>
    <row r="13" spans="1:22">
      <c r="B13" s="12">
        <f>SUM(B10:B12)</f>
        <v>19657.8</v>
      </c>
      <c r="C13" s="43">
        <v>0</v>
      </c>
      <c r="D13" s="12">
        <f>SUM(D10:D12)</f>
        <v>0</v>
      </c>
      <c r="E13" s="43">
        <v>0</v>
      </c>
      <c r="F13" s="12">
        <f>SUM(F10:F12)</f>
        <v>0</v>
      </c>
      <c r="G13" s="43">
        <v>0</v>
      </c>
      <c r="H13" s="12">
        <f>SUM(H10:H12)</f>
        <v>0</v>
      </c>
      <c r="J13" s="12">
        <f>SUM(J10:J12)</f>
        <v>21342.400000000001</v>
      </c>
      <c r="K13" s="46">
        <f t="shared" si="0"/>
        <v>-0.21380913111927433</v>
      </c>
      <c r="L13" s="12">
        <f>SUM(L10:L12)</f>
        <v>16779.2</v>
      </c>
      <c r="M13" s="46">
        <f t="shared" si="1"/>
        <v>0.12351006007437766</v>
      </c>
      <c r="N13" s="12">
        <f>SUM(N10:N12)</f>
        <v>18851.599999999999</v>
      </c>
      <c r="O13" s="46">
        <f t="shared" si="2"/>
        <v>0.43194742090857019</v>
      </c>
      <c r="P13" s="12">
        <f>SUM(P10:P12)</f>
        <v>26994.5</v>
      </c>
    </row>
    <row r="14" spans="1:22">
      <c r="A14" t="s">
        <v>333</v>
      </c>
      <c r="B14" s="240">
        <f>+B54</f>
        <v>10502</v>
      </c>
      <c r="C14" s="43">
        <v>0</v>
      </c>
      <c r="D14" s="240">
        <f>+F54</f>
        <v>0</v>
      </c>
      <c r="E14" s="43">
        <v>0</v>
      </c>
      <c r="F14" s="240">
        <f>+J54</f>
        <v>0</v>
      </c>
      <c r="G14" s="43">
        <v>0</v>
      </c>
      <c r="H14" s="240">
        <f>+N54</f>
        <v>0</v>
      </c>
      <c r="J14" s="240">
        <f>+D54</f>
        <v>13262</v>
      </c>
      <c r="K14" s="46">
        <f t="shared" si="0"/>
        <v>-1.0677122605941679E-2</v>
      </c>
      <c r="L14" s="240">
        <f>+H54</f>
        <v>13120.400000000001</v>
      </c>
      <c r="M14" s="46">
        <f t="shared" si="1"/>
        <v>-4.4815706838206147E-2</v>
      </c>
      <c r="N14" s="240">
        <f>+L54</f>
        <v>12532.400000000001</v>
      </c>
      <c r="O14" s="46">
        <f t="shared" si="2"/>
        <v>-0.10367527369059405</v>
      </c>
      <c r="P14" s="240">
        <f>+P54</f>
        <v>11233.1</v>
      </c>
    </row>
    <row r="15" spans="1:22">
      <c r="B15" s="12">
        <f>+B13-B14</f>
        <v>9155.7999999999993</v>
      </c>
      <c r="C15" s="43">
        <v>0</v>
      </c>
      <c r="D15" s="12">
        <f>+D13-D14</f>
        <v>0</v>
      </c>
      <c r="E15" s="43">
        <v>0</v>
      </c>
      <c r="F15" s="12">
        <f>+F13-F14</f>
        <v>0</v>
      </c>
      <c r="G15" s="43">
        <v>0</v>
      </c>
      <c r="H15" s="12">
        <f>+H13-H14</f>
        <v>0</v>
      </c>
      <c r="J15" s="12">
        <f>+J13-J14</f>
        <v>8080.4000000000015</v>
      </c>
      <c r="K15" s="46">
        <f t="shared" si="0"/>
        <v>-0.54720063363199856</v>
      </c>
      <c r="L15" s="12">
        <f>+L13-L14</f>
        <v>3658.7999999999993</v>
      </c>
      <c r="M15" s="46">
        <f t="shared" si="1"/>
        <v>0.72712364709740851</v>
      </c>
      <c r="N15" s="12">
        <f>+N13-N14</f>
        <v>6319.1999999999971</v>
      </c>
      <c r="O15" s="46">
        <f t="shared" si="2"/>
        <v>1.494208127611091</v>
      </c>
      <c r="P15" s="12">
        <f>+P13-P14</f>
        <v>15761.4</v>
      </c>
    </row>
    <row r="16" spans="1:22" ht="9" customHeight="1">
      <c r="B16" s="12"/>
      <c r="C16" s="44" t="s">
        <v>0</v>
      </c>
      <c r="D16" s="12"/>
      <c r="E16" s="44" t="s">
        <v>0</v>
      </c>
      <c r="G16" s="44" t="s">
        <v>0</v>
      </c>
      <c r="H16" s="12"/>
      <c r="J16" s="12"/>
      <c r="K16" s="46"/>
      <c r="L16" s="12"/>
      <c r="M16" s="46"/>
      <c r="N16" s="12"/>
      <c r="O16" s="46"/>
      <c r="P16" s="12"/>
    </row>
    <row r="17" spans="1:16">
      <c r="A17" t="s">
        <v>334</v>
      </c>
      <c r="B17" s="12"/>
      <c r="C17" s="44" t="s">
        <v>0</v>
      </c>
      <c r="D17" s="47" t="s">
        <v>0</v>
      </c>
      <c r="E17" s="44" t="s">
        <v>0</v>
      </c>
      <c r="G17" s="44" t="s">
        <v>0</v>
      </c>
      <c r="H17" s="12"/>
      <c r="J17" s="12"/>
      <c r="K17" s="46"/>
      <c r="L17" s="12"/>
      <c r="M17" s="46"/>
      <c r="N17" s="12"/>
      <c r="O17" s="47" t="s">
        <v>0</v>
      </c>
      <c r="P17" s="12"/>
    </row>
    <row r="18" spans="1:16">
      <c r="A18" t="s">
        <v>335</v>
      </c>
      <c r="B18" s="12">
        <f>+B58</f>
        <v>1208.7</v>
      </c>
      <c r="C18" s="43">
        <v>0</v>
      </c>
      <c r="D18" s="12">
        <f>+F58</f>
        <v>0</v>
      </c>
      <c r="E18" s="43">
        <v>0</v>
      </c>
      <c r="F18" s="12">
        <f>+J58</f>
        <v>0</v>
      </c>
      <c r="G18" s="43">
        <v>0</v>
      </c>
      <c r="H18" s="12">
        <f>+N58</f>
        <v>0</v>
      </c>
      <c r="J18" s="12">
        <f>+D58</f>
        <v>1107.5999999999999</v>
      </c>
      <c r="K18" s="46">
        <f>+(-J18+L18)/ABS(J18)</f>
        <v>-0.13624052004333695</v>
      </c>
      <c r="L18" s="12">
        <f>+H58</f>
        <v>956.69999999999993</v>
      </c>
      <c r="M18" s="46">
        <f>+(-L18+N18)/ABS(L18)</f>
        <v>8.1739312219086618E-2</v>
      </c>
      <c r="N18" s="12">
        <f>+L58</f>
        <v>1034.9000000000001</v>
      </c>
      <c r="O18" s="46">
        <f>+(-N18+P18)/ABS(N18)</f>
        <v>0.2376074983090152</v>
      </c>
      <c r="P18" s="12">
        <f>+P58</f>
        <v>1280.8</v>
      </c>
    </row>
    <row r="19" spans="1:16">
      <c r="A19" t="s">
        <v>336</v>
      </c>
      <c r="B19" s="12">
        <f>+B59</f>
        <v>624.79999999999995</v>
      </c>
      <c r="C19" s="43">
        <v>0</v>
      </c>
      <c r="D19" s="12">
        <f>+F59</f>
        <v>0</v>
      </c>
      <c r="E19" s="43">
        <v>0</v>
      </c>
      <c r="F19" s="12">
        <f>+J59</f>
        <v>0</v>
      </c>
      <c r="G19" s="43">
        <v>0</v>
      </c>
      <c r="H19" s="12">
        <f>+N59</f>
        <v>0</v>
      </c>
      <c r="J19" s="12">
        <f>+D59</f>
        <v>4579.6000000000004</v>
      </c>
      <c r="K19" s="46">
        <f>+(-J19+L19)/ABS(J19)</f>
        <v>-0.69429644510437594</v>
      </c>
      <c r="L19" s="12">
        <f>+H59</f>
        <v>1400</v>
      </c>
      <c r="M19" s="46">
        <f>+(-L19+N19)/ABS(L19)</f>
        <v>0.26057142857142856</v>
      </c>
      <c r="N19" s="12">
        <f>+L59</f>
        <v>1764.8</v>
      </c>
      <c r="O19" s="46">
        <f>+(-N19+P19)/ABS(N19)</f>
        <v>0.24966001813236635</v>
      </c>
      <c r="P19" s="12">
        <f>+P59</f>
        <v>2205.4</v>
      </c>
    </row>
    <row r="20" spans="1:16">
      <c r="A20" t="s">
        <v>284</v>
      </c>
      <c r="B20" s="240">
        <f>+B60</f>
        <v>23.4</v>
      </c>
      <c r="C20" s="883">
        <v>0</v>
      </c>
      <c r="D20" s="240">
        <f>+F60</f>
        <v>0</v>
      </c>
      <c r="E20" s="43">
        <v>0</v>
      </c>
      <c r="F20" s="240">
        <f>+J60</f>
        <v>0</v>
      </c>
      <c r="G20" s="43">
        <v>0</v>
      </c>
      <c r="H20" s="240">
        <f>+N60</f>
        <v>0</v>
      </c>
      <c r="J20" s="240">
        <f>+D60</f>
        <v>37.200000000000003</v>
      </c>
      <c r="K20" s="1093">
        <f>+(-J20+L20)/ABS(J20)</f>
        <v>173.30913978494624</v>
      </c>
      <c r="L20" s="240">
        <f>+H60</f>
        <v>6484.3</v>
      </c>
      <c r="M20" s="46">
        <f>+(-L20+N20)/ABS(L20)</f>
        <v>-0.98612032139166916</v>
      </c>
      <c r="N20" s="240">
        <f>+L60</f>
        <v>90</v>
      </c>
      <c r="O20" s="46">
        <f>+(-N20+P20)/ABS(N20)</f>
        <v>-0.41000000000000009</v>
      </c>
      <c r="P20" s="240">
        <f>+P60</f>
        <v>53.099999999999994</v>
      </c>
    </row>
    <row r="21" spans="1:16">
      <c r="B21" s="12">
        <f>SUM(B18:B20)</f>
        <v>1856.9</v>
      </c>
      <c r="C21" s="43">
        <v>0</v>
      </c>
      <c r="D21" s="12">
        <f>SUM(D18:D20)</f>
        <v>0</v>
      </c>
      <c r="E21" s="43">
        <v>0</v>
      </c>
      <c r="F21" s="12">
        <f>SUM(F18:F20)</f>
        <v>0</v>
      </c>
      <c r="G21" s="43">
        <v>0</v>
      </c>
      <c r="H21" s="12">
        <f>SUM(H18:H20)</f>
        <v>0</v>
      </c>
      <c r="J21" s="12">
        <f>SUM(J18:J20)</f>
        <v>5724.4000000000005</v>
      </c>
      <c r="K21" s="46">
        <f>+(-J21+L21)/ABS(J21)</f>
        <v>0.54444133883027024</v>
      </c>
      <c r="L21" s="12">
        <f>SUM(L18:L20)</f>
        <v>8841</v>
      </c>
      <c r="M21" s="46">
        <f>+(-L21+N21)/ABS(L21)</f>
        <v>-0.67314783395543487</v>
      </c>
      <c r="N21" s="12">
        <f>SUM(N18:N20)</f>
        <v>2889.7</v>
      </c>
      <c r="O21" s="46">
        <f>+(-N21+P21)/ABS(N21)</f>
        <v>0.22479842198152056</v>
      </c>
      <c r="P21" s="12">
        <f>SUM(P18:P20)</f>
        <v>3539.2999999999997</v>
      </c>
    </row>
    <row r="22" spans="1:16">
      <c r="B22" s="240"/>
      <c r="C22" s="44" t="s">
        <v>0</v>
      </c>
      <c r="D22" s="240"/>
      <c r="E22" s="44" t="s">
        <v>0</v>
      </c>
      <c r="F22" s="379"/>
      <c r="G22" s="44" t="s">
        <v>0</v>
      </c>
      <c r="H22" s="240"/>
      <c r="J22" s="240"/>
      <c r="K22" s="46"/>
      <c r="L22" s="240"/>
      <c r="M22" s="46"/>
      <c r="N22" s="240"/>
      <c r="O22" s="46"/>
      <c r="P22" s="240"/>
    </row>
    <row r="23" spans="1:16">
      <c r="A23" t="s">
        <v>337</v>
      </c>
      <c r="B23" s="12">
        <f>+B15+B21</f>
        <v>11012.699999999999</v>
      </c>
      <c r="C23" s="43">
        <v>0</v>
      </c>
      <c r="D23" s="12">
        <f>+D15+D21</f>
        <v>0</v>
      </c>
      <c r="E23" s="43">
        <v>0</v>
      </c>
      <c r="F23" s="12">
        <f>+F15+F21</f>
        <v>0</v>
      </c>
      <c r="G23" s="43">
        <v>0</v>
      </c>
      <c r="H23" s="12">
        <f>+H15+H21</f>
        <v>0</v>
      </c>
      <c r="J23" s="12">
        <f>+J15+J21</f>
        <v>13804.800000000003</v>
      </c>
      <c r="K23" s="46">
        <f>+(-J23+L23)/ABS(J23)</f>
        <v>-9.4532336578581608E-2</v>
      </c>
      <c r="L23" s="12">
        <f>+L15+L21</f>
        <v>12499.8</v>
      </c>
      <c r="M23" s="46">
        <f>+(-L23+N23)/ABS(L23)</f>
        <v>-0.26327621241939886</v>
      </c>
      <c r="N23" s="12">
        <f>+N15+N21</f>
        <v>9208.8999999999978</v>
      </c>
      <c r="O23" s="46">
        <f>+(-N23+P23)/ABS(N23)</f>
        <v>1.0958746430083945</v>
      </c>
      <c r="P23" s="12">
        <f>+P15+P21</f>
        <v>19300.7</v>
      </c>
    </row>
    <row r="24" spans="1:16">
      <c r="B24" s="12"/>
      <c r="C24" s="44" t="s">
        <v>0</v>
      </c>
      <c r="D24" s="12"/>
      <c r="E24" s="44" t="s">
        <v>0</v>
      </c>
      <c r="G24" s="44" t="s">
        <v>0</v>
      </c>
      <c r="H24" s="12"/>
      <c r="J24" s="12"/>
      <c r="K24" s="46"/>
      <c r="L24" s="12"/>
      <c r="M24" s="46"/>
      <c r="N24" s="12"/>
      <c r="O24" s="46"/>
      <c r="P24" s="12"/>
    </row>
    <row r="25" spans="1:16">
      <c r="A25" t="s">
        <v>338</v>
      </c>
      <c r="B25" s="12">
        <f>+B65</f>
        <v>1800</v>
      </c>
      <c r="C25" s="43">
        <v>0</v>
      </c>
      <c r="D25" s="12">
        <f>+F65</f>
        <v>0</v>
      </c>
      <c r="E25" s="43">
        <v>0</v>
      </c>
      <c r="F25" s="12">
        <f>+J65</f>
        <v>0</v>
      </c>
      <c r="G25" s="43">
        <v>0</v>
      </c>
      <c r="H25" s="12">
        <f>+N65</f>
        <v>0</v>
      </c>
      <c r="J25" s="12">
        <f>+D65</f>
        <v>1800</v>
      </c>
      <c r="K25" s="46">
        <f>+(-J25+L25)/ABS(J25)</f>
        <v>-0.16666666666666666</v>
      </c>
      <c r="L25" s="12">
        <f>+H65</f>
        <v>1500</v>
      </c>
      <c r="M25" s="46">
        <f>+(-L25+N25)/ABS(L25)</f>
        <v>0</v>
      </c>
      <c r="N25" s="12">
        <f>+L65</f>
        <v>1500</v>
      </c>
      <c r="O25" s="46">
        <f>+(-N25+P25)/ABS(N25)</f>
        <v>0.6</v>
      </c>
      <c r="P25" s="12">
        <f>+P65</f>
        <v>2400</v>
      </c>
    </row>
    <row r="26" spans="1:16">
      <c r="B26" s="12"/>
      <c r="C26" s="44" t="s">
        <v>0</v>
      </c>
      <c r="D26" s="12"/>
      <c r="E26" s="44" t="s">
        <v>0</v>
      </c>
      <c r="G26" s="44" t="s">
        <v>0</v>
      </c>
      <c r="H26" s="12"/>
      <c r="J26" s="12"/>
      <c r="K26" s="46"/>
      <c r="L26" s="12"/>
      <c r="M26" s="46"/>
      <c r="N26" s="12"/>
      <c r="O26" s="46"/>
      <c r="P26" s="12"/>
    </row>
    <row r="27" spans="1:16">
      <c r="A27" t="s">
        <v>339</v>
      </c>
      <c r="B27" s="240"/>
      <c r="C27" s="44" t="s">
        <v>0</v>
      </c>
      <c r="D27" s="240"/>
      <c r="E27" s="44" t="s">
        <v>0</v>
      </c>
      <c r="F27" s="379"/>
      <c r="G27" s="44" t="s">
        <v>0</v>
      </c>
      <c r="H27" s="240"/>
      <c r="J27" s="240"/>
      <c r="K27" s="46"/>
      <c r="L27" s="240"/>
      <c r="M27" s="46"/>
      <c r="N27" s="240"/>
      <c r="O27" s="46"/>
      <c r="P27" s="240"/>
    </row>
    <row r="28" spans="1:16">
      <c r="A28" t="s">
        <v>340</v>
      </c>
      <c r="B28" s="12">
        <f>+B23-B25</f>
        <v>9212.6999999999989</v>
      </c>
      <c r="C28" s="43">
        <v>0</v>
      </c>
      <c r="D28" s="12">
        <f>+D23-D25</f>
        <v>0</v>
      </c>
      <c r="E28" s="43">
        <v>0</v>
      </c>
      <c r="F28" s="12">
        <f>+F23-F25</f>
        <v>0</v>
      </c>
      <c r="G28" s="43">
        <v>0</v>
      </c>
      <c r="H28" s="12">
        <f>+H23-H25</f>
        <v>0</v>
      </c>
      <c r="J28" s="12">
        <f>+J23-J25</f>
        <v>12004.800000000003</v>
      </c>
      <c r="K28" s="46">
        <f>+(-J28+L28)/ABS(J28)</f>
        <v>-8.3716513394642422E-2</v>
      </c>
      <c r="L28" s="12">
        <f>+L23-L25</f>
        <v>10999.8</v>
      </c>
      <c r="M28" s="46">
        <f>+(-L28+N28)/ABS(L28)</f>
        <v>-0.29917816687576154</v>
      </c>
      <c r="N28" s="12">
        <f>+N23-N25</f>
        <v>7708.8999999999978</v>
      </c>
      <c r="O28" s="46">
        <f>+(-N28+P28)/ABS(N28)</f>
        <v>1.1923620750042165</v>
      </c>
      <c r="P28" s="12">
        <f>+P23-P25</f>
        <v>16900.7</v>
      </c>
    </row>
    <row r="29" spans="1:16">
      <c r="B29" s="12"/>
      <c r="C29" s="44" t="s">
        <v>0</v>
      </c>
      <c r="D29" s="12"/>
      <c r="E29" s="44" t="s">
        <v>0</v>
      </c>
      <c r="G29" s="44" t="s">
        <v>0</v>
      </c>
      <c r="H29" s="12"/>
      <c r="J29" s="12"/>
      <c r="K29" s="46"/>
      <c r="L29" s="12"/>
      <c r="M29" s="46"/>
      <c r="N29" s="12"/>
      <c r="O29" s="46"/>
      <c r="P29" s="12"/>
    </row>
    <row r="30" spans="1:16">
      <c r="A30" t="s">
        <v>341</v>
      </c>
      <c r="B30" s="12"/>
      <c r="C30" s="44" t="s">
        <v>0</v>
      </c>
      <c r="D30" s="12"/>
      <c r="E30" s="44" t="s">
        <v>0</v>
      </c>
      <c r="G30" s="44" t="s">
        <v>0</v>
      </c>
      <c r="H30" s="12"/>
      <c r="J30" s="12"/>
      <c r="K30" s="46"/>
      <c r="L30" s="12"/>
      <c r="M30" s="46"/>
      <c r="N30" s="12"/>
      <c r="O30" s="46"/>
      <c r="P30" s="12"/>
    </row>
    <row r="31" spans="1:16">
      <c r="A31" t="s">
        <v>342</v>
      </c>
      <c r="B31" s="12">
        <f>+B71</f>
        <v>4988</v>
      </c>
      <c r="C31" s="43">
        <v>0</v>
      </c>
      <c r="D31" s="12">
        <f>+F71</f>
        <v>0</v>
      </c>
      <c r="E31" s="43">
        <v>0</v>
      </c>
      <c r="F31" s="12">
        <f>+J71</f>
        <v>0</v>
      </c>
      <c r="G31" s="43">
        <v>0</v>
      </c>
      <c r="H31" s="12">
        <f>+N71</f>
        <v>0</v>
      </c>
      <c r="J31" s="12">
        <f>+D71</f>
        <v>5275.5</v>
      </c>
      <c r="K31" s="46">
        <f>+(-J31+L31)/ABS(J31)</f>
        <v>8.5868638043787669E-3</v>
      </c>
      <c r="L31" s="12">
        <f>+H71</f>
        <v>5320.8</v>
      </c>
      <c r="M31" s="46">
        <f>+(-L31+N31)/ABS(L31)</f>
        <v>-0.19339197113216058</v>
      </c>
      <c r="N31" s="12">
        <f>+L71</f>
        <v>4291.8</v>
      </c>
      <c r="O31" s="46">
        <f>+(-N31+P31)/ABS(N31)</f>
        <v>0.52339344797054832</v>
      </c>
      <c r="P31" s="12">
        <f>+P71</f>
        <v>6538.0999999999995</v>
      </c>
    </row>
    <row r="32" spans="1:16">
      <c r="A32" t="s">
        <v>343</v>
      </c>
      <c r="B32" s="12">
        <f>+B72</f>
        <v>202.7</v>
      </c>
      <c r="C32" s="43">
        <v>0</v>
      </c>
      <c r="D32" s="12">
        <f>+F72</f>
        <v>0</v>
      </c>
      <c r="E32" s="43">
        <v>0</v>
      </c>
      <c r="F32" s="12">
        <f>+J72</f>
        <v>0</v>
      </c>
      <c r="G32" s="43">
        <v>0</v>
      </c>
      <c r="H32" s="12">
        <f>+N72</f>
        <v>0</v>
      </c>
      <c r="J32" s="12">
        <f>+D72</f>
        <v>143.10000000000002</v>
      </c>
      <c r="K32" s="46">
        <f>+(-J32+L32)/ABS(J32)</f>
        <v>0</v>
      </c>
      <c r="L32" s="12">
        <f>+H72</f>
        <v>143.10000000000002</v>
      </c>
      <c r="M32" s="46">
        <f>+(-L32+N32)/ABS(L32)</f>
        <v>4.8916841369671553E-2</v>
      </c>
      <c r="N32" s="12">
        <f>+L72</f>
        <v>150.10000000000002</v>
      </c>
      <c r="O32" s="46">
        <f>+(-N32+P32)/ABS(N32)</f>
        <v>0.19320453031312437</v>
      </c>
      <c r="P32" s="12">
        <f>+P72</f>
        <v>179.1</v>
      </c>
    </row>
    <row r="33" spans="1:22">
      <c r="A33" t="s">
        <v>344</v>
      </c>
      <c r="B33" s="12">
        <f>+B73</f>
        <v>1408.8</v>
      </c>
      <c r="C33" s="43">
        <v>0</v>
      </c>
      <c r="D33" s="12">
        <f>+F73</f>
        <v>0</v>
      </c>
      <c r="E33" s="43">
        <v>0</v>
      </c>
      <c r="F33" s="12">
        <f>+J73</f>
        <v>0</v>
      </c>
      <c r="G33" s="43">
        <v>0</v>
      </c>
      <c r="H33" s="12">
        <f>+N73</f>
        <v>0</v>
      </c>
      <c r="J33" s="12">
        <f>+D73</f>
        <v>1148.0999999999999</v>
      </c>
      <c r="K33" s="46">
        <f>+(-J33+L33)/ABS(J33)</f>
        <v>2.5259123769706474E-2</v>
      </c>
      <c r="L33" s="12">
        <f>+H73</f>
        <v>1177.0999999999999</v>
      </c>
      <c r="M33" s="46">
        <f>+(-L33+N33)/ABS(L33)</f>
        <v>7.98572763571497E-3</v>
      </c>
      <c r="N33" s="12">
        <f>+L73</f>
        <v>1186.5</v>
      </c>
      <c r="O33" s="46">
        <f>+(-N33+P33)/ABS(N33)</f>
        <v>-2.8655710071640041E-3</v>
      </c>
      <c r="P33" s="12">
        <f>+P73</f>
        <v>1183.0999999999999</v>
      </c>
    </row>
    <row r="34" spans="1:22">
      <c r="A34" t="s">
        <v>345</v>
      </c>
      <c r="B34" s="240">
        <f>+B74</f>
        <v>2320.6999999999998</v>
      </c>
      <c r="C34" s="43">
        <v>0</v>
      </c>
      <c r="D34" s="240">
        <f>+F74</f>
        <v>0</v>
      </c>
      <c r="E34" s="43">
        <v>0</v>
      </c>
      <c r="F34" s="240">
        <f>+J74</f>
        <v>0</v>
      </c>
      <c r="G34" s="43">
        <v>0</v>
      </c>
      <c r="H34" s="240">
        <f>+N74</f>
        <v>0</v>
      </c>
      <c r="J34" s="240">
        <f>+D74</f>
        <v>2796.5</v>
      </c>
      <c r="K34" s="46">
        <f>+(-J34+L34)/ABS(J34)</f>
        <v>-0.24391203289826582</v>
      </c>
      <c r="L34" s="240">
        <f>+H74</f>
        <v>2114.3999999999996</v>
      </c>
      <c r="M34" s="46">
        <f>+(-L34+N34)/ABS(L34)</f>
        <v>-4.8193340900491703E-2</v>
      </c>
      <c r="N34" s="240">
        <f>+L74</f>
        <v>2012.5</v>
      </c>
      <c r="O34" s="46">
        <f>+(-N34+P34)/ABS(N34)</f>
        <v>0.53058385093167715</v>
      </c>
      <c r="P34" s="240">
        <f>+P74</f>
        <v>3080.3</v>
      </c>
    </row>
    <row r="35" spans="1:22">
      <c r="B35" s="12">
        <f>SUM(B31:B34)</f>
        <v>8920.2000000000007</v>
      </c>
      <c r="C35" s="43">
        <v>0</v>
      </c>
      <c r="D35" s="12">
        <f>SUM(D31:D34)</f>
        <v>0</v>
      </c>
      <c r="E35" s="43">
        <v>0</v>
      </c>
      <c r="F35" s="12">
        <f>SUM(F31:F34)</f>
        <v>0</v>
      </c>
      <c r="G35" s="43">
        <v>0</v>
      </c>
      <c r="H35" s="12">
        <f>SUM(H31:H34)</f>
        <v>0</v>
      </c>
      <c r="J35" s="12">
        <f>SUM(J31:J34)</f>
        <v>9363.2000000000007</v>
      </c>
      <c r="K35" s="46">
        <f>+(-J35+L35)/ABS(J35)</f>
        <v>-6.4913704716336409E-2</v>
      </c>
      <c r="L35" s="12">
        <f>SUM(L31:L34)</f>
        <v>8755.4</v>
      </c>
      <c r="M35" s="46">
        <f>+(-L35+N35)/ABS(L35)</f>
        <v>-0.1272928706855197</v>
      </c>
      <c r="N35" s="12">
        <f>SUM(N31:N34)</f>
        <v>7640.9000000000005</v>
      </c>
      <c r="O35" s="46">
        <f>+(-N35+P35)/ABS(N35)</f>
        <v>0.43708201913387135</v>
      </c>
      <c r="P35" s="12">
        <f>SUM(P31:P34)</f>
        <v>10980.599999999999</v>
      </c>
    </row>
    <row r="36" spans="1:22">
      <c r="B36" s="240"/>
      <c r="C36" s="43"/>
      <c r="D36" s="240"/>
      <c r="E36" s="43"/>
      <c r="F36" s="379"/>
      <c r="G36" s="43"/>
      <c r="H36" s="240"/>
      <c r="J36" s="240"/>
      <c r="K36" s="46"/>
      <c r="L36" s="240"/>
      <c r="M36" s="46"/>
      <c r="N36" s="240"/>
      <c r="O36" s="46"/>
      <c r="P36" s="240"/>
    </row>
    <row r="37" spans="1:22">
      <c r="A37" t="s">
        <v>346</v>
      </c>
      <c r="B37" s="12">
        <f>+B28-B35</f>
        <v>292.49999999999818</v>
      </c>
      <c r="C37" s="43">
        <v>0</v>
      </c>
      <c r="D37" s="12">
        <f>+D28-D35</f>
        <v>0</v>
      </c>
      <c r="E37" s="43">
        <v>0</v>
      </c>
      <c r="F37" s="12">
        <f>+F28-F35</f>
        <v>0</v>
      </c>
      <c r="G37" s="43">
        <v>0</v>
      </c>
      <c r="H37" s="12">
        <f>+H28-H35</f>
        <v>0</v>
      </c>
      <c r="J37" s="12">
        <f>+J28-J35</f>
        <v>2641.6000000000022</v>
      </c>
      <c r="K37" s="46">
        <f>+(-J37+L37)/ABS(J37)</f>
        <v>-0.15036341611144843</v>
      </c>
      <c r="L37" s="12">
        <f>+L28-L35</f>
        <v>2244.3999999999996</v>
      </c>
      <c r="M37" s="46">
        <f>+(-L37+N37)/ABS(L37)</f>
        <v>-0.96970237034396844</v>
      </c>
      <c r="N37" s="12">
        <f>+N28-N35</f>
        <v>67.999999999997272</v>
      </c>
      <c r="O37" s="46">
        <f>+(-N37+P37)/ABS(N37)</f>
        <v>86.060294117650585</v>
      </c>
      <c r="P37" s="12">
        <f>+P28-P35</f>
        <v>5920.1000000000022</v>
      </c>
    </row>
    <row r="38" spans="1:22">
      <c r="B38" s="12"/>
      <c r="C38" s="44" t="s">
        <v>0</v>
      </c>
      <c r="D38" s="12"/>
      <c r="E38" s="44" t="s">
        <v>0</v>
      </c>
      <c r="G38" s="44" t="s">
        <v>0</v>
      </c>
      <c r="H38" s="12"/>
      <c r="J38" s="12"/>
      <c r="K38" s="46"/>
      <c r="L38" s="12"/>
      <c r="M38" s="47" t="s">
        <v>0</v>
      </c>
      <c r="N38" s="12"/>
      <c r="O38" s="46"/>
      <c r="P38" s="12"/>
    </row>
    <row r="39" spans="1:22">
      <c r="A39" t="s">
        <v>347</v>
      </c>
      <c r="B39" s="12">
        <f>+B79</f>
        <v>0</v>
      </c>
      <c r="C39" s="43">
        <v>0</v>
      </c>
      <c r="D39" s="12">
        <f>+F79</f>
        <v>0</v>
      </c>
      <c r="E39" s="43">
        <v>0</v>
      </c>
      <c r="F39" s="12">
        <f>+J79</f>
        <v>0</v>
      </c>
      <c r="G39" s="43">
        <v>0</v>
      </c>
      <c r="H39" s="12">
        <f>+N79</f>
        <v>0</v>
      </c>
      <c r="J39" s="12">
        <f>+D79</f>
        <v>0</v>
      </c>
      <c r="K39" s="43">
        <v>0</v>
      </c>
      <c r="L39" s="12">
        <f>+H79</f>
        <v>0</v>
      </c>
      <c r="M39" s="43">
        <v>0</v>
      </c>
      <c r="N39" s="12">
        <f>+L79</f>
        <v>0</v>
      </c>
      <c r="O39" s="43">
        <v>0</v>
      </c>
      <c r="P39" s="12">
        <f>+P79</f>
        <v>0</v>
      </c>
    </row>
    <row r="40" spans="1:22" ht="16.5" thickBot="1">
      <c r="B40" s="76"/>
      <c r="C40" s="44" t="s">
        <v>0</v>
      </c>
      <c r="D40" s="76"/>
      <c r="E40" s="44" t="s">
        <v>0</v>
      </c>
      <c r="F40" s="30"/>
      <c r="G40" s="44" t="s">
        <v>0</v>
      </c>
      <c r="H40" s="76"/>
      <c r="J40" s="76"/>
      <c r="K40" s="46"/>
      <c r="L40" s="76"/>
      <c r="M40" s="46"/>
      <c r="N40" s="76"/>
      <c r="O40" s="46"/>
      <c r="P40" s="76"/>
    </row>
    <row r="41" spans="1:22" s="2" customFormat="1">
      <c r="A41" s="2" t="s">
        <v>427</v>
      </c>
      <c r="B41" s="4">
        <f>+B37-B39</f>
        <v>292.49999999999818</v>
      </c>
      <c r="C41" s="42">
        <v>0</v>
      </c>
      <c r="D41" s="4">
        <f>+D37-D39</f>
        <v>0</v>
      </c>
      <c r="E41" s="42">
        <v>0</v>
      </c>
      <c r="F41" s="4">
        <f>+F37-F39</f>
        <v>0</v>
      </c>
      <c r="G41" s="42">
        <v>0</v>
      </c>
      <c r="H41" s="4">
        <f>+H37-H39</f>
        <v>0</v>
      </c>
      <c r="I41" s="146"/>
      <c r="J41" s="4">
        <f>+J37-J39</f>
        <v>2641.6000000000022</v>
      </c>
      <c r="K41" s="112">
        <f>+(-J41+L41)/ABS(J41)</f>
        <v>-0.15036341611144843</v>
      </c>
      <c r="L41" s="4">
        <f>+L37-L39</f>
        <v>2244.3999999999996</v>
      </c>
      <c r="M41" s="112">
        <f>+(-L41+N41)/ABS(L41)</f>
        <v>-0.96970237034396844</v>
      </c>
      <c r="N41" s="4">
        <f>+N37-N39</f>
        <v>67.999999999997272</v>
      </c>
      <c r="O41" s="112">
        <f>+(-N41+P41)/ABS(N41)</f>
        <v>86.060294117650585</v>
      </c>
      <c r="P41" s="4">
        <f>+P37-P39</f>
        <v>5920.1000000000022</v>
      </c>
      <c r="Q41" s="146"/>
      <c r="R41" s="146"/>
      <c r="S41" s="146"/>
      <c r="T41" s="146"/>
      <c r="U41" s="146"/>
    </row>
    <row r="42" spans="1:22" ht="5.45" customHeight="1">
      <c r="C42" s="29"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s="2" customFormat="1">
      <c r="B46" s="241" t="s">
        <v>349</v>
      </c>
      <c r="C46" s="146" t="s">
        <v>0</v>
      </c>
      <c r="D46" s="241" t="s">
        <v>350</v>
      </c>
      <c r="E46" s="146"/>
      <c r="F46" s="241" t="s">
        <v>349</v>
      </c>
      <c r="G46" s="146"/>
      <c r="H46" s="241" t="s">
        <v>261</v>
      </c>
      <c r="I46" s="146"/>
      <c r="J46" s="241" t="s">
        <v>349</v>
      </c>
      <c r="K46" s="146"/>
      <c r="L46" s="241" t="s">
        <v>261</v>
      </c>
      <c r="M46" s="146"/>
      <c r="N46" s="241" t="s">
        <v>349</v>
      </c>
      <c r="O46" s="146"/>
      <c r="P46" s="241" t="s">
        <v>261</v>
      </c>
      <c r="Q46" s="146"/>
      <c r="R46" s="993" t="s">
        <v>600</v>
      </c>
      <c r="S46" s="146"/>
      <c r="T46" s="993" t="s">
        <v>601</v>
      </c>
      <c r="U46" s="241" t="s">
        <v>350</v>
      </c>
    </row>
    <row r="47" spans="1:22" ht="16.5" thickBot="1">
      <c r="B47" s="243" t="s">
        <v>353</v>
      </c>
      <c r="C47" s="245"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190</v>
      </c>
      <c r="V47" s="18"/>
    </row>
    <row r="48" spans="1:22">
      <c r="A48" t="s">
        <v>328</v>
      </c>
      <c r="B48" s="29" t="s">
        <v>0</v>
      </c>
    </row>
    <row r="49" spans="1:24">
      <c r="A49" t="s">
        <v>329</v>
      </c>
      <c r="B49" s="16" t="s">
        <v>0</v>
      </c>
      <c r="C49" s="47" t="s">
        <v>0</v>
      </c>
      <c r="D49" s="16" t="s">
        <v>0</v>
      </c>
      <c r="E49" s="29" t="s">
        <v>0</v>
      </c>
      <c r="F49" s="29" t="s">
        <v>0</v>
      </c>
      <c r="G49" s="47" t="s">
        <v>0</v>
      </c>
      <c r="H49" s="16" t="s">
        <v>0</v>
      </c>
      <c r="I49" s="29" t="s">
        <v>0</v>
      </c>
      <c r="J49" s="29" t="s">
        <v>0</v>
      </c>
      <c r="K49" s="47" t="s">
        <v>0</v>
      </c>
      <c r="L49" s="16" t="s">
        <v>0</v>
      </c>
      <c r="M49" s="29" t="s">
        <v>0</v>
      </c>
      <c r="N49" s="29" t="s">
        <v>0</v>
      </c>
      <c r="O49" s="47" t="s">
        <v>0</v>
      </c>
      <c r="P49" s="16" t="s">
        <v>0</v>
      </c>
      <c r="Q49" s="29" t="s">
        <v>0</v>
      </c>
      <c r="R49" s="16" t="s">
        <v>0</v>
      </c>
      <c r="S49" s="47" t="s">
        <v>0</v>
      </c>
      <c r="T49" s="16" t="s">
        <v>0</v>
      </c>
      <c r="U49" s="16" t="s">
        <v>0</v>
      </c>
      <c r="W49" t="s">
        <v>0</v>
      </c>
      <c r="X49" t="s">
        <v>0</v>
      </c>
    </row>
    <row r="50" spans="1:24">
      <c r="A50" t="s">
        <v>330</v>
      </c>
      <c r="B50" s="12">
        <v>13506.9</v>
      </c>
      <c r="C50" s="46">
        <f t="shared" ref="C50:C55" si="3">+(B50-D50)/ABS(D50)</f>
        <v>0.16867980687697906</v>
      </c>
      <c r="D50" s="12">
        <f>3804.3+3599.3+4153.8</f>
        <v>11557.400000000001</v>
      </c>
      <c r="E50" s="29"/>
      <c r="F50" s="12">
        <v>0</v>
      </c>
      <c r="G50" s="43">
        <v>0</v>
      </c>
      <c r="H50" s="12">
        <f>5221.3+4394.9+3571.5</f>
        <v>13187.7</v>
      </c>
      <c r="J50" s="16">
        <v>0</v>
      </c>
      <c r="K50" s="43">
        <v>0</v>
      </c>
      <c r="L50" s="16">
        <f>8336.2+4246.4</f>
        <v>12582.6</v>
      </c>
      <c r="M50" s="29"/>
      <c r="N50" s="12">
        <v>0</v>
      </c>
      <c r="O50" s="43">
        <v>0</v>
      </c>
      <c r="P50" s="12">
        <f>6896.3+9763+4879.8</f>
        <v>21539.1</v>
      </c>
      <c r="R50" s="12">
        <f>+B50</f>
        <v>13506.9</v>
      </c>
      <c r="S50" s="46">
        <f t="shared" ref="S50:S55" si="4">+(R50-T50)/T50</f>
        <v>0.16867980687697906</v>
      </c>
      <c r="T50" s="12">
        <f>+D50</f>
        <v>11557.400000000001</v>
      </c>
      <c r="U50" s="12">
        <f>+D50+H50+L50+P50</f>
        <v>58866.8</v>
      </c>
    </row>
    <row r="51" spans="1:24">
      <c r="A51" t="s">
        <v>354</v>
      </c>
      <c r="B51" s="12">
        <v>5701.3</v>
      </c>
      <c r="C51" s="46">
        <f t="shared" si="3"/>
        <v>-0.33354764047833357</v>
      </c>
      <c r="D51" s="12">
        <f>3676.6+2746.8+2131.3</f>
        <v>8554.7000000000007</v>
      </c>
      <c r="E51" s="29"/>
      <c r="F51" s="12">
        <v>0</v>
      </c>
      <c r="G51" s="43">
        <v>0</v>
      </c>
      <c r="H51" s="12">
        <f>785.2+1208+1598.3</f>
        <v>3591.5</v>
      </c>
      <c r="J51" s="12">
        <v>0</v>
      </c>
      <c r="K51" s="43">
        <v>0</v>
      </c>
      <c r="L51" s="12">
        <f>4080.3+2051.2</f>
        <v>6131.5</v>
      </c>
      <c r="M51" s="29"/>
      <c r="N51" s="12">
        <v>0</v>
      </c>
      <c r="O51" s="43">
        <v>0</v>
      </c>
      <c r="P51" s="12">
        <f>1869.6+1606.4+1529.7</f>
        <v>5005.7</v>
      </c>
      <c r="R51" s="12">
        <f>+B51</f>
        <v>5701.3</v>
      </c>
      <c r="S51" s="43">
        <v>0</v>
      </c>
      <c r="T51" s="12">
        <f>+D51</f>
        <v>8554.7000000000007</v>
      </c>
      <c r="U51" s="12">
        <f>+D51+H51+L51+P51</f>
        <v>23283.4</v>
      </c>
    </row>
    <row r="52" spans="1:24">
      <c r="A52" t="s">
        <v>332</v>
      </c>
      <c r="B52" s="221">
        <v>449.6</v>
      </c>
      <c r="C52" s="113">
        <f t="shared" si="3"/>
        <v>-0.63456067625782331</v>
      </c>
      <c r="D52" s="221">
        <f>633.7+596.6</f>
        <v>1230.3000000000002</v>
      </c>
      <c r="E52" s="29"/>
      <c r="F52" s="221">
        <v>0</v>
      </c>
      <c r="G52" s="43">
        <v>0</v>
      </c>
      <c r="H52" s="221">
        <v>0</v>
      </c>
      <c r="J52" s="221">
        <v>0</v>
      </c>
      <c r="K52" s="43">
        <v>0</v>
      </c>
      <c r="L52" s="221">
        <v>137.5</v>
      </c>
      <c r="M52" s="29"/>
      <c r="N52" s="221">
        <v>0</v>
      </c>
      <c r="O52" s="43">
        <v>0</v>
      </c>
      <c r="P52" s="221">
        <f>151.5+298.2</f>
        <v>449.7</v>
      </c>
      <c r="R52" s="240">
        <f>+B52</f>
        <v>449.6</v>
      </c>
      <c r="S52" s="113">
        <f t="shared" si="4"/>
        <v>-0.63456067625782331</v>
      </c>
      <c r="T52" s="240">
        <f>+D52</f>
        <v>1230.3000000000002</v>
      </c>
      <c r="U52" s="240">
        <f>+D52+H52+L52+P52</f>
        <v>1817.5000000000002</v>
      </c>
    </row>
    <row r="53" spans="1:24">
      <c r="B53" s="12">
        <f>SUM(B50:B52)</f>
        <v>19657.8</v>
      </c>
      <c r="C53" s="46">
        <f t="shared" si="3"/>
        <v>-7.8932078866481847E-2</v>
      </c>
      <c r="D53" s="12">
        <f>SUM(D50:D52)</f>
        <v>21342.400000000001</v>
      </c>
      <c r="E53" s="29"/>
      <c r="F53" s="12">
        <f>SUM(F50:F52)</f>
        <v>0</v>
      </c>
      <c r="G53" s="43">
        <v>0</v>
      </c>
      <c r="H53" s="12">
        <f>SUM(H50:H52)</f>
        <v>16779.2</v>
      </c>
      <c r="J53" s="12">
        <f>SUM(J50:J52)</f>
        <v>0</v>
      </c>
      <c r="K53" s="43">
        <v>0</v>
      </c>
      <c r="L53" s="12">
        <f>SUM(L50:L52)</f>
        <v>18851.599999999999</v>
      </c>
      <c r="M53" s="29"/>
      <c r="N53" s="12">
        <f>SUM(N50:N52)</f>
        <v>0</v>
      </c>
      <c r="O53" s="43">
        <v>0</v>
      </c>
      <c r="P53" s="12">
        <f>SUM(P50:P52)</f>
        <v>26994.5</v>
      </c>
      <c r="R53" s="12">
        <f>SUM(R50:R52)</f>
        <v>19657.8</v>
      </c>
      <c r="S53" s="46">
        <f>+(R53-T53)/T53</f>
        <v>-7.8932078866481847E-2</v>
      </c>
      <c r="T53" s="12">
        <f>SUM(T50:T52)</f>
        <v>21342.400000000001</v>
      </c>
      <c r="U53" s="12">
        <f>SUM(U50:U52)</f>
        <v>83967.700000000012</v>
      </c>
    </row>
    <row r="54" spans="1:24">
      <c r="A54" t="s">
        <v>333</v>
      </c>
      <c r="B54" s="240">
        <v>10502</v>
      </c>
      <c r="C54" s="46">
        <f t="shared" si="3"/>
        <v>-0.20811340672598402</v>
      </c>
      <c r="D54" s="240">
        <f>4285.8+4106.2+4870</f>
        <v>13262</v>
      </c>
      <c r="E54" s="29" t="s">
        <v>0</v>
      </c>
      <c r="F54" s="240">
        <v>0</v>
      </c>
      <c r="G54" s="43">
        <v>0</v>
      </c>
      <c r="H54" s="240">
        <f>4756.7+3649+4714.7</f>
        <v>13120.400000000001</v>
      </c>
      <c r="J54" s="240">
        <v>0</v>
      </c>
      <c r="K54" s="43">
        <v>0</v>
      </c>
      <c r="L54" s="240">
        <f>8531.7+4000.7</f>
        <v>12532.400000000001</v>
      </c>
      <c r="M54" s="29" t="s">
        <v>0</v>
      </c>
      <c r="N54" s="240">
        <v>0</v>
      </c>
      <c r="O54" s="43">
        <v>0</v>
      </c>
      <c r="P54" s="240">
        <f>3980.2+3723.3+3529.6</f>
        <v>11233.1</v>
      </c>
      <c r="R54" s="240">
        <f>+B54</f>
        <v>10502</v>
      </c>
      <c r="S54" s="46">
        <f t="shared" si="4"/>
        <v>-0.20811340672598402</v>
      </c>
      <c r="T54" s="240">
        <f>+D54</f>
        <v>13262</v>
      </c>
      <c r="U54" s="240">
        <f>+D54+H54+L54+P54</f>
        <v>50147.9</v>
      </c>
    </row>
    <row r="55" spans="1:24">
      <c r="B55" s="12">
        <f>+B53-B54</f>
        <v>9155.7999999999993</v>
      </c>
      <c r="C55" s="46">
        <f t="shared" si="3"/>
        <v>0.13308747091728104</v>
      </c>
      <c r="D55" s="12">
        <f>+D53-D54</f>
        <v>8080.4000000000015</v>
      </c>
      <c r="E55" s="29" t="s">
        <v>0</v>
      </c>
      <c r="F55" s="12">
        <f>+F53-F54</f>
        <v>0</v>
      </c>
      <c r="G55" s="43">
        <v>0</v>
      </c>
      <c r="H55" s="12">
        <f>+H53-H54</f>
        <v>3658.7999999999993</v>
      </c>
      <c r="J55" s="12">
        <f>+J53-J54</f>
        <v>0</v>
      </c>
      <c r="K55" s="43">
        <v>0</v>
      </c>
      <c r="L55" s="12">
        <f>+L53-L54</f>
        <v>6319.1999999999971</v>
      </c>
      <c r="M55" s="29" t="s">
        <v>0</v>
      </c>
      <c r="N55" s="12">
        <f>+N53-N54</f>
        <v>0</v>
      </c>
      <c r="O55" s="43">
        <v>0</v>
      </c>
      <c r="P55" s="12">
        <f>+P53-P54</f>
        <v>15761.4</v>
      </c>
      <c r="R55" s="12">
        <f>+R53-R54</f>
        <v>9155.7999999999993</v>
      </c>
      <c r="S55" s="46">
        <f t="shared" si="4"/>
        <v>0.13308747091728104</v>
      </c>
      <c r="T55" s="12">
        <f>+T53-T54</f>
        <v>8080.4000000000015</v>
      </c>
      <c r="U55" s="12">
        <f>+U53-U54</f>
        <v>33819.80000000001</v>
      </c>
    </row>
    <row r="56" spans="1:24">
      <c r="B56" s="12"/>
      <c r="C56" s="44" t="s">
        <v>0</v>
      </c>
      <c r="D56" s="12"/>
      <c r="E56" s="29" t="s">
        <v>0</v>
      </c>
      <c r="F56" s="12"/>
      <c r="G56" s="44" t="s">
        <v>0</v>
      </c>
      <c r="H56" s="12"/>
      <c r="K56" s="44" t="s">
        <v>0</v>
      </c>
      <c r="M56" s="29" t="s">
        <v>0</v>
      </c>
      <c r="N56" s="12"/>
      <c r="O56" s="44" t="s">
        <v>0</v>
      </c>
      <c r="P56" s="12"/>
      <c r="R56" s="12"/>
      <c r="S56" s="46"/>
      <c r="T56" s="12"/>
      <c r="U56" s="12"/>
    </row>
    <row r="57" spans="1:24">
      <c r="A57" t="s">
        <v>334</v>
      </c>
      <c r="B57" s="12"/>
      <c r="C57" s="44" t="s">
        <v>0</v>
      </c>
      <c r="D57" s="12"/>
      <c r="E57" s="29" t="s">
        <v>0</v>
      </c>
      <c r="F57" s="12"/>
      <c r="G57" s="44" t="s">
        <v>0</v>
      </c>
      <c r="H57" s="12"/>
      <c r="K57" s="44" t="s">
        <v>0</v>
      </c>
      <c r="M57" s="29" t="s">
        <v>0</v>
      </c>
      <c r="N57" s="12"/>
      <c r="O57" s="44" t="s">
        <v>0</v>
      </c>
      <c r="P57" s="12"/>
      <c r="R57" s="12"/>
      <c r="S57" s="47" t="s">
        <v>0</v>
      </c>
      <c r="T57" s="12"/>
      <c r="U57" s="12"/>
    </row>
    <row r="58" spans="1:24">
      <c r="A58" t="s">
        <v>335</v>
      </c>
      <c r="B58" s="12">
        <v>1208.7</v>
      </c>
      <c r="C58" s="46">
        <f>+(B58-D58)/ABS(D58)</f>
        <v>9.1278439869989292E-2</v>
      </c>
      <c r="D58" s="12">
        <f>268.2+519+320.4</f>
        <v>1107.5999999999999</v>
      </c>
      <c r="E58" s="29" t="s">
        <v>0</v>
      </c>
      <c r="F58" s="12">
        <v>0</v>
      </c>
      <c r="G58" s="43">
        <v>0</v>
      </c>
      <c r="H58" s="12">
        <f>343.6+199.7+413.4</f>
        <v>956.69999999999993</v>
      </c>
      <c r="J58" s="12">
        <v>0</v>
      </c>
      <c r="K58" s="43">
        <v>0</v>
      </c>
      <c r="L58" s="12">
        <f>653.1+381.8</f>
        <v>1034.9000000000001</v>
      </c>
      <c r="M58" s="29" t="s">
        <v>0</v>
      </c>
      <c r="N58" s="12">
        <v>0</v>
      </c>
      <c r="O58" s="43">
        <v>0</v>
      </c>
      <c r="P58" s="12">
        <f>294.2+444.2+542.4</f>
        <v>1280.8</v>
      </c>
      <c r="R58" s="12">
        <f>+B58</f>
        <v>1208.7</v>
      </c>
      <c r="S58" s="46">
        <f>+(R58-T58)/T58</f>
        <v>9.1278439869989292E-2</v>
      </c>
      <c r="T58" s="12">
        <f>+D58</f>
        <v>1107.5999999999999</v>
      </c>
      <c r="U58" s="12">
        <f>+D58+H58+L58+P58</f>
        <v>4380</v>
      </c>
    </row>
    <row r="59" spans="1:24">
      <c r="A59" t="s">
        <v>336</v>
      </c>
      <c r="B59" s="12">
        <v>624.79999999999995</v>
      </c>
      <c r="C59" s="46">
        <f>+(B59-D59)/ABS(D59)</f>
        <v>-0.86356887064372434</v>
      </c>
      <c r="D59" s="12">
        <f>1645.7+1064.3+1869.6</f>
        <v>4579.6000000000004</v>
      </c>
      <c r="E59" s="29" t="s">
        <v>0</v>
      </c>
      <c r="F59" s="12">
        <v>0</v>
      </c>
      <c r="G59" s="43">
        <v>0</v>
      </c>
      <c r="H59" s="12">
        <f>569.6+334.4+496</f>
        <v>1400</v>
      </c>
      <c r="J59" s="12">
        <v>0</v>
      </c>
      <c r="K59" s="43">
        <v>0</v>
      </c>
      <c r="L59" s="12">
        <f>1592.5+172.3</f>
        <v>1764.8</v>
      </c>
      <c r="M59" s="29" t="s">
        <v>0</v>
      </c>
      <c r="N59" s="12">
        <v>0</v>
      </c>
      <c r="O59" s="43">
        <v>0</v>
      </c>
      <c r="P59" s="12">
        <f>846.7+1029.5+329.2</f>
        <v>2205.4</v>
      </c>
      <c r="R59" s="12">
        <f>+B59</f>
        <v>624.79999999999995</v>
      </c>
      <c r="S59" s="46">
        <f>+(R59-T59)/T59</f>
        <v>-0.86356887064372434</v>
      </c>
      <c r="T59" s="12">
        <f>+D59</f>
        <v>4579.6000000000004</v>
      </c>
      <c r="U59" s="12">
        <f>+D59+H59+L59+P59</f>
        <v>9949.8000000000011</v>
      </c>
    </row>
    <row r="60" spans="1:24">
      <c r="A60" t="s">
        <v>284</v>
      </c>
      <c r="B60" s="240">
        <v>23.4</v>
      </c>
      <c r="C60" s="46">
        <f>+(B60-D60)/ABS(D60)</f>
        <v>-0.37096774193548393</v>
      </c>
      <c r="D60" s="240">
        <f>9.4+14.6+13.2</f>
        <v>37.200000000000003</v>
      </c>
      <c r="E60" s="29" t="s">
        <v>0</v>
      </c>
      <c r="F60" s="240">
        <v>0</v>
      </c>
      <c r="G60" s="43">
        <v>0</v>
      </c>
      <c r="H60" s="240">
        <f>15.6+134.2+6334.5</f>
        <v>6484.3</v>
      </c>
      <c r="J60" s="240">
        <v>0</v>
      </c>
      <c r="K60" s="43">
        <v>0</v>
      </c>
      <c r="L60" s="240">
        <f>70.5+19.5</f>
        <v>90</v>
      </c>
      <c r="M60" s="29" t="s">
        <v>0</v>
      </c>
      <c r="N60" s="240">
        <v>0</v>
      </c>
      <c r="O60" s="43">
        <v>0</v>
      </c>
      <c r="P60" s="240">
        <f>4.1+8.7+40.3</f>
        <v>53.099999999999994</v>
      </c>
      <c r="R60" s="240">
        <f>+B60</f>
        <v>23.4</v>
      </c>
      <c r="S60" s="46">
        <f>+(R60-T60)/T60</f>
        <v>-0.37096774193548393</v>
      </c>
      <c r="T60" s="240">
        <f>+D60</f>
        <v>37.200000000000003</v>
      </c>
      <c r="U60" s="240">
        <f>+D60+H60+L60+P60</f>
        <v>6664.6</v>
      </c>
    </row>
    <row r="61" spans="1:24">
      <c r="B61" s="12">
        <f>SUM(B58:B60)</f>
        <v>1856.9</v>
      </c>
      <c r="C61" s="46">
        <f>+(B61-D61)/ABS(D61)</f>
        <v>-0.67561665851442942</v>
      </c>
      <c r="D61" s="12">
        <f>SUM(D58:D60)</f>
        <v>5724.4000000000005</v>
      </c>
      <c r="E61" s="29" t="s">
        <v>0</v>
      </c>
      <c r="F61" s="12">
        <f>SUM(F58:F60)</f>
        <v>0</v>
      </c>
      <c r="G61" s="43">
        <v>0</v>
      </c>
      <c r="H61" s="12">
        <f>SUM(H58:H60)</f>
        <v>8841</v>
      </c>
      <c r="J61" s="12">
        <f>SUM(J58:J60)</f>
        <v>0</v>
      </c>
      <c r="K61" s="43">
        <v>0</v>
      </c>
      <c r="L61" s="12">
        <f>SUM(L58:L60)</f>
        <v>2889.7</v>
      </c>
      <c r="M61" s="29" t="s">
        <v>0</v>
      </c>
      <c r="N61" s="12">
        <f>SUM(N58:N60)</f>
        <v>0</v>
      </c>
      <c r="O61" s="43">
        <v>0</v>
      </c>
      <c r="P61" s="12">
        <f>SUM(P58:P60)</f>
        <v>3539.2999999999997</v>
      </c>
      <c r="R61" s="12">
        <f>SUM(R58:R60)</f>
        <v>1856.9</v>
      </c>
      <c r="S61" s="46">
        <f>+(R61-T61)/T61</f>
        <v>-0.67561665851442942</v>
      </c>
      <c r="T61" s="12">
        <f>SUM(T58:T60)</f>
        <v>5724.4000000000005</v>
      </c>
      <c r="U61" s="12">
        <f>SUM(U58:U60)</f>
        <v>20994.400000000001</v>
      </c>
    </row>
    <row r="62" spans="1:24">
      <c r="B62" s="240"/>
      <c r="C62" s="44" t="s">
        <v>0</v>
      </c>
      <c r="D62" s="240"/>
      <c r="E62" s="29" t="s">
        <v>0</v>
      </c>
      <c r="F62" s="240"/>
      <c r="G62" s="44" t="s">
        <v>0</v>
      </c>
      <c r="H62" s="240"/>
      <c r="J62" s="379"/>
      <c r="K62" s="44" t="s">
        <v>0</v>
      </c>
      <c r="L62" s="379"/>
      <c r="M62" s="29" t="s">
        <v>0</v>
      </c>
      <c r="N62" s="240"/>
      <c r="O62" s="44" t="s">
        <v>0</v>
      </c>
      <c r="P62" s="240"/>
      <c r="R62" s="240"/>
      <c r="S62" s="46"/>
      <c r="T62" s="240"/>
      <c r="U62" s="240"/>
    </row>
    <row r="63" spans="1:24">
      <c r="A63" t="s">
        <v>337</v>
      </c>
      <c r="B63" s="12">
        <f>+B55+B61</f>
        <v>11012.699999999999</v>
      </c>
      <c r="C63" s="46">
        <f>+(B63-D63)/ABS(D63)</f>
        <v>-0.20225573713490985</v>
      </c>
      <c r="D63" s="12">
        <f>+D55+D61</f>
        <v>13804.800000000003</v>
      </c>
      <c r="E63" s="29" t="s">
        <v>0</v>
      </c>
      <c r="F63" s="12">
        <f>+F55+F61</f>
        <v>0</v>
      </c>
      <c r="G63" s="43">
        <v>0</v>
      </c>
      <c r="H63" s="12">
        <f>+H55+H61</f>
        <v>12499.8</v>
      </c>
      <c r="J63" s="12">
        <f>+J55+J61</f>
        <v>0</v>
      </c>
      <c r="K63" s="43">
        <v>0</v>
      </c>
      <c r="L63" s="12">
        <f>+L55+L61</f>
        <v>9208.8999999999978</v>
      </c>
      <c r="M63" s="29" t="s">
        <v>0</v>
      </c>
      <c r="N63" s="12">
        <f>+N55+N61</f>
        <v>0</v>
      </c>
      <c r="O63" s="43">
        <v>0</v>
      </c>
      <c r="P63" s="12">
        <f>+P55+P61</f>
        <v>19300.7</v>
      </c>
      <c r="R63" s="12">
        <f>+R55+R61</f>
        <v>11012.699999999999</v>
      </c>
      <c r="S63" s="46">
        <f>+(R63-T63)/T63</f>
        <v>-0.20225573713490985</v>
      </c>
      <c r="T63" s="12">
        <f>+T55+T61</f>
        <v>13804.800000000003</v>
      </c>
      <c r="U63" s="12">
        <f>+U55+U61</f>
        <v>54814.200000000012</v>
      </c>
    </row>
    <row r="64" spans="1:24">
      <c r="B64" s="12"/>
      <c r="C64" s="44" t="s">
        <v>0</v>
      </c>
      <c r="D64" s="12"/>
      <c r="E64" s="29" t="s">
        <v>0</v>
      </c>
      <c r="F64" s="12"/>
      <c r="G64" s="44" t="s">
        <v>0</v>
      </c>
      <c r="H64" s="12"/>
      <c r="K64" s="44" t="s">
        <v>0</v>
      </c>
      <c r="M64" s="29" t="s">
        <v>0</v>
      </c>
      <c r="N64" s="12"/>
      <c r="O64" s="44" t="s">
        <v>0</v>
      </c>
      <c r="P64" s="12"/>
      <c r="R64" s="12"/>
      <c r="S64" s="46"/>
      <c r="T64" s="12"/>
      <c r="U64" s="12"/>
    </row>
    <row r="65" spans="1:21">
      <c r="A65" t="s">
        <v>338</v>
      </c>
      <c r="B65" s="12">
        <v>1800</v>
      </c>
      <c r="C65" s="46">
        <f>+(B65-D65)/ABS(D65)</f>
        <v>0</v>
      </c>
      <c r="D65" s="12">
        <f>600+600+600</f>
        <v>1800</v>
      </c>
      <c r="E65" s="29" t="s">
        <v>0</v>
      </c>
      <c r="F65" s="12">
        <v>0</v>
      </c>
      <c r="G65" s="43">
        <v>0</v>
      </c>
      <c r="H65" s="12">
        <f>500+500+500</f>
        <v>1500</v>
      </c>
      <c r="J65" s="12">
        <v>0</v>
      </c>
      <c r="K65" s="43">
        <v>0</v>
      </c>
      <c r="L65" s="12">
        <f>1000+500</f>
        <v>1500</v>
      </c>
      <c r="M65" s="29" t="s">
        <v>0</v>
      </c>
      <c r="N65" s="12">
        <v>0</v>
      </c>
      <c r="O65" s="43">
        <v>0</v>
      </c>
      <c r="P65" s="12">
        <f>500+1300+600</f>
        <v>2400</v>
      </c>
      <c r="R65" s="12">
        <f>+B65</f>
        <v>1800</v>
      </c>
      <c r="S65" s="46">
        <f>+(R65-T65)/T65</f>
        <v>0</v>
      </c>
      <c r="T65" s="12">
        <f>+D65</f>
        <v>1800</v>
      </c>
      <c r="U65" s="12">
        <f>+D65+H65+L65+P65</f>
        <v>7200</v>
      </c>
    </row>
    <row r="66" spans="1:21">
      <c r="B66" s="12"/>
      <c r="C66" s="44" t="s">
        <v>0</v>
      </c>
      <c r="D66" s="12"/>
      <c r="E66" s="29" t="s">
        <v>0</v>
      </c>
      <c r="F66" s="12"/>
      <c r="G66" s="44" t="s">
        <v>0</v>
      </c>
      <c r="H66" s="12"/>
      <c r="K66" s="44" t="s">
        <v>0</v>
      </c>
      <c r="M66" s="29" t="s">
        <v>0</v>
      </c>
      <c r="N66" s="12"/>
      <c r="O66" s="44" t="s">
        <v>0</v>
      </c>
      <c r="P66" s="12"/>
      <c r="R66" s="12"/>
      <c r="S66" s="46"/>
      <c r="T66" s="12"/>
      <c r="U66" s="12"/>
    </row>
    <row r="67" spans="1:21">
      <c r="A67" t="s">
        <v>339</v>
      </c>
      <c r="B67" s="240"/>
      <c r="C67" s="44" t="s">
        <v>0</v>
      </c>
      <c r="D67" s="240"/>
      <c r="E67" s="29" t="s">
        <v>0</v>
      </c>
      <c r="F67" s="240"/>
      <c r="G67" s="44" t="s">
        <v>0</v>
      </c>
      <c r="H67" s="240"/>
      <c r="J67" s="379"/>
      <c r="K67" s="44" t="s">
        <v>0</v>
      </c>
      <c r="L67" s="379"/>
      <c r="M67" s="29" t="s">
        <v>0</v>
      </c>
      <c r="N67" s="240"/>
      <c r="O67" s="44" t="s">
        <v>0</v>
      </c>
      <c r="P67" s="240"/>
      <c r="R67" s="240"/>
      <c r="S67" s="46"/>
      <c r="T67" s="240"/>
      <c r="U67" s="240"/>
    </row>
    <row r="68" spans="1:21">
      <c r="A68" t="s">
        <v>340</v>
      </c>
      <c r="B68" s="12">
        <f>+B63-B65</f>
        <v>9212.6999999999989</v>
      </c>
      <c r="C68" s="46">
        <f>+(B68-D68)/ABS(D68)</f>
        <v>-0.23258196721311503</v>
      </c>
      <c r="D68" s="12">
        <f>+D63-D65</f>
        <v>12004.800000000003</v>
      </c>
      <c r="E68" s="29" t="s">
        <v>0</v>
      </c>
      <c r="F68" s="12">
        <f>+F63-F65</f>
        <v>0</v>
      </c>
      <c r="G68" s="43">
        <v>0</v>
      </c>
      <c r="H68" s="12">
        <f>+H63-H65</f>
        <v>10999.8</v>
      </c>
      <c r="J68" s="12">
        <f>+J63-J65</f>
        <v>0</v>
      </c>
      <c r="K68" s="43">
        <v>0</v>
      </c>
      <c r="L68" s="12">
        <f>+L63-L65</f>
        <v>7708.8999999999978</v>
      </c>
      <c r="M68" s="29" t="s">
        <v>0</v>
      </c>
      <c r="N68" s="12">
        <f>+N63-N65</f>
        <v>0</v>
      </c>
      <c r="O68" s="43">
        <v>0</v>
      </c>
      <c r="P68" s="12">
        <f>+P63-P65</f>
        <v>16900.7</v>
      </c>
      <c r="R68" s="12">
        <f>+R63-R65</f>
        <v>9212.6999999999989</v>
      </c>
      <c r="S68" s="46">
        <f>+(R68-T68)/T68</f>
        <v>-0.23258196721311503</v>
      </c>
      <c r="T68" s="12">
        <f>+T63-T65</f>
        <v>12004.800000000003</v>
      </c>
      <c r="U68" s="12">
        <f>+U63-U65</f>
        <v>47614.200000000012</v>
      </c>
    </row>
    <row r="69" spans="1:21">
      <c r="B69" s="12"/>
      <c r="C69" s="44" t="s">
        <v>0</v>
      </c>
      <c r="D69" s="12"/>
      <c r="E69" s="29" t="s">
        <v>0</v>
      </c>
      <c r="F69" s="12"/>
      <c r="G69" s="44" t="s">
        <v>0</v>
      </c>
      <c r="H69" s="12"/>
      <c r="K69" s="44" t="s">
        <v>0</v>
      </c>
      <c r="M69" s="29" t="s">
        <v>0</v>
      </c>
      <c r="N69" s="12"/>
      <c r="O69" s="44" t="s">
        <v>0</v>
      </c>
      <c r="P69" s="12"/>
      <c r="R69" s="12"/>
      <c r="S69" s="46"/>
      <c r="T69" s="12"/>
      <c r="U69" s="12"/>
    </row>
    <row r="70" spans="1:21">
      <c r="A70" t="s">
        <v>341</v>
      </c>
      <c r="B70" s="12"/>
      <c r="C70" s="44" t="s">
        <v>0</v>
      </c>
      <c r="D70" s="12"/>
      <c r="E70" s="29" t="s">
        <v>0</v>
      </c>
      <c r="F70" s="12"/>
      <c r="G70" s="44" t="s">
        <v>0</v>
      </c>
      <c r="H70" s="12"/>
      <c r="K70" s="44" t="s">
        <v>0</v>
      </c>
      <c r="M70" s="29" t="s">
        <v>0</v>
      </c>
      <c r="N70" s="12"/>
      <c r="O70" s="44" t="s">
        <v>0</v>
      </c>
      <c r="P70" s="12"/>
      <c r="R70" s="12"/>
      <c r="S70" s="46"/>
      <c r="T70" s="12"/>
      <c r="U70" s="12"/>
    </row>
    <row r="71" spans="1:21">
      <c r="A71" t="s">
        <v>342</v>
      </c>
      <c r="B71" s="12">
        <v>4988</v>
      </c>
      <c r="C71" s="46">
        <f>+(B71-D71)/ABS(D71)</f>
        <v>-5.4497204056487537E-2</v>
      </c>
      <c r="D71" s="12">
        <f>1703.8+1709.9+1861.8</f>
        <v>5275.5</v>
      </c>
      <c r="E71" s="29" t="s">
        <v>0</v>
      </c>
      <c r="F71" s="12">
        <v>0</v>
      </c>
      <c r="G71" s="43">
        <v>0</v>
      </c>
      <c r="H71" s="12">
        <f>1776.9+1476+2067.9</f>
        <v>5320.8</v>
      </c>
      <c r="J71" s="12">
        <v>0</v>
      </c>
      <c r="K71" s="43">
        <v>0</v>
      </c>
      <c r="L71" s="12">
        <f>2848.9+1442.9</f>
        <v>4291.8</v>
      </c>
      <c r="M71" s="29" t="s">
        <v>0</v>
      </c>
      <c r="N71" s="12">
        <v>0</v>
      </c>
      <c r="O71" s="43">
        <v>0</v>
      </c>
      <c r="P71" s="12">
        <f>3192.5+1696.9+1648.7</f>
        <v>6538.0999999999995</v>
      </c>
      <c r="R71" s="12">
        <f>+B71</f>
        <v>4988</v>
      </c>
      <c r="S71" s="46">
        <f>+(R71-T71)/T71</f>
        <v>-5.4497204056487537E-2</v>
      </c>
      <c r="T71" s="12">
        <f>+D71</f>
        <v>5275.5</v>
      </c>
      <c r="U71" s="12">
        <f>+D71+H71+L71+P71</f>
        <v>21426.199999999997</v>
      </c>
    </row>
    <row r="72" spans="1:21">
      <c r="A72" t="s">
        <v>343</v>
      </c>
      <c r="B72" s="12">
        <v>202.7</v>
      </c>
      <c r="C72" s="46">
        <f>+(B72-D72)/ABS(D72)</f>
        <v>0.41649196366177466</v>
      </c>
      <c r="D72" s="12">
        <f>47.7+47.7+47.7</f>
        <v>143.10000000000002</v>
      </c>
      <c r="E72" s="29" t="s">
        <v>0</v>
      </c>
      <c r="F72" s="12">
        <v>0</v>
      </c>
      <c r="G72" s="43">
        <v>0</v>
      </c>
      <c r="H72" s="12">
        <f>47.7+47.7+47.7</f>
        <v>143.10000000000002</v>
      </c>
      <c r="J72" s="12">
        <v>0</v>
      </c>
      <c r="K72" s="43">
        <v>0</v>
      </c>
      <c r="L72" s="12">
        <f>95.4+54.7</f>
        <v>150.10000000000002</v>
      </c>
      <c r="M72" s="29" t="s">
        <v>0</v>
      </c>
      <c r="N72" s="12">
        <v>0</v>
      </c>
      <c r="O72" s="43">
        <v>0</v>
      </c>
      <c r="P72" s="12">
        <f>51.8+51.9+75.4</f>
        <v>179.1</v>
      </c>
      <c r="R72" s="12">
        <f>+B72</f>
        <v>202.7</v>
      </c>
      <c r="S72" s="46">
        <f>+(R72-T72)/T72</f>
        <v>0.41649196366177466</v>
      </c>
      <c r="T72" s="12">
        <f>+D72</f>
        <v>143.10000000000002</v>
      </c>
      <c r="U72" s="12">
        <f>+D72+H72+L72+P72</f>
        <v>615.40000000000009</v>
      </c>
    </row>
    <row r="73" spans="1:21">
      <c r="A73" t="s">
        <v>344</v>
      </c>
      <c r="B73" s="12">
        <v>1408.8</v>
      </c>
      <c r="C73" s="46">
        <f>+(B73-D73)/ABS(D73)</f>
        <v>0.22707081264698203</v>
      </c>
      <c r="D73" s="12">
        <f>377.4+380.5+390.2</f>
        <v>1148.0999999999999</v>
      </c>
      <c r="E73" s="29" t="s">
        <v>0</v>
      </c>
      <c r="F73" s="12">
        <v>0</v>
      </c>
      <c r="G73" s="43">
        <v>0</v>
      </c>
      <c r="H73" s="12">
        <f>396.7+390+390.4</f>
        <v>1177.0999999999999</v>
      </c>
      <c r="J73" s="12">
        <v>0</v>
      </c>
      <c r="K73" s="43">
        <v>0</v>
      </c>
      <c r="L73" s="12">
        <f>780.7+405.8</f>
        <v>1186.5</v>
      </c>
      <c r="M73" s="29" t="s">
        <v>0</v>
      </c>
      <c r="N73" s="12">
        <v>0</v>
      </c>
      <c r="O73" s="43">
        <v>0</v>
      </c>
      <c r="P73" s="12">
        <f>398.6+398.6+385.9</f>
        <v>1183.0999999999999</v>
      </c>
      <c r="R73" s="12">
        <f>+B73</f>
        <v>1408.8</v>
      </c>
      <c r="S73" s="46">
        <f>+(R73-T73)/T73</f>
        <v>0.22707081264698203</v>
      </c>
      <c r="T73" s="12">
        <f>+D73</f>
        <v>1148.0999999999999</v>
      </c>
      <c r="U73" s="12">
        <f>+D73+H73+L73+P73</f>
        <v>4694.7999999999993</v>
      </c>
    </row>
    <row r="74" spans="1:21">
      <c r="A74" t="s">
        <v>345</v>
      </c>
      <c r="B74" s="240">
        <v>2320.6999999999998</v>
      </c>
      <c r="C74" s="46">
        <f>+(B74-D74)/ABS(D74)</f>
        <v>-0.1701412479885572</v>
      </c>
      <c r="D74" s="240">
        <f>826.8+1115+854.7</f>
        <v>2796.5</v>
      </c>
      <c r="E74" s="29" t="s">
        <v>0</v>
      </c>
      <c r="F74" s="240">
        <v>0</v>
      </c>
      <c r="G74" s="43">
        <v>0</v>
      </c>
      <c r="H74" s="240">
        <f>696.4+695.8+722.2</f>
        <v>2114.3999999999996</v>
      </c>
      <c r="J74" s="240">
        <v>0</v>
      </c>
      <c r="K74" s="43">
        <v>0</v>
      </c>
      <c r="L74" s="240">
        <f>1461.1+551.4</f>
        <v>2012.5</v>
      </c>
      <c r="M74" s="29" t="s">
        <v>0</v>
      </c>
      <c r="N74" s="240">
        <v>0</v>
      </c>
      <c r="O74" s="43">
        <v>0</v>
      </c>
      <c r="P74" s="240">
        <f>1299.5+941.8+839</f>
        <v>3080.3</v>
      </c>
      <c r="R74" s="240">
        <f>+B74</f>
        <v>2320.6999999999998</v>
      </c>
      <c r="S74" s="46">
        <f>+(R74-T74)/T74</f>
        <v>-0.1701412479885572</v>
      </c>
      <c r="T74" s="240">
        <f>+D74</f>
        <v>2796.5</v>
      </c>
      <c r="U74" s="240">
        <f>+D74+H74+L74+P74</f>
        <v>10003.700000000001</v>
      </c>
    </row>
    <row r="75" spans="1:21">
      <c r="B75" s="12">
        <f>SUM(B71:B74)</f>
        <v>8920.2000000000007</v>
      </c>
      <c r="C75" s="46">
        <f>+(B75-D75)/ABS(D75)</f>
        <v>-4.7312884483937112E-2</v>
      </c>
      <c r="D75" s="12">
        <f>SUM(D71:D74)</f>
        <v>9363.2000000000007</v>
      </c>
      <c r="E75" s="29" t="s">
        <v>0</v>
      </c>
      <c r="F75" s="12">
        <f>SUM(F71:F74)</f>
        <v>0</v>
      </c>
      <c r="G75" s="43">
        <v>0</v>
      </c>
      <c r="H75" s="12">
        <f>SUM(H71:H74)</f>
        <v>8755.4</v>
      </c>
      <c r="J75" s="12">
        <f>SUM(J71:J74)</f>
        <v>0</v>
      </c>
      <c r="K75" s="43">
        <v>0</v>
      </c>
      <c r="L75" s="12">
        <f>SUM(L71:L74)</f>
        <v>7640.9000000000005</v>
      </c>
      <c r="M75" s="29" t="s">
        <v>0</v>
      </c>
      <c r="N75" s="12">
        <f>SUM(N71:N74)</f>
        <v>0</v>
      </c>
      <c r="O75" s="43">
        <v>0</v>
      </c>
      <c r="P75" s="12">
        <f>SUM(P71:P74)</f>
        <v>10980.599999999999</v>
      </c>
      <c r="R75" s="12">
        <f>SUM(R71:R74)</f>
        <v>8920.2000000000007</v>
      </c>
      <c r="S75" s="46">
        <f>+(R75-T75)/T75</f>
        <v>-4.7312884483937112E-2</v>
      </c>
      <c r="T75" s="12">
        <f>SUM(T71:T74)</f>
        <v>9363.2000000000007</v>
      </c>
      <c r="U75" s="12">
        <f>SUM(U71:U74)</f>
        <v>36740.1</v>
      </c>
    </row>
    <row r="76" spans="1:21">
      <c r="B76" s="240"/>
      <c r="C76" s="44" t="s">
        <v>0</v>
      </c>
      <c r="D76" s="240"/>
      <c r="E76" s="29" t="s">
        <v>0</v>
      </c>
      <c r="F76" s="240"/>
      <c r="G76" s="43"/>
      <c r="H76" s="240"/>
      <c r="J76" s="379"/>
      <c r="K76" s="43"/>
      <c r="L76" s="379"/>
      <c r="M76" s="29" t="s">
        <v>0</v>
      </c>
      <c r="N76" s="240"/>
      <c r="O76" s="43"/>
      <c r="P76" s="240"/>
      <c r="R76" s="240"/>
      <c r="S76" s="46"/>
      <c r="T76" s="240"/>
      <c r="U76" s="240"/>
    </row>
    <row r="77" spans="1:21">
      <c r="A77" t="s">
        <v>346</v>
      </c>
      <c r="B77" s="12">
        <f>+B68-B75</f>
        <v>292.49999999999818</v>
      </c>
      <c r="C77" s="46">
        <f>+(B77-D77)/ABS(D77)</f>
        <v>-0.88927165354330784</v>
      </c>
      <c r="D77" s="12">
        <f>+D68-D75</f>
        <v>2641.6000000000022</v>
      </c>
      <c r="E77" s="29" t="s">
        <v>0</v>
      </c>
      <c r="F77" s="12">
        <f>+F68-F75</f>
        <v>0</v>
      </c>
      <c r="G77" s="43">
        <v>0</v>
      </c>
      <c r="H77" s="12">
        <f>+H68-H75</f>
        <v>2244.3999999999996</v>
      </c>
      <c r="J77" s="12">
        <f>+J68-J75</f>
        <v>0</v>
      </c>
      <c r="K77" s="43">
        <v>0</v>
      </c>
      <c r="L77" s="12">
        <f>+L68-L75</f>
        <v>67.999999999997272</v>
      </c>
      <c r="M77" s="29" t="s">
        <v>0</v>
      </c>
      <c r="N77" s="12">
        <f>+N68-N75</f>
        <v>0</v>
      </c>
      <c r="O77" s="43">
        <v>0</v>
      </c>
      <c r="P77" s="12">
        <f>+P68-P75</f>
        <v>5920.1000000000022</v>
      </c>
      <c r="R77" s="12">
        <f>+R68-R75</f>
        <v>292.49999999999818</v>
      </c>
      <c r="S77" s="46">
        <f>+(R77-T77)/T77</f>
        <v>-0.88927165354330784</v>
      </c>
      <c r="T77" s="12">
        <f>+T68-T75</f>
        <v>2641.6000000000022</v>
      </c>
      <c r="U77" s="12">
        <f>+U68-U75</f>
        <v>10874.100000000013</v>
      </c>
    </row>
    <row r="78" spans="1:21">
      <c r="B78" s="12"/>
      <c r="C78" s="44" t="s">
        <v>0</v>
      </c>
      <c r="D78" s="12"/>
      <c r="E78" s="29" t="s">
        <v>0</v>
      </c>
      <c r="F78" s="12"/>
      <c r="G78" s="44" t="s">
        <v>0</v>
      </c>
      <c r="H78" s="12"/>
      <c r="K78" s="44" t="s">
        <v>0</v>
      </c>
      <c r="M78" s="29" t="s">
        <v>0</v>
      </c>
      <c r="O78" s="44" t="s">
        <v>0</v>
      </c>
      <c r="R78" s="12"/>
      <c r="S78" s="46"/>
      <c r="T78" s="12"/>
      <c r="U78" s="12"/>
    </row>
    <row r="79" spans="1:21">
      <c r="A79" t="s">
        <v>347</v>
      </c>
      <c r="B79" s="12">
        <f>+B116</f>
        <v>0</v>
      </c>
      <c r="C79" s="43">
        <v>0</v>
      </c>
      <c r="D79" s="12">
        <f>+D116</f>
        <v>0</v>
      </c>
      <c r="E79" s="29" t="s">
        <v>0</v>
      </c>
      <c r="F79" s="12">
        <v>0</v>
      </c>
      <c r="G79" s="43">
        <v>0</v>
      </c>
      <c r="H79" s="12">
        <v>0</v>
      </c>
      <c r="J79" s="12">
        <v>0</v>
      </c>
      <c r="K79" s="43">
        <v>0</v>
      </c>
      <c r="L79" s="12">
        <v>0</v>
      </c>
      <c r="M79" s="29" t="s">
        <v>0</v>
      </c>
      <c r="N79" s="12">
        <v>0</v>
      </c>
      <c r="O79" s="43">
        <v>0</v>
      </c>
      <c r="P79" s="12">
        <v>0</v>
      </c>
      <c r="R79" s="12">
        <f>+B79</f>
        <v>0</v>
      </c>
      <c r="S79" s="43">
        <v>0</v>
      </c>
      <c r="T79" s="12">
        <f>+D79</f>
        <v>0</v>
      </c>
      <c r="U79" s="12">
        <f>+D79+H79+L79+P79</f>
        <v>0</v>
      </c>
    </row>
    <row r="80" spans="1:21" ht="16.5" thickBot="1">
      <c r="B80" s="76"/>
      <c r="C80" s="44" t="s">
        <v>0</v>
      </c>
      <c r="D80" s="76"/>
      <c r="E80" s="29" t="s">
        <v>0</v>
      </c>
      <c r="F80" s="76"/>
      <c r="G80" s="44" t="s">
        <v>0</v>
      </c>
      <c r="H80" s="76"/>
      <c r="J80" s="30"/>
      <c r="K80" s="44" t="s">
        <v>0</v>
      </c>
      <c r="L80" s="30"/>
      <c r="M80" s="29" t="s">
        <v>0</v>
      </c>
      <c r="N80" s="30"/>
      <c r="O80" s="44" t="s">
        <v>0</v>
      </c>
      <c r="P80" s="30"/>
      <c r="R80" s="76"/>
      <c r="S80" s="46"/>
      <c r="T80" s="76"/>
      <c r="U80" s="76"/>
    </row>
    <row r="81" spans="1:21" s="2" customFormat="1">
      <c r="A81" s="2" t="s">
        <v>427</v>
      </c>
      <c r="B81" s="4">
        <f>+B77-B79</f>
        <v>292.49999999999818</v>
      </c>
      <c r="C81" s="112">
        <f>+(B81-D81)/ABS(D81)</f>
        <v>-0.88927165354330784</v>
      </c>
      <c r="D81" s="4">
        <f>+D77-D79</f>
        <v>2641.6000000000022</v>
      </c>
      <c r="E81" s="146" t="s">
        <v>0</v>
      </c>
      <c r="F81" s="4">
        <f>+F77-F79</f>
        <v>0</v>
      </c>
      <c r="G81" s="42">
        <v>0</v>
      </c>
      <c r="H81" s="4">
        <f>+H77-H79</f>
        <v>2244.3999999999996</v>
      </c>
      <c r="I81" s="146"/>
      <c r="J81" s="4">
        <f>+J77-J79</f>
        <v>0</v>
      </c>
      <c r="K81" s="42">
        <v>0</v>
      </c>
      <c r="L81" s="4">
        <f>+L77-L79</f>
        <v>67.999999999997272</v>
      </c>
      <c r="M81" s="146" t="s">
        <v>0</v>
      </c>
      <c r="N81" s="4">
        <f>+N77-N79</f>
        <v>0</v>
      </c>
      <c r="O81" s="42">
        <v>0</v>
      </c>
      <c r="P81" s="4">
        <f>+P77-P79</f>
        <v>5920.1000000000022</v>
      </c>
      <c r="Q81" s="146"/>
      <c r="R81" s="4">
        <f>+R77-R79</f>
        <v>292.49999999999818</v>
      </c>
      <c r="S81" s="112">
        <f>+(R81-T81)/T81</f>
        <v>-0.88927165354330784</v>
      </c>
      <c r="T81" s="4">
        <f>+T77-T79</f>
        <v>2641.6000000000022</v>
      </c>
      <c r="U81" s="4">
        <f>+U77-U79</f>
        <v>10874.100000000013</v>
      </c>
    </row>
    <row r="82" spans="1:21">
      <c r="E82" s="29"/>
      <c r="M82" s="29"/>
    </row>
    <row r="83" spans="1:21">
      <c r="E83" s="29"/>
      <c r="M83" s="29"/>
    </row>
    <row r="84" spans="1:21">
      <c r="B84" s="565" t="s">
        <v>261</v>
      </c>
      <c r="D84" s="565" t="s">
        <v>261</v>
      </c>
      <c r="E84" s="29" t="s">
        <v>0</v>
      </c>
      <c r="F84" s="565" t="s">
        <v>261</v>
      </c>
      <c r="H84" s="565" t="s">
        <v>261</v>
      </c>
      <c r="M84" s="29" t="s">
        <v>0</v>
      </c>
      <c r="N84" s="29" t="s">
        <v>0</v>
      </c>
    </row>
    <row r="85" spans="1:21">
      <c r="B85" s="26" t="s">
        <v>353</v>
      </c>
      <c r="D85" s="26" t="s">
        <v>533</v>
      </c>
      <c r="F85" s="26" t="s">
        <v>534</v>
      </c>
      <c r="H85" s="26" t="s">
        <v>535</v>
      </c>
      <c r="M85" s="29" t="s">
        <v>0</v>
      </c>
    </row>
    <row r="86" spans="1:21">
      <c r="A86" t="s">
        <v>536</v>
      </c>
      <c r="B86" s="29" t="s">
        <v>0</v>
      </c>
      <c r="D86" s="29" t="s">
        <v>0</v>
      </c>
      <c r="F86" s="29" t="s">
        <v>0</v>
      </c>
      <c r="H86" s="29" t="s">
        <v>0</v>
      </c>
      <c r="M86" s="29" t="s">
        <v>0</v>
      </c>
    </row>
    <row r="87" spans="1:21">
      <c r="A87" t="s">
        <v>329</v>
      </c>
      <c r="B87" s="16" t="s">
        <v>0</v>
      </c>
    </row>
    <row r="88" spans="1:21">
      <c r="A88" t="s">
        <v>330</v>
      </c>
      <c r="B88" s="12">
        <f>+(6468925.76+6294746.42+6615780)/1000</f>
        <v>19379.45218</v>
      </c>
      <c r="D88" s="12">
        <v>0</v>
      </c>
      <c r="F88" s="12">
        <v>0</v>
      </c>
      <c r="H88" s="12">
        <v>0</v>
      </c>
    </row>
    <row r="89" spans="1:21" ht="18">
      <c r="A89" t="s">
        <v>602</v>
      </c>
      <c r="B89" s="6">
        <v>2.6309999999999998</v>
      </c>
      <c r="D89" s="6">
        <v>0</v>
      </c>
      <c r="F89" s="6">
        <v>0</v>
      </c>
      <c r="H89" s="6">
        <v>0</v>
      </c>
    </row>
    <row r="90" spans="1:21">
      <c r="B90" s="12">
        <f>SUM(B88:B89)</f>
        <v>19382.083180000001</v>
      </c>
      <c r="D90" s="12">
        <f>SUM(D88:D89)</f>
        <v>0</v>
      </c>
      <c r="F90" s="12">
        <f>SUM(F88:F89)</f>
        <v>0</v>
      </c>
      <c r="H90" s="12">
        <f>SUM(H88:H89)</f>
        <v>0</v>
      </c>
    </row>
    <row r="91" spans="1:21">
      <c r="A91" t="s">
        <v>333</v>
      </c>
      <c r="B91" s="12">
        <f>+(4003957.3+3842959.9+3980113)/1000</f>
        <v>11827.030199999999</v>
      </c>
      <c r="D91" s="12">
        <v>0</v>
      </c>
      <c r="F91" s="12">
        <v>0</v>
      </c>
      <c r="H91" s="12">
        <v>0</v>
      </c>
    </row>
    <row r="92" spans="1:21">
      <c r="B92" s="12">
        <f>+B90-B91</f>
        <v>7555.0529800000022</v>
      </c>
      <c r="D92" s="12">
        <f>+D90-D91</f>
        <v>0</v>
      </c>
      <c r="F92" s="12">
        <f>+F90-F91</f>
        <v>0</v>
      </c>
      <c r="H92" s="12">
        <f>+H90-H91</f>
        <v>0</v>
      </c>
    </row>
    <row r="93" spans="1:21">
      <c r="B93" s="12"/>
      <c r="D93" s="12"/>
      <c r="F93" s="12"/>
      <c r="H93" s="12"/>
    </row>
    <row r="94" spans="1:21">
      <c r="A94" t="s">
        <v>334</v>
      </c>
      <c r="B94" s="12"/>
      <c r="D94" s="12"/>
      <c r="F94" s="12"/>
      <c r="H94" s="12"/>
    </row>
    <row r="95" spans="1:21">
      <c r="A95" t="s">
        <v>335</v>
      </c>
      <c r="B95" s="16">
        <f>+(281343.68+350679.67+543318)/1000</f>
        <v>1175.3413500000001</v>
      </c>
      <c r="D95" s="16">
        <v>0</v>
      </c>
      <c r="F95" s="16">
        <v>0</v>
      </c>
      <c r="H95" s="16">
        <v>0</v>
      </c>
    </row>
    <row r="96" spans="1:21">
      <c r="A96" t="s">
        <v>336</v>
      </c>
      <c r="B96" s="12">
        <f>+(2234931.03+77447.42+192470)/1000</f>
        <v>2504.8484499999995</v>
      </c>
      <c r="D96" s="12">
        <v>0</v>
      </c>
      <c r="F96" s="12">
        <v>0</v>
      </c>
      <c r="H96" s="12">
        <v>0</v>
      </c>
    </row>
    <row r="97" spans="1:8">
      <c r="A97" t="s">
        <v>284</v>
      </c>
      <c r="B97" s="12">
        <f>+(10294.27+12450+24477)/1000</f>
        <v>47.221270000000004</v>
      </c>
      <c r="D97" s="12">
        <v>0</v>
      </c>
      <c r="F97" s="12">
        <v>0</v>
      </c>
      <c r="H97" s="12">
        <v>0</v>
      </c>
    </row>
    <row r="98" spans="1:8">
      <c r="B98" s="12">
        <f>SUM(B95:B97)</f>
        <v>3727.4110699999997</v>
      </c>
      <c r="D98" s="12">
        <f>SUM(D95:D97)</f>
        <v>0</v>
      </c>
      <c r="F98" s="12">
        <f>SUM(F95:F97)</f>
        <v>0</v>
      </c>
      <c r="H98" s="12">
        <f>SUM(H95:H97)</f>
        <v>0</v>
      </c>
    </row>
    <row r="99" spans="1:8">
      <c r="B99" s="12"/>
      <c r="D99" s="12"/>
      <c r="F99" s="12"/>
      <c r="H99" s="12"/>
    </row>
    <row r="100" spans="1:8">
      <c r="A100" t="s">
        <v>337</v>
      </c>
      <c r="B100" s="12">
        <f>+B92+B98</f>
        <v>11282.464050000002</v>
      </c>
      <c r="D100" s="12">
        <f>+D92+D98</f>
        <v>0</v>
      </c>
      <c r="F100" s="12">
        <f>+F92+F98</f>
        <v>0</v>
      </c>
      <c r="H100" s="12">
        <f>+H92+H98</f>
        <v>0</v>
      </c>
    </row>
    <row r="101" spans="1:8">
      <c r="B101" s="12"/>
      <c r="D101" s="12"/>
      <c r="F101" s="12"/>
      <c r="H101" s="12"/>
    </row>
    <row r="102" spans="1:8">
      <c r="A102" t="s">
        <v>538</v>
      </c>
      <c r="B102" s="12">
        <f>+(500000+400000+600000)/1000</f>
        <v>1500</v>
      </c>
      <c r="D102" s="12">
        <v>0</v>
      </c>
      <c r="F102" s="12">
        <v>0</v>
      </c>
      <c r="H102" s="12">
        <v>0</v>
      </c>
    </row>
    <row r="103" spans="1:8">
      <c r="B103" s="12"/>
      <c r="D103" s="12"/>
      <c r="F103" s="12"/>
      <c r="H103" s="12"/>
    </row>
    <row r="104" spans="1:8">
      <c r="A104" t="s">
        <v>339</v>
      </c>
      <c r="B104" s="12"/>
      <c r="D104" s="12"/>
      <c r="F104" s="12"/>
      <c r="H104" s="12"/>
    </row>
    <row r="105" spans="1:8">
      <c r="A105" t="s">
        <v>340</v>
      </c>
      <c r="B105" s="12">
        <f>+B100-B102</f>
        <v>9782.4640500000023</v>
      </c>
      <c r="D105" s="12">
        <f>+D100-D102</f>
        <v>0</v>
      </c>
      <c r="F105" s="12">
        <f>+F100-F102</f>
        <v>0</v>
      </c>
      <c r="H105" s="12">
        <f>+H100-H102</f>
        <v>0</v>
      </c>
    </row>
    <row r="106" spans="1:8">
      <c r="B106" s="12"/>
      <c r="D106" s="12"/>
      <c r="F106" s="12"/>
      <c r="H106" s="12"/>
    </row>
    <row r="107" spans="1:8">
      <c r="A107" t="s">
        <v>341</v>
      </c>
      <c r="B107" s="12"/>
      <c r="D107" s="12"/>
      <c r="F107" s="12"/>
      <c r="H107" s="12"/>
    </row>
    <row r="108" spans="1:8">
      <c r="A108" t="s">
        <v>342</v>
      </c>
      <c r="B108" s="12">
        <f>+(2174633.98+1337343.91+1480093)/1000</f>
        <v>4992.07089</v>
      </c>
      <c r="D108" s="12">
        <v>0</v>
      </c>
      <c r="F108" s="12">
        <v>0</v>
      </c>
      <c r="H108" s="12">
        <v>0</v>
      </c>
    </row>
    <row r="109" spans="1:8">
      <c r="A109" t="s">
        <v>343</v>
      </c>
      <c r="B109" s="12">
        <f>+(216546.39+150495.6+121222)/1000</f>
        <v>488.26398999999998</v>
      </c>
      <c r="D109" s="12">
        <v>0</v>
      </c>
      <c r="F109" s="12">
        <v>0</v>
      </c>
      <c r="H109" s="12">
        <v>0</v>
      </c>
    </row>
    <row r="110" spans="1:8">
      <c r="A110" t="s">
        <v>344</v>
      </c>
      <c r="B110" s="12">
        <f>+(318513.44+306315.05+314163)/1000</f>
        <v>938.99149</v>
      </c>
      <c r="D110" s="12">
        <v>0</v>
      </c>
      <c r="F110" s="12">
        <v>0</v>
      </c>
      <c r="H110" s="12">
        <v>0</v>
      </c>
    </row>
    <row r="111" spans="1:8">
      <c r="A111" t="s">
        <v>345</v>
      </c>
      <c r="B111" s="12">
        <f>+(1100755.48+350758.03+494701)/1000</f>
        <v>1946.21451</v>
      </c>
      <c r="D111" s="12">
        <v>0</v>
      </c>
      <c r="F111" s="12">
        <v>0</v>
      </c>
      <c r="H111" s="12">
        <v>0</v>
      </c>
    </row>
    <row r="112" spans="1:8">
      <c r="B112" s="12">
        <f>SUM(B108:B111)</f>
        <v>8365.5408800000005</v>
      </c>
      <c r="D112" s="12">
        <f>SUM(D108:D111)</f>
        <v>0</v>
      </c>
      <c r="F112" s="12">
        <f>SUM(F108:F111)</f>
        <v>0</v>
      </c>
      <c r="H112" s="12">
        <f>SUM(H108:H111)</f>
        <v>0</v>
      </c>
    </row>
    <row r="113" spans="1:8">
      <c r="B113" s="12"/>
      <c r="D113" s="12"/>
      <c r="F113" s="12"/>
      <c r="H113" s="12"/>
    </row>
    <row r="114" spans="1:8">
      <c r="A114" t="s">
        <v>346</v>
      </c>
      <c r="B114" s="12">
        <f>+B105-B112</f>
        <v>1416.9231700000018</v>
      </c>
      <c r="D114" s="12">
        <f>+D105-D112</f>
        <v>0</v>
      </c>
      <c r="F114" s="12">
        <f>+F105-F112</f>
        <v>0</v>
      </c>
      <c r="H114" s="12">
        <f>+H105-H112</f>
        <v>0</v>
      </c>
    </row>
    <row r="115" spans="1:8">
      <c r="B115" s="12"/>
      <c r="D115" s="12"/>
      <c r="F115" s="12"/>
      <c r="H115" s="12"/>
    </row>
    <row r="116" spans="1:8">
      <c r="A116" t="s">
        <v>347</v>
      </c>
      <c r="B116" s="12">
        <v>0</v>
      </c>
      <c r="D116" s="12">
        <v>0</v>
      </c>
      <c r="F116" s="12">
        <v>0</v>
      </c>
      <c r="H116" s="12">
        <v>0</v>
      </c>
    </row>
    <row r="117" spans="1:8">
      <c r="B117" s="12"/>
      <c r="D117" s="12"/>
      <c r="F117" s="12"/>
      <c r="H117" s="12"/>
    </row>
    <row r="118" spans="1:8">
      <c r="A118" t="s">
        <v>539</v>
      </c>
      <c r="B118" s="12">
        <f>+B114-B116</f>
        <v>1416.9231700000018</v>
      </c>
      <c r="D118" s="12">
        <f>+D114-D116</f>
        <v>0</v>
      </c>
      <c r="F118" s="12">
        <f>+F114-F116</f>
        <v>0</v>
      </c>
      <c r="H118" s="12">
        <f>+H114-H116</f>
        <v>0</v>
      </c>
    </row>
    <row r="121" spans="1:8">
      <c r="B121" s="29" t="s">
        <v>0</v>
      </c>
    </row>
  </sheetData>
  <pageMargins left="0.2" right="0.23" top="0.45" bottom="0.39" header="0.31" footer="0.2"/>
  <pageSetup scale="43" orientation="landscape" r:id="rId1"/>
  <headerFooter alignWithMargins="0">
    <oddFooter>&amp;R&amp;16&amp;P</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sheetViews>
  <sheetFormatPr defaultRowHeight="15.75"/>
  <cols>
    <col min="1" max="1" width="52.75" customWidth="1"/>
    <col min="2" max="2" width="15.75" customWidth="1"/>
    <col min="3" max="3" width="11" customWidth="1"/>
    <col min="4" max="4" width="15.75" customWidth="1"/>
    <col min="5" max="5" width="6.125" customWidth="1"/>
    <col min="6" max="6" width="16" customWidth="1"/>
    <col min="7" max="7" width="11"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595</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556</v>
      </c>
      <c r="C8" s="114"/>
      <c r="D8" s="34"/>
      <c r="E8" s="2"/>
      <c r="F8" s="114" t="s">
        <v>206</v>
      </c>
      <c r="G8" s="114"/>
      <c r="H8" s="114"/>
      <c r="I8" s="114"/>
      <c r="J8" s="114"/>
      <c r="K8" s="114"/>
      <c r="L8" s="114"/>
    </row>
    <row r="9" spans="1:14" ht="16.5" thickBot="1">
      <c r="B9" s="247" t="s">
        <v>185</v>
      </c>
      <c r="C9" s="226" t="s">
        <v>169</v>
      </c>
      <c r="D9" s="226">
        <v>1999</v>
      </c>
      <c r="E9" s="2"/>
      <c r="F9" s="226">
        <v>1999</v>
      </c>
      <c r="G9" s="226" t="s">
        <v>169</v>
      </c>
      <c r="H9" s="226">
        <v>1998</v>
      </c>
      <c r="I9" s="226" t="s">
        <v>169</v>
      </c>
      <c r="J9" s="226">
        <v>1997</v>
      </c>
      <c r="K9" s="226" t="s">
        <v>169</v>
      </c>
      <c r="L9" s="226">
        <v>1996</v>
      </c>
    </row>
    <row r="10" spans="1:14">
      <c r="A10" t="s">
        <v>328</v>
      </c>
    </row>
    <row r="11" spans="1:14">
      <c r="A11" t="s">
        <v>329</v>
      </c>
      <c r="B11" s="16" t="s">
        <v>0</v>
      </c>
      <c r="C11" s="47" t="s">
        <v>0</v>
      </c>
      <c r="D11" s="16" t="s">
        <v>0</v>
      </c>
      <c r="E11" s="44" t="s">
        <v>0</v>
      </c>
      <c r="F11" s="16" t="s">
        <v>0</v>
      </c>
      <c r="G11" s="47" t="s">
        <v>0</v>
      </c>
      <c r="M11" s="43"/>
      <c r="N11" s="43"/>
    </row>
    <row r="12" spans="1:14">
      <c r="A12" t="s">
        <v>330</v>
      </c>
      <c r="B12" s="12">
        <f>+'BPHRÉSULT  '!R50</f>
        <v>13506.9</v>
      </c>
      <c r="C12" s="46">
        <f t="shared" ref="C12:C17" si="0">+(B12-D12)/ABS(D12)</f>
        <v>0.16867980687697906</v>
      </c>
      <c r="D12" s="12">
        <f>+'BPHRÉSULT  '!T50</f>
        <v>11557.400000000001</v>
      </c>
      <c r="E12" s="44"/>
      <c r="F12" s="12">
        <f>+'BPHRÉSULT  '!U50</f>
        <v>58866.8</v>
      </c>
      <c r="G12" s="46">
        <f t="shared" ref="G12:G17" si="1">+(F12-H12)/ABS(H12)</f>
        <v>-0.10425286184475818</v>
      </c>
      <c r="H12" s="12">
        <v>65718.100000000006</v>
      </c>
      <c r="I12" s="46">
        <f t="shared" ref="I12:I17" si="2">+(H12-J12)/ABS(J12)</f>
        <v>0.13835225156718506</v>
      </c>
      <c r="J12" s="12">
        <v>57730.9</v>
      </c>
      <c r="K12" s="46">
        <f>+(J12-L12)/ABS(L12)</f>
        <v>0.33488948545240571</v>
      </c>
      <c r="L12" s="12">
        <v>43247.7</v>
      </c>
      <c r="M12" s="43"/>
      <c r="N12" s="43"/>
    </row>
    <row r="13" spans="1:14">
      <c r="A13" t="s">
        <v>572</v>
      </c>
      <c r="B13" s="12">
        <f>+'BPHRÉSULT  '!R51</f>
        <v>5701.3</v>
      </c>
      <c r="C13" s="46">
        <f t="shared" si="0"/>
        <v>-0.33354764047833357</v>
      </c>
      <c r="D13" s="12">
        <f>+'BPHRÉSULT  '!T51</f>
        <v>8554.7000000000007</v>
      </c>
      <c r="E13" s="44"/>
      <c r="F13" s="12">
        <f>+'BPHRÉSULT  '!U51</f>
        <v>23283.4</v>
      </c>
      <c r="G13" s="43">
        <v>0</v>
      </c>
      <c r="H13" s="12">
        <v>0</v>
      </c>
      <c r="I13" s="43">
        <v>0</v>
      </c>
      <c r="J13" s="12">
        <v>0</v>
      </c>
      <c r="K13" s="43">
        <v>0</v>
      </c>
      <c r="L13" s="12">
        <v>0</v>
      </c>
      <c r="M13" s="43"/>
      <c r="N13" s="43"/>
    </row>
    <row r="14" spans="1:14">
      <c r="A14" t="s">
        <v>332</v>
      </c>
      <c r="B14" s="221">
        <f>+'BPHRÉSULT  '!R52</f>
        <v>449.6</v>
      </c>
      <c r="C14" s="113">
        <f t="shared" si="0"/>
        <v>-0.63456067625782331</v>
      </c>
      <c r="D14" s="240">
        <f>+'BPHRÉSULT  '!T52</f>
        <v>1230.3000000000002</v>
      </c>
      <c r="E14" s="44"/>
      <c r="F14" s="240">
        <f>+'BPHRÉSULT  '!U52</f>
        <v>1817.5000000000002</v>
      </c>
      <c r="G14" s="46">
        <f t="shared" si="1"/>
        <v>-0.90798819413858223</v>
      </c>
      <c r="H14" s="240">
        <v>19752.900000000001</v>
      </c>
      <c r="I14" s="46">
        <f t="shared" si="2"/>
        <v>26.77794965546337</v>
      </c>
      <c r="J14" s="240">
        <v>711.1</v>
      </c>
      <c r="K14" s="43">
        <v>0</v>
      </c>
      <c r="L14" s="240">
        <v>648.1</v>
      </c>
      <c r="M14" s="43"/>
      <c r="N14" s="43"/>
    </row>
    <row r="15" spans="1:14">
      <c r="B15" s="12">
        <f>SUM(B12:B14)</f>
        <v>19657.8</v>
      </c>
      <c r="C15" s="46">
        <f t="shared" si="0"/>
        <v>-7.8932078866481847E-2</v>
      </c>
      <c r="D15" s="12">
        <f>SUM(D12:D14)</f>
        <v>21342.400000000001</v>
      </c>
      <c r="E15" s="44"/>
      <c r="F15" s="12">
        <f>SUM(F12:F14)</f>
        <v>83967.700000000012</v>
      </c>
      <c r="G15" s="46">
        <f t="shared" si="1"/>
        <v>-1.7588421803886561E-2</v>
      </c>
      <c r="H15" s="12">
        <f>SUM(H12:H14)</f>
        <v>85471</v>
      </c>
      <c r="I15" s="46">
        <f t="shared" si="2"/>
        <v>0.46249272783272305</v>
      </c>
      <c r="J15" s="12">
        <f>SUM(J12:J14)</f>
        <v>58442</v>
      </c>
      <c r="K15" s="46">
        <f>+(J15-L15)/ABS(L15)</f>
        <v>0.33138022316485871</v>
      </c>
      <c r="L15" s="12">
        <f>SUM(L12:L14)</f>
        <v>43895.799999999996</v>
      </c>
      <c r="M15" s="43"/>
      <c r="N15" s="43"/>
    </row>
    <row r="16" spans="1:14">
      <c r="A16" t="s">
        <v>333</v>
      </c>
      <c r="B16" s="240">
        <f>+'BPHRÉSULT  '!R54</f>
        <v>10502</v>
      </c>
      <c r="C16" s="46">
        <f t="shared" si="0"/>
        <v>-0.20811340672598402</v>
      </c>
      <c r="D16" s="240">
        <f>+'BPHRÉSULT  '!T54</f>
        <v>13262</v>
      </c>
      <c r="E16" s="44" t="s">
        <v>0</v>
      </c>
      <c r="F16" s="240">
        <f>+'BPHRÉSULT  '!U54</f>
        <v>50147.9</v>
      </c>
      <c r="G16" s="46">
        <f t="shared" si="1"/>
        <v>3.7296668928199071E-2</v>
      </c>
      <c r="H16" s="240">
        <v>48344.800000000003</v>
      </c>
      <c r="I16" s="46">
        <f t="shared" si="2"/>
        <v>0.55543043566388806</v>
      </c>
      <c r="J16" s="240">
        <v>31081.3</v>
      </c>
      <c r="K16" s="46">
        <f>+(J16-L16)/ABS(L16)</f>
        <v>0.21141126627717088</v>
      </c>
      <c r="L16" s="240">
        <v>25657.1</v>
      </c>
      <c r="M16" s="43"/>
      <c r="N16" s="43"/>
    </row>
    <row r="17" spans="1:14" s="209" customFormat="1">
      <c r="B17" s="16">
        <f>+B15-B16</f>
        <v>9155.7999999999993</v>
      </c>
      <c r="C17" s="46">
        <f t="shared" si="0"/>
        <v>0.13308747091728104</v>
      </c>
      <c r="D17" s="16">
        <f>+D15-D16</f>
        <v>8080.4000000000015</v>
      </c>
      <c r="E17" s="44" t="s">
        <v>0</v>
      </c>
      <c r="F17" s="16">
        <f>+F15-F16</f>
        <v>33819.80000000001</v>
      </c>
      <c r="G17" s="46">
        <f t="shared" si="1"/>
        <v>-8.9058400805899537E-2</v>
      </c>
      <c r="H17" s="16">
        <f>+H15-H16</f>
        <v>37126.199999999997</v>
      </c>
      <c r="I17" s="46">
        <f t="shared" si="2"/>
        <v>0.3569170379412806</v>
      </c>
      <c r="J17" s="16">
        <f>+J15-J16</f>
        <v>27360.7</v>
      </c>
      <c r="K17" s="46">
        <f>+(J17-L17)/ABS(L17)</f>
        <v>0.50014529544320618</v>
      </c>
      <c r="L17" s="16">
        <f>+L15-L16</f>
        <v>18238.699999999997</v>
      </c>
      <c r="M17" s="44"/>
      <c r="N17" s="44"/>
    </row>
    <row r="18" spans="1:14">
      <c r="B18" s="12"/>
      <c r="C18" s="46"/>
      <c r="D18" s="12"/>
      <c r="E18" s="44"/>
      <c r="F18" s="12"/>
      <c r="G18" s="46"/>
      <c r="H18" s="12"/>
      <c r="I18" s="46"/>
      <c r="J18" s="12"/>
      <c r="K18" s="46"/>
      <c r="L18" s="12"/>
      <c r="M18" s="43"/>
      <c r="N18" s="43"/>
    </row>
    <row r="19" spans="1:14">
      <c r="A19" t="s">
        <v>334</v>
      </c>
      <c r="B19" s="12"/>
      <c r="C19" s="46"/>
      <c r="D19" s="12"/>
      <c r="E19" s="44" t="s">
        <v>0</v>
      </c>
      <c r="F19" s="12"/>
      <c r="G19" s="46"/>
      <c r="H19" s="12"/>
      <c r="I19" s="46"/>
      <c r="J19" s="12"/>
      <c r="K19" s="46"/>
      <c r="L19" s="12"/>
      <c r="M19" s="43"/>
      <c r="N19" s="43"/>
    </row>
    <row r="20" spans="1:14">
      <c r="A20" t="s">
        <v>335</v>
      </c>
      <c r="B20" s="12">
        <f>+'BPHRÉSULT  '!R58</f>
        <v>1208.7</v>
      </c>
      <c r="C20" s="46">
        <f>+(B20-D20)/ABS(D20)</f>
        <v>9.1278439869989292E-2</v>
      </c>
      <c r="D20" s="12">
        <f>+'BPHRÉSULT  '!T58</f>
        <v>1107.5999999999999</v>
      </c>
      <c r="E20" s="44" t="s">
        <v>0</v>
      </c>
      <c r="F20" s="12">
        <f>+'BPHRÉSULT  '!U58</f>
        <v>4380</v>
      </c>
      <c r="G20" s="46">
        <f>+(F20-H20)/ABS(H20)</f>
        <v>0.23189424834763042</v>
      </c>
      <c r="H20" s="12">
        <v>3555.5</v>
      </c>
      <c r="I20" s="46">
        <f>+(H20-J20)/ABS(J20)</f>
        <v>1.3367154990594566E-2</v>
      </c>
      <c r="J20" s="12">
        <v>3508.6</v>
      </c>
      <c r="K20" s="46">
        <f>+(J20-L20)/ABS(L20)</f>
        <v>-0.23962464512493775</v>
      </c>
      <c r="L20" s="12">
        <v>4614.3</v>
      </c>
      <c r="M20" s="43"/>
      <c r="N20" s="43"/>
    </row>
    <row r="21" spans="1:14">
      <c r="A21" t="s">
        <v>336</v>
      </c>
      <c r="B21" s="12">
        <f>+'BPHRÉSULT  '!R59</f>
        <v>624.79999999999995</v>
      </c>
      <c r="C21" s="46">
        <f>+(B21-D21)/ABS(D21)</f>
        <v>-0.86356887064372434</v>
      </c>
      <c r="D21" s="12">
        <f>+'BPHRÉSULT  '!T59</f>
        <v>4579.6000000000004</v>
      </c>
      <c r="E21" s="44" t="s">
        <v>0</v>
      </c>
      <c r="F21" s="12">
        <f>+'BPHRÉSULT  '!U59</f>
        <v>9949.8000000000011</v>
      </c>
      <c r="G21" s="46">
        <f>+(F21-H21)/ABS(H21)</f>
        <v>-0.37966894229870002</v>
      </c>
      <c r="H21" s="12">
        <v>16039.5</v>
      </c>
      <c r="I21" s="46">
        <f>+(H21-J21)/ABS(J21)</f>
        <v>0.87923984487586548</v>
      </c>
      <c r="J21" s="12">
        <v>8535.1</v>
      </c>
      <c r="K21" s="43">
        <v>0</v>
      </c>
      <c r="L21" s="12">
        <v>3552.1</v>
      </c>
      <c r="M21" s="43"/>
      <c r="N21" s="43"/>
    </row>
    <row r="22" spans="1:14">
      <c r="A22" t="s">
        <v>284</v>
      </c>
      <c r="B22" s="240">
        <f>+'BPHRÉSULT  '!R60</f>
        <v>23.4</v>
      </c>
      <c r="C22" s="46">
        <f>+(B22-D22)/ABS(D22)</f>
        <v>-0.37096774193548393</v>
      </c>
      <c r="D22" s="240">
        <f>+'BPHRÉSULT  '!T60</f>
        <v>37.200000000000003</v>
      </c>
      <c r="E22" s="44" t="s">
        <v>0</v>
      </c>
      <c r="F22" s="240">
        <f>+'BPHRÉSULT  '!U60</f>
        <v>6664.6</v>
      </c>
      <c r="G22" s="46">
        <f>+(F22-H22)/ABS(H22)</f>
        <v>23.8957788569294</v>
      </c>
      <c r="H22" s="240">
        <v>267.7</v>
      </c>
      <c r="I22" s="46">
        <f>+(H22-J22)/ABS(J22)</f>
        <v>-0.44518134715025909</v>
      </c>
      <c r="J22" s="240">
        <v>482.5</v>
      </c>
      <c r="K22" s="46">
        <f>+(J22-L22)/ABS(L22)</f>
        <v>-0.7866460313950917</v>
      </c>
      <c r="L22" s="240">
        <v>2261.5</v>
      </c>
      <c r="M22" s="43"/>
      <c r="N22" s="43"/>
    </row>
    <row r="23" spans="1:14" s="209" customFormat="1">
      <c r="B23" s="16">
        <f>SUM(B20:B22)</f>
        <v>1856.9</v>
      </c>
      <c r="C23" s="46">
        <f>+(B23-D23)/ABS(D23)</f>
        <v>-0.67561665851442942</v>
      </c>
      <c r="D23" s="16">
        <f>SUM(D20:D22)</f>
        <v>5724.4000000000005</v>
      </c>
      <c r="E23" s="44" t="s">
        <v>0</v>
      </c>
      <c r="F23" s="16">
        <f>SUM(F20:F22)</f>
        <v>20994.400000000001</v>
      </c>
      <c r="G23" s="46">
        <f>+(F23-H23)/ABS(H23)</f>
        <v>5.697614120940258E-2</v>
      </c>
      <c r="H23" s="16">
        <f>SUM(H20:H22)</f>
        <v>19862.7</v>
      </c>
      <c r="I23" s="46">
        <f>+(H23-J23)/ABS(J23)</f>
        <v>0.58569238875317331</v>
      </c>
      <c r="J23" s="16">
        <f>SUM(J20:J22)</f>
        <v>12526.2</v>
      </c>
      <c r="K23" s="46">
        <f>+(J23-L23)/ABS(L23)</f>
        <v>0.20121980456275962</v>
      </c>
      <c r="L23" s="16">
        <f>SUM(L20:L22)</f>
        <v>10427.9</v>
      </c>
      <c r="M23" s="44"/>
      <c r="N23" s="44"/>
    </row>
    <row r="24" spans="1:14">
      <c r="B24" s="240"/>
      <c r="C24" s="46"/>
      <c r="D24" s="240"/>
      <c r="E24" s="44"/>
      <c r="F24" s="240"/>
      <c r="G24" s="46"/>
      <c r="H24" s="240"/>
      <c r="I24" s="46"/>
      <c r="J24" s="240"/>
      <c r="K24" s="46"/>
      <c r="L24" s="240"/>
      <c r="M24" s="43"/>
      <c r="N24" s="43"/>
    </row>
    <row r="25" spans="1:14" s="209" customFormat="1">
      <c r="A25" s="209" t="s">
        <v>337</v>
      </c>
      <c r="B25" s="16">
        <f>+B17+B23</f>
        <v>11012.699999999999</v>
      </c>
      <c r="C25" s="46">
        <f>+(B25-D25)/ABS(D25)</f>
        <v>-0.20225573713490985</v>
      </c>
      <c r="D25" s="16">
        <f>+D17+D23</f>
        <v>13804.800000000003</v>
      </c>
      <c r="E25" s="44" t="s">
        <v>0</v>
      </c>
      <c r="F25" s="16">
        <f>+F17+F23</f>
        <v>54814.200000000012</v>
      </c>
      <c r="G25" s="46">
        <f>+(F25-H25)/ABS(H25)</f>
        <v>-3.8160062749061356E-2</v>
      </c>
      <c r="H25" s="16">
        <f>+H17+H23</f>
        <v>56988.899999999994</v>
      </c>
      <c r="I25" s="46">
        <f>+(H25-J25)/ABS(J25)</f>
        <v>0.42876232547528115</v>
      </c>
      <c r="J25" s="16">
        <f>+J17+J23</f>
        <v>39886.9</v>
      </c>
      <c r="K25" s="46">
        <f>+(J25-L25)/ABS(L25)</f>
        <v>0.39140672420168432</v>
      </c>
      <c r="L25" s="16">
        <f>+L17+L23</f>
        <v>28666.6</v>
      </c>
      <c r="M25" s="44"/>
      <c r="N25" s="44"/>
    </row>
    <row r="26" spans="1:14">
      <c r="B26" s="12"/>
      <c r="C26" s="46"/>
      <c r="D26" s="12"/>
      <c r="E26" s="44" t="s">
        <v>0</v>
      </c>
      <c r="F26" s="12"/>
      <c r="G26" s="46"/>
      <c r="H26" s="12"/>
      <c r="I26" s="46"/>
      <c r="J26" s="12"/>
      <c r="K26" s="46"/>
      <c r="L26" s="12"/>
      <c r="M26" s="43"/>
      <c r="N26" s="43"/>
    </row>
    <row r="27" spans="1:14">
      <c r="A27" t="s">
        <v>338</v>
      </c>
      <c r="B27" s="12">
        <f>+'BPHRÉSULT  '!R65</f>
        <v>1800</v>
      </c>
      <c r="C27" s="46">
        <f>+(B27-D27)/ABS(D27)</f>
        <v>0</v>
      </c>
      <c r="D27" s="12">
        <f>+'BPHRÉSULT  '!T65</f>
        <v>1800</v>
      </c>
      <c r="E27" s="44" t="s">
        <v>0</v>
      </c>
      <c r="F27" s="12">
        <f>+'BPHRÉSULT  '!U65</f>
        <v>7200</v>
      </c>
      <c r="G27" s="46">
        <f>+(F27-H27)/ABS(H27)</f>
        <v>0.16129032258064516</v>
      </c>
      <c r="H27" s="12">
        <v>6200</v>
      </c>
      <c r="I27" s="46">
        <f>+(H27-J27)/ABS(J27)</f>
        <v>-3.125E-2</v>
      </c>
      <c r="J27" s="12">
        <v>6400</v>
      </c>
      <c r="K27" s="46">
        <f>+(J27-L27)/ABS(L27)</f>
        <v>6.6666666666666666E-2</v>
      </c>
      <c r="L27" s="12">
        <v>6000</v>
      </c>
      <c r="M27" s="43"/>
      <c r="N27" s="43"/>
    </row>
    <row r="28" spans="1:14">
      <c r="B28" s="12"/>
      <c r="C28" s="46"/>
      <c r="D28" s="12"/>
      <c r="E28" s="44" t="s">
        <v>0</v>
      </c>
      <c r="F28" s="12"/>
      <c r="G28" s="46"/>
      <c r="H28" s="12"/>
      <c r="I28" s="46"/>
      <c r="J28" s="12"/>
      <c r="K28" s="46"/>
      <c r="L28" s="12"/>
      <c r="M28" s="43"/>
      <c r="N28" s="43"/>
    </row>
    <row r="29" spans="1:14">
      <c r="A29" t="s">
        <v>339</v>
      </c>
      <c r="B29" s="240"/>
      <c r="C29" s="46"/>
      <c r="D29" s="240"/>
      <c r="E29" s="44" t="s">
        <v>0</v>
      </c>
      <c r="F29" s="240"/>
      <c r="G29" s="46"/>
      <c r="H29" s="240"/>
      <c r="I29" s="46"/>
      <c r="J29" s="240"/>
      <c r="K29" s="46"/>
      <c r="L29" s="240"/>
      <c r="M29" s="43"/>
      <c r="N29" s="43"/>
    </row>
    <row r="30" spans="1:14" s="209" customFormat="1">
      <c r="A30" s="209" t="s">
        <v>340</v>
      </c>
      <c r="B30" s="16">
        <f>+B25-B27</f>
        <v>9212.6999999999989</v>
      </c>
      <c r="C30" s="46">
        <f>+(B30-D30)/ABS(D30)</f>
        <v>-0.23258196721311503</v>
      </c>
      <c r="D30" s="16">
        <f>+D25-D27</f>
        <v>12004.800000000003</v>
      </c>
      <c r="E30" s="44" t="s">
        <v>0</v>
      </c>
      <c r="F30" s="16">
        <f>+F25-F27</f>
        <v>47614.200000000012</v>
      </c>
      <c r="G30" s="46">
        <f>+(F30-H30)/ABS(H30)</f>
        <v>-6.2507752678242351E-2</v>
      </c>
      <c r="H30" s="16">
        <f>+H25-H27</f>
        <v>50788.899999999994</v>
      </c>
      <c r="I30" s="46">
        <f>+(H30-J30)/ABS(J30)</f>
        <v>0.51667965682102535</v>
      </c>
      <c r="J30" s="16">
        <f>+J25-J27</f>
        <v>33486.9</v>
      </c>
      <c r="K30" s="46">
        <f>+(J30-L30)/ABS(L30)</f>
        <v>0.47736758049288397</v>
      </c>
      <c r="L30" s="16">
        <f>+L25-L27</f>
        <v>22666.6</v>
      </c>
      <c r="M30" s="44"/>
      <c r="N30" s="44"/>
    </row>
    <row r="31" spans="1:14">
      <c r="B31" s="12"/>
      <c r="C31" s="46"/>
      <c r="D31" s="12"/>
      <c r="E31" s="44" t="s">
        <v>0</v>
      </c>
      <c r="F31" s="12"/>
      <c r="G31" s="46"/>
      <c r="H31" s="12"/>
      <c r="I31" s="46"/>
      <c r="J31" s="12"/>
      <c r="K31" s="46"/>
      <c r="L31" s="12"/>
      <c r="M31" s="43"/>
      <c r="N31" s="43"/>
    </row>
    <row r="32" spans="1:14">
      <c r="A32" t="s">
        <v>341</v>
      </c>
      <c r="B32" s="12"/>
      <c r="C32" s="46"/>
      <c r="D32" s="12"/>
      <c r="E32" s="44" t="s">
        <v>0</v>
      </c>
      <c r="F32" s="12"/>
      <c r="G32" s="46"/>
      <c r="H32" s="12"/>
      <c r="I32" s="46"/>
      <c r="J32" s="12"/>
      <c r="K32" s="46"/>
      <c r="L32" s="12"/>
      <c r="M32" s="43"/>
      <c r="N32" s="43"/>
    </row>
    <row r="33" spans="1:14">
      <c r="A33" t="s">
        <v>342</v>
      </c>
      <c r="B33" s="12">
        <f>+'BPHRÉSULT  '!R71</f>
        <v>4988</v>
      </c>
      <c r="C33" s="46">
        <f>+(B33-D33)/ABS(D33)</f>
        <v>-5.4497204056487537E-2</v>
      </c>
      <c r="D33" s="12">
        <f>+'BPHRÉSULT  '!T71</f>
        <v>5275.5</v>
      </c>
      <c r="E33" s="44" t="s">
        <v>0</v>
      </c>
      <c r="F33" s="12">
        <f>+'BPHRÉSULT  '!U71</f>
        <v>21426.199999999997</v>
      </c>
      <c r="G33" s="46">
        <f>+(F33-H33)/ABS(H33)</f>
        <v>6.240176123206892E-2</v>
      </c>
      <c r="H33" s="12">
        <v>20167.7</v>
      </c>
      <c r="I33" s="46">
        <f>+(H33-J33)/ABS(J33)</f>
        <v>0.21500951876039243</v>
      </c>
      <c r="J33" s="12">
        <v>16598.8</v>
      </c>
      <c r="K33" s="46">
        <f>+(J33-L33)/ABS(L33)</f>
        <v>0.34562316584788494</v>
      </c>
      <c r="L33" s="12">
        <v>12335.4</v>
      </c>
      <c r="M33" s="43"/>
      <c r="N33" s="43"/>
    </row>
    <row r="34" spans="1:14">
      <c r="A34" t="s">
        <v>343</v>
      </c>
      <c r="B34" s="12">
        <f>+'BPHRÉSULT  '!R72</f>
        <v>202.7</v>
      </c>
      <c r="C34" s="46">
        <f>+(B34-D34)/ABS(D34)</f>
        <v>0.41649196366177466</v>
      </c>
      <c r="D34" s="12">
        <f>+'BPHRÉSULT  '!T72</f>
        <v>143.10000000000002</v>
      </c>
      <c r="E34" s="44" t="s">
        <v>0</v>
      </c>
      <c r="F34" s="12">
        <f>+'BPHRÉSULT  '!U72</f>
        <v>615.40000000000009</v>
      </c>
      <c r="G34" s="46">
        <f>+(F34-H34)/ABS(H34)</f>
        <v>-0.34511014153453223</v>
      </c>
      <c r="H34" s="12">
        <v>939.7</v>
      </c>
      <c r="I34" s="46">
        <f>+(H34-J34)/ABS(J34)</f>
        <v>-0.44573551964138258</v>
      </c>
      <c r="J34" s="12">
        <v>1695.4</v>
      </c>
      <c r="K34" s="46">
        <f>+(J34-L34)/ABS(L34)</f>
        <v>0.76788321167883222</v>
      </c>
      <c r="L34" s="12">
        <v>959</v>
      </c>
      <c r="M34" s="43"/>
      <c r="N34" s="43"/>
    </row>
    <row r="35" spans="1:14">
      <c r="A35" t="s">
        <v>344</v>
      </c>
      <c r="B35" s="12">
        <f>+'BPHRÉSULT  '!R73</f>
        <v>1408.8</v>
      </c>
      <c r="C35" s="46">
        <f>+(B35-D35)/ABS(D35)</f>
        <v>0.22707081264698203</v>
      </c>
      <c r="D35" s="12">
        <f>+'BPHRÉSULT  '!T73</f>
        <v>1148.0999999999999</v>
      </c>
      <c r="E35" s="44" t="s">
        <v>0</v>
      </c>
      <c r="F35" s="12">
        <f>+'BPHRÉSULT  '!U73</f>
        <v>4694.7999999999993</v>
      </c>
      <c r="G35" s="46">
        <f>+(F35-H35)/ABS(H35)</f>
        <v>0.10810045317220522</v>
      </c>
      <c r="H35" s="12">
        <v>4236.8</v>
      </c>
      <c r="I35" s="46">
        <f>+(H35-J35)/ABS(J35)</f>
        <v>0.67614827708984471</v>
      </c>
      <c r="J35" s="12">
        <v>2527.6999999999998</v>
      </c>
      <c r="K35" s="46">
        <f>+(J35-L35)/ABS(L35)</f>
        <v>0.34552326200361966</v>
      </c>
      <c r="L35" s="12">
        <v>1878.6</v>
      </c>
      <c r="M35" s="43"/>
      <c r="N35" s="43"/>
    </row>
    <row r="36" spans="1:14">
      <c r="A36" t="s">
        <v>345</v>
      </c>
      <c r="B36" s="240">
        <f>+'BPHRÉSULT  '!R74</f>
        <v>2320.6999999999998</v>
      </c>
      <c r="C36" s="46">
        <f>+(B36-D36)/ABS(D36)</f>
        <v>-0.1701412479885572</v>
      </c>
      <c r="D36" s="240">
        <f>+'BPHRÉSULT  '!T74</f>
        <v>2796.5</v>
      </c>
      <c r="E36" s="44" t="s">
        <v>0</v>
      </c>
      <c r="F36" s="240">
        <f>+'BPHRÉSULT  '!U74</f>
        <v>10003.700000000001</v>
      </c>
      <c r="G36" s="46">
        <f>+(F36-H36)/ABS(H36)</f>
        <v>-0.17049892619341778</v>
      </c>
      <c r="H36" s="240">
        <v>12059.9</v>
      </c>
      <c r="I36" s="46">
        <f>+(H36-J36)/ABS(J36)</f>
        <v>0.57779812912932549</v>
      </c>
      <c r="J36" s="240">
        <v>7643.5</v>
      </c>
      <c r="K36" s="46">
        <f>+(J36-L36)/ABS(L36)</f>
        <v>0.32630574353635261</v>
      </c>
      <c r="L36" s="240">
        <v>5763</v>
      </c>
      <c r="M36" s="43"/>
      <c r="N36" s="43"/>
    </row>
    <row r="37" spans="1:14" s="209" customFormat="1">
      <c r="B37" s="16">
        <f>SUM(B33:B36)</f>
        <v>8920.2000000000007</v>
      </c>
      <c r="C37" s="46">
        <f>+(B37-D37)/ABS(D37)</f>
        <v>-4.7312884483937112E-2</v>
      </c>
      <c r="D37" s="16">
        <f>SUM(D33:D36)</f>
        <v>9363.2000000000007</v>
      </c>
      <c r="E37" s="44" t="s">
        <v>0</v>
      </c>
      <c r="F37" s="16">
        <f>SUM(F33:F36)</f>
        <v>36740.1</v>
      </c>
      <c r="G37" s="46">
        <f>+(F37-H37)/ABS(H37)</f>
        <v>-1.7752064613237587E-2</v>
      </c>
      <c r="H37" s="16">
        <f>SUM(H33:H36)</f>
        <v>37404.1</v>
      </c>
      <c r="I37" s="46">
        <f>+(H37-J37)/ABS(J37)</f>
        <v>0.31401982758014979</v>
      </c>
      <c r="J37" s="16">
        <f>SUM(J33:J36)</f>
        <v>28465.4</v>
      </c>
      <c r="K37" s="46">
        <f>+(J37-L37)/ABS(L37)</f>
        <v>0.35963889950324807</v>
      </c>
      <c r="L37" s="16">
        <f>SUM(L33:L36)</f>
        <v>20936</v>
      </c>
      <c r="M37" s="44"/>
      <c r="N37" s="44"/>
    </row>
    <row r="38" spans="1:14">
      <c r="B38" s="249"/>
      <c r="C38" s="112"/>
      <c r="D38" s="249"/>
      <c r="E38" s="42"/>
      <c r="F38" s="249"/>
      <c r="G38" s="112"/>
      <c r="H38" s="249"/>
      <c r="I38" s="112"/>
      <c r="J38" s="249"/>
      <c r="K38" s="112"/>
      <c r="L38" s="249"/>
      <c r="M38" s="43"/>
      <c r="N38" s="43"/>
    </row>
    <row r="39" spans="1:14" s="209" customFormat="1">
      <c r="A39" s="209" t="s">
        <v>346</v>
      </c>
      <c r="B39" s="16">
        <f>+B30-B37</f>
        <v>292.49999999999818</v>
      </c>
      <c r="C39" s="46">
        <f>+(B39-D39)/ABS(D39)</f>
        <v>-0.88927165354330784</v>
      </c>
      <c r="D39" s="16">
        <f>+D30-D37</f>
        <v>2641.6000000000022</v>
      </c>
      <c r="E39" s="44" t="s">
        <v>0</v>
      </c>
      <c r="F39" s="16">
        <f>+F30-F37</f>
        <v>10874.100000000013</v>
      </c>
      <c r="G39" s="46">
        <f>+(F39-H39)/ABS(H39)</f>
        <v>-0.18757844719383057</v>
      </c>
      <c r="H39" s="16">
        <f>+H30-H37</f>
        <v>13384.799999999996</v>
      </c>
      <c r="I39" s="46">
        <f>+(H39-J39)/ABS(J39)</f>
        <v>1.6654983570646213</v>
      </c>
      <c r="J39" s="16">
        <f>+J30-J37</f>
        <v>5021.5</v>
      </c>
      <c r="K39" s="46">
        <f>+(J39-L39)/ABS(L39)</f>
        <v>1.9015948226048793</v>
      </c>
      <c r="L39" s="16">
        <f>+L30-L37</f>
        <v>1730.5999999999985</v>
      </c>
      <c r="M39" s="44"/>
      <c r="N39" s="44"/>
    </row>
    <row r="40" spans="1:14">
      <c r="B40" s="12"/>
      <c r="C40" s="46"/>
      <c r="D40" s="12"/>
      <c r="E40" s="44" t="s">
        <v>0</v>
      </c>
      <c r="F40" s="12"/>
      <c r="G40" s="46"/>
      <c r="H40" s="12"/>
      <c r="I40" s="46"/>
      <c r="J40" s="12"/>
      <c r="K40" s="46"/>
      <c r="L40" s="12"/>
      <c r="M40" s="43"/>
      <c r="N40" s="43"/>
    </row>
    <row r="41" spans="1:14">
      <c r="A41" t="s">
        <v>347</v>
      </c>
      <c r="B41" s="12">
        <f>+'BPHRÉSULT  '!R79</f>
        <v>0</v>
      </c>
      <c r="C41" s="43">
        <v>0</v>
      </c>
      <c r="D41" s="12">
        <f>+'BPHRÉSULT  '!T79</f>
        <v>0</v>
      </c>
      <c r="E41" s="44" t="s">
        <v>0</v>
      </c>
      <c r="F41" s="12">
        <f>+'BPHRÉSULT  '!U79</f>
        <v>0</v>
      </c>
      <c r="G41" s="43">
        <v>0</v>
      </c>
      <c r="H41" s="12">
        <v>0</v>
      </c>
      <c r="I41" s="43">
        <v>0</v>
      </c>
      <c r="J41" s="12">
        <v>0.9</v>
      </c>
      <c r="K41" s="46">
        <f>+(J41-L41)/ABS(L41)</f>
        <v>-0.52631578947368418</v>
      </c>
      <c r="L41" s="12">
        <v>1.9</v>
      </c>
      <c r="M41" s="43"/>
      <c r="N41" s="43"/>
    </row>
    <row r="42" spans="1:14" ht="16.5" thickBot="1">
      <c r="B42" s="76"/>
      <c r="C42" s="46"/>
      <c r="D42" s="76"/>
      <c r="E42" s="44" t="s">
        <v>0</v>
      </c>
      <c r="F42" s="76"/>
      <c r="G42" s="46"/>
      <c r="H42" s="76"/>
      <c r="I42" s="46"/>
      <c r="J42" s="76"/>
      <c r="K42" s="46"/>
      <c r="L42" s="76"/>
      <c r="M42" s="43"/>
      <c r="N42" s="43"/>
    </row>
    <row r="43" spans="1:14">
      <c r="A43" s="2" t="s">
        <v>359</v>
      </c>
      <c r="B43" s="4">
        <f>+B39-B41</f>
        <v>292.49999999999818</v>
      </c>
      <c r="C43" s="112">
        <f>+(B43-D43)/ABS(D43)</f>
        <v>-0.88927165354330784</v>
      </c>
      <c r="D43" s="4">
        <f>+D39-D41</f>
        <v>2641.6000000000022</v>
      </c>
      <c r="E43" s="42" t="s">
        <v>0</v>
      </c>
      <c r="F43" s="4">
        <f>+F39-F41</f>
        <v>10874.100000000013</v>
      </c>
      <c r="G43" s="112">
        <f>+(F43-H43)/ABS(H43)</f>
        <v>-0.18757844719383057</v>
      </c>
      <c r="H43" s="4">
        <f>+H39-H41</f>
        <v>13384.799999999996</v>
      </c>
      <c r="I43" s="112">
        <f>+(H43-J43)/ABS(J43)</f>
        <v>1.6659761781460372</v>
      </c>
      <c r="J43" s="4">
        <f>+J39-J41</f>
        <v>5020.6000000000004</v>
      </c>
      <c r="K43" s="112">
        <f>+(J43-L43)/ABS(L43)</f>
        <v>1.9042633192572482</v>
      </c>
      <c r="L43" s="4">
        <f>+L39-L41</f>
        <v>1728.6999999999985</v>
      </c>
      <c r="M43" s="43"/>
      <c r="N43" s="43"/>
    </row>
    <row r="44" spans="1:14">
      <c r="E44" t="s">
        <v>0</v>
      </c>
    </row>
    <row r="45" spans="1:14">
      <c r="E45" t="s">
        <v>0</v>
      </c>
    </row>
  </sheetData>
  <pageMargins left="0.43" right="0.36" top="0.55000000000000004" bottom="0.75" header="0.36" footer="0.5"/>
  <pageSetup scale="62" orientation="landscape" r:id="rId1"/>
  <headerFooter alignWithMargins="0">
    <oddFooter>&amp;R&amp;P</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4"/>
  <sheetViews>
    <sheetView workbookViewId="0"/>
  </sheetViews>
  <sheetFormatPr defaultRowHeight="15.75"/>
  <cols>
    <col min="1" max="1" width="33.5" customWidth="1"/>
    <col min="2" max="2" width="15.25" customWidth="1"/>
    <col min="3" max="3" width="11.75" customWidth="1"/>
    <col min="4" max="4" width="13.5" customWidth="1"/>
    <col min="5" max="5" width="15.125" customWidth="1"/>
    <col min="6" max="6" width="15.75" customWidth="1"/>
    <col min="7" max="7" width="9.125" customWidth="1"/>
    <col min="8" max="8" width="14" customWidth="1"/>
    <col min="9" max="9" width="14.125" customWidth="1"/>
    <col min="10" max="10" width="13.75" customWidth="1"/>
    <col min="11" max="11" width="13" customWidth="1"/>
    <col min="12" max="12" width="14.625" customWidth="1"/>
    <col min="13" max="13" width="11" customWidth="1"/>
    <col min="14" max="14" width="14.75" customWidth="1"/>
    <col min="15" max="15" width="14.875" customWidth="1"/>
    <col min="16" max="16" width="16" customWidth="1"/>
    <col min="17" max="17" width="11" customWidth="1"/>
    <col min="18" max="18" width="15.875" customWidth="1"/>
    <col min="19" max="19" width="11" customWidth="1"/>
    <col min="20" max="20" width="15.875" customWidth="1"/>
    <col min="21" max="256" width="11" customWidth="1"/>
  </cols>
  <sheetData>
    <row r="1" spans="1:27">
      <c r="A1" s="114" t="s">
        <v>603</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166</v>
      </c>
      <c r="J4" s="175" t="s">
        <v>167</v>
      </c>
      <c r="K4" s="176"/>
      <c r="L4" s="176"/>
      <c r="M4" s="176"/>
      <c r="N4" s="176"/>
      <c r="O4" s="176"/>
      <c r="P4" s="176"/>
    </row>
    <row r="5" spans="1:27" ht="16.5" thickBot="1">
      <c r="B5" s="174" t="s">
        <v>168</v>
      </c>
      <c r="C5" s="174" t="s">
        <v>169</v>
      </c>
      <c r="D5" s="177" t="s">
        <v>170</v>
      </c>
      <c r="E5" s="174" t="s">
        <v>169</v>
      </c>
      <c r="F5" s="173" t="s">
        <v>171</v>
      </c>
      <c r="G5" s="174" t="s">
        <v>169</v>
      </c>
      <c r="H5" s="173" t="s">
        <v>172</v>
      </c>
      <c r="I5" s="173" t="s">
        <v>604</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3">
        <f>+buhvar!B22</f>
        <v>2115184</v>
      </c>
      <c r="C11" s="41">
        <v>0</v>
      </c>
      <c r="D11" s="3">
        <f>+buhvar!D22</f>
        <v>0</v>
      </c>
      <c r="E11" s="41">
        <v>0</v>
      </c>
      <c r="F11" s="3">
        <f>+buhvar!F22</f>
        <v>0</v>
      </c>
      <c r="G11" s="41">
        <v>0</v>
      </c>
      <c r="H11" s="3">
        <f>+buhvar!H22</f>
        <v>0</v>
      </c>
      <c r="I11" s="45">
        <f>+(-J11+B11)/ABS(J11)</f>
        <v>2.2352036478600866E-2</v>
      </c>
      <c r="J11" s="3">
        <f>+buhvar!J22</f>
        <v>2068939</v>
      </c>
      <c r="K11" s="45">
        <f>+(-L11+J11)/ABS(L11)</f>
        <v>0.14627993768131037</v>
      </c>
      <c r="L11" s="3">
        <f>+buhvar!L22</f>
        <v>1804916</v>
      </c>
      <c r="M11" s="45">
        <f>+(-N11+L11)/ABS(N11)</f>
        <v>0.20689431513617537</v>
      </c>
      <c r="N11" s="3">
        <f>+buhvar!N22</f>
        <v>1495504.6</v>
      </c>
      <c r="O11" s="45">
        <f>+(-P11+N11)/ABS(P11)</f>
        <v>0.16740687935200696</v>
      </c>
      <c r="P11" s="3">
        <f>+buhvar!P22</f>
        <v>1281048.3015399999</v>
      </c>
      <c r="Q11" s="3"/>
      <c r="R11" s="3"/>
      <c r="S11" s="3"/>
      <c r="T11" s="3"/>
      <c r="U11" s="41"/>
      <c r="V11" s="41"/>
      <c r="W11" s="41"/>
      <c r="X11" s="41"/>
      <c r="Y11" s="41"/>
      <c r="Z11" s="41"/>
      <c r="AA11" s="41"/>
    </row>
    <row r="12" spans="1:27">
      <c r="A12" t="s">
        <v>181</v>
      </c>
      <c r="B12" s="3">
        <f>+buhvar!B17</f>
        <v>125000</v>
      </c>
      <c r="C12" s="41">
        <v>0</v>
      </c>
      <c r="D12" s="3">
        <f>+buhvar!D17</f>
        <v>0</v>
      </c>
      <c r="E12" s="41">
        <v>0</v>
      </c>
      <c r="F12" s="3">
        <f>+buhvar!F17</f>
        <v>0</v>
      </c>
      <c r="G12" s="41">
        <v>0</v>
      </c>
      <c r="H12" s="3">
        <f>+buhvar!H17</f>
        <v>0</v>
      </c>
      <c r="I12" s="45">
        <f>+(-J12+B12)/ABS(J12)</f>
        <v>0.5625</v>
      </c>
      <c r="J12" s="3">
        <f>+buhvar!J17</f>
        <v>80000</v>
      </c>
      <c r="K12" s="45">
        <f>+(-L12+J12)/ABS(L12)</f>
        <v>-0.66666666666666663</v>
      </c>
      <c r="L12" s="3">
        <f>+buhvar!L17</f>
        <v>240000</v>
      </c>
      <c r="M12" s="41">
        <v>0</v>
      </c>
      <c r="N12" s="3">
        <f>+buhvar!N17</f>
        <v>280000</v>
      </c>
      <c r="O12" s="41">
        <v>0</v>
      </c>
      <c r="P12" s="3">
        <f>+buhvar!P17</f>
        <v>0</v>
      </c>
      <c r="Q12" s="3"/>
      <c r="R12" s="3"/>
      <c r="S12" s="3"/>
      <c r="T12" s="3"/>
      <c r="U12" s="41"/>
      <c r="V12" s="41"/>
      <c r="W12" s="41"/>
      <c r="X12" s="41"/>
      <c r="Y12" s="41"/>
      <c r="Z12" s="41"/>
      <c r="AA12" s="41"/>
    </row>
    <row r="13" spans="1:27">
      <c r="A13" t="s">
        <v>182</v>
      </c>
      <c r="B13" s="3">
        <f>+buhvar!B19</f>
        <v>746670</v>
      </c>
      <c r="C13" s="41">
        <v>0</v>
      </c>
      <c r="D13" s="3">
        <f>+buhvar!D19</f>
        <v>0</v>
      </c>
      <c r="E13" s="41">
        <v>0</v>
      </c>
      <c r="F13" s="3">
        <f>+buhvar!F19</f>
        <v>0</v>
      </c>
      <c r="G13" s="41">
        <v>0</v>
      </c>
      <c r="H13" s="3">
        <f>+buhvar!H19</f>
        <v>0</v>
      </c>
      <c r="I13" s="45">
        <f>+(-J13+B13)/ABS(J13)</f>
        <v>6.9467321712476909E-2</v>
      </c>
      <c r="J13" s="3">
        <f>+buhvar!J19</f>
        <v>698170</v>
      </c>
      <c r="K13" s="45">
        <f>+(-L13+J13)/ABS(L13)</f>
        <v>5.3774704094231005E-2</v>
      </c>
      <c r="L13" s="3">
        <f>+buhvar!L19</f>
        <v>662542</v>
      </c>
      <c r="M13" s="45">
        <f>+(-N13+L13)/ABS(N13)</f>
        <v>0.15467337711577225</v>
      </c>
      <c r="N13" s="3">
        <f>+buhvar!N19</f>
        <v>573791.69999999995</v>
      </c>
      <c r="O13" s="45">
        <f>+(-P13+N13)/ABS(P13)</f>
        <v>0.7267314819934978</v>
      </c>
      <c r="P13" s="3">
        <f>+buhvar!P19</f>
        <v>332299.32156999997</v>
      </c>
      <c r="Q13" s="3"/>
      <c r="R13" s="3"/>
      <c r="S13" s="3"/>
      <c r="T13" s="3"/>
      <c r="U13" s="41"/>
      <c r="V13" s="41"/>
      <c r="W13" s="41"/>
      <c r="X13" s="41"/>
      <c r="Y13" s="41"/>
      <c r="Z13" s="41"/>
      <c r="AA13" s="41"/>
    </row>
    <row r="14" spans="1:27">
      <c r="A14" t="s">
        <v>183</v>
      </c>
      <c r="B14" s="3">
        <f>+buhvar!B29</f>
        <v>1956363</v>
      </c>
      <c r="C14" s="41">
        <v>0</v>
      </c>
      <c r="D14" s="3">
        <f>+buhvar!D29</f>
        <v>0</v>
      </c>
      <c r="E14" s="41">
        <v>0</v>
      </c>
      <c r="F14" s="3">
        <f>+buhvar!F29</f>
        <v>0</v>
      </c>
      <c r="G14" s="41">
        <v>0</v>
      </c>
      <c r="H14" s="3">
        <f>+buhvar!H29</f>
        <v>0</v>
      </c>
      <c r="I14" s="45">
        <f>+(-J14+B14)/ABS(J14)</f>
        <v>7.4773548336058218E-2</v>
      </c>
      <c r="J14" s="3">
        <f>+buhvar!J29</f>
        <v>1820256</v>
      </c>
      <c r="K14" s="45">
        <f>+(-L14+J14)/ABS(L14)</f>
        <v>0.15274876081104102</v>
      </c>
      <c r="L14" s="3">
        <f>+buhvar!L29</f>
        <v>1579057</v>
      </c>
      <c r="M14" s="45">
        <f>+(-N14+L14)/ABS(N14)</f>
        <v>0.21469417658631093</v>
      </c>
      <c r="N14" s="3">
        <f>+buhvar!N29</f>
        <v>1299962.6000000001</v>
      </c>
      <c r="O14" s="45">
        <f>+(-P14+N14)/ABS(P14)</f>
        <v>0.1752169593422323</v>
      </c>
      <c r="P14" s="3">
        <f>+buhvar!P29</f>
        <v>1106146.9030599999</v>
      </c>
      <c r="Q14" s="3"/>
      <c r="R14" s="3"/>
      <c r="S14" s="3"/>
      <c r="T14" s="3"/>
      <c r="U14" s="41"/>
      <c r="V14" s="41"/>
      <c r="W14" s="41"/>
      <c r="X14" s="41"/>
      <c r="Y14" s="41"/>
      <c r="Z14" s="41"/>
      <c r="AA14" s="41"/>
    </row>
    <row r="15" spans="1:27">
      <c r="A15" t="s">
        <v>184</v>
      </c>
      <c r="B15" s="3">
        <f>+buhvar!B51</f>
        <v>5194</v>
      </c>
      <c r="C15" s="41">
        <v>0</v>
      </c>
      <c r="D15" s="3">
        <f>+buhvar!D51</f>
        <v>0</v>
      </c>
      <c r="E15" s="41">
        <v>0</v>
      </c>
      <c r="F15" s="3">
        <f>+buhvar!F51</f>
        <v>0</v>
      </c>
      <c r="G15" s="41">
        <v>0</v>
      </c>
      <c r="H15" s="3">
        <f>+buhvar!H51</f>
        <v>0</v>
      </c>
      <c r="I15" s="45">
        <f>+(-J15+B15)/ABS(J15)</f>
        <v>-0.93814162875449592</v>
      </c>
      <c r="J15" s="3">
        <f>+buhvar!J51</f>
        <v>83966</v>
      </c>
      <c r="K15" s="45">
        <f>+(-L15+J15)/ABS(L15)</f>
        <v>-5.3146742746309726E-2</v>
      </c>
      <c r="L15" s="3">
        <f>+buhvar!L51</f>
        <v>88679</v>
      </c>
      <c r="M15" s="45">
        <f>+(-N15+L15)/ABS(N15)</f>
        <v>0.35055611313243296</v>
      </c>
      <c r="N15" s="3">
        <f>+buhvar!N51</f>
        <v>65661.100000000006</v>
      </c>
      <c r="O15" s="45">
        <f>+(-P15+N15)/ABS(P15)</f>
        <v>4.9190264442590628E-2</v>
      </c>
      <c r="P15" s="3">
        <f>+buhvar!P51</f>
        <v>62582.643230000001</v>
      </c>
      <c r="Q15" s="3"/>
      <c r="R15" s="3"/>
      <c r="S15" s="3"/>
      <c r="T15" s="3"/>
      <c r="U15" s="41"/>
      <c r="V15" s="41"/>
      <c r="W15" s="41"/>
      <c r="X15" s="41"/>
      <c r="Y15" s="41"/>
      <c r="Z15" s="41"/>
      <c r="AA15" s="41"/>
    </row>
    <row r="16" spans="1:27">
      <c r="B16" s="3"/>
      <c r="C16" s="3"/>
      <c r="D16" s="3"/>
      <c r="E16" s="3"/>
      <c r="F16" s="3"/>
      <c r="G16" s="3"/>
      <c r="H16" s="3"/>
      <c r="I16" s="3"/>
      <c r="J16" s="3"/>
      <c r="K16" s="3"/>
      <c r="L16" s="3"/>
      <c r="M16" s="3"/>
      <c r="N16" s="3"/>
      <c r="O16" s="3"/>
      <c r="P16" s="3"/>
      <c r="Q16" s="3"/>
      <c r="R16" s="3"/>
      <c r="S16" s="3"/>
      <c r="T16" s="3"/>
      <c r="U16" s="41"/>
      <c r="V16" s="41"/>
      <c r="W16" s="41"/>
      <c r="X16" s="41"/>
      <c r="Y16" s="41"/>
      <c r="Z16" s="41"/>
      <c r="AA16" s="41"/>
    </row>
    <row r="17" spans="1:27" ht="7.9" customHeight="1" thickBot="1">
      <c r="A17" s="19"/>
      <c r="B17" s="324"/>
      <c r="C17" s="324"/>
      <c r="D17" s="324"/>
      <c r="E17" s="324"/>
      <c r="F17" s="324"/>
      <c r="G17" s="324"/>
      <c r="H17" s="324"/>
      <c r="I17" s="324"/>
      <c r="J17" s="324"/>
      <c r="K17" s="324"/>
      <c r="L17" s="324"/>
      <c r="M17" s="324"/>
      <c r="N17" s="324"/>
      <c r="O17" s="324"/>
      <c r="P17" s="324"/>
      <c r="Q17" s="3"/>
      <c r="R17" s="3"/>
      <c r="S17" s="3"/>
      <c r="T17" s="3"/>
      <c r="U17" s="41"/>
      <c r="V17" s="41"/>
      <c r="W17" s="41"/>
      <c r="X17" s="41"/>
      <c r="Y17" s="41"/>
      <c r="Z17" s="41"/>
      <c r="AA17" s="41"/>
    </row>
    <row r="18" spans="1:27">
      <c r="B18" s="3"/>
      <c r="C18" s="3"/>
      <c r="D18" s="3"/>
      <c r="E18" s="3"/>
      <c r="F18" s="3"/>
      <c r="G18" s="3"/>
      <c r="H18" s="3"/>
      <c r="I18" s="3"/>
      <c r="J18" s="3"/>
      <c r="K18" s="3"/>
      <c r="L18" s="3"/>
      <c r="M18" s="3"/>
      <c r="N18" s="3"/>
      <c r="O18" s="3"/>
      <c r="P18" s="3"/>
      <c r="Q18" s="3"/>
      <c r="R18" s="3"/>
      <c r="S18" s="3"/>
      <c r="T18" s="3"/>
      <c r="U18" s="41"/>
      <c r="V18" s="41"/>
      <c r="W18" s="41"/>
      <c r="X18" s="41"/>
      <c r="Y18" s="41"/>
      <c r="Z18" s="41"/>
      <c r="AA18" s="41"/>
    </row>
    <row r="19" spans="1:27">
      <c r="B19" s="81" t="s">
        <v>185</v>
      </c>
      <c r="C19" s="3"/>
      <c r="D19" s="81" t="s">
        <v>174</v>
      </c>
      <c r="E19" s="3"/>
      <c r="F19" s="81" t="s">
        <v>185</v>
      </c>
      <c r="G19" s="3"/>
      <c r="H19" s="81" t="s">
        <v>174</v>
      </c>
      <c r="I19" s="3"/>
      <c r="J19" s="81" t="s">
        <v>185</v>
      </c>
      <c r="K19" s="3"/>
      <c r="L19" s="81" t="s">
        <v>174</v>
      </c>
      <c r="M19" s="3"/>
      <c r="N19" s="81" t="s">
        <v>185</v>
      </c>
      <c r="O19" s="3"/>
      <c r="P19" s="81" t="s">
        <v>174</v>
      </c>
      <c r="Q19" s="3"/>
      <c r="R19" s="81" t="s">
        <v>185</v>
      </c>
      <c r="S19" s="3"/>
      <c r="T19" s="81" t="s">
        <v>174</v>
      </c>
      <c r="U19" s="41"/>
      <c r="V19" s="41"/>
      <c r="W19" s="41"/>
      <c r="X19" s="41"/>
      <c r="Y19" s="41"/>
      <c r="Z19" s="41"/>
      <c r="AA19" s="41"/>
    </row>
    <row r="20" spans="1:27">
      <c r="B20" s="80" t="s">
        <v>186</v>
      </c>
      <c r="C20" s="80" t="s">
        <v>169</v>
      </c>
      <c r="D20" s="80" t="s">
        <v>186</v>
      </c>
      <c r="E20" s="3"/>
      <c r="F20" s="80" t="s">
        <v>187</v>
      </c>
      <c r="G20" s="80" t="s">
        <v>169</v>
      </c>
      <c r="H20" s="80" t="s">
        <v>187</v>
      </c>
      <c r="I20" s="3"/>
      <c r="J20" s="80" t="s">
        <v>188</v>
      </c>
      <c r="K20" s="80" t="s">
        <v>169</v>
      </c>
      <c r="L20" s="80" t="s">
        <v>188</v>
      </c>
      <c r="M20" s="3"/>
      <c r="N20" s="80" t="s">
        <v>189</v>
      </c>
      <c r="O20" s="80" t="s">
        <v>169</v>
      </c>
      <c r="P20" s="80" t="s">
        <v>189</v>
      </c>
      <c r="Q20" s="3"/>
      <c r="R20" s="80" t="s">
        <v>190</v>
      </c>
      <c r="S20" s="80" t="s">
        <v>169</v>
      </c>
      <c r="T20" s="80" t="s">
        <v>190</v>
      </c>
      <c r="U20" s="41"/>
      <c r="V20" s="41"/>
      <c r="W20" s="41"/>
      <c r="X20" s="41"/>
      <c r="Y20" s="41"/>
      <c r="Z20" s="41"/>
      <c r="AA20" s="41"/>
    </row>
    <row r="21" spans="1:27" ht="16.5" thickBot="1">
      <c r="B21" s="223" t="s">
        <v>191</v>
      </c>
      <c r="C21" s="223"/>
      <c r="D21" s="223" t="s">
        <v>192</v>
      </c>
      <c r="E21" s="3"/>
      <c r="F21" s="327" t="s">
        <v>193</v>
      </c>
      <c r="G21" s="223"/>
      <c r="H21" s="327" t="s">
        <v>194</v>
      </c>
      <c r="I21" s="3"/>
      <c r="J21" s="223" t="s">
        <v>195</v>
      </c>
      <c r="K21" s="19"/>
      <c r="L21" s="223" t="s">
        <v>196</v>
      </c>
      <c r="M21" s="3"/>
      <c r="N21" s="223" t="s">
        <v>197</v>
      </c>
      <c r="O21" s="223"/>
      <c r="P21" s="223" t="s">
        <v>198</v>
      </c>
      <c r="Q21" s="3"/>
      <c r="R21" s="223" t="s">
        <v>199</v>
      </c>
      <c r="S21" s="223"/>
      <c r="T21" s="223" t="s">
        <v>200</v>
      </c>
      <c r="U21" s="41"/>
      <c r="V21" s="41"/>
      <c r="W21" s="41"/>
      <c r="X21" s="41"/>
      <c r="Y21" s="41"/>
      <c r="Z21" s="41"/>
      <c r="AA21" s="41"/>
    </row>
    <row r="22" spans="1:27">
      <c r="A22" s="2" t="s">
        <v>52</v>
      </c>
      <c r="B22" s="3"/>
      <c r="C22" s="3"/>
      <c r="D22" s="3"/>
      <c r="E22" s="3"/>
      <c r="F22" s="3"/>
      <c r="G22" s="3"/>
      <c r="H22" s="3"/>
      <c r="I22" s="3"/>
      <c r="J22" s="3"/>
      <c r="K22" s="3"/>
      <c r="L22" s="3"/>
      <c r="M22" s="3"/>
      <c r="N22" s="3"/>
      <c r="O22" s="3"/>
      <c r="P22" s="3"/>
      <c r="Q22" s="3"/>
      <c r="R22" s="3"/>
      <c r="S22" s="82" t="s">
        <v>0</v>
      </c>
      <c r="T22" s="3"/>
      <c r="U22" s="41"/>
      <c r="V22" s="41"/>
      <c r="W22" s="41"/>
      <c r="X22" s="41"/>
      <c r="Y22" s="41"/>
      <c r="Z22" s="41"/>
      <c r="AA22" s="41"/>
    </row>
    <row r="23" spans="1:27">
      <c r="A23" t="s">
        <v>201</v>
      </c>
      <c r="B23" s="3">
        <f>+buhrésult!B15</f>
        <v>27757</v>
      </c>
      <c r="C23" s="45">
        <f>+(B23-D23)/ABS(D23)</f>
        <v>5.399658249477881E-2</v>
      </c>
      <c r="D23" s="3">
        <f>+buhrésult!D55</f>
        <v>26335</v>
      </c>
      <c r="E23" s="3"/>
      <c r="F23" s="3">
        <f>+buhrésult!D15</f>
        <v>0</v>
      </c>
      <c r="G23" s="41">
        <v>0</v>
      </c>
      <c r="H23" s="3">
        <f>+buhrésult!H55</f>
        <v>23758</v>
      </c>
      <c r="I23" s="3"/>
      <c r="J23" s="3">
        <f>+buhrésult!F15</f>
        <v>0</v>
      </c>
      <c r="K23" s="41">
        <v>0</v>
      </c>
      <c r="L23" s="3">
        <f>+buhrésult!L55</f>
        <v>27545</v>
      </c>
      <c r="M23" s="3"/>
      <c r="N23" s="3">
        <f>+buhrésult!H15</f>
        <v>0</v>
      </c>
      <c r="O23" s="41">
        <v>0</v>
      </c>
      <c r="P23" s="3">
        <f>+buhrésult!P55</f>
        <v>30790</v>
      </c>
      <c r="Q23" s="3"/>
      <c r="R23" s="3">
        <f>+buhrésult!R55</f>
        <v>27757</v>
      </c>
      <c r="S23" s="45">
        <f>+(-T23+R23)/ABS(T23)</f>
        <v>5.399658249477881E-2</v>
      </c>
      <c r="T23" s="3">
        <f>+buhrésult!T55</f>
        <v>26335</v>
      </c>
      <c r="U23" s="41"/>
      <c r="V23" s="41"/>
      <c r="W23" s="41"/>
      <c r="X23" s="41"/>
      <c r="Y23" s="41"/>
      <c r="Z23" s="41"/>
      <c r="AA23" s="41"/>
    </row>
    <row r="24" spans="1:27">
      <c r="A24" t="s">
        <v>202</v>
      </c>
      <c r="B24" s="3">
        <f>+buhrésult!B21</f>
        <v>13880</v>
      </c>
      <c r="C24" s="45">
        <f>+(B24-D24)/ABS(D24)</f>
        <v>0.11692282932324777</v>
      </c>
      <c r="D24" s="3">
        <f>+buhrésult!D61</f>
        <v>12427</v>
      </c>
      <c r="E24" s="3"/>
      <c r="F24" s="3">
        <f>+buhrésult!D21</f>
        <v>0</v>
      </c>
      <c r="G24" s="41">
        <v>0</v>
      </c>
      <c r="H24" s="3">
        <f>+buhrésult!H61</f>
        <v>14642</v>
      </c>
      <c r="I24" s="3"/>
      <c r="J24" s="3">
        <f>+buhrésult!F21</f>
        <v>0</v>
      </c>
      <c r="K24" s="41">
        <v>0</v>
      </c>
      <c r="L24" s="3">
        <f>+buhrésult!L61</f>
        <v>12824</v>
      </c>
      <c r="M24" s="3"/>
      <c r="N24" s="3">
        <f>+buhrésult!H21</f>
        <v>0</v>
      </c>
      <c r="O24" s="41">
        <v>0</v>
      </c>
      <c r="P24" s="3">
        <f>+buhrésult!P61</f>
        <v>13528</v>
      </c>
      <c r="Q24" s="3"/>
      <c r="R24" s="3">
        <f>+buhrésult!R61</f>
        <v>13880</v>
      </c>
      <c r="S24" s="45">
        <f>+(-T24+R24)/ABS(T24)</f>
        <v>0.11692282932324777</v>
      </c>
      <c r="T24" s="3">
        <f>+buhrésult!T61</f>
        <v>12427</v>
      </c>
      <c r="U24" s="41"/>
      <c r="V24" s="41"/>
      <c r="W24" s="41"/>
      <c r="X24" s="41"/>
      <c r="Y24" s="41"/>
      <c r="Z24" s="41"/>
      <c r="AA24" s="41"/>
    </row>
    <row r="25" spans="1:27">
      <c r="A25" t="s">
        <v>447</v>
      </c>
      <c r="B25" s="3">
        <f>+buhrésult!B25</f>
        <v>2499</v>
      </c>
      <c r="C25" s="45">
        <f>+(B25-D25)/ABS(D25)</f>
        <v>0.25075075075075076</v>
      </c>
      <c r="D25" s="3">
        <f>+buhrésult!D65</f>
        <v>1998</v>
      </c>
      <c r="E25" s="3"/>
      <c r="F25" s="3">
        <f>+buhrésult!D25</f>
        <v>0</v>
      </c>
      <c r="G25" s="41">
        <v>0</v>
      </c>
      <c r="H25" s="3">
        <f>+buhrésult!H65</f>
        <v>1998</v>
      </c>
      <c r="I25" s="3"/>
      <c r="J25" s="3">
        <f>+buhrésult!F25</f>
        <v>0</v>
      </c>
      <c r="K25" s="41">
        <v>0</v>
      </c>
      <c r="L25" s="3">
        <f>+buhrésult!L65</f>
        <v>11094</v>
      </c>
      <c r="M25" s="3"/>
      <c r="N25" s="3">
        <f>+buhrésult!H25</f>
        <v>0</v>
      </c>
      <c r="O25" s="41">
        <v>0</v>
      </c>
      <c r="P25" s="3">
        <f>+buhrésult!P65</f>
        <v>2499</v>
      </c>
      <c r="Q25" s="3"/>
      <c r="R25" s="3">
        <f>+buhrésult!R65</f>
        <v>2499</v>
      </c>
      <c r="S25" s="45">
        <f>+(-T25+R25)/ABS(T25)</f>
        <v>0.25075075075075076</v>
      </c>
      <c r="T25" s="3">
        <f>+buhrésult!T65</f>
        <v>1998</v>
      </c>
      <c r="U25" s="41"/>
      <c r="V25" s="41"/>
      <c r="W25" s="41"/>
      <c r="X25" s="41"/>
      <c r="Y25" s="41"/>
      <c r="Z25" s="41"/>
      <c r="AA25" s="41"/>
    </row>
    <row r="26" spans="1:27">
      <c r="A26" t="s">
        <v>204</v>
      </c>
      <c r="B26" s="3">
        <f>+buhrésult!B35</f>
        <v>41165</v>
      </c>
      <c r="C26" s="45">
        <f>+(B26-D26)/ABS(D26)</f>
        <v>0.26794184685517158</v>
      </c>
      <c r="D26" s="3">
        <f>+buhrésult!D75</f>
        <v>32466</v>
      </c>
      <c r="E26" s="3"/>
      <c r="F26" s="3">
        <f>+buhrésult!D35</f>
        <v>0</v>
      </c>
      <c r="G26" s="41">
        <v>0</v>
      </c>
      <c r="H26" s="3">
        <f>+buhrésult!H75</f>
        <v>34332</v>
      </c>
      <c r="I26" s="3"/>
      <c r="J26" s="3">
        <f>+buhrésult!F35</f>
        <v>0</v>
      </c>
      <c r="K26" s="41">
        <v>0</v>
      </c>
      <c r="L26" s="3">
        <f>+buhrésult!L75</f>
        <v>40274</v>
      </c>
      <c r="M26" s="3"/>
      <c r="N26" s="3">
        <f>+buhrésult!H35</f>
        <v>0</v>
      </c>
      <c r="O26" s="41">
        <v>0</v>
      </c>
      <c r="P26" s="3">
        <f>+buhrésult!P75</f>
        <v>43312</v>
      </c>
      <c r="Q26" s="3"/>
      <c r="R26" s="3">
        <f>+buhrésult!R75</f>
        <v>41165</v>
      </c>
      <c r="S26" s="45">
        <f>+(-T26+R26)/ABS(T26)</f>
        <v>0.26794184685517158</v>
      </c>
      <c r="T26" s="3">
        <f>+buhrésult!T75</f>
        <v>32466</v>
      </c>
      <c r="U26" s="41"/>
      <c r="V26" s="41"/>
      <c r="W26" s="41"/>
      <c r="X26" s="41"/>
      <c r="Y26" s="41"/>
      <c r="Z26" s="41"/>
      <c r="AA26" s="41"/>
    </row>
    <row r="27" spans="1:27">
      <c r="A27" t="s">
        <v>448</v>
      </c>
      <c r="B27" s="3">
        <f>+buhrésult!B41</f>
        <v>-1317</v>
      </c>
      <c r="C27" s="45">
        <f>+(B27-D27)/ABS(D27)</f>
        <v>-1.4713672154617037</v>
      </c>
      <c r="D27" s="3">
        <f>+buhrésult!D81</f>
        <v>2794</v>
      </c>
      <c r="E27" s="3"/>
      <c r="F27" s="3">
        <f>+buhrésult!D41</f>
        <v>0</v>
      </c>
      <c r="G27" s="41">
        <v>0</v>
      </c>
      <c r="H27" s="3">
        <f>+buhrésult!H81</f>
        <v>1346</v>
      </c>
      <c r="I27" s="3"/>
      <c r="J27" s="3">
        <f>+buhrésult!F41</f>
        <v>0</v>
      </c>
      <c r="K27" s="41">
        <v>0</v>
      </c>
      <c r="L27" s="3">
        <f>+buhrésult!L81</f>
        <v>-7149</v>
      </c>
      <c r="M27" s="3"/>
      <c r="N27" s="3">
        <f>+buhrésult!H41</f>
        <v>0</v>
      </c>
      <c r="O27" s="41">
        <v>0</v>
      </c>
      <c r="P27" s="3">
        <f>+buhrésult!P81</f>
        <v>-970</v>
      </c>
      <c r="Q27" s="3"/>
      <c r="R27" s="3">
        <f>+buhrésult!R81</f>
        <v>-1317</v>
      </c>
      <c r="S27" s="45">
        <f>+(-T27+R27)/ABS(T27)</f>
        <v>-1.4713672154617037</v>
      </c>
      <c r="T27" s="3">
        <f>+buhrésult!T81</f>
        <v>2794</v>
      </c>
      <c r="U27" s="41"/>
      <c r="V27" s="41"/>
      <c r="W27" s="41"/>
      <c r="X27" s="41"/>
      <c r="Y27" s="41"/>
      <c r="Z27" s="41"/>
      <c r="AA27" s="41"/>
    </row>
    <row r="28" spans="1:27">
      <c r="B28" s="41"/>
      <c r="C28" s="41"/>
      <c r="D28" s="41"/>
      <c r="E28" s="41"/>
      <c r="F28" s="41"/>
      <c r="G28" s="41"/>
      <c r="H28" s="41"/>
      <c r="I28" s="41"/>
      <c r="J28" s="41"/>
      <c r="K28" s="41"/>
      <c r="L28" s="41"/>
      <c r="M28" s="41"/>
      <c r="N28" s="41"/>
      <c r="O28" s="41"/>
      <c r="P28" s="41"/>
      <c r="Q28" s="41"/>
      <c r="R28" s="41"/>
      <c r="S28" s="41"/>
      <c r="T28" s="41"/>
      <c r="U28" s="41"/>
      <c r="V28" s="41"/>
      <c r="W28" s="41"/>
      <c r="X28" s="41"/>
      <c r="Y28" s="41"/>
      <c r="Z28" s="41"/>
      <c r="AA28" s="41"/>
    </row>
    <row r="29" spans="1:27" ht="6.6" customHeight="1" thickBot="1">
      <c r="A29" s="19"/>
      <c r="B29" s="212"/>
      <c r="C29" s="212"/>
      <c r="D29" s="212"/>
      <c r="E29" s="212"/>
      <c r="F29" s="212"/>
      <c r="G29" s="212"/>
      <c r="H29" s="212"/>
      <c r="I29" s="212"/>
      <c r="J29" s="212"/>
      <c r="K29" s="212"/>
      <c r="L29" s="212"/>
      <c r="M29" s="212"/>
      <c r="N29" s="212"/>
      <c r="O29" s="212"/>
      <c r="P29" s="212"/>
      <c r="Q29" s="212"/>
      <c r="R29" s="212"/>
      <c r="S29" s="212"/>
      <c r="T29" s="212"/>
      <c r="U29" s="41"/>
      <c r="V29" s="41"/>
      <c r="W29" s="41"/>
      <c r="X29" s="41"/>
      <c r="Y29" s="41"/>
      <c r="Z29" s="41"/>
      <c r="AA29" s="41"/>
    </row>
    <row r="30" spans="1:27">
      <c r="B30" s="41"/>
      <c r="C30" s="41"/>
      <c r="D30" s="41"/>
      <c r="E30" s="41"/>
      <c r="F30" s="41"/>
      <c r="G30" s="41"/>
      <c r="H30" s="41"/>
      <c r="I30" s="41"/>
      <c r="J30" s="41"/>
      <c r="K30" s="41"/>
      <c r="L30" s="41"/>
      <c r="M30" s="41"/>
      <c r="N30" s="41"/>
      <c r="O30" s="41"/>
      <c r="P30" s="41"/>
      <c r="Q30" s="41"/>
      <c r="R30" s="41"/>
      <c r="S30" s="41"/>
      <c r="T30" s="41"/>
      <c r="U30" s="41"/>
      <c r="V30" s="41"/>
      <c r="W30" s="41"/>
      <c r="X30" s="41"/>
      <c r="Y30" s="41"/>
      <c r="Z30" s="41"/>
      <c r="AA30" s="41"/>
    </row>
    <row r="31" spans="1:27">
      <c r="B31" s="51" t="s">
        <v>185</v>
      </c>
      <c r="C31" s="51" t="s">
        <v>174</v>
      </c>
      <c r="D31" s="41"/>
      <c r="E31" s="51" t="s">
        <v>185</v>
      </c>
      <c r="F31" s="51" t="s">
        <v>174</v>
      </c>
      <c r="G31" s="41"/>
      <c r="H31" s="51" t="s">
        <v>185</v>
      </c>
      <c r="I31" s="51" t="s">
        <v>174</v>
      </c>
      <c r="J31" s="41"/>
      <c r="K31" s="51" t="s">
        <v>185</v>
      </c>
      <c r="L31" s="51" t="s">
        <v>174</v>
      </c>
      <c r="M31" s="41"/>
      <c r="N31" s="51" t="s">
        <v>185</v>
      </c>
      <c r="O31" s="51" t="s">
        <v>174</v>
      </c>
      <c r="P31" s="41"/>
      <c r="U31" s="41"/>
      <c r="V31" s="41"/>
      <c r="W31" s="41"/>
      <c r="X31" s="41"/>
      <c r="Y31" s="41"/>
      <c r="Z31" s="41"/>
      <c r="AA31" s="41"/>
    </row>
    <row r="32" spans="1:27" ht="16.5" thickBot="1">
      <c r="B32" s="50" t="s">
        <v>186</v>
      </c>
      <c r="C32" s="50" t="s">
        <v>186</v>
      </c>
      <c r="D32" s="41"/>
      <c r="E32" s="50" t="s">
        <v>187</v>
      </c>
      <c r="F32" s="50" t="s">
        <v>187</v>
      </c>
      <c r="G32" s="41"/>
      <c r="H32" s="50" t="s">
        <v>188</v>
      </c>
      <c r="I32" s="50" t="s">
        <v>188</v>
      </c>
      <c r="J32" s="41"/>
      <c r="K32" s="50" t="s">
        <v>189</v>
      </c>
      <c r="L32" s="50" t="s">
        <v>189</v>
      </c>
      <c r="M32" s="41"/>
      <c r="N32" s="50" t="s">
        <v>190</v>
      </c>
      <c r="O32" s="50" t="s">
        <v>190</v>
      </c>
      <c r="P32" s="41"/>
      <c r="Q32" s="114" t="s">
        <v>206</v>
      </c>
      <c r="R32" s="34"/>
      <c r="S32" s="34"/>
      <c r="T32" s="34"/>
      <c r="U32" s="41"/>
      <c r="V32" s="41"/>
      <c r="W32" s="41"/>
      <c r="X32" s="41"/>
      <c r="Y32" s="41"/>
      <c r="Z32" s="41"/>
      <c r="AA32" s="41"/>
    </row>
    <row r="33" spans="1:27" ht="16.5" thickBot="1">
      <c r="B33" s="325" t="s">
        <v>191</v>
      </c>
      <c r="C33" s="326" t="s">
        <v>192</v>
      </c>
      <c r="D33" s="41"/>
      <c r="E33" s="326" t="s">
        <v>605</v>
      </c>
      <c r="F33" s="325" t="s">
        <v>194</v>
      </c>
      <c r="G33" s="41"/>
      <c r="H33" s="325" t="s">
        <v>195</v>
      </c>
      <c r="I33" s="325" t="s">
        <v>196</v>
      </c>
      <c r="J33" s="41"/>
      <c r="K33" s="325" t="s">
        <v>588</v>
      </c>
      <c r="L33" s="325" t="s">
        <v>198</v>
      </c>
      <c r="M33" s="41"/>
      <c r="N33" s="326" t="s">
        <v>199</v>
      </c>
      <c r="O33" s="326" t="s">
        <v>200</v>
      </c>
      <c r="P33" s="41"/>
      <c r="Q33" s="182" t="s">
        <v>174</v>
      </c>
      <c r="R33" s="182" t="s">
        <v>175</v>
      </c>
      <c r="S33" s="182" t="s">
        <v>176</v>
      </c>
      <c r="T33" s="182" t="s">
        <v>177</v>
      </c>
      <c r="U33" s="41"/>
      <c r="V33" s="41"/>
      <c r="W33" s="41"/>
      <c r="X33" s="41"/>
      <c r="Y33" s="41"/>
      <c r="Z33" s="41"/>
      <c r="AA33" s="41"/>
    </row>
    <row r="34" spans="1:27">
      <c r="A34" s="2" t="s">
        <v>207</v>
      </c>
      <c r="B34" s="41"/>
      <c r="C34" s="41"/>
      <c r="D34" s="41"/>
      <c r="E34" s="41"/>
      <c r="F34" s="41"/>
      <c r="G34" s="41"/>
      <c r="H34" s="41"/>
      <c r="I34" s="41"/>
      <c r="J34" s="41"/>
      <c r="K34" s="41"/>
      <c r="L34" s="41"/>
      <c r="M34" s="41"/>
      <c r="N34" s="41"/>
      <c r="O34" s="41"/>
      <c r="P34" s="41"/>
      <c r="Q34" s="41"/>
      <c r="R34" s="41"/>
      <c r="S34" s="41"/>
      <c r="T34" s="41"/>
      <c r="U34" s="41"/>
      <c r="V34" s="41"/>
      <c r="W34" s="41"/>
      <c r="X34" s="41"/>
      <c r="Y34" s="41"/>
      <c r="Z34" s="41"/>
      <c r="AA34" s="41"/>
    </row>
    <row r="35" spans="1:27">
      <c r="A35" s="183" t="s">
        <v>208</v>
      </c>
      <c r="B35" s="41"/>
      <c r="C35" s="41"/>
      <c r="D35" s="41"/>
      <c r="E35" s="41"/>
      <c r="F35" s="41"/>
      <c r="G35" s="41"/>
      <c r="H35" s="41"/>
      <c r="I35" s="41"/>
      <c r="J35" s="41"/>
      <c r="K35" s="41"/>
      <c r="L35" s="41"/>
      <c r="M35" s="41"/>
      <c r="N35" s="41"/>
      <c r="O35" s="41"/>
      <c r="P35" s="41"/>
      <c r="Q35" s="41"/>
      <c r="R35" s="41"/>
      <c r="S35" s="41"/>
      <c r="T35" s="41"/>
      <c r="U35" s="41"/>
      <c r="V35" s="41"/>
      <c r="W35" s="41"/>
      <c r="X35" s="41"/>
      <c r="Y35" s="41"/>
      <c r="Z35" s="41"/>
      <c r="AA35" s="41"/>
    </row>
    <row r="36" spans="1:27">
      <c r="A36" s="2" t="s">
        <v>209</v>
      </c>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row>
    <row r="37" spans="1:27">
      <c r="B37" s="41"/>
      <c r="C37" s="41"/>
      <c r="D37" s="41"/>
      <c r="E37" s="41"/>
      <c r="F37" s="41"/>
      <c r="G37" s="41"/>
      <c r="H37" s="41"/>
      <c r="I37" s="41"/>
      <c r="J37" s="41"/>
      <c r="K37" s="41"/>
      <c r="L37" s="41"/>
      <c r="M37" s="41"/>
      <c r="N37" s="41"/>
      <c r="O37" s="41"/>
      <c r="P37" s="41"/>
      <c r="Q37" s="41"/>
      <c r="R37" s="41"/>
      <c r="S37" s="41"/>
      <c r="T37" s="41"/>
      <c r="U37" s="41"/>
      <c r="V37" s="41"/>
      <c r="W37" s="41"/>
      <c r="X37" s="41"/>
      <c r="Y37" s="41"/>
      <c r="Z37" s="41"/>
      <c r="AA37" s="41"/>
    </row>
    <row r="38" spans="1:27">
      <c r="A38" s="2" t="s">
        <v>210</v>
      </c>
      <c r="B38" s="41"/>
      <c r="C38" s="41"/>
      <c r="D38" s="41"/>
      <c r="E38" s="41"/>
      <c r="F38" s="41"/>
      <c r="G38" s="41"/>
      <c r="H38" s="41"/>
      <c r="I38" s="41"/>
      <c r="J38" s="41"/>
      <c r="K38" s="41"/>
      <c r="L38" s="41"/>
      <c r="M38" s="41"/>
      <c r="N38" s="41"/>
      <c r="O38" s="41"/>
      <c r="P38" s="41"/>
      <c r="Q38" s="41"/>
      <c r="R38" s="41"/>
      <c r="S38" s="41"/>
      <c r="T38" s="41"/>
      <c r="U38" s="41"/>
      <c r="V38" s="41"/>
      <c r="W38" s="41"/>
      <c r="X38" s="41"/>
      <c r="Y38" s="41"/>
      <c r="Z38" s="41"/>
      <c r="AA38" s="41"/>
    </row>
    <row r="39" spans="1:27">
      <c r="A39" s="2"/>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row>
    <row r="40" spans="1:27">
      <c r="A40" t="s">
        <v>211</v>
      </c>
      <c r="B40" s="49"/>
      <c r="C40" s="49"/>
      <c r="D40" s="49"/>
      <c r="E40" s="49"/>
      <c r="F40" s="49"/>
      <c r="G40" s="49"/>
      <c r="H40" s="49"/>
      <c r="I40" s="49"/>
      <c r="J40" s="49"/>
      <c r="K40" s="49"/>
      <c r="L40" s="49"/>
      <c r="M40" s="49"/>
      <c r="N40" s="49"/>
      <c r="O40" s="49"/>
      <c r="P40" s="49"/>
      <c r="Q40" s="49"/>
      <c r="R40" s="49"/>
      <c r="S40" s="49"/>
      <c r="T40" s="49"/>
      <c r="U40" s="41"/>
      <c r="V40" s="41"/>
      <c r="W40" s="41"/>
      <c r="X40" s="41"/>
      <c r="Y40" s="41"/>
      <c r="Z40" s="41"/>
      <c r="AA40" s="41"/>
    </row>
    <row r="41" spans="1:27">
      <c r="A41" t="s">
        <v>212</v>
      </c>
      <c r="B41" s="56">
        <f>+buhvar!B51/buhvar!B22</f>
        <v>2.4555783326651488E-3</v>
      </c>
      <c r="C41" s="56">
        <v>5.1400000000000001E-2</v>
      </c>
      <c r="D41" s="56"/>
      <c r="E41" s="49">
        <v>0</v>
      </c>
      <c r="F41" s="56">
        <v>5.3400000000000003E-2</v>
      </c>
      <c r="G41" s="56"/>
      <c r="H41" s="49">
        <v>0</v>
      </c>
      <c r="I41" s="56">
        <v>4.1700000000000001E-2</v>
      </c>
      <c r="J41" s="56"/>
      <c r="K41" s="49">
        <v>0</v>
      </c>
      <c r="L41" s="56">
        <v>4.0599999999999997E-2</v>
      </c>
      <c r="M41" s="56"/>
      <c r="N41" s="56">
        <f>+B41</f>
        <v>2.4555783326651488E-3</v>
      </c>
      <c r="O41" s="56">
        <f>+C41</f>
        <v>5.1400000000000001E-2</v>
      </c>
      <c r="P41" s="56"/>
      <c r="Q41" s="56">
        <f>+buhvar!J51/buhvar!J22</f>
        <v>4.0584086819379403E-2</v>
      </c>
      <c r="R41" s="56">
        <v>4.9099999999999998E-2</v>
      </c>
      <c r="S41" s="56">
        <v>4.3900000000000002E-2</v>
      </c>
      <c r="T41" s="56">
        <v>4.8899999999999999E-2</v>
      </c>
      <c r="U41" s="41"/>
      <c r="V41" s="41"/>
      <c r="W41" s="41"/>
      <c r="X41" s="41"/>
      <c r="Y41" s="41"/>
      <c r="Z41" s="41"/>
      <c r="AA41" s="41"/>
    </row>
    <row r="42" spans="1:27">
      <c r="B42" s="56"/>
      <c r="C42" s="56"/>
      <c r="D42" s="56"/>
      <c r="E42" s="57"/>
      <c r="F42" s="56"/>
      <c r="G42" s="56"/>
      <c r="H42" s="57"/>
      <c r="I42" s="56"/>
      <c r="J42" s="56"/>
      <c r="K42" s="57"/>
      <c r="L42" s="56"/>
      <c r="M42" s="56"/>
      <c r="N42" s="56"/>
      <c r="O42" s="56"/>
      <c r="P42" s="56"/>
      <c r="Q42" s="56"/>
      <c r="R42" s="56"/>
      <c r="S42" s="56"/>
      <c r="T42" s="56"/>
      <c r="U42" s="41"/>
      <c r="V42" s="41"/>
      <c r="W42" s="41"/>
      <c r="X42" s="41"/>
      <c r="Y42" s="41"/>
      <c r="Z42" s="41"/>
      <c r="AA42" s="41"/>
    </row>
    <row r="43" spans="1:27">
      <c r="A43" t="s">
        <v>213</v>
      </c>
      <c r="B43" s="56">
        <f>+buhvar!B29/buhvar!B22</f>
        <v>0.92491386092179217</v>
      </c>
      <c r="C43" s="56">
        <v>0.88280000000000003</v>
      </c>
      <c r="D43" s="56"/>
      <c r="E43" s="49">
        <v>0</v>
      </c>
      <c r="F43" s="56">
        <v>0.88090000000000002</v>
      </c>
      <c r="G43" s="56"/>
      <c r="H43" s="49">
        <v>0</v>
      </c>
      <c r="I43" s="56">
        <v>0.88239999999999996</v>
      </c>
      <c r="J43" s="56"/>
      <c r="K43" s="49">
        <v>0</v>
      </c>
      <c r="L43" s="56">
        <v>0.87980000000000003</v>
      </c>
      <c r="M43" s="56"/>
      <c r="N43" s="56">
        <f>+B43</f>
        <v>0.92491386092179217</v>
      </c>
      <c r="O43" s="56">
        <f>+C43</f>
        <v>0.88280000000000003</v>
      </c>
      <c r="P43" s="56"/>
      <c r="Q43" s="56">
        <f>+buhvar!J29/buhvar!J22</f>
        <v>0.87980167612481563</v>
      </c>
      <c r="R43" s="56">
        <v>0.87490000000000001</v>
      </c>
      <c r="S43" s="56">
        <v>0.86929999999999996</v>
      </c>
      <c r="T43" s="56">
        <v>0.86350000000000005</v>
      </c>
      <c r="U43" s="41"/>
      <c r="V43" s="41"/>
      <c r="W43" s="41"/>
      <c r="X43" s="41"/>
      <c r="Y43" s="41"/>
      <c r="Z43" s="41"/>
      <c r="AA43" s="41"/>
    </row>
    <row r="44" spans="1:27">
      <c r="A44" t="s">
        <v>0</v>
      </c>
      <c r="B44" s="56"/>
      <c r="C44" s="56"/>
      <c r="D44" s="56"/>
      <c r="E44" s="57"/>
      <c r="F44" s="56"/>
      <c r="G44" s="56"/>
      <c r="H44" s="57"/>
      <c r="I44" s="56"/>
      <c r="J44" s="56"/>
      <c r="K44" s="57"/>
      <c r="L44" s="56"/>
      <c r="M44" s="56"/>
      <c r="N44" s="56"/>
      <c r="O44" s="56"/>
      <c r="P44" s="56"/>
      <c r="Q44" s="56"/>
      <c r="R44" s="56"/>
      <c r="S44" s="56"/>
      <c r="T44" s="56"/>
      <c r="U44" s="41"/>
      <c r="V44" s="41"/>
      <c r="W44" s="41"/>
      <c r="X44" s="41"/>
      <c r="Y44" s="41"/>
      <c r="Z44" s="41"/>
      <c r="AA44" s="41"/>
    </row>
    <row r="45" spans="1:27">
      <c r="A45" s="2" t="s">
        <v>214</v>
      </c>
      <c r="B45" s="56"/>
      <c r="C45" s="56"/>
      <c r="D45" s="56"/>
      <c r="E45" s="57"/>
      <c r="F45" s="56"/>
      <c r="G45" s="56"/>
      <c r="H45" s="57"/>
      <c r="I45" s="56"/>
      <c r="J45" s="56"/>
      <c r="K45" s="57"/>
      <c r="L45" s="56"/>
      <c r="M45" s="56"/>
      <c r="N45" s="56"/>
      <c r="O45" s="56"/>
      <c r="P45" s="56"/>
      <c r="Q45" s="56"/>
      <c r="R45" s="56"/>
      <c r="S45" s="56"/>
      <c r="T45" s="56"/>
      <c r="U45" s="41"/>
      <c r="V45" s="41"/>
      <c r="W45" s="41"/>
      <c r="X45" s="41"/>
      <c r="Y45" s="41"/>
      <c r="Z45" s="41"/>
      <c r="AA45" s="41"/>
    </row>
    <row r="46" spans="1:27">
      <c r="A46" s="2"/>
      <c r="B46" s="56"/>
      <c r="C46" s="56"/>
      <c r="D46" s="56"/>
      <c r="E46" s="57"/>
      <c r="F46" s="56"/>
      <c r="G46" s="56"/>
      <c r="H46" s="57"/>
      <c r="I46" s="56"/>
      <c r="J46" s="56"/>
      <c r="K46" s="57"/>
      <c r="L46" s="56"/>
      <c r="M46" s="56"/>
      <c r="N46" s="56"/>
      <c r="O46" s="56"/>
      <c r="P46" s="56"/>
      <c r="Q46" s="56"/>
      <c r="R46" s="56"/>
      <c r="S46" s="56"/>
      <c r="T46" s="56"/>
      <c r="U46" s="41"/>
      <c r="V46" s="41"/>
      <c r="W46" s="41"/>
      <c r="X46" s="41"/>
      <c r="Y46" s="41"/>
      <c r="Z46" s="41"/>
      <c r="AA46" s="41"/>
    </row>
    <row r="47" spans="1:27">
      <c r="A47" t="s">
        <v>215</v>
      </c>
      <c r="B47" s="56"/>
      <c r="C47" s="56"/>
      <c r="D47" s="56"/>
      <c r="E47" s="57"/>
      <c r="F47" s="56"/>
      <c r="G47" s="56"/>
      <c r="H47" s="57"/>
      <c r="I47" s="56"/>
      <c r="J47" s="56"/>
      <c r="K47" s="57"/>
      <c r="L47" s="56"/>
      <c r="M47" s="56"/>
      <c r="N47" s="56"/>
      <c r="O47" s="56"/>
      <c r="P47" s="56"/>
      <c r="Q47" s="56"/>
      <c r="R47" s="56"/>
      <c r="S47" s="56"/>
      <c r="T47" s="56"/>
      <c r="U47" s="41"/>
      <c r="V47" s="41"/>
      <c r="W47" s="41"/>
      <c r="X47" s="41"/>
      <c r="Y47" s="41"/>
      <c r="Z47" s="41"/>
      <c r="AA47" s="41"/>
    </row>
    <row r="48" spans="1:27">
      <c r="A48" t="s">
        <v>216</v>
      </c>
      <c r="B48" s="56">
        <f>+buhvar!B62/buhvar!B60</f>
        <v>8.702152729530746E-2</v>
      </c>
      <c r="C48" s="56">
        <v>0.1384</v>
      </c>
      <c r="D48" s="56"/>
      <c r="E48" s="49">
        <v>0</v>
      </c>
      <c r="F48" s="56">
        <v>7.0800000000000002E-2</v>
      </c>
      <c r="G48" s="56"/>
      <c r="H48" s="49">
        <v>0</v>
      </c>
      <c r="I48" s="56">
        <v>9.2299999999999993E-2</v>
      </c>
      <c r="J48" s="56"/>
      <c r="K48" s="49">
        <v>0</v>
      </c>
      <c r="L48" s="56">
        <v>9.06E-2</v>
      </c>
      <c r="M48" s="56"/>
      <c r="N48" s="56">
        <f>+B48</f>
        <v>8.702152729530746E-2</v>
      </c>
      <c r="O48" s="56">
        <f>+C48</f>
        <v>0.1384</v>
      </c>
      <c r="P48" s="56"/>
      <c r="Q48" s="56">
        <f>+buhvar!J62/buhvar!J60</f>
        <v>9.0626271945296183E-2</v>
      </c>
      <c r="R48" s="56">
        <v>0.13900000000000001</v>
      </c>
      <c r="S48" s="56">
        <v>4.0599999999999997E-2</v>
      </c>
      <c r="T48" s="56">
        <v>4.8399999999999999E-2</v>
      </c>
      <c r="U48" s="41"/>
      <c r="V48" s="41"/>
      <c r="W48" s="41"/>
      <c r="X48" s="41"/>
      <c r="Y48" s="41"/>
      <c r="Z48" s="41"/>
      <c r="AA48" s="41"/>
    </row>
    <row r="49" spans="1:27">
      <c r="B49" s="56"/>
      <c r="C49" s="56"/>
      <c r="D49" s="56"/>
      <c r="E49" s="57"/>
      <c r="F49" s="56"/>
      <c r="G49" s="56"/>
      <c r="H49" s="57"/>
      <c r="I49" s="56"/>
      <c r="J49" s="56"/>
      <c r="K49" s="57"/>
      <c r="L49" s="56"/>
      <c r="M49" s="56"/>
      <c r="N49" s="56"/>
      <c r="O49" s="56"/>
      <c r="P49" s="56"/>
      <c r="Q49" s="56"/>
      <c r="R49" s="56"/>
      <c r="S49" s="56"/>
      <c r="T49" s="56"/>
      <c r="U49" s="41"/>
      <c r="V49" s="41"/>
      <c r="W49" s="41"/>
      <c r="X49" s="41"/>
      <c r="Y49" s="41"/>
      <c r="Z49" s="41"/>
      <c r="AA49" s="41"/>
    </row>
    <row r="50" spans="1:27">
      <c r="A50" t="s">
        <v>217</v>
      </c>
      <c r="B50" s="56"/>
      <c r="C50" s="56"/>
      <c r="D50" s="56"/>
      <c r="E50" s="57"/>
      <c r="F50" s="56"/>
      <c r="G50" s="56"/>
      <c r="H50" s="57"/>
      <c r="I50" s="56"/>
      <c r="J50" s="56"/>
      <c r="K50" s="57"/>
      <c r="L50" s="56"/>
      <c r="M50" s="56"/>
      <c r="N50" s="56"/>
      <c r="O50" s="56"/>
      <c r="P50" s="56"/>
      <c r="Q50" s="56"/>
      <c r="R50" s="56"/>
      <c r="S50" s="56"/>
      <c r="T50" s="56"/>
      <c r="U50" s="41"/>
      <c r="V50" s="41"/>
      <c r="W50" s="41"/>
      <c r="X50" s="41"/>
      <c r="Y50" s="41"/>
      <c r="Z50" s="41"/>
      <c r="AA50" s="41"/>
    </row>
    <row r="51" spans="1:27">
      <c r="A51" t="s">
        <v>218</v>
      </c>
      <c r="B51" s="56">
        <f>+buhvar!B61/buhvar!B62</f>
        <v>0.57342555089268743</v>
      </c>
      <c r="C51" s="56">
        <v>0.36580000000000001</v>
      </c>
      <c r="D51" s="56"/>
      <c r="E51" s="49">
        <v>0</v>
      </c>
      <c r="F51" s="56">
        <v>0.57320000000000004</v>
      </c>
      <c r="G51" s="56"/>
      <c r="H51" s="49">
        <v>0</v>
      </c>
      <c r="I51" s="56">
        <v>0.59740000000000004</v>
      </c>
      <c r="J51" s="56"/>
      <c r="K51" s="49">
        <v>0</v>
      </c>
      <c r="L51" s="56">
        <v>0.58220000000000005</v>
      </c>
      <c r="M51" s="56"/>
      <c r="N51" s="56">
        <f>+B51</f>
        <v>0.57342555089268743</v>
      </c>
      <c r="O51" s="56">
        <f>+C51</f>
        <v>0.36580000000000001</v>
      </c>
      <c r="P51" s="56"/>
      <c r="Q51" s="56">
        <f>+buhvar!J61/buhvar!J62</f>
        <v>0.58221177597796303</v>
      </c>
      <c r="R51" s="56">
        <v>0.38740000000000002</v>
      </c>
      <c r="S51" s="56">
        <v>1.1957</v>
      </c>
      <c r="T51" s="56">
        <v>1.6062000000000001</v>
      </c>
      <c r="U51" s="41"/>
      <c r="V51" s="41"/>
      <c r="W51" s="41"/>
      <c r="X51" s="41"/>
      <c r="Y51" s="41"/>
      <c r="Z51" s="41"/>
      <c r="AA51" s="41"/>
    </row>
    <row r="52" spans="1:27">
      <c r="B52" s="56"/>
      <c r="C52" s="56"/>
      <c r="D52" s="56"/>
      <c r="E52" s="57"/>
      <c r="F52" s="56"/>
      <c r="G52" s="56"/>
      <c r="H52" s="57"/>
      <c r="I52" s="56"/>
      <c r="J52" s="56"/>
      <c r="K52" s="57"/>
      <c r="L52" s="56"/>
      <c r="M52" s="56"/>
      <c r="N52" s="56"/>
      <c r="O52" s="56"/>
      <c r="P52" s="56"/>
      <c r="Q52" s="56"/>
      <c r="R52" s="56"/>
      <c r="S52" s="56"/>
      <c r="T52" s="56"/>
      <c r="U52" s="41"/>
      <c r="V52" s="41"/>
      <c r="W52" s="41"/>
      <c r="X52" s="41"/>
      <c r="Y52" s="41"/>
      <c r="Z52" s="41"/>
      <c r="AA52" s="41"/>
    </row>
    <row r="53" spans="1:27">
      <c r="A53" t="s">
        <v>219</v>
      </c>
      <c r="B53" s="56"/>
      <c r="C53" s="56"/>
      <c r="D53" s="56"/>
      <c r="E53" s="57"/>
      <c r="F53" s="56"/>
      <c r="G53" s="56"/>
      <c r="H53" s="57"/>
      <c r="I53" s="56"/>
      <c r="J53" s="56"/>
      <c r="K53" s="57"/>
      <c r="L53" s="56"/>
      <c r="M53" s="56"/>
      <c r="N53" s="56"/>
      <c r="O53" s="56"/>
      <c r="P53" s="56"/>
      <c r="Q53" s="56"/>
      <c r="R53" s="56"/>
      <c r="S53" s="56"/>
      <c r="T53" s="56"/>
      <c r="U53" s="41"/>
      <c r="V53" s="41"/>
      <c r="W53" s="41"/>
      <c r="X53" s="41"/>
      <c r="Y53" s="41"/>
      <c r="Z53" s="41"/>
      <c r="AA53" s="41"/>
    </row>
    <row r="54" spans="1:27">
      <c r="A54" t="s">
        <v>220</v>
      </c>
      <c r="B54" s="56">
        <f>+(buhvar!B62-buhvar!B61)/buhvar!B51</f>
        <v>5.6166730843280712</v>
      </c>
      <c r="C54" s="56">
        <v>0.7228</v>
      </c>
      <c r="D54" s="56"/>
      <c r="E54" s="49">
        <v>0</v>
      </c>
      <c r="F54" s="56">
        <v>0.22720000000000001</v>
      </c>
      <c r="G54" s="56"/>
      <c r="H54" s="49">
        <v>0</v>
      </c>
      <c r="I54" s="56">
        <v>0.32429999999999998</v>
      </c>
      <c r="J54" s="56"/>
      <c r="K54" s="49">
        <v>0</v>
      </c>
      <c r="L54" s="56">
        <v>0.33239999999999997</v>
      </c>
      <c r="M54" s="56"/>
      <c r="N54" s="56">
        <f>+B54</f>
        <v>5.6166730843280712</v>
      </c>
      <c r="O54" s="56">
        <f>+C54</f>
        <v>0.7228</v>
      </c>
      <c r="P54" s="56"/>
      <c r="Q54" s="56">
        <f>+(buhvar!J62-buhvar!J61)/buhvar!J51</f>
        <v>0.3323607174332468</v>
      </c>
      <c r="R54" s="56">
        <v>0.67220000000000002</v>
      </c>
      <c r="S54" s="56">
        <v>-7.2999999999999995E-2</v>
      </c>
      <c r="T54" s="56">
        <v>-0.16900000000000001</v>
      </c>
      <c r="U54" s="41"/>
      <c r="V54" s="41"/>
      <c r="W54" s="41"/>
      <c r="X54" s="41"/>
      <c r="Y54" s="41"/>
      <c r="Z54" s="41"/>
      <c r="AA54" s="41"/>
    </row>
    <row r="55" spans="1:27">
      <c r="A55" t="s">
        <v>0</v>
      </c>
      <c r="B55" s="56"/>
      <c r="C55" s="56"/>
      <c r="D55" s="56"/>
      <c r="E55" s="57"/>
      <c r="F55" s="56"/>
      <c r="G55" s="56"/>
      <c r="H55" s="57"/>
      <c r="I55" s="56"/>
      <c r="J55" s="56"/>
      <c r="K55" s="57"/>
      <c r="L55" s="56"/>
      <c r="M55" s="56"/>
      <c r="N55" s="56"/>
      <c r="O55" s="56"/>
      <c r="P55" s="56"/>
      <c r="Q55" s="56"/>
      <c r="R55" s="56"/>
      <c r="S55" s="56"/>
      <c r="T55" s="56"/>
      <c r="U55" s="41"/>
      <c r="V55" s="41"/>
      <c r="W55" s="41"/>
      <c r="X55" s="41"/>
      <c r="Y55" s="41"/>
      <c r="Z55" s="41"/>
      <c r="AA55" s="41"/>
    </row>
    <row r="56" spans="1:27">
      <c r="A56" s="2" t="s">
        <v>221</v>
      </c>
      <c r="B56" s="56"/>
      <c r="C56" s="56"/>
      <c r="D56" s="56"/>
      <c r="E56" s="57"/>
      <c r="F56" s="56"/>
      <c r="G56" s="56"/>
      <c r="H56" s="57"/>
      <c r="I56" s="56"/>
      <c r="J56" s="56"/>
      <c r="K56" s="57"/>
      <c r="L56" s="56"/>
      <c r="M56" s="56"/>
      <c r="N56" s="56"/>
      <c r="O56" s="56"/>
      <c r="P56" s="56"/>
      <c r="Q56" s="56"/>
      <c r="R56" s="56"/>
      <c r="S56" s="56"/>
      <c r="T56" s="56"/>
      <c r="U56" s="41"/>
      <c r="V56" s="41"/>
      <c r="W56" s="41"/>
      <c r="X56" s="41"/>
      <c r="Y56" s="41"/>
      <c r="Z56" s="41"/>
      <c r="AA56" s="41"/>
    </row>
    <row r="57" spans="1:27">
      <c r="A57" s="2"/>
      <c r="B57" s="56"/>
      <c r="C57" s="56"/>
      <c r="D57" s="56"/>
      <c r="E57" s="57"/>
      <c r="F57" s="56"/>
      <c r="G57" s="56"/>
      <c r="H57" s="57"/>
      <c r="I57" s="56"/>
      <c r="J57" s="56"/>
      <c r="K57" s="57"/>
      <c r="L57" s="56"/>
      <c r="M57" s="56"/>
      <c r="N57" s="56"/>
      <c r="O57" s="56"/>
      <c r="P57" s="56"/>
      <c r="Q57" s="56"/>
      <c r="R57" s="56"/>
      <c r="S57" s="56"/>
      <c r="T57" s="56"/>
      <c r="U57" s="41"/>
      <c r="V57" s="41"/>
      <c r="W57" s="41"/>
      <c r="X57" s="41"/>
      <c r="Y57" s="41"/>
      <c r="Z57" s="41"/>
      <c r="AA57" s="41"/>
    </row>
    <row r="58" spans="1:27">
      <c r="A58" t="s">
        <v>222</v>
      </c>
      <c r="B58" s="56">
        <f>+(buhrésult!B41/((buhvar!B22+buhvar!J22)/2)*4)</f>
        <v>-2.5180904098660579E-3</v>
      </c>
      <c r="C58" s="56">
        <v>6.3E-3</v>
      </c>
      <c r="D58" s="56"/>
      <c r="E58" s="57">
        <v>0</v>
      </c>
      <c r="F58" s="56">
        <v>3.0000000000000001E-3</v>
      </c>
      <c r="G58" s="56"/>
      <c r="H58" s="57">
        <v>0</v>
      </c>
      <c r="I58" s="56">
        <v>-1.4800000000000001E-2</v>
      </c>
      <c r="J58" s="56"/>
      <c r="K58" s="57">
        <v>0</v>
      </c>
      <c r="L58" s="56">
        <v>-1.9E-3</v>
      </c>
      <c r="M58" s="56"/>
      <c r="N58" s="56">
        <f>+'sysratfinclé '!E37</f>
        <v>-2.5180904098660579E-3</v>
      </c>
      <c r="O58" s="56">
        <f>+'sysratfinclé '!E38</f>
        <v>6.3E-3</v>
      </c>
      <c r="P58" s="56"/>
      <c r="Q58" s="56">
        <f>+BUHVARAN!F42/((buhvar!J22+buhvar!L22)/2)</f>
        <v>-2.0542844272694771E-3</v>
      </c>
      <c r="R58" s="56">
        <v>7.4000000000000003E-3</v>
      </c>
      <c r="S58" s="56">
        <v>6.9999999999999999E-4</v>
      </c>
      <c r="T58" s="56">
        <v>4.0000000000000002E-4</v>
      </c>
      <c r="U58" s="41"/>
      <c r="V58" s="41"/>
      <c r="W58" s="41"/>
      <c r="X58" s="41"/>
      <c r="Y58" s="41"/>
      <c r="Z58" s="41"/>
      <c r="AA58" s="41"/>
    </row>
    <row r="59" spans="1:27" ht="7.15" customHeight="1">
      <c r="B59" s="56"/>
      <c r="C59" s="56"/>
      <c r="D59" s="56"/>
      <c r="E59" s="57"/>
      <c r="F59" s="56"/>
      <c r="G59" s="56"/>
      <c r="H59" s="57"/>
      <c r="I59" s="56"/>
      <c r="J59" s="56"/>
      <c r="K59" s="57"/>
      <c r="L59" s="56"/>
      <c r="M59" s="56"/>
      <c r="N59" s="56"/>
      <c r="O59" s="56"/>
      <c r="P59" s="56"/>
      <c r="Q59" s="56"/>
      <c r="R59" s="56"/>
      <c r="S59" s="56"/>
      <c r="T59" s="56"/>
      <c r="U59" s="41"/>
      <c r="V59" s="41"/>
      <c r="W59" s="41"/>
      <c r="X59" s="41"/>
      <c r="Y59" s="41"/>
      <c r="Z59" s="41"/>
      <c r="AA59" s="41"/>
    </row>
    <row r="60" spans="1:27">
      <c r="A60" t="s">
        <v>547</v>
      </c>
      <c r="B60" s="56">
        <f>+(buhrésult!B41/((buhvar!J51+buhvar!B51)/2)*4)</f>
        <v>-0.11816958277254375</v>
      </c>
      <c r="C60" s="56">
        <v>0.12570000000000001</v>
      </c>
      <c r="D60" s="56"/>
      <c r="E60" s="57">
        <v>0</v>
      </c>
      <c r="F60" s="56">
        <v>5.6399999999999999E-2</v>
      </c>
      <c r="G60" s="56"/>
      <c r="H60" s="57">
        <v>0</v>
      </c>
      <c r="I60" s="56">
        <v>-0.311</v>
      </c>
      <c r="J60" s="56"/>
      <c r="K60" s="57">
        <v>0</v>
      </c>
      <c r="L60" s="56">
        <v>-4.6699999999999998E-2</v>
      </c>
      <c r="M60" s="56"/>
      <c r="N60" s="56">
        <f>+'sysratfinclé '!E43</f>
        <v>-0.11816958277254375</v>
      </c>
      <c r="O60" s="56">
        <f>+'sysratfinclé '!E44</f>
        <v>0.12570000000000001</v>
      </c>
      <c r="P60" s="56"/>
      <c r="Q60" s="56">
        <f>+BUHVARAN!F42/((buhvar!J51+buhvar!L51)/2)</f>
        <v>-4.609458715862029E-2</v>
      </c>
      <c r="R60" s="56">
        <v>0.159</v>
      </c>
      <c r="S60" s="56">
        <v>1.29E-2</v>
      </c>
      <c r="T60" s="56">
        <v>7.4999999999999997E-3</v>
      </c>
      <c r="U60" s="41"/>
      <c r="V60" s="41"/>
      <c r="W60" s="41"/>
      <c r="X60" s="41"/>
      <c r="Y60" s="41"/>
      <c r="Z60" s="41"/>
      <c r="AA60" s="41"/>
    </row>
    <row r="61" spans="1:27" ht="7.15" customHeight="1">
      <c r="B61" s="56"/>
      <c r="C61" s="56"/>
      <c r="D61" s="56"/>
      <c r="E61" s="57"/>
      <c r="F61" s="56"/>
      <c r="G61" s="56"/>
      <c r="H61" s="57"/>
      <c r="I61" s="56"/>
      <c r="J61" s="56"/>
      <c r="K61" s="57"/>
      <c r="L61" s="56"/>
      <c r="M61" s="56"/>
      <c r="N61" s="56"/>
      <c r="O61" s="56"/>
      <c r="P61" s="56"/>
      <c r="Q61" s="56"/>
      <c r="R61" s="56"/>
      <c r="S61" s="56"/>
      <c r="T61" s="56"/>
      <c r="U61" s="41"/>
      <c r="V61" s="41"/>
      <c r="W61" s="41"/>
      <c r="X61" s="41"/>
      <c r="Y61" s="41"/>
      <c r="Z61" s="41"/>
      <c r="AA61" s="41"/>
    </row>
    <row r="62" spans="1:27">
      <c r="A62" t="s">
        <v>201</v>
      </c>
      <c r="B62" s="56"/>
      <c r="C62" s="56"/>
      <c r="D62" s="56"/>
      <c r="E62" s="57"/>
      <c r="F62" s="56"/>
      <c r="G62" s="56"/>
      <c r="H62" s="57"/>
      <c r="I62" s="56"/>
      <c r="J62" s="56"/>
      <c r="K62" s="57"/>
      <c r="L62" s="56"/>
      <c r="M62" s="56"/>
      <c r="N62" s="56"/>
      <c r="O62" s="56"/>
      <c r="P62" s="56"/>
      <c r="Q62" s="56"/>
      <c r="R62" s="56"/>
      <c r="S62" s="56"/>
      <c r="T62" s="56"/>
      <c r="U62" s="41"/>
      <c r="V62" s="41"/>
      <c r="W62" s="41"/>
      <c r="X62" s="41"/>
      <c r="Y62" s="41"/>
      <c r="Z62" s="41"/>
      <c r="AA62" s="41"/>
    </row>
    <row r="63" spans="1:27">
      <c r="A63" t="s">
        <v>225</v>
      </c>
      <c r="B63" s="56">
        <f>+buhrésult!B15/buhrésult!B13</f>
        <v>0.61283200494557655</v>
      </c>
      <c r="C63" s="56">
        <v>0.54010000000000002</v>
      </c>
      <c r="D63" s="56"/>
      <c r="E63" s="49">
        <v>0</v>
      </c>
      <c r="F63" s="56">
        <v>0.54749999999999999</v>
      </c>
      <c r="G63" s="56"/>
      <c r="H63" s="49">
        <v>0</v>
      </c>
      <c r="I63" s="56">
        <v>0.62670000000000003</v>
      </c>
      <c r="J63" s="56"/>
      <c r="K63" s="49">
        <v>0</v>
      </c>
      <c r="L63" s="56">
        <v>0.66949999999999998</v>
      </c>
      <c r="M63" s="56"/>
      <c r="N63" s="56">
        <f>+'sysratfinclé '!E50</f>
        <v>0.61283200494557655</v>
      </c>
      <c r="O63" s="56">
        <f>+'sysratfinclé '!E51</f>
        <v>0.54010541643594001</v>
      </c>
      <c r="P63" s="56"/>
      <c r="Q63" s="56">
        <f>+BUHVARAN!F16/BUHVARAN!F14</f>
        <v>0.59545724139445999</v>
      </c>
      <c r="R63" s="56">
        <v>0.58220000000000005</v>
      </c>
      <c r="S63" s="56">
        <v>0.5796</v>
      </c>
      <c r="T63" s="56">
        <v>0.56040000000000001</v>
      </c>
      <c r="U63" s="41"/>
      <c r="V63" s="41"/>
      <c r="W63" s="41"/>
      <c r="X63" s="41"/>
      <c r="Y63" s="41"/>
      <c r="Z63" s="41"/>
      <c r="AA63" s="41"/>
    </row>
    <row r="64" spans="1:27" ht="7.15" customHeight="1">
      <c r="B64" s="56"/>
      <c r="C64" s="56"/>
      <c r="D64" s="56"/>
      <c r="E64" s="57"/>
      <c r="F64" s="56"/>
      <c r="G64" s="56"/>
      <c r="H64" s="57"/>
      <c r="I64" s="56"/>
      <c r="J64" s="56"/>
      <c r="K64" s="57"/>
      <c r="L64" s="56"/>
      <c r="M64" s="56"/>
      <c r="N64" s="56"/>
      <c r="O64" s="56"/>
      <c r="P64" s="56"/>
      <c r="Q64" s="56"/>
      <c r="R64" s="56"/>
      <c r="S64" s="56"/>
      <c r="T64" s="56"/>
      <c r="U64" s="41"/>
      <c r="V64" s="41"/>
      <c r="W64" s="41"/>
      <c r="X64" s="41"/>
      <c r="Y64" s="41"/>
      <c r="Z64" s="41"/>
      <c r="AA64" s="41"/>
    </row>
    <row r="65" spans="1:20">
      <c r="A65" t="s">
        <v>226</v>
      </c>
      <c r="B65" s="56">
        <f>+(buhrésult!B10/((buhvar!B60+buhvar!J60)/2)*4)</f>
        <v>0.19988102007556408</v>
      </c>
      <c r="C65" s="56">
        <v>0.20030000000000001</v>
      </c>
      <c r="D65" s="49" t="s">
        <v>0</v>
      </c>
      <c r="E65" s="49">
        <v>0</v>
      </c>
      <c r="F65" s="56">
        <v>0.20250000000000001</v>
      </c>
      <c r="G65" s="56"/>
      <c r="H65" s="49">
        <v>0</v>
      </c>
      <c r="I65" s="56">
        <v>0.20499999999999999</v>
      </c>
      <c r="J65" s="56"/>
      <c r="K65" s="49">
        <v>0</v>
      </c>
      <c r="L65" s="56">
        <v>0.22489999999999999</v>
      </c>
      <c r="M65" s="56"/>
      <c r="N65" s="56">
        <f>+'sysratfinclé '!E56</f>
        <v>0.19988102007556408</v>
      </c>
      <c r="O65" s="56">
        <f>+'sysratfinclé '!E57</f>
        <v>0.2056</v>
      </c>
      <c r="P65" s="56"/>
      <c r="Q65" s="56">
        <f>+BUHVARAN!F11/((buhvar!J60+buhvar!L60)/2)</f>
        <v>0.21249843456480902</v>
      </c>
      <c r="R65" s="56">
        <v>0.20180000000000001</v>
      </c>
      <c r="S65" s="56">
        <v>0.2044</v>
      </c>
      <c r="T65" s="56">
        <v>0.23980000000000001</v>
      </c>
    </row>
    <row r="66" spans="1:20" ht="7.15" customHeight="1">
      <c r="B66" s="56"/>
      <c r="C66" s="56"/>
      <c r="D66" s="56"/>
      <c r="E66" s="49"/>
      <c r="F66" s="56"/>
      <c r="G66" s="56"/>
      <c r="H66" s="49"/>
      <c r="I66" s="56"/>
      <c r="J66" s="56"/>
      <c r="K66" s="49"/>
      <c r="L66" s="56"/>
      <c r="M66" s="56"/>
      <c r="N66" s="56"/>
      <c r="O66" s="56"/>
      <c r="P66" s="56"/>
      <c r="Q66" s="56"/>
      <c r="R66" s="56"/>
      <c r="S66" s="56"/>
      <c r="T66" s="56"/>
    </row>
    <row r="67" spans="1:20">
      <c r="A67" t="s">
        <v>227</v>
      </c>
      <c r="B67" s="56">
        <f>+(buhrésult!B14/((buhvar!J29+buhvar!B29)/2)*4)</f>
        <v>3.7146452951700978E-2</v>
      </c>
      <c r="C67" s="56">
        <v>5.7599999999999998E-2</v>
      </c>
      <c r="D67" s="56" t="s">
        <v>0</v>
      </c>
      <c r="E67" s="49">
        <v>0</v>
      </c>
      <c r="F67" s="56">
        <v>4.8899999999999999E-2</v>
      </c>
      <c r="G67" s="56"/>
      <c r="H67" s="49">
        <v>0</v>
      </c>
      <c r="I67" s="56">
        <v>3.8399999999999997E-2</v>
      </c>
      <c r="J67" s="56"/>
      <c r="K67" s="49">
        <v>0</v>
      </c>
      <c r="L67" s="56">
        <v>3.4200000000000001E-2</v>
      </c>
      <c r="M67" s="56"/>
      <c r="N67" s="56">
        <f>+'sysratfinclé '!E62</f>
        <v>3.7146452951700978E-2</v>
      </c>
      <c r="O67" s="56">
        <f>+'sysratfinclé '!E63</f>
        <v>5.7599999999999998E-2</v>
      </c>
      <c r="P67" s="56"/>
      <c r="Q67" s="56">
        <f>+BUHVARAN!F15/((buhvar!J29+buhvar!L29)/2)</f>
        <v>4.3340522040777062E-2</v>
      </c>
      <c r="R67" s="56">
        <v>5.2900000000000003E-2</v>
      </c>
      <c r="S67" s="56">
        <v>5.5300000000000002E-2</v>
      </c>
      <c r="T67" s="56">
        <v>4.2900000000000001E-2</v>
      </c>
    </row>
    <row r="68" spans="1:20" ht="6" customHeight="1">
      <c r="B68" s="56"/>
      <c r="C68" s="56"/>
      <c r="D68" s="56"/>
      <c r="E68" s="49"/>
      <c r="F68" s="56"/>
      <c r="G68" s="56"/>
      <c r="H68" s="49"/>
      <c r="I68" s="56"/>
      <c r="J68" s="56"/>
      <c r="K68" s="49"/>
      <c r="L68" s="56"/>
      <c r="M68" s="56"/>
      <c r="N68" s="56"/>
      <c r="O68" s="56"/>
      <c r="P68" s="56"/>
      <c r="Q68" s="56"/>
      <c r="R68" s="56"/>
      <c r="S68" s="56"/>
      <c r="T68" s="56"/>
    </row>
    <row r="69" spans="1:20">
      <c r="A69" t="s">
        <v>204</v>
      </c>
      <c r="B69" s="56"/>
      <c r="C69" s="56"/>
      <c r="D69" s="56"/>
      <c r="E69" s="49"/>
      <c r="F69" s="56"/>
      <c r="G69" s="56"/>
      <c r="H69" s="49"/>
      <c r="I69" s="56"/>
      <c r="J69" s="56"/>
      <c r="K69" s="49"/>
      <c r="L69" s="56"/>
      <c r="M69" s="56"/>
      <c r="N69" s="56"/>
      <c r="O69" s="56"/>
      <c r="P69" s="56"/>
      <c r="Q69" s="56"/>
      <c r="R69" s="56"/>
      <c r="S69" s="56"/>
      <c r="T69" s="56"/>
    </row>
    <row r="70" spans="1:20">
      <c r="A70" t="s">
        <v>228</v>
      </c>
      <c r="B70" s="56">
        <f>+buhrésult!B35/buhrésult!B23</f>
        <v>0.98866392871724673</v>
      </c>
      <c r="C70" s="56">
        <v>0.83760000000000001</v>
      </c>
      <c r="D70" s="56"/>
      <c r="E70" s="49">
        <v>0</v>
      </c>
      <c r="F70" s="56">
        <v>0.89410000000000001</v>
      </c>
      <c r="G70" s="56"/>
      <c r="H70" s="49">
        <v>0</v>
      </c>
      <c r="I70" s="56">
        <v>0.99760000000000004</v>
      </c>
      <c r="J70" s="56"/>
      <c r="K70" s="49">
        <v>0</v>
      </c>
      <c r="L70" s="56">
        <v>0.97729999999999995</v>
      </c>
      <c r="M70" s="56"/>
      <c r="N70" s="56">
        <f>+'sysratfinclé '!E70</f>
        <v>0.98866392871724673</v>
      </c>
      <c r="O70" s="56">
        <f>+'sysratfinclé '!E71</f>
        <v>0.83757288065631286</v>
      </c>
      <c r="P70" s="56"/>
      <c r="Q70" s="56">
        <f>+BUHVARAN!F36/BUHVARAN!F24</f>
        <v>0.92916236739182823</v>
      </c>
      <c r="R70" s="56">
        <v>0.82930000000000004</v>
      </c>
      <c r="S70" s="56">
        <v>0.96509999999999996</v>
      </c>
      <c r="T70" s="56">
        <v>0.94210000000000005</v>
      </c>
    </row>
    <row r="71" spans="1:20">
      <c r="A71" t="s">
        <v>452</v>
      </c>
      <c r="B71" s="56"/>
      <c r="C71" s="56"/>
      <c r="D71" s="56"/>
      <c r="E71" s="49"/>
      <c r="F71" s="56"/>
      <c r="G71" s="56"/>
      <c r="H71" s="49"/>
      <c r="I71" s="56"/>
      <c r="J71" s="56"/>
      <c r="K71" s="49"/>
      <c r="L71" s="56"/>
      <c r="M71" s="56"/>
      <c r="N71" s="56"/>
      <c r="O71" s="56"/>
      <c r="P71" s="56"/>
      <c r="Q71" s="56"/>
      <c r="R71" s="56"/>
      <c r="S71" s="56"/>
      <c r="T71" s="56"/>
    </row>
    <row r="72" spans="1:20">
      <c r="B72" s="56"/>
      <c r="C72" s="56"/>
      <c r="D72" s="56"/>
      <c r="E72" s="49"/>
      <c r="F72" s="56"/>
      <c r="G72" s="56"/>
      <c r="H72" s="49"/>
      <c r="I72" s="56"/>
      <c r="J72" s="56"/>
      <c r="K72" s="49"/>
      <c r="L72" s="56"/>
      <c r="M72" s="56"/>
      <c r="N72" s="56"/>
      <c r="O72" s="56"/>
      <c r="P72" s="56"/>
      <c r="Q72" s="56"/>
      <c r="R72" s="56"/>
      <c r="S72" s="56"/>
      <c r="T72" s="56"/>
    </row>
    <row r="73" spans="1:20">
      <c r="A73" t="s">
        <v>453</v>
      </c>
      <c r="B73" s="49">
        <f>+(buhrésult!B23/((383+385)/2)*4)</f>
        <v>433.71875</v>
      </c>
      <c r="C73" s="49">
        <v>443.63</v>
      </c>
      <c r="D73" s="56"/>
      <c r="E73" s="49">
        <v>0</v>
      </c>
      <c r="F73" s="49">
        <v>417.96</v>
      </c>
      <c r="G73" s="56"/>
      <c r="H73" s="49">
        <v>0</v>
      </c>
      <c r="I73" s="49">
        <v>432.33</v>
      </c>
      <c r="J73" s="56"/>
      <c r="K73" s="49">
        <v>0</v>
      </c>
      <c r="L73" s="49">
        <v>467.12</v>
      </c>
      <c r="M73" s="56"/>
      <c r="N73" s="49">
        <f>+'sysratfinclé '!E76</f>
        <v>433.71875</v>
      </c>
      <c r="O73" s="49">
        <f>+'sysratfinclé '!E77</f>
        <v>443.63</v>
      </c>
      <c r="P73" s="56"/>
      <c r="Q73" s="49">
        <v>450.83</v>
      </c>
      <c r="R73" s="49">
        <v>456.39</v>
      </c>
      <c r="S73" s="49">
        <v>328.96</v>
      </c>
      <c r="T73" s="49">
        <v>241.2</v>
      </c>
    </row>
    <row r="74" spans="1:20" ht="16.5" thickBot="1">
      <c r="B74" s="19"/>
      <c r="C74" s="19"/>
      <c r="D74" s="19"/>
      <c r="E74" s="19"/>
      <c r="F74" s="19"/>
      <c r="G74" s="19"/>
      <c r="H74" s="19"/>
      <c r="I74" s="19"/>
      <c r="J74" s="19"/>
      <c r="K74" s="19"/>
      <c r="L74" s="19"/>
      <c r="M74" s="19"/>
      <c r="N74" s="19"/>
      <c r="O74" s="19"/>
      <c r="P74" s="19"/>
      <c r="Q74" s="19"/>
      <c r="R74" s="19"/>
      <c r="S74" s="19"/>
      <c r="T74" s="19"/>
    </row>
  </sheetData>
  <pageMargins left="0.2" right="0.2" top="0.62" bottom="0.48" header="0.39" footer="0.27"/>
  <pageSetup scale="43"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0"/>
  <sheetViews>
    <sheetView workbookViewId="0"/>
  </sheetViews>
  <sheetFormatPr defaultRowHeight="15.75"/>
  <cols>
    <col min="1" max="1" width="33.25" customWidth="1"/>
    <col min="2" max="2" width="16.25" style="3" customWidth="1"/>
    <col min="3" max="3" width="9.75" style="10" customWidth="1"/>
    <col min="4" max="4" width="15.75" style="3" customWidth="1"/>
    <col min="5" max="5" width="9.75" style="10" customWidth="1"/>
    <col min="6" max="6" width="15.75" style="3" customWidth="1"/>
    <col min="7" max="7" width="9.75" style="10" customWidth="1"/>
    <col min="8" max="8" width="13.75" style="3" customWidth="1"/>
    <col min="9" max="9" width="11.625" style="10" customWidth="1"/>
    <col min="10" max="10" width="15.75" style="3" customWidth="1"/>
    <col min="11" max="11" width="9.75" style="10" customWidth="1"/>
    <col min="12" max="12" width="15.75" style="3" customWidth="1"/>
    <col min="13" max="13" width="9.75" style="10" customWidth="1"/>
    <col min="14" max="14" width="15.75" style="3" customWidth="1"/>
    <col min="15" max="15" width="9.75" style="10" customWidth="1"/>
    <col min="16" max="18" width="15.75" style="3" customWidth="1"/>
    <col min="19" max="21" width="15.75" customWidth="1"/>
    <col min="22" max="256" width="11" customWidth="1"/>
  </cols>
  <sheetData>
    <row r="1" spans="1:21">
      <c r="A1" s="114" t="s">
        <v>603</v>
      </c>
      <c r="B1" s="35"/>
      <c r="C1" s="36"/>
      <c r="D1" s="35"/>
      <c r="E1" s="36"/>
      <c r="F1" s="35"/>
      <c r="G1" s="36"/>
      <c r="H1" s="35"/>
      <c r="I1" s="36"/>
      <c r="J1" s="35"/>
      <c r="K1" s="36"/>
      <c r="L1" s="35"/>
      <c r="M1" s="36"/>
      <c r="N1" s="35"/>
      <c r="O1" s="36"/>
      <c r="P1" s="35"/>
    </row>
    <row r="2" spans="1:21">
      <c r="A2" s="114" t="s">
        <v>305</v>
      </c>
      <c r="B2" s="35"/>
      <c r="C2" s="36"/>
      <c r="D2" s="35"/>
      <c r="E2" s="36"/>
      <c r="F2" s="35"/>
      <c r="G2" s="36"/>
      <c r="H2" s="35"/>
      <c r="I2" s="36"/>
      <c r="J2" s="35"/>
      <c r="K2" s="36"/>
      <c r="L2" s="35"/>
      <c r="M2" s="36"/>
      <c r="N2" s="35"/>
      <c r="O2" s="36"/>
      <c r="P2" s="35"/>
    </row>
    <row r="3" spans="1:21">
      <c r="A3" s="114" t="s">
        <v>454</v>
      </c>
      <c r="B3" s="35"/>
      <c r="C3" s="36"/>
      <c r="D3" s="35"/>
      <c r="E3" s="36"/>
      <c r="F3" s="35"/>
      <c r="G3" s="36"/>
      <c r="H3" s="35"/>
      <c r="I3" s="36"/>
      <c r="J3" s="35"/>
      <c r="K3" s="36"/>
      <c r="L3" s="35"/>
      <c r="M3" s="36"/>
      <c r="N3" s="35"/>
      <c r="O3" s="36"/>
      <c r="P3" s="35"/>
    </row>
    <row r="4" spans="1:21">
      <c r="A4" s="114" t="s">
        <v>179</v>
      </c>
      <c r="B4" s="35"/>
      <c r="C4" s="36"/>
      <c r="D4" s="35"/>
      <c r="E4" s="36"/>
      <c r="F4" s="35"/>
      <c r="G4" s="36"/>
      <c r="H4" s="35"/>
      <c r="I4" s="36"/>
      <c r="J4" s="35"/>
      <c r="K4" s="36"/>
      <c r="L4" s="35"/>
      <c r="M4" s="36"/>
      <c r="N4" s="35"/>
      <c r="O4" s="36"/>
      <c r="P4" s="35"/>
    </row>
    <row r="5" spans="1:21">
      <c r="A5" s="114"/>
      <c r="B5" s="35"/>
      <c r="C5" s="36"/>
      <c r="D5" s="35"/>
      <c r="E5" s="36"/>
      <c r="F5" s="35"/>
      <c r="G5" s="36"/>
      <c r="H5" s="35"/>
      <c r="I5" s="36"/>
      <c r="J5" s="35"/>
      <c r="K5" s="36"/>
      <c r="L5" s="35"/>
      <c r="M5" s="36"/>
      <c r="N5" s="35"/>
      <c r="O5" s="36"/>
      <c r="P5" s="35"/>
    </row>
    <row r="6" spans="1:21" ht="16.5" thickBot="1">
      <c r="B6" s="4" t="s">
        <v>0</v>
      </c>
      <c r="I6" s="67" t="s">
        <v>166</v>
      </c>
      <c r="J6" s="330" t="s">
        <v>167</v>
      </c>
      <c r="K6" s="331"/>
      <c r="L6" s="330"/>
      <c r="M6" s="331"/>
      <c r="N6" s="330"/>
      <c r="O6" s="331"/>
      <c r="P6" s="330"/>
    </row>
    <row r="7" spans="1:21" ht="16.5" thickBot="1">
      <c r="B7" s="223" t="s">
        <v>168</v>
      </c>
      <c r="C7" s="224" t="s">
        <v>169</v>
      </c>
      <c r="D7" s="225" t="s">
        <v>170</v>
      </c>
      <c r="E7" s="224" t="s">
        <v>169</v>
      </c>
      <c r="F7" s="225" t="s">
        <v>171</v>
      </c>
      <c r="G7" s="224" t="s">
        <v>169</v>
      </c>
      <c r="H7" s="225" t="s">
        <v>172</v>
      </c>
      <c r="I7" s="445" t="s">
        <v>173</v>
      </c>
      <c r="J7" s="225" t="s">
        <v>174</v>
      </c>
      <c r="K7" s="224" t="s">
        <v>169</v>
      </c>
      <c r="L7" s="225" t="s">
        <v>175</v>
      </c>
      <c r="M7" s="224" t="s">
        <v>169</v>
      </c>
      <c r="N7" s="225" t="s">
        <v>176</v>
      </c>
      <c r="O7" s="224" t="s">
        <v>169</v>
      </c>
      <c r="P7" s="225" t="s">
        <v>177</v>
      </c>
      <c r="Q7" s="8"/>
      <c r="R7" s="8"/>
      <c r="S7" s="9"/>
      <c r="T7" s="9"/>
      <c r="U7" s="9"/>
    </row>
    <row r="8" spans="1:21">
      <c r="A8" s="2" t="s">
        <v>243</v>
      </c>
      <c r="B8" s="321"/>
      <c r="C8" s="322"/>
      <c r="D8" s="321"/>
      <c r="E8" s="322"/>
      <c r="F8" s="321"/>
      <c r="G8" s="322"/>
      <c r="H8" s="321"/>
      <c r="I8" s="322"/>
      <c r="J8" s="323"/>
      <c r="K8" s="322"/>
      <c r="L8" s="323"/>
      <c r="M8" s="322"/>
      <c r="N8" s="323"/>
      <c r="O8" s="322"/>
      <c r="P8" s="323"/>
      <c r="Q8" s="8"/>
      <c r="R8" s="8"/>
      <c r="S8" s="9"/>
      <c r="T8" s="9"/>
      <c r="U8" s="9"/>
    </row>
    <row r="9" spans="1:21">
      <c r="A9" s="1" t="s">
        <v>264</v>
      </c>
      <c r="B9"/>
    </row>
    <row r="10" spans="1:21">
      <c r="A10" s="1" t="s">
        <v>265</v>
      </c>
      <c r="B10" s="88">
        <v>250622</v>
      </c>
      <c r="C10" s="89">
        <v>0</v>
      </c>
      <c r="D10" s="88">
        <v>0</v>
      </c>
      <c r="E10" s="89">
        <v>0</v>
      </c>
      <c r="F10" s="88">
        <v>0</v>
      </c>
      <c r="G10" s="89">
        <v>0</v>
      </c>
      <c r="H10" s="88">
        <v>0</v>
      </c>
      <c r="I10" s="104">
        <f t="shared" ref="I10:I15" si="0">+(B10-J10)/ABS(J10)</f>
        <v>0.17924226454867123</v>
      </c>
      <c r="J10" s="88">
        <v>212528</v>
      </c>
      <c r="K10" s="104">
        <f t="shared" ref="K10:K15" si="1">+(J10-L10)/L10</f>
        <v>-8.0240101441560741E-2</v>
      </c>
      <c r="L10" s="88">
        <v>231069</v>
      </c>
      <c r="M10" s="104">
        <f t="shared" ref="M10:M15" si="2">+(L10-N10)/N10</f>
        <v>0.38494457380719055</v>
      </c>
      <c r="N10" s="88">
        <v>166843.5</v>
      </c>
      <c r="O10" s="104">
        <f t="shared" ref="O10:O15" si="3">+(N10-P10)/P10</f>
        <v>0.40271902099613643</v>
      </c>
      <c r="P10" s="88">
        <f>118942922.64/1000</f>
        <v>118942.92264</v>
      </c>
    </row>
    <row r="11" spans="1:21">
      <c r="A11" s="1" t="s">
        <v>266</v>
      </c>
      <c r="B11" s="88">
        <v>235553</v>
      </c>
      <c r="C11" s="89">
        <v>0</v>
      </c>
      <c r="D11" s="88">
        <v>0</v>
      </c>
      <c r="E11" s="89">
        <v>0</v>
      </c>
      <c r="F11" s="88">
        <v>0</v>
      </c>
      <c r="G11" s="89">
        <v>0</v>
      </c>
      <c r="H11" s="88">
        <v>0</v>
      </c>
      <c r="I11" s="104">
        <f t="shared" si="0"/>
        <v>-0.18224393156696106</v>
      </c>
      <c r="J11" s="88">
        <v>288048</v>
      </c>
      <c r="K11" s="104">
        <f t="shared" si="1"/>
        <v>2.2442221921881336</v>
      </c>
      <c r="L11" s="88">
        <v>88788</v>
      </c>
      <c r="M11" s="104">
        <f t="shared" si="2"/>
        <v>0.70565747766785136</v>
      </c>
      <c r="N11" s="88">
        <v>52055</v>
      </c>
      <c r="O11" s="104">
        <f t="shared" si="3"/>
        <v>-0.69171702227726528</v>
      </c>
      <c r="P11" s="88">
        <f>168854603.6/1000</f>
        <v>168854.6036</v>
      </c>
    </row>
    <row r="12" spans="1:21">
      <c r="A12" s="1" t="s">
        <v>267</v>
      </c>
      <c r="B12" s="88">
        <v>113044</v>
      </c>
      <c r="C12" s="89">
        <v>0</v>
      </c>
      <c r="D12" s="88">
        <v>0</v>
      </c>
      <c r="E12" s="89">
        <v>0</v>
      </c>
      <c r="F12" s="88">
        <v>0</v>
      </c>
      <c r="G12" s="89">
        <v>0</v>
      </c>
      <c r="H12" s="88">
        <v>0</v>
      </c>
      <c r="I12" s="104">
        <f t="shared" si="0"/>
        <v>-8.848715509039011E-2</v>
      </c>
      <c r="J12" s="88">
        <v>124018</v>
      </c>
      <c r="K12" s="104">
        <f t="shared" si="1"/>
        <v>-0.22634776858679242</v>
      </c>
      <c r="L12" s="88">
        <v>160302</v>
      </c>
      <c r="M12" s="104">
        <f t="shared" si="2"/>
        <v>1.3599818034864872</v>
      </c>
      <c r="N12" s="88">
        <v>67925.100000000006</v>
      </c>
      <c r="O12" s="104">
        <f t="shared" si="3"/>
        <v>-0.5705544009674115</v>
      </c>
      <c r="P12" s="88">
        <f>158169277.21/1000</f>
        <v>158169.27721</v>
      </c>
    </row>
    <row r="13" spans="1:21">
      <c r="A13" s="1" t="s">
        <v>268</v>
      </c>
      <c r="B13" s="88">
        <v>175541</v>
      </c>
      <c r="C13" s="89">
        <v>0</v>
      </c>
      <c r="D13" s="88">
        <v>0</v>
      </c>
      <c r="E13" s="89">
        <v>0</v>
      </c>
      <c r="F13" s="88">
        <v>0</v>
      </c>
      <c r="G13" s="89">
        <v>0</v>
      </c>
      <c r="H13" s="88">
        <v>0</v>
      </c>
      <c r="I13" s="104">
        <f t="shared" si="0"/>
        <v>-7.6211826989364448E-2</v>
      </c>
      <c r="J13" s="88">
        <v>190023</v>
      </c>
      <c r="K13" s="104">
        <f t="shared" si="1"/>
        <v>0.28597241584667649</v>
      </c>
      <c r="L13" s="88">
        <v>147766</v>
      </c>
      <c r="M13" s="104">
        <f t="shared" si="2"/>
        <v>0.65293749161036285</v>
      </c>
      <c r="N13" s="88">
        <v>89396</v>
      </c>
      <c r="O13" s="104">
        <f t="shared" si="3"/>
        <v>-0.74486220872789266</v>
      </c>
      <c r="P13" s="88">
        <f>350383216.67/1000</f>
        <v>350383.21666999999</v>
      </c>
    </row>
    <row r="14" spans="1:21">
      <c r="A14" s="1" t="s">
        <v>269</v>
      </c>
      <c r="B14" s="221">
        <v>13365</v>
      </c>
      <c r="C14" s="89">
        <v>0</v>
      </c>
      <c r="D14" s="221">
        <v>0</v>
      </c>
      <c r="E14" s="89">
        <v>0</v>
      </c>
      <c r="F14" s="221">
        <v>0</v>
      </c>
      <c r="G14" s="89">
        <v>0</v>
      </c>
      <c r="H14" s="221">
        <v>0</v>
      </c>
      <c r="I14" s="104">
        <f t="shared" si="0"/>
        <v>0.26156314895223709</v>
      </c>
      <c r="J14" s="221">
        <v>10594</v>
      </c>
      <c r="K14" s="104">
        <f t="shared" si="1"/>
        <v>-0.26725688200304332</v>
      </c>
      <c r="L14" s="221">
        <f>8802+25+5631</f>
        <v>14458</v>
      </c>
      <c r="M14" s="104">
        <f t="shared" si="2"/>
        <v>-0.24926655762390632</v>
      </c>
      <c r="N14" s="221">
        <v>19258.5</v>
      </c>
      <c r="O14" s="104">
        <f t="shared" si="3"/>
        <v>-0.3666235614509788</v>
      </c>
      <c r="P14" s="221">
        <f>30406088.43/1000</f>
        <v>30406.08843</v>
      </c>
    </row>
    <row r="15" spans="1:21" ht="15.6" customHeight="1">
      <c r="A15" s="1"/>
      <c r="B15" s="88">
        <f>SUM(B10:B14)</f>
        <v>788125</v>
      </c>
      <c r="C15" s="89">
        <v>0</v>
      </c>
      <c r="D15" s="88">
        <f>SUM(D10:D14)</f>
        <v>0</v>
      </c>
      <c r="E15" s="89">
        <v>0</v>
      </c>
      <c r="F15" s="88">
        <f>SUM(F10:F14)</f>
        <v>0</v>
      </c>
      <c r="G15" s="89">
        <v>0</v>
      </c>
      <c r="H15" s="88">
        <f>SUM(H10:H14)</f>
        <v>0</v>
      </c>
      <c r="I15" s="104">
        <f t="shared" si="0"/>
        <v>-4.494123321186945E-2</v>
      </c>
      <c r="J15" s="88">
        <f>SUM(J10:J14)</f>
        <v>825211</v>
      </c>
      <c r="K15" s="104">
        <f t="shared" si="1"/>
        <v>0.28460902607945726</v>
      </c>
      <c r="L15" s="88">
        <f>SUM(L10:L14)</f>
        <v>642383</v>
      </c>
      <c r="M15" s="104">
        <f t="shared" si="2"/>
        <v>0.62432003188040008</v>
      </c>
      <c r="N15" s="88">
        <f>SUM(N10:N14)</f>
        <v>395478.1</v>
      </c>
      <c r="O15" s="104">
        <f t="shared" si="3"/>
        <v>-0.52165082796472317</v>
      </c>
      <c r="P15" s="88">
        <f>SUM(P10:P14)</f>
        <v>826756.10855</v>
      </c>
    </row>
    <row r="16" spans="1:21" ht="7.9" customHeight="1">
      <c r="A16" s="1"/>
      <c r="B16" s="88"/>
      <c r="C16" s="89" t="s">
        <v>0</v>
      </c>
      <c r="D16" s="88"/>
      <c r="E16" s="89" t="s">
        <v>0</v>
      </c>
      <c r="F16" s="88"/>
      <c r="G16" s="89" t="s">
        <v>0</v>
      </c>
      <c r="H16" s="88"/>
      <c r="I16" s="89" t="s">
        <v>0</v>
      </c>
      <c r="J16" s="88"/>
      <c r="K16" s="104" t="s">
        <v>0</v>
      </c>
      <c r="L16" s="88"/>
      <c r="M16" s="104" t="s">
        <v>0</v>
      </c>
      <c r="N16" s="88"/>
      <c r="O16" s="104" t="s">
        <v>0</v>
      </c>
      <c r="P16" s="88"/>
    </row>
    <row r="17" spans="1:16" ht="15.6" customHeight="1">
      <c r="A17" s="1" t="s">
        <v>270</v>
      </c>
      <c r="B17" s="88">
        <v>125000</v>
      </c>
      <c r="C17" s="89">
        <v>0</v>
      </c>
      <c r="D17" s="88">
        <v>0</v>
      </c>
      <c r="E17" s="89">
        <v>0</v>
      </c>
      <c r="F17" s="88">
        <v>0</v>
      </c>
      <c r="G17" s="89">
        <v>0</v>
      </c>
      <c r="H17" s="88">
        <v>0</v>
      </c>
      <c r="I17" s="104">
        <f t="shared" ref="I17:I22" si="4">+(B17-J17)/ABS(J17)</f>
        <v>0.5625</v>
      </c>
      <c r="J17" s="88">
        <v>80000</v>
      </c>
      <c r="K17" s="104">
        <f>+(J17-L17)/ABS(L17)</f>
        <v>-0.66666666666666663</v>
      </c>
      <c r="L17" s="88">
        <v>240000</v>
      </c>
      <c r="M17" s="89">
        <v>0</v>
      </c>
      <c r="N17" s="88">
        <v>280000</v>
      </c>
      <c r="O17" s="89">
        <v>0</v>
      </c>
      <c r="P17" s="88">
        <v>0</v>
      </c>
    </row>
    <row r="18" spans="1:16">
      <c r="A18" s="1" t="s">
        <v>271</v>
      </c>
      <c r="B18" s="88">
        <v>98137</v>
      </c>
      <c r="C18" s="89">
        <v>0</v>
      </c>
      <c r="D18" s="88">
        <v>0</v>
      </c>
      <c r="E18" s="89">
        <v>0</v>
      </c>
      <c r="F18" s="88">
        <v>0</v>
      </c>
      <c r="G18" s="89">
        <v>0</v>
      </c>
      <c r="H18" s="88">
        <v>0</v>
      </c>
      <c r="I18" s="104">
        <f t="shared" si="4"/>
        <v>0.77601027924063914</v>
      </c>
      <c r="J18" s="88">
        <v>55257</v>
      </c>
      <c r="K18" s="104">
        <f>+(J18-L18)/L18</f>
        <v>-0.12081145584725538</v>
      </c>
      <c r="L18" s="88">
        <f>55698+7152</f>
        <v>62850</v>
      </c>
      <c r="M18" s="104">
        <f>+(L18-N18)/N18</f>
        <v>-0.15978407052198995</v>
      </c>
      <c r="N18" s="88">
        <v>74802.2</v>
      </c>
      <c r="O18" s="104">
        <f>+(N18-P18)/P18</f>
        <v>14.68203964504286</v>
      </c>
      <c r="P18" s="88">
        <f>4769928/1000</f>
        <v>4769.9279999999999</v>
      </c>
    </row>
    <row r="19" spans="1:16">
      <c r="A19" s="1" t="s">
        <v>272</v>
      </c>
      <c r="B19" s="88">
        <v>746670</v>
      </c>
      <c r="C19" s="89">
        <v>0</v>
      </c>
      <c r="D19" s="88">
        <v>0</v>
      </c>
      <c r="E19" s="89">
        <v>0</v>
      </c>
      <c r="F19" s="88">
        <v>0</v>
      </c>
      <c r="G19" s="89">
        <v>0</v>
      </c>
      <c r="H19" s="88">
        <v>0</v>
      </c>
      <c r="I19" s="104">
        <f t="shared" si="4"/>
        <v>6.9467321712476909E-2</v>
      </c>
      <c r="J19" s="88">
        <v>698170</v>
      </c>
      <c r="K19" s="104">
        <f>+(J19-L19)/L19</f>
        <v>5.3774704094231005E-2</v>
      </c>
      <c r="L19" s="88">
        <v>662542</v>
      </c>
      <c r="M19" s="104">
        <f>+(L19-N19)/N19</f>
        <v>0.15467337711577225</v>
      </c>
      <c r="N19" s="88">
        <v>573791.69999999995</v>
      </c>
      <c r="O19" s="104">
        <f>+(N19-P19)/P19</f>
        <v>0.7267314819934978</v>
      </c>
      <c r="P19" s="88">
        <f>332299321.57/1000</f>
        <v>332299.32156999997</v>
      </c>
    </row>
    <row r="20" spans="1:16">
      <c r="A20" s="1" t="s">
        <v>273</v>
      </c>
      <c r="B20" s="88">
        <v>230086</v>
      </c>
      <c r="C20" s="89">
        <v>0</v>
      </c>
      <c r="D20" s="88">
        <v>0</v>
      </c>
      <c r="E20" s="89">
        <v>0</v>
      </c>
      <c r="F20" s="88">
        <v>0</v>
      </c>
      <c r="G20" s="89">
        <v>0</v>
      </c>
      <c r="H20" s="88">
        <v>0</v>
      </c>
      <c r="I20" s="104">
        <f t="shared" si="4"/>
        <v>-1.0497705642785569E-2</v>
      </c>
      <c r="J20" s="88">
        <v>232527</v>
      </c>
      <c r="K20" s="104">
        <f>+(J20-L20)/L20</f>
        <v>0.57368029236599893</v>
      </c>
      <c r="L20" s="88">
        <v>147760</v>
      </c>
      <c r="M20" s="104">
        <f>+(L20-N20)/N20</f>
        <v>0.28779790567246388</v>
      </c>
      <c r="N20" s="88">
        <v>114738.5</v>
      </c>
      <c r="O20" s="104">
        <f>+(N20-P20)/P20</f>
        <v>0.33490362276463287</v>
      </c>
      <c r="P20" s="88">
        <f>85952647.1/1000</f>
        <v>85952.647099999987</v>
      </c>
    </row>
    <row r="21" spans="1:16" ht="16.5" thickBot="1">
      <c r="A21" s="1" t="s">
        <v>274</v>
      </c>
      <c r="B21" s="99">
        <v>127166</v>
      </c>
      <c r="C21" s="89">
        <v>0</v>
      </c>
      <c r="D21" s="99">
        <v>0</v>
      </c>
      <c r="E21" s="89">
        <v>0</v>
      </c>
      <c r="F21" s="99">
        <v>0</v>
      </c>
      <c r="G21" s="89">
        <v>0</v>
      </c>
      <c r="H21" s="99">
        <v>0</v>
      </c>
      <c r="I21" s="104">
        <f t="shared" si="4"/>
        <v>-0.28467604936604901</v>
      </c>
      <c r="J21" s="99">
        <v>177774</v>
      </c>
      <c r="K21" s="104">
        <f>+(J21-L21)/L21</f>
        <v>2.6000486016889086</v>
      </c>
      <c r="L21" s="99">
        <v>49381</v>
      </c>
      <c r="M21" s="104">
        <f>+(L21-N21)/N21</f>
        <v>-0.12899225845370152</v>
      </c>
      <c r="N21" s="99">
        <v>56694.1</v>
      </c>
      <c r="O21" s="104">
        <f>+(N21-P21)/P21</f>
        <v>0.81303366683286982</v>
      </c>
      <c r="P21" s="99">
        <f>31270296.32/1000</f>
        <v>31270.296320000001</v>
      </c>
    </row>
    <row r="22" spans="1:16">
      <c r="A22" s="1" t="s">
        <v>275</v>
      </c>
      <c r="B22" s="91">
        <f>SUM(B15:B21)</f>
        <v>2115184</v>
      </c>
      <c r="C22" s="89">
        <v>0</v>
      </c>
      <c r="D22" s="91">
        <f>SUM(D15:D21)</f>
        <v>0</v>
      </c>
      <c r="E22" s="89">
        <v>0</v>
      </c>
      <c r="F22" s="91">
        <f>SUM(F15:F21)</f>
        <v>0</v>
      </c>
      <c r="G22" s="89">
        <v>0</v>
      </c>
      <c r="H22" s="91">
        <f>SUM(H15:H21)</f>
        <v>0</v>
      </c>
      <c r="I22" s="104">
        <f t="shared" si="4"/>
        <v>2.2352036478600866E-2</v>
      </c>
      <c r="J22" s="91">
        <f>SUM(J15:J21)</f>
        <v>2068939</v>
      </c>
      <c r="K22" s="104">
        <f>+(J22-L22)/L22</f>
        <v>0.14627993768131037</v>
      </c>
      <c r="L22" s="91">
        <f>SUM(L15:L21)</f>
        <v>1804916</v>
      </c>
      <c r="M22" s="104">
        <f>+(L22-N22)/N22</f>
        <v>0.20689431513617537</v>
      </c>
      <c r="N22" s="91">
        <f>SUM(N15:N21)</f>
        <v>1495504.6</v>
      </c>
      <c r="O22" s="104">
        <f>+(N22-P22)/P22</f>
        <v>0.16740687935200696</v>
      </c>
      <c r="P22" s="91">
        <f>SUM(P15:P21)</f>
        <v>1281048.3015399999</v>
      </c>
    </row>
    <row r="23" spans="1:16" ht="8.4499999999999993" customHeight="1">
      <c r="A23" s="1"/>
      <c r="B23" s="88"/>
      <c r="C23" s="89" t="s">
        <v>0</v>
      </c>
      <c r="D23" s="88"/>
      <c r="E23" s="89" t="s">
        <v>0</v>
      </c>
      <c r="F23" s="88"/>
      <c r="G23" s="89" t="s">
        <v>0</v>
      </c>
      <c r="H23" s="88"/>
      <c r="I23" s="89" t="s">
        <v>0</v>
      </c>
      <c r="J23" s="88"/>
      <c r="K23" s="104" t="s">
        <v>0</v>
      </c>
      <c r="L23" s="88"/>
      <c r="M23" s="104" t="s">
        <v>0</v>
      </c>
      <c r="N23" s="88"/>
      <c r="O23" s="104" t="s">
        <v>0</v>
      </c>
      <c r="P23" s="88"/>
    </row>
    <row r="24" spans="1:16">
      <c r="A24" s="2" t="s">
        <v>276</v>
      </c>
      <c r="B24" s="88"/>
      <c r="C24" s="89" t="s">
        <v>0</v>
      </c>
      <c r="D24" s="88"/>
      <c r="E24" s="89" t="s">
        <v>0</v>
      </c>
      <c r="F24" s="88"/>
      <c r="G24" s="89" t="s">
        <v>0</v>
      </c>
      <c r="H24" s="88"/>
      <c r="I24" s="89" t="s">
        <v>0</v>
      </c>
      <c r="J24" s="88"/>
      <c r="K24" s="104" t="s">
        <v>0</v>
      </c>
      <c r="L24" s="88"/>
      <c r="M24" s="104" t="s">
        <v>0</v>
      </c>
      <c r="N24" s="88"/>
      <c r="O24" s="104" t="s">
        <v>0</v>
      </c>
      <c r="P24" s="88"/>
    </row>
    <row r="25" spans="1:16">
      <c r="A25" s="1" t="s">
        <v>277</v>
      </c>
      <c r="B25" s="88"/>
      <c r="C25" s="89" t="s">
        <v>0</v>
      </c>
      <c r="D25" s="88"/>
      <c r="E25" s="89" t="s">
        <v>0</v>
      </c>
      <c r="F25" s="88"/>
      <c r="G25" s="89" t="s">
        <v>0</v>
      </c>
      <c r="H25" s="88"/>
      <c r="I25" s="89" t="s">
        <v>0</v>
      </c>
      <c r="J25" s="88"/>
      <c r="K25" s="104" t="s">
        <v>0</v>
      </c>
      <c r="L25" s="88"/>
      <c r="M25" s="104" t="s">
        <v>0</v>
      </c>
      <c r="N25" s="88"/>
      <c r="O25" s="104" t="s">
        <v>0</v>
      </c>
      <c r="P25" s="88"/>
    </row>
    <row r="26" spans="1:16">
      <c r="A26" s="1" t="s">
        <v>278</v>
      </c>
      <c r="B26" s="88">
        <v>433531</v>
      </c>
      <c r="C26" s="89">
        <v>0</v>
      </c>
      <c r="D26" s="88">
        <v>0</v>
      </c>
      <c r="E26" s="89">
        <v>0</v>
      </c>
      <c r="F26" s="88">
        <v>0</v>
      </c>
      <c r="G26" s="89">
        <v>0</v>
      </c>
      <c r="H26" s="88">
        <v>0</v>
      </c>
      <c r="I26" s="104">
        <f>+(B26-J26)/ABS(J26)</f>
        <v>0.10817125197782282</v>
      </c>
      <c r="J26" s="88">
        <v>391213</v>
      </c>
      <c r="K26" s="104">
        <f>+(J26-L26)/L26</f>
        <v>-0.12217555008055432</v>
      </c>
      <c r="L26" s="88">
        <v>445662</v>
      </c>
      <c r="M26" s="104">
        <f>+(L26-N26)/N26</f>
        <v>0.24469103921990853</v>
      </c>
      <c r="N26" s="88">
        <v>358050.3</v>
      </c>
      <c r="O26" s="104">
        <f>+(N26-P26)/P26</f>
        <v>0.28175974603466136</v>
      </c>
      <c r="P26" s="88">
        <f>279342756.01/1000</f>
        <v>279342.75601000001</v>
      </c>
    </row>
    <row r="27" spans="1:16">
      <c r="A27" s="1" t="s">
        <v>279</v>
      </c>
      <c r="B27" s="88">
        <v>911967</v>
      </c>
      <c r="C27" s="89">
        <v>0</v>
      </c>
      <c r="D27" s="88">
        <v>0</v>
      </c>
      <c r="E27" s="89">
        <v>0</v>
      </c>
      <c r="F27" s="88">
        <v>0</v>
      </c>
      <c r="G27" s="89">
        <v>0</v>
      </c>
      <c r="H27" s="88">
        <v>0</v>
      </c>
      <c r="I27" s="104">
        <f>+(B27-J27)/ABS(J27)</f>
        <v>5.6052721171149261E-2</v>
      </c>
      <c r="J27" s="88">
        <v>863562</v>
      </c>
      <c r="K27" s="104">
        <f>+(J27-L27)/L27</f>
        <v>0.22400088444900529</v>
      </c>
      <c r="L27" s="88">
        <v>705524</v>
      </c>
      <c r="M27" s="104">
        <f>+(L27-N27)/N27</f>
        <v>0.11985359067132582</v>
      </c>
      <c r="N27" s="88">
        <v>630014.5</v>
      </c>
      <c r="O27" s="104">
        <f>+(N27-P27)/P27</f>
        <v>0.11538345333433381</v>
      </c>
      <c r="P27" s="88">
        <f>564841174.68/1000</f>
        <v>564841.17467999994</v>
      </c>
    </row>
    <row r="28" spans="1:16" ht="18">
      <c r="A28" s="1" t="s">
        <v>280</v>
      </c>
      <c r="B28" s="221">
        <v>610865</v>
      </c>
      <c r="C28" s="89">
        <v>0</v>
      </c>
      <c r="D28" s="221">
        <v>0</v>
      </c>
      <c r="E28" s="89">
        <v>0</v>
      </c>
      <c r="F28" s="6">
        <v>0</v>
      </c>
      <c r="G28" s="89">
        <v>0</v>
      </c>
      <c r="H28" s="6">
        <v>0</v>
      </c>
      <c r="I28" s="104">
        <f>+(B28-J28)/ABS(J28)</f>
        <v>8.025733844284777E-2</v>
      </c>
      <c r="J28" s="6">
        <v>565481</v>
      </c>
      <c r="K28" s="104">
        <f>+(J28-L28)/L28</f>
        <v>0.32161562713995573</v>
      </c>
      <c r="L28" s="6">
        <v>427871</v>
      </c>
      <c r="M28" s="104">
        <f>+(L28-N28)/N28</f>
        <v>0.37183077277236332</v>
      </c>
      <c r="N28" s="6">
        <v>311897.8</v>
      </c>
      <c r="O28" s="104">
        <f>+(N28-P28)/P28</f>
        <v>0.19061788457443279</v>
      </c>
      <c r="P28" s="6">
        <f>261962972.37/1000</f>
        <v>261962.97237</v>
      </c>
    </row>
    <row r="29" spans="1:16">
      <c r="A29" s="1"/>
      <c r="B29" s="88">
        <f>SUM(B26:B28)</f>
        <v>1956363</v>
      </c>
      <c r="C29" s="89">
        <v>0</v>
      </c>
      <c r="D29" s="88">
        <f>SUM(D26:D28)</f>
        <v>0</v>
      </c>
      <c r="E29" s="89">
        <v>0</v>
      </c>
      <c r="F29" s="88">
        <f>SUM(F26:F28)</f>
        <v>0</v>
      </c>
      <c r="G29" s="89">
        <v>0</v>
      </c>
      <c r="H29" s="88">
        <f>SUM(H26:H28)</f>
        <v>0</v>
      </c>
      <c r="I29" s="104">
        <f>+(B29-J29)/ABS(J29)</f>
        <v>7.4773548336058218E-2</v>
      </c>
      <c r="J29" s="88">
        <f>SUM(J26:J28)</f>
        <v>1820256</v>
      </c>
      <c r="K29" s="104">
        <f>+(J29-L29)/L29</f>
        <v>0.15274876081104102</v>
      </c>
      <c r="L29" s="88">
        <f>SUM(L26:L28)</f>
        <v>1579057</v>
      </c>
      <c r="M29" s="104">
        <f>+(L29-N29)/N29</f>
        <v>0.21469417658631093</v>
      </c>
      <c r="N29" s="88">
        <f>SUM(N26:N28)</f>
        <v>1299962.6000000001</v>
      </c>
      <c r="O29" s="104">
        <f>+(N29-P29)/P29</f>
        <v>0.1752169593422323</v>
      </c>
      <c r="P29" s="88">
        <f>SUM(P26:P28)</f>
        <v>1106146.9030599999</v>
      </c>
    </row>
    <row r="30" spans="1:16" ht="7.9" customHeight="1">
      <c r="A30" s="1"/>
      <c r="B30" s="88"/>
      <c r="C30" s="89" t="s">
        <v>0</v>
      </c>
      <c r="D30" s="88"/>
      <c r="E30" s="89" t="s">
        <v>0</v>
      </c>
      <c r="F30" s="88"/>
      <c r="G30" s="89" t="s">
        <v>0</v>
      </c>
      <c r="H30" s="88"/>
      <c r="I30" s="89" t="s">
        <v>0</v>
      </c>
      <c r="J30" s="88"/>
      <c r="K30" s="104" t="s">
        <v>0</v>
      </c>
      <c r="L30" s="88"/>
      <c r="M30" s="104" t="s">
        <v>0</v>
      </c>
      <c r="N30" s="88"/>
      <c r="O30" s="104" t="s">
        <v>0</v>
      </c>
      <c r="P30" s="88"/>
    </row>
    <row r="31" spans="1:16">
      <c r="A31" s="1" t="s">
        <v>281</v>
      </c>
      <c r="B31" s="88"/>
      <c r="C31" s="89" t="s">
        <v>0</v>
      </c>
      <c r="D31" s="88"/>
      <c r="E31" s="89" t="s">
        <v>0</v>
      </c>
      <c r="F31" s="88"/>
      <c r="G31" s="89" t="s">
        <v>0</v>
      </c>
      <c r="H31" s="88"/>
      <c r="I31" s="89" t="s">
        <v>0</v>
      </c>
      <c r="J31" s="88"/>
      <c r="K31" s="104" t="s">
        <v>0</v>
      </c>
      <c r="L31" s="88"/>
      <c r="M31" s="104" t="s">
        <v>0</v>
      </c>
      <c r="N31" s="88"/>
      <c r="O31" s="104" t="s">
        <v>0</v>
      </c>
      <c r="P31" s="88"/>
    </row>
    <row r="32" spans="1:16">
      <c r="A32" s="1" t="s">
        <v>282</v>
      </c>
      <c r="B32" s="88">
        <f>+B139</f>
        <v>0</v>
      </c>
      <c r="C32" s="89">
        <v>0</v>
      </c>
      <c r="D32" s="88">
        <f>+D139</f>
        <v>0</v>
      </c>
      <c r="E32" s="89">
        <v>0</v>
      </c>
      <c r="F32" s="88">
        <f>+F139</f>
        <v>0</v>
      </c>
      <c r="G32" s="89">
        <v>0</v>
      </c>
      <c r="H32" s="88">
        <f>+H139</f>
        <v>0</v>
      </c>
      <c r="I32" s="89">
        <v>0</v>
      </c>
      <c r="J32" s="88">
        <f>+J139</f>
        <v>0</v>
      </c>
      <c r="K32" s="89">
        <v>0</v>
      </c>
      <c r="L32" s="88">
        <f>+L139</f>
        <v>0</v>
      </c>
      <c r="M32" s="89">
        <v>0</v>
      </c>
      <c r="N32" s="88">
        <v>0</v>
      </c>
      <c r="O32" s="89">
        <v>0</v>
      </c>
      <c r="P32" s="88">
        <v>0</v>
      </c>
    </row>
    <row r="33" spans="1:21">
      <c r="A33" s="1" t="s">
        <v>283</v>
      </c>
      <c r="B33" s="88">
        <f>+B140</f>
        <v>0</v>
      </c>
      <c r="C33" s="89">
        <v>0</v>
      </c>
      <c r="D33" s="88">
        <f>+D140</f>
        <v>0</v>
      </c>
      <c r="E33" s="89">
        <v>0</v>
      </c>
      <c r="F33" s="88">
        <f>+F140</f>
        <v>0</v>
      </c>
      <c r="G33" s="89">
        <v>0</v>
      </c>
      <c r="H33" s="88">
        <f>+H140</f>
        <v>0</v>
      </c>
      <c r="I33" s="89">
        <v>0</v>
      </c>
      <c r="J33" s="88">
        <f>+J140</f>
        <v>0</v>
      </c>
      <c r="K33" s="89">
        <v>0</v>
      </c>
      <c r="L33" s="88">
        <f>+L140</f>
        <v>0</v>
      </c>
      <c r="M33" s="89">
        <v>0</v>
      </c>
      <c r="N33" s="88">
        <v>0</v>
      </c>
      <c r="O33" s="89">
        <v>0</v>
      </c>
      <c r="P33" s="88">
        <v>0</v>
      </c>
    </row>
    <row r="34" spans="1:21" ht="18">
      <c r="A34" s="1" t="s">
        <v>284</v>
      </c>
      <c r="B34" s="221">
        <v>108982</v>
      </c>
      <c r="C34" s="89">
        <v>0</v>
      </c>
      <c r="D34" s="221">
        <v>0</v>
      </c>
      <c r="E34" s="89">
        <v>0</v>
      </c>
      <c r="F34" s="221">
        <v>0</v>
      </c>
      <c r="G34" s="89">
        <v>0</v>
      </c>
      <c r="H34" s="221">
        <v>0</v>
      </c>
      <c r="I34" s="104">
        <f>+(B34-J34)/ABS(J34)</f>
        <v>0.15114129688506756</v>
      </c>
      <c r="J34" s="221">
        <v>94673</v>
      </c>
      <c r="K34" s="104">
        <f>+(J34-L34)/L34</f>
        <v>-2.1740702852950596E-2</v>
      </c>
      <c r="L34" s="221">
        <v>96777</v>
      </c>
      <c r="M34" s="104">
        <f>+(L34-N34)/N34</f>
        <v>0.36946388595654595</v>
      </c>
      <c r="N34" s="221">
        <v>70667.8</v>
      </c>
      <c r="O34" s="104">
        <f>+(N34-P34)/P34</f>
        <v>0.42715869106841625</v>
      </c>
      <c r="P34" s="221">
        <f>49516427.6/1000</f>
        <v>49516.427600000003</v>
      </c>
      <c r="Q34" s="6"/>
      <c r="R34" s="6"/>
      <c r="S34" s="7"/>
      <c r="T34" s="7"/>
      <c r="U34" s="7"/>
    </row>
    <row r="35" spans="1:21">
      <c r="A35" s="1"/>
      <c r="B35" s="88">
        <f>SUM(B32:B34)</f>
        <v>108982</v>
      </c>
      <c r="C35" s="89">
        <v>0</v>
      </c>
      <c r="D35" s="88">
        <f>SUM(D32:D34)</f>
        <v>0</v>
      </c>
      <c r="E35" s="89">
        <v>0</v>
      </c>
      <c r="F35" s="88">
        <f>SUM(F32:F34)</f>
        <v>0</v>
      </c>
      <c r="G35" s="89">
        <v>0</v>
      </c>
      <c r="H35" s="88">
        <f>SUM(H32:H34)</f>
        <v>0</v>
      </c>
      <c r="I35" s="104">
        <f>+(B35-J35)/ABS(J35)</f>
        <v>0.15114129688506756</v>
      </c>
      <c r="J35" s="88">
        <f>SUM(J32:J34)</f>
        <v>94673</v>
      </c>
      <c r="K35" s="104">
        <f>+(J35-L35)/L35</f>
        <v>-2.1740702852950596E-2</v>
      </c>
      <c r="L35" s="88">
        <f>SUM(L32:L34)</f>
        <v>96777</v>
      </c>
      <c r="M35" s="104">
        <f>+(L35-N35)/N35</f>
        <v>0.36946388595654595</v>
      </c>
      <c r="N35" s="88">
        <f>SUM(N32:N34)</f>
        <v>70667.8</v>
      </c>
      <c r="O35" s="104">
        <f>+(N35-P35)/P35</f>
        <v>0.42715869106841625</v>
      </c>
      <c r="P35" s="88">
        <f>SUM(P32:P34)</f>
        <v>49516.427600000003</v>
      </c>
    </row>
    <row r="36" spans="1:21" ht="7.15" customHeight="1">
      <c r="A36" s="1"/>
      <c r="B36" s="88"/>
      <c r="C36" s="89" t="s">
        <v>0</v>
      </c>
      <c r="D36" s="88"/>
      <c r="E36" s="89" t="s">
        <v>0</v>
      </c>
      <c r="F36" s="88"/>
      <c r="G36" s="89" t="s">
        <v>0</v>
      </c>
      <c r="H36" s="88"/>
      <c r="I36" s="89" t="s">
        <v>0</v>
      </c>
      <c r="J36" s="88"/>
      <c r="K36" s="104" t="s">
        <v>0</v>
      </c>
      <c r="L36" s="88"/>
      <c r="M36" s="104" t="s">
        <v>0</v>
      </c>
      <c r="N36" s="88"/>
      <c r="O36" s="104" t="s">
        <v>0</v>
      </c>
      <c r="P36" s="88"/>
    </row>
    <row r="37" spans="1:21">
      <c r="A37" s="1" t="s">
        <v>285</v>
      </c>
      <c r="B37" s="88"/>
      <c r="C37" s="89" t="s">
        <v>0</v>
      </c>
      <c r="D37" s="88"/>
      <c r="E37" s="89" t="s">
        <v>0</v>
      </c>
      <c r="F37" s="88"/>
      <c r="G37" s="89" t="s">
        <v>0</v>
      </c>
      <c r="H37" s="88"/>
      <c r="I37" s="89" t="s">
        <v>0</v>
      </c>
      <c r="J37" s="88"/>
      <c r="K37" s="104" t="s">
        <v>0</v>
      </c>
      <c r="L37" s="88"/>
      <c r="M37" s="104" t="s">
        <v>0</v>
      </c>
      <c r="N37" s="88"/>
      <c r="O37" s="104" t="s">
        <v>0</v>
      </c>
      <c r="P37" s="88"/>
    </row>
    <row r="38" spans="1:21">
      <c r="A38" s="1" t="s">
        <v>282</v>
      </c>
      <c r="B38" s="88">
        <v>5671</v>
      </c>
      <c r="C38" s="89">
        <v>0</v>
      </c>
      <c r="D38" s="88">
        <v>0</v>
      </c>
      <c r="E38" s="89">
        <v>0</v>
      </c>
      <c r="F38" s="88">
        <v>0</v>
      </c>
      <c r="G38" s="89">
        <v>0</v>
      </c>
      <c r="H38" s="88">
        <v>0</v>
      </c>
      <c r="I38" s="104">
        <f>+(B38-J38)/ABS(J38)</f>
        <v>-0.82091201920040424</v>
      </c>
      <c r="J38" s="88">
        <v>31666</v>
      </c>
      <c r="K38" s="89">
        <v>0</v>
      </c>
      <c r="L38" s="88">
        <f>+L146</f>
        <v>0</v>
      </c>
      <c r="M38" s="89">
        <v>0</v>
      </c>
      <c r="N38" s="88">
        <v>0</v>
      </c>
      <c r="O38" s="89">
        <v>0</v>
      </c>
      <c r="P38" s="88">
        <v>0</v>
      </c>
    </row>
    <row r="39" spans="1:21">
      <c r="A39" s="1" t="s">
        <v>286</v>
      </c>
      <c r="B39" s="88">
        <f>+B147</f>
        <v>0</v>
      </c>
      <c r="C39" s="89">
        <v>0</v>
      </c>
      <c r="D39" s="88">
        <f>+D147</f>
        <v>0</v>
      </c>
      <c r="E39" s="89">
        <v>0</v>
      </c>
      <c r="F39" s="88">
        <f>+F147</f>
        <v>0</v>
      </c>
      <c r="G39" s="89">
        <v>0</v>
      </c>
      <c r="H39" s="88">
        <f>+H147</f>
        <v>0</v>
      </c>
      <c r="I39" s="89">
        <v>0</v>
      </c>
      <c r="J39" s="88">
        <f>+J147</f>
        <v>0</v>
      </c>
      <c r="K39" s="89">
        <v>0</v>
      </c>
      <c r="L39" s="88">
        <f>+L147</f>
        <v>0</v>
      </c>
      <c r="M39" s="89">
        <v>0</v>
      </c>
      <c r="N39" s="88">
        <v>0</v>
      </c>
      <c r="O39" s="89">
        <v>0</v>
      </c>
      <c r="P39" s="88">
        <v>0</v>
      </c>
    </row>
    <row r="40" spans="1:21">
      <c r="A40" s="1" t="s">
        <v>284</v>
      </c>
      <c r="B40" s="221">
        <v>36133</v>
      </c>
      <c r="C40" s="89">
        <v>0</v>
      </c>
      <c r="D40" s="221">
        <v>0</v>
      </c>
      <c r="E40" s="89">
        <v>0</v>
      </c>
      <c r="F40" s="221">
        <v>0</v>
      </c>
      <c r="G40" s="89">
        <v>0</v>
      </c>
      <c r="H40" s="221">
        <v>0</v>
      </c>
      <c r="I40" s="104">
        <f>+(B40-J40)/ABS(J40)</f>
        <v>-2.3326846145529247E-2</v>
      </c>
      <c r="J40" s="221">
        <v>36996</v>
      </c>
      <c r="K40" s="104">
        <f>+(J40-L40)/L40</f>
        <v>7.2347826086956515E-2</v>
      </c>
      <c r="L40" s="221">
        <v>34500</v>
      </c>
      <c r="M40" s="104">
        <f>+(L40-N40)/N40</f>
        <v>-0.40309456539228794</v>
      </c>
      <c r="N40" s="221">
        <v>57798.1</v>
      </c>
      <c r="O40" s="104">
        <f>+(N40-P40)/P40</f>
        <v>-7.8879281631399137E-2</v>
      </c>
      <c r="P40" s="221">
        <f>62747584.38/1000</f>
        <v>62747.58438</v>
      </c>
    </row>
    <row r="41" spans="1:21">
      <c r="A41" s="1"/>
      <c r="B41" s="88">
        <f>SUM(B38:B40)</f>
        <v>41804</v>
      </c>
      <c r="C41" s="89">
        <v>0</v>
      </c>
      <c r="D41" s="88">
        <f>SUM(D38:D40)</f>
        <v>0</v>
      </c>
      <c r="E41" s="89">
        <v>0</v>
      </c>
      <c r="F41" s="88">
        <f>SUM(F38:F40)</f>
        <v>0</v>
      </c>
      <c r="G41" s="89">
        <v>0</v>
      </c>
      <c r="H41" s="88">
        <f>SUM(H38:H40)</f>
        <v>0</v>
      </c>
      <c r="I41" s="104">
        <f>+(B41-J41)/ABS(J41)</f>
        <v>-0.39116250618974108</v>
      </c>
      <c r="J41" s="88">
        <f>SUM(J38:J40)</f>
        <v>68662</v>
      </c>
      <c r="K41" s="104">
        <f>+(J41-L41)/L41</f>
        <v>0.99020289855072463</v>
      </c>
      <c r="L41" s="88">
        <f>SUM(L38:L40)</f>
        <v>34500</v>
      </c>
      <c r="M41" s="104">
        <f>+(L41-N41)/N41</f>
        <v>-0.40309456539228794</v>
      </c>
      <c r="N41" s="88">
        <f>SUM(N38:N40)</f>
        <v>57798.1</v>
      </c>
      <c r="O41" s="104">
        <f>+(N41-P41)/P41</f>
        <v>-7.8879281631399137E-2</v>
      </c>
      <c r="P41" s="88">
        <f>SUM(P38:P40)</f>
        <v>62747.58438</v>
      </c>
    </row>
    <row r="42" spans="1:21" ht="8.4499999999999993" customHeight="1">
      <c r="A42" s="1"/>
      <c r="B42" s="88"/>
      <c r="C42" s="89" t="s">
        <v>0</v>
      </c>
      <c r="D42" s="88"/>
      <c r="E42" s="89" t="s">
        <v>0</v>
      </c>
      <c r="F42" s="88"/>
      <c r="G42" s="89" t="s">
        <v>0</v>
      </c>
      <c r="H42" s="88"/>
      <c r="I42" s="104" t="s">
        <v>0</v>
      </c>
      <c r="J42" s="88"/>
      <c r="K42" s="104" t="s">
        <v>0</v>
      </c>
      <c r="L42" s="88"/>
      <c r="M42" s="104" t="s">
        <v>0</v>
      </c>
      <c r="N42" s="88"/>
      <c r="O42" s="104" t="s">
        <v>0</v>
      </c>
      <c r="P42" s="88"/>
    </row>
    <row r="43" spans="1:21" ht="18">
      <c r="A43" s="1" t="s">
        <v>287</v>
      </c>
      <c r="B43" s="221">
        <v>2841</v>
      </c>
      <c r="C43" s="89">
        <v>0</v>
      </c>
      <c r="D43" s="221">
        <v>0</v>
      </c>
      <c r="E43" s="89">
        <v>0</v>
      </c>
      <c r="F43" s="221">
        <v>0</v>
      </c>
      <c r="G43" s="89">
        <v>0</v>
      </c>
      <c r="H43" s="221">
        <v>0</v>
      </c>
      <c r="I43" s="104">
        <f>+(B43-J43)/ABS(J43)</f>
        <v>1.0557163531114326</v>
      </c>
      <c r="J43" s="221">
        <v>1382</v>
      </c>
      <c r="K43" s="104">
        <f>+(J43-L43)/L43</f>
        <v>-0.76588175503981026</v>
      </c>
      <c r="L43" s="221">
        <v>5903</v>
      </c>
      <c r="M43" s="104">
        <f>+(L43-N43)/N43</f>
        <v>3.1717314487632509</v>
      </c>
      <c r="N43" s="221">
        <v>1415</v>
      </c>
      <c r="O43" s="113">
        <f>+(N43-P43)/P43</f>
        <v>24.847949755239096</v>
      </c>
      <c r="P43" s="221">
        <f>54743.22/1000</f>
        <v>54.743220000000001</v>
      </c>
      <c r="Q43" s="6"/>
      <c r="R43" s="6"/>
    </row>
    <row r="44" spans="1:21">
      <c r="A44" s="1"/>
      <c r="B44" s="88">
        <f>+B29+B35+B41+B43</f>
        <v>2109990</v>
      </c>
      <c r="C44" s="89">
        <v>0</v>
      </c>
      <c r="D44" s="88">
        <f>+D29+D35+D41+D43</f>
        <v>0</v>
      </c>
      <c r="E44" s="89">
        <v>0</v>
      </c>
      <c r="F44" s="88">
        <f>+F29+F35+F41+F43</f>
        <v>0</v>
      </c>
      <c r="G44" s="89">
        <v>0</v>
      </c>
      <c r="H44" s="88">
        <f>+H29+H35+H41+H43</f>
        <v>0</v>
      </c>
      <c r="I44" s="104">
        <f>+(B44-J44)/ABS(J44)</f>
        <v>6.2981713101387268E-2</v>
      </c>
      <c r="J44" s="88">
        <f>+J29+J35+J41+J43</f>
        <v>1984973</v>
      </c>
      <c r="K44" s="104">
        <f>+(J44-L44)/L44</f>
        <v>0.15658443443417197</v>
      </c>
      <c r="L44" s="88">
        <f>+L29+L35+L41+L43</f>
        <v>1716237</v>
      </c>
      <c r="M44" s="104">
        <f>+(L44-N44)/N44</f>
        <v>0.20029709545135516</v>
      </c>
      <c r="N44" s="88">
        <f>+N29+N35+N41+N43</f>
        <v>1429843.5000000002</v>
      </c>
      <c r="O44" s="113">
        <f>+(N44-P44)/P44</f>
        <v>0.1734787027496969</v>
      </c>
      <c r="P44" s="88">
        <f>+P29+P35+P41+P43</f>
        <v>1218465.6582599999</v>
      </c>
    </row>
    <row r="45" spans="1:21" ht="13.9" customHeight="1">
      <c r="A45" s="1"/>
      <c r="B45" s="88"/>
      <c r="C45" s="89" t="s">
        <v>0</v>
      </c>
      <c r="D45" s="88"/>
      <c r="E45" s="89" t="s">
        <v>0</v>
      </c>
      <c r="F45" s="88"/>
      <c r="G45" s="89" t="s">
        <v>0</v>
      </c>
      <c r="H45" s="88"/>
      <c r="I45" s="89" t="s">
        <v>0</v>
      </c>
      <c r="J45" s="88"/>
      <c r="K45" s="104" t="s">
        <v>0</v>
      </c>
      <c r="L45" s="88"/>
      <c r="M45" s="104" t="s">
        <v>0</v>
      </c>
      <c r="N45" s="88"/>
      <c r="O45" s="104" t="s">
        <v>0</v>
      </c>
      <c r="P45" s="88"/>
    </row>
    <row r="46" spans="1:21">
      <c r="A46" s="2" t="s">
        <v>288</v>
      </c>
      <c r="B46" s="88"/>
      <c r="C46" s="89" t="s">
        <v>0</v>
      </c>
      <c r="D46" s="88"/>
      <c r="E46" s="89" t="s">
        <v>0</v>
      </c>
      <c r="F46" s="88"/>
      <c r="G46" s="89" t="s">
        <v>0</v>
      </c>
      <c r="H46" s="88"/>
      <c r="I46" s="89" t="s">
        <v>0</v>
      </c>
      <c r="J46" s="88"/>
      <c r="K46" s="104" t="s">
        <v>0</v>
      </c>
      <c r="L46" s="88"/>
      <c r="M46" s="104" t="s">
        <v>0</v>
      </c>
      <c r="N46" s="88"/>
      <c r="O46" s="104" t="s">
        <v>0</v>
      </c>
      <c r="P46" s="88"/>
    </row>
    <row r="47" spans="1:21">
      <c r="A47" s="1" t="s">
        <v>289</v>
      </c>
      <c r="B47" s="88">
        <v>36935</v>
      </c>
      <c r="C47" s="89">
        <v>0</v>
      </c>
      <c r="D47" s="88">
        <v>0</v>
      </c>
      <c r="E47" s="89">
        <v>0</v>
      </c>
      <c r="F47" s="88">
        <v>0</v>
      </c>
      <c r="G47" s="89">
        <v>0</v>
      </c>
      <c r="H47" s="88">
        <v>0</v>
      </c>
      <c r="I47" s="104">
        <f t="shared" ref="I47:I52" si="5">+(B47-J47)/ABS(J47)</f>
        <v>0</v>
      </c>
      <c r="J47" s="88">
        <v>36935</v>
      </c>
      <c r="K47" s="104">
        <f>+(J47-L47)/L47</f>
        <v>-6.7640692640692638E-4</v>
      </c>
      <c r="L47" s="88">
        <v>36960</v>
      </c>
      <c r="M47" s="104">
        <f>+(L47-N47)/N47</f>
        <v>0.22722609050792414</v>
      </c>
      <c r="N47" s="88">
        <v>30116.7</v>
      </c>
      <c r="O47" s="104">
        <f>+(N47-P47)/P47</f>
        <v>0.18819369442677283</v>
      </c>
      <c r="P47" s="88">
        <f>25346625/1000</f>
        <v>25346.625</v>
      </c>
    </row>
    <row r="48" spans="1:21">
      <c r="A48" s="1" t="s">
        <v>290</v>
      </c>
      <c r="B48" s="88">
        <v>1939</v>
      </c>
      <c r="C48" s="89">
        <v>0</v>
      </c>
      <c r="D48" s="88">
        <v>0</v>
      </c>
      <c r="E48" s="89">
        <v>0</v>
      </c>
      <c r="F48" s="88">
        <v>0</v>
      </c>
      <c r="G48" s="89">
        <v>0</v>
      </c>
      <c r="H48" s="88">
        <v>0</v>
      </c>
      <c r="I48" s="104">
        <f t="shared" si="5"/>
        <v>0</v>
      </c>
      <c r="J48" s="88">
        <v>1939</v>
      </c>
      <c r="K48" s="89">
        <v>0</v>
      </c>
      <c r="L48" s="88">
        <f>+L166</f>
        <v>0</v>
      </c>
      <c r="M48" s="104">
        <f>+(L48-N48)/N48</f>
        <v>-1</v>
      </c>
      <c r="N48" s="88">
        <v>9611.1</v>
      </c>
      <c r="O48" s="104">
        <f>+(N48-P48)/P48</f>
        <v>-0.28020940588236765</v>
      </c>
      <c r="P48" s="88">
        <f>13352633.5/1000</f>
        <v>13352.6335</v>
      </c>
    </row>
    <row r="49" spans="1:21">
      <c r="A49" s="1" t="s">
        <v>291</v>
      </c>
      <c r="B49" s="88">
        <v>12722</v>
      </c>
      <c r="C49" s="89">
        <v>0</v>
      </c>
      <c r="D49" s="88">
        <v>0</v>
      </c>
      <c r="E49" s="89">
        <v>0</v>
      </c>
      <c r="F49" s="88">
        <v>0</v>
      </c>
      <c r="G49" s="89">
        <v>0</v>
      </c>
      <c r="H49" s="88">
        <v>0</v>
      </c>
      <c r="I49" s="104">
        <f t="shared" si="5"/>
        <v>-2.3575638506876227E-4</v>
      </c>
      <c r="J49" s="88">
        <v>12725</v>
      </c>
      <c r="K49" s="89">
        <v>0</v>
      </c>
      <c r="L49" s="88">
        <v>12868</v>
      </c>
      <c r="M49" s="104"/>
      <c r="N49" s="88">
        <v>5887.8</v>
      </c>
      <c r="O49" s="104"/>
      <c r="P49" s="88"/>
    </row>
    <row r="50" spans="1:21" ht="18">
      <c r="A50" s="1" t="s">
        <v>292</v>
      </c>
      <c r="B50" s="221">
        <v>-46402</v>
      </c>
      <c r="C50" s="89">
        <v>0</v>
      </c>
      <c r="D50" s="221">
        <v>0</v>
      </c>
      <c r="E50" s="89">
        <v>0</v>
      </c>
      <c r="F50" s="221">
        <v>0</v>
      </c>
      <c r="G50" s="89">
        <v>0</v>
      </c>
      <c r="H50" s="221">
        <v>0</v>
      </c>
      <c r="I50" s="104">
        <f t="shared" si="5"/>
        <v>-2.433620663020978</v>
      </c>
      <c r="J50" s="221">
        <v>32367</v>
      </c>
      <c r="K50" s="104">
        <f>+(-J50+L50)/J50</f>
        <v>0.20032749405258443</v>
      </c>
      <c r="L50" s="221">
        <f>12015+26836</f>
        <v>38851</v>
      </c>
      <c r="M50" s="104">
        <f>+(L50-N50)/N50</f>
        <v>0.93814072983961483</v>
      </c>
      <c r="N50" s="221">
        <v>20045.5</v>
      </c>
      <c r="O50" s="104">
        <f>+(N50-P50)/P50</f>
        <v>-0.16069266451916345</v>
      </c>
      <c r="P50" s="221">
        <f>23883384.73/1000</f>
        <v>23883.384730000002</v>
      </c>
      <c r="Q50" s="6"/>
      <c r="R50" s="6"/>
      <c r="S50" s="7"/>
      <c r="T50" s="7"/>
      <c r="U50" s="7"/>
    </row>
    <row r="51" spans="1:21" ht="16.5" thickBot="1">
      <c r="A51" s="1" t="s">
        <v>275</v>
      </c>
      <c r="B51" s="99">
        <f>SUM(B47:B50)</f>
        <v>5194</v>
      </c>
      <c r="C51" s="89">
        <v>0</v>
      </c>
      <c r="D51" s="99">
        <f>SUM(D47:D50)</f>
        <v>0</v>
      </c>
      <c r="E51" s="89">
        <v>0</v>
      </c>
      <c r="F51" s="99">
        <f>SUM(F47:F50)</f>
        <v>0</v>
      </c>
      <c r="G51" s="89">
        <v>0</v>
      </c>
      <c r="H51" s="99">
        <f>SUM(H47:H50)</f>
        <v>0</v>
      </c>
      <c r="I51" s="104">
        <f t="shared" si="5"/>
        <v>-0.93814162875449592</v>
      </c>
      <c r="J51" s="99">
        <f>SUM(J47:J50)</f>
        <v>83966</v>
      </c>
      <c r="K51" s="104">
        <f>+(-J51+L51)/J51</f>
        <v>5.6129862087035229E-2</v>
      </c>
      <c r="L51" s="99">
        <f>SUM(L47:L50)</f>
        <v>88679</v>
      </c>
      <c r="M51" s="104">
        <f>+(L51-N51)/N51</f>
        <v>0.35055611313243296</v>
      </c>
      <c r="N51" s="99">
        <f>SUM(N47:N50)</f>
        <v>65661.100000000006</v>
      </c>
      <c r="O51" s="104">
        <f>+(N51-P51)/P51</f>
        <v>4.9190264442590628E-2</v>
      </c>
      <c r="P51" s="99">
        <f>SUM(P47:P50)</f>
        <v>62582.643230000001</v>
      </c>
    </row>
    <row r="52" spans="1:21">
      <c r="A52" s="1" t="s">
        <v>0</v>
      </c>
      <c r="B52" s="91">
        <f>+B29+B35+B41+B43+B51</f>
        <v>2115184</v>
      </c>
      <c r="C52" s="89">
        <v>0</v>
      </c>
      <c r="D52" s="91">
        <f>+D29+D35+D41+D43+D51</f>
        <v>0</v>
      </c>
      <c r="E52" s="89">
        <v>0</v>
      </c>
      <c r="F52" s="91">
        <f>+F29+F35+F41+F43+F51</f>
        <v>0</v>
      </c>
      <c r="G52" s="89">
        <v>0</v>
      </c>
      <c r="H52" s="91">
        <f>+H29+H35+H41+H43+H51</f>
        <v>0</v>
      </c>
      <c r="I52" s="104">
        <f t="shared" si="5"/>
        <v>2.2352036478600866E-2</v>
      </c>
      <c r="J52" s="91">
        <f>+J29+J35+J41+J43+J51</f>
        <v>2068939</v>
      </c>
      <c r="K52" s="104">
        <f>+(J52-L52)/L52</f>
        <v>0.14627993768131037</v>
      </c>
      <c r="L52" s="91">
        <f>+L29+L35+L41+L43+L51</f>
        <v>1804916</v>
      </c>
      <c r="M52" s="104">
        <f>+(L52-N52)/N52</f>
        <v>0.20689431513617518</v>
      </c>
      <c r="N52" s="91">
        <f>+N29+N35+N41+N43+N51</f>
        <v>1495504.6000000003</v>
      </c>
      <c r="O52" s="104">
        <f>+(N52-P52)/P52</f>
        <v>0.16740687939757157</v>
      </c>
      <c r="P52" s="91">
        <f>+P29+P35+P41+P43+P51</f>
        <v>1281048.30149</v>
      </c>
    </row>
    <row r="53" spans="1:21">
      <c r="A53" s="1"/>
      <c r="B53" s="91"/>
      <c r="C53" s="100"/>
      <c r="D53" s="91"/>
      <c r="E53" s="100"/>
      <c r="F53" s="91"/>
      <c r="G53" s="100"/>
      <c r="H53" s="91"/>
      <c r="I53" s="100"/>
      <c r="J53" s="91"/>
      <c r="K53" s="100"/>
      <c r="L53" s="91"/>
      <c r="M53" s="100"/>
      <c r="N53" s="91"/>
      <c r="O53" s="100"/>
      <c r="P53" s="91"/>
    </row>
    <row r="55" spans="1:21">
      <c r="A55" s="185" t="s">
        <v>293</v>
      </c>
    </row>
    <row r="56" spans="1:21">
      <c r="A56" t="s">
        <v>294</v>
      </c>
      <c r="B56" s="3">
        <v>0</v>
      </c>
      <c r="C56" s="41"/>
      <c r="D56" s="3">
        <v>0</v>
      </c>
      <c r="E56" s="104" t="s">
        <v>0</v>
      </c>
      <c r="F56" s="3">
        <v>0</v>
      </c>
      <c r="G56" s="41"/>
      <c r="H56" s="3">
        <v>0</v>
      </c>
      <c r="I56" s="41" t="s">
        <v>0</v>
      </c>
      <c r="J56" s="3">
        <v>63</v>
      </c>
      <c r="L56" s="3">
        <v>53</v>
      </c>
      <c r="M56" s="3"/>
      <c r="N56" s="3">
        <v>1117.48</v>
      </c>
      <c r="O56" s="3"/>
      <c r="P56" s="3">
        <v>707.9</v>
      </c>
    </row>
    <row r="57" spans="1:21">
      <c r="A57" t="s">
        <v>295</v>
      </c>
      <c r="B57" s="3">
        <v>0</v>
      </c>
      <c r="C57" s="41"/>
      <c r="D57" s="3">
        <v>0</v>
      </c>
      <c r="E57" s="41"/>
      <c r="F57" s="3">
        <v>0</v>
      </c>
      <c r="G57" s="41"/>
      <c r="H57" s="41">
        <v>0</v>
      </c>
      <c r="I57" s="41"/>
      <c r="J57" s="41">
        <v>0</v>
      </c>
      <c r="L57" s="41">
        <v>0</v>
      </c>
      <c r="M57" s="3"/>
      <c r="N57" s="3">
        <v>2425</v>
      </c>
      <c r="O57" s="3"/>
      <c r="P57" s="3">
        <v>1872.6</v>
      </c>
    </row>
    <row r="58" spans="1:21">
      <c r="A58" t="s">
        <v>284</v>
      </c>
      <c r="B58" s="3">
        <v>67451</v>
      </c>
      <c r="C58" s="41"/>
      <c r="D58" s="3">
        <v>0</v>
      </c>
      <c r="E58" s="41"/>
      <c r="F58" s="3">
        <v>0</v>
      </c>
      <c r="G58" s="41"/>
      <c r="H58" s="3">
        <v>0</v>
      </c>
      <c r="I58" s="41"/>
      <c r="J58" s="3">
        <f>5088+77188</f>
        <v>82276</v>
      </c>
      <c r="L58" s="3">
        <f>71947+9759+1106</f>
        <v>82812</v>
      </c>
      <c r="M58" s="3"/>
      <c r="N58" s="3">
        <v>-3542.48</v>
      </c>
      <c r="O58" s="3"/>
      <c r="P58" s="3">
        <v>-2580.5</v>
      </c>
    </row>
    <row r="59" spans="1:21">
      <c r="C59" s="41"/>
      <c r="D59" s="41"/>
      <c r="E59" s="41"/>
      <c r="F59" s="41"/>
      <c r="G59" s="41"/>
      <c r="H59" s="41"/>
      <c r="I59" s="41"/>
      <c r="J59" s="41"/>
      <c r="L59" s="41"/>
      <c r="M59" s="3"/>
      <c r="O59" s="3"/>
    </row>
    <row r="60" spans="1:21" ht="18.75">
      <c r="A60" s="122" t="s">
        <v>303</v>
      </c>
      <c r="B60" s="3">
        <v>785886</v>
      </c>
      <c r="C60" s="41"/>
      <c r="D60" s="3">
        <v>0</v>
      </c>
      <c r="E60" s="41"/>
      <c r="F60" s="3">
        <v>0</v>
      </c>
      <c r="G60" s="41"/>
      <c r="H60" s="3">
        <v>0</v>
      </c>
      <c r="I60" s="41"/>
      <c r="J60" s="3">
        <v>737060</v>
      </c>
      <c r="L60" s="3">
        <f>690667+9573</f>
        <v>700240</v>
      </c>
      <c r="M60" s="3"/>
      <c r="N60" s="3">
        <v>603075.69999999995</v>
      </c>
      <c r="O60" s="3"/>
      <c r="P60" s="3">
        <v>360324.9</v>
      </c>
    </row>
    <row r="61" spans="1:21">
      <c r="A61" t="s">
        <v>217</v>
      </c>
      <c r="B61" s="3">
        <v>39216</v>
      </c>
      <c r="C61" s="41"/>
      <c r="D61" s="3">
        <v>0</v>
      </c>
      <c r="E61" s="41"/>
      <c r="F61" s="3">
        <v>0</v>
      </c>
      <c r="G61" s="41"/>
      <c r="H61" s="3">
        <v>0</v>
      </c>
      <c r="I61" s="41"/>
      <c r="J61" s="3">
        <v>38890</v>
      </c>
      <c r="L61" s="3">
        <v>37699</v>
      </c>
      <c r="M61" s="3"/>
      <c r="N61" s="3">
        <v>29284.1</v>
      </c>
      <c r="O61" s="3"/>
      <c r="P61" s="3">
        <v>28025.599999999999</v>
      </c>
    </row>
    <row r="62" spans="1:21">
      <c r="A62" t="s">
        <v>297</v>
      </c>
      <c r="B62" s="3">
        <v>68389</v>
      </c>
      <c r="C62" s="41"/>
      <c r="D62" s="3">
        <v>0</v>
      </c>
      <c r="E62" s="41"/>
      <c r="F62" s="3">
        <v>0</v>
      </c>
      <c r="G62" s="41"/>
      <c r="H62" s="3">
        <v>0</v>
      </c>
      <c r="I62" s="41"/>
      <c r="J62" s="3">
        <v>66797</v>
      </c>
      <c r="L62" s="3">
        <f>22163+56827+18320</f>
        <v>97310</v>
      </c>
      <c r="N62" s="3">
        <v>24491.5</v>
      </c>
      <c r="P62" s="3">
        <v>17448.900000000001</v>
      </c>
    </row>
    <row r="67" spans="1:15">
      <c r="B67" s="5" t="s">
        <v>548</v>
      </c>
      <c r="D67" s="5" t="s">
        <v>549</v>
      </c>
      <c r="F67" s="5" t="s">
        <v>138</v>
      </c>
      <c r="H67" s="5" t="s">
        <v>528</v>
      </c>
    </row>
    <row r="69" spans="1:15">
      <c r="A69" t="s">
        <v>414</v>
      </c>
      <c r="B69" s="4">
        <f>SUM(B70:B78)</f>
        <v>678982.05000000016</v>
      </c>
      <c r="C69" s="11" t="s">
        <v>0</v>
      </c>
      <c r="D69" s="4">
        <f>SUM(D70:D78)</f>
        <v>0</v>
      </c>
      <c r="E69" s="11" t="s">
        <v>0</v>
      </c>
      <c r="F69" s="4">
        <f>SUM(F70:F78)</f>
        <v>0</v>
      </c>
      <c r="G69" s="11" t="s">
        <v>0</v>
      </c>
      <c r="H69" s="4">
        <f>SUM(H70:H78)</f>
        <v>0</v>
      </c>
      <c r="I69" s="11" t="s">
        <v>0</v>
      </c>
      <c r="J69" s="4">
        <f>SUM(J70:J78)</f>
        <v>0</v>
      </c>
      <c r="K69" s="11" t="s">
        <v>0</v>
      </c>
      <c r="L69" s="4">
        <f>SUM(L70:L78)</f>
        <v>0</v>
      </c>
      <c r="M69" s="11" t="s">
        <v>0</v>
      </c>
      <c r="O69" s="11" t="s">
        <v>0</v>
      </c>
    </row>
    <row r="70" spans="1:15">
      <c r="A70" t="s">
        <v>461</v>
      </c>
      <c r="B70" s="3">
        <f>77548403/1000</f>
        <v>77548.403000000006</v>
      </c>
      <c r="D70" s="3">
        <v>0</v>
      </c>
      <c r="F70" s="3">
        <v>0</v>
      </c>
      <c r="H70" s="3">
        <v>0</v>
      </c>
    </row>
    <row r="71" spans="1:15">
      <c r="A71" t="s">
        <v>462</v>
      </c>
      <c r="B71" s="3">
        <f>63906243/1000</f>
        <v>63906.243000000002</v>
      </c>
      <c r="D71" s="3">
        <v>0</v>
      </c>
      <c r="F71" s="3">
        <v>0</v>
      </c>
      <c r="H71" s="3">
        <v>0</v>
      </c>
    </row>
    <row r="72" spans="1:15">
      <c r="A72" t="s">
        <v>463</v>
      </c>
      <c r="B72" s="3">
        <f>12282544/1000</f>
        <v>12282.544</v>
      </c>
      <c r="D72" s="3">
        <v>0</v>
      </c>
      <c r="F72" s="3">
        <v>0</v>
      </c>
      <c r="H72" s="3">
        <v>0</v>
      </c>
    </row>
    <row r="73" spans="1:15">
      <c r="A73" t="s">
        <v>606</v>
      </c>
      <c r="B73" s="3">
        <v>55000</v>
      </c>
      <c r="D73" s="3">
        <v>0</v>
      </c>
      <c r="F73" s="3">
        <v>0</v>
      </c>
      <c r="H73" s="3">
        <v>0</v>
      </c>
    </row>
    <row r="74" spans="1:15">
      <c r="A74" t="s">
        <v>464</v>
      </c>
      <c r="B74" s="3">
        <f>200832188/1000</f>
        <v>200832.18799999999</v>
      </c>
      <c r="D74" s="3">
        <v>0</v>
      </c>
      <c r="F74" s="3">
        <v>0</v>
      </c>
      <c r="H74" s="3">
        <v>0</v>
      </c>
    </row>
    <row r="75" spans="1:15">
      <c r="A75" t="s">
        <v>466</v>
      </c>
      <c r="B75" s="3">
        <f>183700053/1000</f>
        <v>183700.05300000001</v>
      </c>
      <c r="D75" s="3">
        <v>0</v>
      </c>
      <c r="F75" s="3">
        <v>0</v>
      </c>
      <c r="H75" s="3">
        <v>0</v>
      </c>
    </row>
    <row r="76" spans="1:15">
      <c r="A76" t="s">
        <v>467</v>
      </c>
      <c r="B76" s="3">
        <f>76172292/1000</f>
        <v>76172.292000000001</v>
      </c>
      <c r="D76" s="3">
        <v>0</v>
      </c>
      <c r="F76" s="3">
        <v>0</v>
      </c>
      <c r="H76" s="3">
        <v>0</v>
      </c>
    </row>
    <row r="77" spans="1:15">
      <c r="A77" t="s">
        <v>468</v>
      </c>
      <c r="B77" s="3">
        <f>3524197/1000</f>
        <v>3524.1970000000001</v>
      </c>
      <c r="D77" s="3">
        <v>0</v>
      </c>
      <c r="F77" s="3">
        <v>0</v>
      </c>
      <c r="H77" s="3">
        <v>0</v>
      </c>
    </row>
    <row r="78" spans="1:15">
      <c r="A78" t="s">
        <v>469</v>
      </c>
      <c r="B78" s="3">
        <f>6016130/1000</f>
        <v>6016.13</v>
      </c>
      <c r="D78" s="3">
        <v>0</v>
      </c>
      <c r="F78" s="3">
        <v>0</v>
      </c>
      <c r="H78" s="3">
        <v>0</v>
      </c>
    </row>
    <row r="80" spans="1:15">
      <c r="A80" t="s">
        <v>470</v>
      </c>
      <c r="B80" s="4">
        <f>SUM(B81:B82)</f>
        <v>133688.87900000002</v>
      </c>
      <c r="C80" s="11" t="s">
        <v>0</v>
      </c>
      <c r="D80" s="4">
        <f>SUM(D81:D82)</f>
        <v>0</v>
      </c>
      <c r="E80" s="11" t="s">
        <v>0</v>
      </c>
      <c r="F80" s="4">
        <f>SUM(F81:F82)</f>
        <v>0</v>
      </c>
      <c r="G80" s="11">
        <f t="shared" ref="G80:O80" si="6">SUM(G81:G82)</f>
        <v>0</v>
      </c>
      <c r="H80" s="4">
        <f>SUM(H81:H82)</f>
        <v>0</v>
      </c>
      <c r="I80" s="11">
        <f t="shared" si="6"/>
        <v>0</v>
      </c>
      <c r="J80" s="4">
        <f t="shared" si="6"/>
        <v>0</v>
      </c>
      <c r="K80" s="11">
        <f t="shared" si="6"/>
        <v>0</v>
      </c>
      <c r="L80" s="4">
        <f t="shared" si="6"/>
        <v>0</v>
      </c>
      <c r="M80" s="11">
        <f t="shared" si="6"/>
        <v>0</v>
      </c>
      <c r="O80" s="11">
        <f t="shared" si="6"/>
        <v>0</v>
      </c>
    </row>
    <row r="81" spans="1:15">
      <c r="A81" t="s">
        <v>471</v>
      </c>
      <c r="B81" s="3">
        <f>62680034/1000</f>
        <v>62680.034</v>
      </c>
      <c r="D81" s="3">
        <v>0</v>
      </c>
      <c r="F81" s="3">
        <v>0</v>
      </c>
      <c r="H81" s="3">
        <v>0</v>
      </c>
    </row>
    <row r="82" spans="1:15">
      <c r="A82" t="s">
        <v>472</v>
      </c>
      <c r="B82" s="3">
        <f>71008845/1000</f>
        <v>71008.845000000001</v>
      </c>
      <c r="D82" s="3">
        <v>0</v>
      </c>
      <c r="F82" s="3">
        <v>0</v>
      </c>
      <c r="H82" s="3">
        <v>0</v>
      </c>
    </row>
    <row r="84" spans="1:15">
      <c r="A84" t="s">
        <v>473</v>
      </c>
      <c r="B84" s="4">
        <f>SUM(B85:B95)</f>
        <v>639195.33299999987</v>
      </c>
      <c r="C84" s="11" t="s">
        <v>0</v>
      </c>
      <c r="D84" s="4">
        <f>SUM(D85:D95)</f>
        <v>0</v>
      </c>
      <c r="E84" s="11" t="s">
        <v>0</v>
      </c>
      <c r="F84" s="4">
        <f>SUM(F85:F95)</f>
        <v>0</v>
      </c>
      <c r="G84" s="11">
        <f t="shared" ref="G84:O84" si="7">SUM(G85:G95)</f>
        <v>0</v>
      </c>
      <c r="H84" s="4">
        <f>SUM(H85:H95)</f>
        <v>0</v>
      </c>
      <c r="I84" s="11">
        <f t="shared" si="7"/>
        <v>0</v>
      </c>
      <c r="J84" s="4">
        <f t="shared" si="7"/>
        <v>0</v>
      </c>
      <c r="K84" s="11">
        <f t="shared" si="7"/>
        <v>0</v>
      </c>
      <c r="L84" s="4">
        <f t="shared" si="7"/>
        <v>0</v>
      </c>
      <c r="M84" s="11">
        <f t="shared" si="7"/>
        <v>0</v>
      </c>
      <c r="O84" s="11">
        <f t="shared" si="7"/>
        <v>0</v>
      </c>
    </row>
    <row r="85" spans="1:15">
      <c r="A85" t="s">
        <v>474</v>
      </c>
      <c r="B85" s="3">
        <v>0</v>
      </c>
      <c r="D85" s="3">
        <v>0</v>
      </c>
      <c r="F85" s="3">
        <v>0</v>
      </c>
      <c r="H85" s="3">
        <v>0</v>
      </c>
    </row>
    <row r="86" spans="1:15">
      <c r="A86" t="s">
        <v>475</v>
      </c>
      <c r="B86" s="3">
        <f>230316845/1000</f>
        <v>230316.845</v>
      </c>
      <c r="D86" s="3">
        <v>0</v>
      </c>
      <c r="F86" s="3">
        <v>0</v>
      </c>
      <c r="H86" s="3">
        <v>0</v>
      </c>
    </row>
    <row r="87" spans="1:15">
      <c r="A87" t="s">
        <v>607</v>
      </c>
      <c r="B87" s="3">
        <f>392756279/1000</f>
        <v>392756.27899999998</v>
      </c>
      <c r="D87" s="3">
        <v>0</v>
      </c>
      <c r="F87" s="3">
        <v>0</v>
      </c>
      <c r="H87" s="3">
        <v>0</v>
      </c>
    </row>
    <row r="88" spans="1:15">
      <c r="A88" t="s">
        <v>608</v>
      </c>
      <c r="B88" s="3">
        <f>10721264/1000</f>
        <v>10721.263999999999</v>
      </c>
      <c r="D88" s="3">
        <v>0</v>
      </c>
      <c r="F88" s="3">
        <v>0</v>
      </c>
      <c r="H88" s="3">
        <v>0</v>
      </c>
    </row>
    <row r="89" spans="1:15">
      <c r="A89" t="s">
        <v>478</v>
      </c>
      <c r="B89" s="3">
        <v>0</v>
      </c>
      <c r="D89" s="3">
        <v>0</v>
      </c>
      <c r="F89" s="3">
        <v>0</v>
      </c>
      <c r="H89" s="3">
        <v>0</v>
      </c>
    </row>
    <row r="90" spans="1:15">
      <c r="A90" t="s">
        <v>479</v>
      </c>
      <c r="B90" s="3">
        <v>0</v>
      </c>
      <c r="D90" s="3">
        <v>0</v>
      </c>
      <c r="F90" s="3">
        <v>0</v>
      </c>
      <c r="H90" s="3">
        <v>0</v>
      </c>
    </row>
    <row r="91" spans="1:15">
      <c r="A91" t="s">
        <v>480</v>
      </c>
      <c r="B91" s="3">
        <v>0</v>
      </c>
      <c r="D91" s="3">
        <v>0</v>
      </c>
      <c r="F91" s="3">
        <v>0</v>
      </c>
      <c r="H91" s="3">
        <v>0</v>
      </c>
    </row>
    <row r="92" spans="1:15">
      <c r="A92" t="s">
        <v>481</v>
      </c>
      <c r="B92" s="3">
        <v>0</v>
      </c>
      <c r="D92" s="3">
        <v>0</v>
      </c>
      <c r="F92" s="3">
        <v>0</v>
      </c>
      <c r="H92" s="3">
        <v>0</v>
      </c>
    </row>
    <row r="93" spans="1:15">
      <c r="A93" t="s">
        <v>482</v>
      </c>
      <c r="B93" s="3">
        <v>0</v>
      </c>
      <c r="D93" s="3">
        <v>0</v>
      </c>
      <c r="F93" s="3">
        <v>0</v>
      </c>
      <c r="H93" s="3">
        <v>0</v>
      </c>
    </row>
    <row r="94" spans="1:15">
      <c r="A94" t="s">
        <v>483</v>
      </c>
      <c r="B94" s="3">
        <f>38651882/1000</f>
        <v>38651.881999999998</v>
      </c>
      <c r="D94" s="3">
        <v>0</v>
      </c>
      <c r="F94" s="3">
        <v>0</v>
      </c>
      <c r="H94" s="3">
        <v>0</v>
      </c>
    </row>
    <row r="95" spans="1:15">
      <c r="A95" t="s">
        <v>484</v>
      </c>
      <c r="B95" s="3">
        <f>-33250937/1000</f>
        <v>-33250.936999999998</v>
      </c>
      <c r="D95" s="3">
        <v>0</v>
      </c>
      <c r="F95" s="3">
        <v>0</v>
      </c>
      <c r="H95" s="3">
        <v>0</v>
      </c>
    </row>
    <row r="97" spans="1:15">
      <c r="A97" t="s">
        <v>485</v>
      </c>
      <c r="B97" s="4">
        <f>SUM(B98:B101)</f>
        <v>26434.23</v>
      </c>
      <c r="C97" s="11" t="s">
        <v>0</v>
      </c>
      <c r="D97" s="4">
        <f>SUM(D98:D101)</f>
        <v>0</v>
      </c>
      <c r="E97" s="11" t="s">
        <v>0</v>
      </c>
      <c r="F97" s="4">
        <f>SUM(F98:F101)</f>
        <v>0</v>
      </c>
      <c r="G97" s="11">
        <f t="shared" ref="G97:O97" si="8">SUM(G98:G101)</f>
        <v>0</v>
      </c>
      <c r="H97" s="4">
        <f>SUM(H98:H101)</f>
        <v>0</v>
      </c>
      <c r="I97" s="11">
        <f t="shared" si="8"/>
        <v>0</v>
      </c>
      <c r="J97" s="4">
        <f t="shared" si="8"/>
        <v>0</v>
      </c>
      <c r="K97" s="11">
        <f t="shared" si="8"/>
        <v>0</v>
      </c>
      <c r="L97" s="4">
        <f t="shared" si="8"/>
        <v>0</v>
      </c>
      <c r="M97" s="11">
        <f t="shared" si="8"/>
        <v>0</v>
      </c>
      <c r="O97" s="11">
        <f t="shared" si="8"/>
        <v>0</v>
      </c>
    </row>
    <row r="98" spans="1:15">
      <c r="A98" t="s">
        <v>486</v>
      </c>
      <c r="B98" s="3">
        <f>16866703/1000</f>
        <v>16866.703000000001</v>
      </c>
      <c r="D98" s="3">
        <v>0</v>
      </c>
      <c r="F98" s="3">
        <v>0</v>
      </c>
      <c r="H98" s="3">
        <v>0</v>
      </c>
    </row>
    <row r="99" spans="1:15">
      <c r="A99" t="s">
        <v>487</v>
      </c>
      <c r="B99" s="3">
        <f>7731425/1000</f>
        <v>7731.4250000000002</v>
      </c>
      <c r="D99" s="3">
        <v>0</v>
      </c>
      <c r="F99" s="3">
        <v>0</v>
      </c>
      <c r="H99" s="3">
        <v>0</v>
      </c>
    </row>
    <row r="100" spans="1:15">
      <c r="A100" t="s">
        <v>488</v>
      </c>
      <c r="B100" s="3">
        <v>0</v>
      </c>
      <c r="D100" s="3">
        <v>0</v>
      </c>
      <c r="F100" s="3">
        <v>0</v>
      </c>
      <c r="H100" s="3">
        <v>0</v>
      </c>
    </row>
    <row r="101" spans="1:15">
      <c r="A101" t="s">
        <v>489</v>
      </c>
      <c r="B101" s="3">
        <f>1836102/1000</f>
        <v>1836.1020000000001</v>
      </c>
      <c r="D101" s="3">
        <v>0</v>
      </c>
      <c r="F101" s="3">
        <v>0</v>
      </c>
      <c r="H101" s="3">
        <v>0</v>
      </c>
    </row>
    <row r="103" spans="1:15">
      <c r="A103" t="s">
        <v>490</v>
      </c>
      <c r="B103" s="4">
        <f>5425136/1000</f>
        <v>5425.1360000000004</v>
      </c>
      <c r="C103" s="11" t="s">
        <v>0</v>
      </c>
      <c r="D103" s="4">
        <v>0</v>
      </c>
      <c r="E103" s="11" t="s">
        <v>0</v>
      </c>
      <c r="F103" s="4">
        <v>0</v>
      </c>
      <c r="G103" s="11">
        <v>0</v>
      </c>
      <c r="H103" s="4">
        <v>0</v>
      </c>
      <c r="I103" s="11">
        <v>0</v>
      </c>
      <c r="J103" s="4">
        <v>0</v>
      </c>
      <c r="K103" s="11">
        <v>0</v>
      </c>
      <c r="L103" s="4">
        <v>0</v>
      </c>
      <c r="M103" s="11">
        <v>0</v>
      </c>
      <c r="N103" s="3">
        <v>0</v>
      </c>
      <c r="O103" s="11">
        <v>0</v>
      </c>
    </row>
    <row r="104" spans="1:15">
      <c r="B104" s="3" t="s">
        <v>0</v>
      </c>
      <c r="D104" s="3" t="s">
        <v>0</v>
      </c>
      <c r="F104" s="3" t="s">
        <v>0</v>
      </c>
      <c r="H104" s="3" t="s">
        <v>0</v>
      </c>
    </row>
    <row r="105" spans="1:15">
      <c r="A105" t="s">
        <v>491</v>
      </c>
      <c r="B105" s="4">
        <f>70106597/1000</f>
        <v>70106.596999999994</v>
      </c>
      <c r="D105" s="4">
        <v>0</v>
      </c>
      <c r="F105" s="4">
        <v>0</v>
      </c>
      <c r="H105" s="4">
        <v>0</v>
      </c>
    </row>
    <row r="107" spans="1:15">
      <c r="A107" t="s">
        <v>492</v>
      </c>
      <c r="B107" s="4">
        <f>SUM(B108:B111)</f>
        <v>117083.66499999999</v>
      </c>
      <c r="C107" s="11" t="s">
        <v>0</v>
      </c>
      <c r="D107" s="4">
        <f>SUM(D108:D111)</f>
        <v>0</v>
      </c>
      <c r="E107" s="11" t="s">
        <v>0</v>
      </c>
      <c r="F107" s="4">
        <f>SUM(F108:F111)</f>
        <v>0</v>
      </c>
      <c r="G107" s="11">
        <f t="shared" ref="G107:O107" si="9">SUM(G108:G111)</f>
        <v>0</v>
      </c>
      <c r="H107" s="4">
        <f>SUM(H108:H111)</f>
        <v>0</v>
      </c>
      <c r="I107" s="11">
        <f t="shared" si="9"/>
        <v>0</v>
      </c>
      <c r="J107" s="4">
        <f t="shared" si="9"/>
        <v>0</v>
      </c>
      <c r="K107" s="11">
        <f t="shared" si="9"/>
        <v>0</v>
      </c>
      <c r="L107" s="4">
        <f t="shared" si="9"/>
        <v>0</v>
      </c>
      <c r="M107" s="11">
        <f t="shared" si="9"/>
        <v>0</v>
      </c>
      <c r="O107" s="11">
        <f t="shared" si="9"/>
        <v>0</v>
      </c>
    </row>
    <row r="108" spans="1:15">
      <c r="A108" t="s">
        <v>493</v>
      </c>
      <c r="B108" s="3">
        <f>135265315/1000</f>
        <v>135265.315</v>
      </c>
      <c r="D108" s="3">
        <v>0</v>
      </c>
      <c r="F108" s="3">
        <v>0</v>
      </c>
      <c r="H108" s="3">
        <v>0</v>
      </c>
    </row>
    <row r="109" spans="1:15">
      <c r="A109" t="s">
        <v>494</v>
      </c>
      <c r="B109" s="3">
        <f>15633452/1000</f>
        <v>15633.451999999999</v>
      </c>
      <c r="D109" s="3">
        <v>0</v>
      </c>
      <c r="F109" s="3">
        <v>0</v>
      </c>
      <c r="H109" s="3">
        <v>0</v>
      </c>
    </row>
    <row r="110" spans="1:15">
      <c r="A110" t="s">
        <v>495</v>
      </c>
      <c r="B110" s="3">
        <f>-33815102/1000</f>
        <v>-33815.101999999999</v>
      </c>
      <c r="D110" s="3">
        <v>0</v>
      </c>
      <c r="F110" s="3">
        <v>0</v>
      </c>
      <c r="H110" s="3">
        <v>0</v>
      </c>
    </row>
    <row r="111" spans="1:15">
      <c r="A111" t="s">
        <v>496</v>
      </c>
      <c r="B111" s="3">
        <v>0</v>
      </c>
      <c r="D111" s="3">
        <v>0</v>
      </c>
      <c r="F111" s="3">
        <v>0</v>
      </c>
      <c r="H111" s="3">
        <v>0</v>
      </c>
    </row>
    <row r="113" spans="1:15">
      <c r="A113" t="s">
        <v>497</v>
      </c>
      <c r="B113" s="3">
        <f>11712412/1000</f>
        <v>11712.412</v>
      </c>
      <c r="D113" s="3">
        <v>0</v>
      </c>
      <c r="F113" s="3">
        <v>0</v>
      </c>
      <c r="H113" s="3">
        <v>0</v>
      </c>
    </row>
    <row r="115" spans="1:15">
      <c r="A115" s="2" t="s">
        <v>498</v>
      </c>
      <c r="B115" s="4">
        <f>+B69+B80+B84+B97+B103+B105+B107+B113</f>
        <v>1682628.3020000001</v>
      </c>
      <c r="C115" s="11" t="s">
        <v>0</v>
      </c>
      <c r="D115" s="4">
        <f>+D69+D80+D84+D97+D103+D105+D107+D113</f>
        <v>0</v>
      </c>
      <c r="E115" s="11" t="s">
        <v>0</v>
      </c>
      <c r="F115" s="4">
        <f>+F69+F80+F84+F97+F103+F105+F107+F113</f>
        <v>0</v>
      </c>
      <c r="G115" s="11" t="s">
        <v>0</v>
      </c>
      <c r="H115" s="4">
        <f>+H69+H80+H84+H97+H103+H105+H107+H113</f>
        <v>0</v>
      </c>
      <c r="I115" s="11" t="s">
        <v>0</v>
      </c>
      <c r="J115" s="4">
        <f t="shared" ref="J115:O115" si="10">+J69+J80+J84+J97+J103+J105+J107+J113</f>
        <v>0</v>
      </c>
      <c r="K115" s="11" t="e">
        <f t="shared" si="10"/>
        <v>#VALUE!</v>
      </c>
      <c r="L115" s="4">
        <f t="shared" si="10"/>
        <v>0</v>
      </c>
      <c r="M115" s="11" t="e">
        <f t="shared" si="10"/>
        <v>#VALUE!</v>
      </c>
      <c r="O115" s="11" t="e">
        <f t="shared" si="10"/>
        <v>#VALUE!</v>
      </c>
    </row>
    <row r="118" spans="1:15">
      <c r="A118" t="s">
        <v>276</v>
      </c>
    </row>
    <row r="120" spans="1:15">
      <c r="A120" t="s">
        <v>499</v>
      </c>
      <c r="B120" s="4">
        <f>SUM(B121:B122)</f>
        <v>386048.15299999999</v>
      </c>
      <c r="C120" s="11"/>
      <c r="D120" s="4">
        <f>SUM(D121:D122)</f>
        <v>0</v>
      </c>
      <c r="E120" s="11"/>
      <c r="F120" s="4">
        <f>SUM(F121:F122)</f>
        <v>0</v>
      </c>
      <c r="G120" s="11"/>
      <c r="H120" s="4">
        <f>SUM(H121:H122)</f>
        <v>0</v>
      </c>
      <c r="I120" s="11"/>
      <c r="J120" s="4"/>
      <c r="K120" s="11"/>
      <c r="L120" s="4"/>
      <c r="M120" s="11"/>
      <c r="O120" s="11"/>
    </row>
    <row r="121" spans="1:15">
      <c r="A121" t="s">
        <v>500</v>
      </c>
      <c r="B121" s="3">
        <f>374597287/1000</f>
        <v>374597.28700000001</v>
      </c>
      <c r="D121" s="3">
        <v>0</v>
      </c>
      <c r="F121" s="3">
        <v>0</v>
      </c>
      <c r="H121" s="3">
        <v>0</v>
      </c>
    </row>
    <row r="122" spans="1:15">
      <c r="A122" t="s">
        <v>501</v>
      </c>
      <c r="B122" s="3">
        <f>11450866/1000</f>
        <v>11450.866</v>
      </c>
      <c r="D122" s="3">
        <v>0</v>
      </c>
      <c r="F122" s="3">
        <v>0</v>
      </c>
      <c r="H122" s="3">
        <v>0</v>
      </c>
    </row>
    <row r="123" spans="1:15">
      <c r="A123" t="s">
        <v>0</v>
      </c>
    </row>
    <row r="124" spans="1:15">
      <c r="A124" t="s">
        <v>502</v>
      </c>
      <c r="B124" s="4">
        <f>650551198/1000</f>
        <v>650551.19799999997</v>
      </c>
      <c r="C124" s="11"/>
      <c r="D124" s="4">
        <v>0</v>
      </c>
      <c r="E124" s="11"/>
      <c r="F124" s="4">
        <v>0</v>
      </c>
      <c r="G124" s="11"/>
      <c r="H124" s="4">
        <v>0</v>
      </c>
      <c r="I124" s="11"/>
      <c r="J124" s="4"/>
      <c r="K124" s="11"/>
      <c r="L124" s="4"/>
      <c r="M124" s="11"/>
      <c r="O124" s="11"/>
    </row>
    <row r="126" spans="1:15">
      <c r="A126" t="s">
        <v>503</v>
      </c>
      <c r="B126" s="4">
        <f>366484784/1000</f>
        <v>366484.78399999999</v>
      </c>
      <c r="C126" s="11"/>
      <c r="D126" s="4">
        <v>0</v>
      </c>
      <c r="E126" s="11"/>
      <c r="F126" s="4">
        <v>0</v>
      </c>
      <c r="G126" s="11"/>
      <c r="H126" s="4">
        <v>0</v>
      </c>
      <c r="I126" s="11"/>
      <c r="J126" s="4"/>
      <c r="K126" s="11"/>
      <c r="L126" s="4"/>
      <c r="M126" s="11"/>
      <c r="O126" s="11"/>
    </row>
    <row r="128" spans="1:15">
      <c r="A128" t="s">
        <v>504</v>
      </c>
      <c r="B128" s="4">
        <f>SUM(B129:B141)</f>
        <v>103917.208</v>
      </c>
      <c r="C128" s="11"/>
      <c r="D128" s="4">
        <f>SUM(D129:D141)</f>
        <v>0</v>
      </c>
      <c r="E128" s="11"/>
      <c r="F128" s="4">
        <f>SUM(F129:F141)</f>
        <v>0</v>
      </c>
      <c r="G128" s="11"/>
      <c r="H128" s="4">
        <f>SUM(H129:H141)</f>
        <v>0</v>
      </c>
      <c r="I128" s="11"/>
      <c r="J128" s="4"/>
      <c r="K128" s="11"/>
      <c r="L128" s="4"/>
      <c r="M128" s="11"/>
      <c r="O128" s="11"/>
    </row>
    <row r="129" spans="1:15">
      <c r="A129" t="s">
        <v>505</v>
      </c>
      <c r="B129" s="3">
        <f>42859320/1000</f>
        <v>42859.32</v>
      </c>
      <c r="D129" s="3">
        <v>0</v>
      </c>
      <c r="F129" s="3">
        <v>0</v>
      </c>
      <c r="H129" s="3">
        <v>0</v>
      </c>
    </row>
    <row r="130" spans="1:15">
      <c r="A130" t="s">
        <v>506</v>
      </c>
      <c r="B130" s="3">
        <v>0</v>
      </c>
      <c r="D130" s="3">
        <v>0</v>
      </c>
      <c r="F130" s="3">
        <v>0</v>
      </c>
      <c r="H130" s="3">
        <v>0</v>
      </c>
    </row>
    <row r="131" spans="1:15">
      <c r="A131" t="s">
        <v>507</v>
      </c>
      <c r="B131" s="3">
        <f>-692109/1000</f>
        <v>-692.10900000000004</v>
      </c>
      <c r="D131" s="3">
        <v>0</v>
      </c>
      <c r="F131" s="3">
        <v>0</v>
      </c>
      <c r="H131" s="3">
        <v>0</v>
      </c>
    </row>
    <row r="132" spans="1:15">
      <c r="A132" t="s">
        <v>508</v>
      </c>
      <c r="B132" s="3">
        <f>997331/1000</f>
        <v>997.33100000000002</v>
      </c>
      <c r="D132" s="3">
        <v>0</v>
      </c>
      <c r="F132" s="3">
        <v>0</v>
      </c>
      <c r="H132" s="3">
        <v>0</v>
      </c>
    </row>
    <row r="133" spans="1:15">
      <c r="A133" t="s">
        <v>509</v>
      </c>
      <c r="B133" s="3">
        <v>0</v>
      </c>
      <c r="D133" s="3">
        <v>0</v>
      </c>
      <c r="F133" s="3">
        <v>0</v>
      </c>
      <c r="H133" s="3">
        <v>0</v>
      </c>
    </row>
    <row r="134" spans="1:15">
      <c r="A134" t="s">
        <v>510</v>
      </c>
      <c r="B134" s="3">
        <f>7837574/1000</f>
        <v>7837.5739999999996</v>
      </c>
      <c r="D134" s="3">
        <v>0</v>
      </c>
      <c r="F134" s="3">
        <v>0</v>
      </c>
      <c r="H134" s="3">
        <v>0</v>
      </c>
    </row>
    <row r="135" spans="1:15">
      <c r="A135" t="s">
        <v>511</v>
      </c>
      <c r="B135" s="3">
        <f>1134743/1000</f>
        <v>1134.7429999999999</v>
      </c>
      <c r="D135" s="3">
        <v>0</v>
      </c>
      <c r="F135" s="3">
        <v>0</v>
      </c>
      <c r="H135" s="3">
        <v>0</v>
      </c>
    </row>
    <row r="136" spans="1:15">
      <c r="A136" t="s">
        <v>512</v>
      </c>
      <c r="B136" s="3">
        <f>20222243/1000</f>
        <v>20222.242999999999</v>
      </c>
      <c r="D136" s="3">
        <v>0</v>
      </c>
      <c r="F136" s="3">
        <v>0</v>
      </c>
      <c r="H136" s="3">
        <v>0</v>
      </c>
    </row>
    <row r="137" spans="1:15">
      <c r="A137" t="s">
        <v>513</v>
      </c>
      <c r="B137" s="3">
        <f>2715770/1000</f>
        <v>2715.77</v>
      </c>
      <c r="D137" s="3">
        <v>0</v>
      </c>
      <c r="F137" s="3">
        <v>0</v>
      </c>
      <c r="H137" s="3">
        <v>0</v>
      </c>
    </row>
    <row r="138" spans="1:15">
      <c r="A138" t="s">
        <v>514</v>
      </c>
      <c r="B138" s="3">
        <v>0</v>
      </c>
      <c r="D138" s="3">
        <v>0</v>
      </c>
      <c r="F138" s="3">
        <v>0</v>
      </c>
      <c r="H138" s="3">
        <v>0</v>
      </c>
    </row>
    <row r="139" spans="1:15">
      <c r="A139" t="s">
        <v>515</v>
      </c>
      <c r="B139" s="3">
        <v>0</v>
      </c>
      <c r="D139" s="3">
        <v>0</v>
      </c>
      <c r="F139" s="3">
        <v>0</v>
      </c>
      <c r="H139" s="3">
        <v>0</v>
      </c>
    </row>
    <row r="140" spans="1:15">
      <c r="A140" t="s">
        <v>516</v>
      </c>
      <c r="B140" s="3">
        <v>0</v>
      </c>
      <c r="D140" s="3">
        <v>0</v>
      </c>
      <c r="F140" s="3">
        <v>0</v>
      </c>
      <c r="H140" s="3">
        <v>0</v>
      </c>
    </row>
    <row r="141" spans="1:15">
      <c r="A141" t="s">
        <v>273</v>
      </c>
      <c r="B141" s="3">
        <f>28842336/1000</f>
        <v>28842.335999999999</v>
      </c>
      <c r="D141" s="3">
        <v>0</v>
      </c>
      <c r="F141" s="3">
        <v>0</v>
      </c>
      <c r="H141" s="3">
        <v>0</v>
      </c>
    </row>
    <row r="143" spans="1:15">
      <c r="A143" t="s">
        <v>517</v>
      </c>
      <c r="B143" s="4">
        <f>SUM(B144:B150)</f>
        <v>44826.691000000006</v>
      </c>
      <c r="C143" s="11"/>
      <c r="D143" s="4">
        <f>SUM(D144:D150)</f>
        <v>0</v>
      </c>
      <c r="E143" s="11"/>
      <c r="F143" s="4">
        <f>SUM(F144:F150)</f>
        <v>0</v>
      </c>
      <c r="G143" s="11"/>
      <c r="H143" s="4">
        <f>SUM(H144:H150)</f>
        <v>0</v>
      </c>
      <c r="I143" s="11"/>
      <c r="J143" s="4"/>
      <c r="K143" s="11"/>
      <c r="L143" s="4"/>
      <c r="M143" s="11"/>
      <c r="O143" s="11"/>
    </row>
    <row r="144" spans="1:15">
      <c r="A144" t="s">
        <v>518</v>
      </c>
      <c r="B144" s="3">
        <f>12707182/1000</f>
        <v>12707.182000000001</v>
      </c>
      <c r="D144" s="3">
        <v>0</v>
      </c>
      <c r="F144" s="3">
        <v>0</v>
      </c>
      <c r="H144" s="3">
        <v>0</v>
      </c>
    </row>
    <row r="145" spans="1:15">
      <c r="A145" t="s">
        <v>519</v>
      </c>
      <c r="B145" s="3">
        <v>0</v>
      </c>
      <c r="D145" s="3">
        <v>0</v>
      </c>
      <c r="F145" s="3">
        <v>0</v>
      </c>
      <c r="H145" s="3">
        <v>0</v>
      </c>
    </row>
    <row r="146" spans="1:15">
      <c r="A146" t="s">
        <v>520</v>
      </c>
      <c r="B146" s="3">
        <v>0</v>
      </c>
      <c r="D146" s="3">
        <v>0</v>
      </c>
      <c r="F146" s="3">
        <v>0</v>
      </c>
      <c r="H146" s="3">
        <v>0</v>
      </c>
    </row>
    <row r="147" spans="1:15">
      <c r="A147" t="s">
        <v>521</v>
      </c>
      <c r="B147" s="3">
        <v>0</v>
      </c>
      <c r="D147" s="3">
        <v>0</v>
      </c>
      <c r="F147" s="3">
        <v>0</v>
      </c>
      <c r="H147" s="3">
        <v>0</v>
      </c>
    </row>
    <row r="148" spans="1:15">
      <c r="A148" t="s">
        <v>522</v>
      </c>
      <c r="B148" s="3">
        <v>0</v>
      </c>
      <c r="D148" s="3">
        <v>0</v>
      </c>
      <c r="F148" s="3">
        <v>0</v>
      </c>
      <c r="H148" s="3">
        <v>0</v>
      </c>
    </row>
    <row r="149" spans="1:15">
      <c r="A149" t="s">
        <v>523</v>
      </c>
      <c r="B149" s="3">
        <f>20805588/1000</f>
        <v>20805.588</v>
      </c>
      <c r="D149" s="3">
        <v>0</v>
      </c>
      <c r="F149" s="3">
        <v>0</v>
      </c>
      <c r="H149" s="3">
        <v>0</v>
      </c>
    </row>
    <row r="150" spans="1:15">
      <c r="A150" t="s">
        <v>524</v>
      </c>
      <c r="B150" s="3">
        <f>11313921/1000</f>
        <v>11313.921</v>
      </c>
      <c r="D150" s="3">
        <v>0</v>
      </c>
      <c r="F150" s="3">
        <v>0</v>
      </c>
      <c r="H150" s="3">
        <v>0</v>
      </c>
    </row>
    <row r="152" spans="1:15">
      <c r="A152" t="s">
        <v>525</v>
      </c>
      <c r="B152" s="4">
        <v>0</v>
      </c>
      <c r="C152" s="11"/>
      <c r="D152" s="4">
        <v>0</v>
      </c>
      <c r="E152" s="11"/>
      <c r="F152" s="4">
        <v>0</v>
      </c>
      <c r="G152" s="11"/>
      <c r="H152" s="4">
        <v>0</v>
      </c>
      <c r="I152" s="11"/>
      <c r="J152" s="4"/>
      <c r="K152" s="11"/>
      <c r="L152" s="4"/>
      <c r="M152" s="11"/>
      <c r="O152" s="11"/>
    </row>
    <row r="154" spans="1:15">
      <c r="A154" t="s">
        <v>609</v>
      </c>
      <c r="B154" s="4">
        <f>806278/1000</f>
        <v>806.27800000000002</v>
      </c>
      <c r="C154" s="11"/>
      <c r="D154" s="4">
        <v>0</v>
      </c>
      <c r="E154" s="11"/>
      <c r="F154" s="4">
        <v>0</v>
      </c>
      <c r="G154" s="11"/>
      <c r="H154" s="4">
        <v>0</v>
      </c>
      <c r="I154" s="11"/>
      <c r="J154" s="4"/>
      <c r="K154" s="11"/>
      <c r="L154" s="4"/>
      <c r="M154" s="11"/>
      <c r="O154" s="11"/>
    </row>
    <row r="156" spans="1:15">
      <c r="A156" t="s">
        <v>375</v>
      </c>
      <c r="B156" s="4">
        <v>0</v>
      </c>
      <c r="C156" s="11"/>
      <c r="D156" s="4">
        <v>0</v>
      </c>
      <c r="E156" s="11"/>
      <c r="F156" s="4">
        <v>0</v>
      </c>
      <c r="G156" s="11"/>
      <c r="H156" s="4">
        <v>0</v>
      </c>
      <c r="I156" s="11"/>
      <c r="J156" s="4"/>
      <c r="K156" s="11"/>
      <c r="L156" s="4"/>
      <c r="M156" s="11"/>
      <c r="O156" s="11"/>
    </row>
    <row r="158" spans="1:15">
      <c r="A158" t="s">
        <v>376</v>
      </c>
      <c r="B158" s="4">
        <f>+B161+B162+B163+B164</f>
        <v>74993.994999999995</v>
      </c>
      <c r="C158" s="11"/>
      <c r="D158" s="4">
        <f>+D162+D163+D164</f>
        <v>0</v>
      </c>
      <c r="E158" s="11"/>
      <c r="F158" s="4">
        <f>+F162+F163+F164</f>
        <v>0</v>
      </c>
      <c r="G158" s="11"/>
      <c r="H158" s="4">
        <f>+H162+H163+H164</f>
        <v>0</v>
      </c>
      <c r="I158" s="11"/>
      <c r="J158" s="4"/>
      <c r="K158" s="11"/>
      <c r="L158" s="4"/>
      <c r="M158" s="11"/>
      <c r="O158" s="11"/>
    </row>
    <row r="159" spans="1:15">
      <c r="A159" t="s">
        <v>377</v>
      </c>
      <c r="B159" s="3">
        <f>37500000/1000</f>
        <v>37500</v>
      </c>
      <c r="D159" s="3">
        <v>0</v>
      </c>
      <c r="F159" s="3">
        <v>0</v>
      </c>
      <c r="H159" s="3">
        <v>0</v>
      </c>
    </row>
    <row r="160" spans="1:15">
      <c r="A160" t="s">
        <v>378</v>
      </c>
      <c r="B160" s="3">
        <f>+(-1335625-804750)/1000</f>
        <v>-2140.375</v>
      </c>
      <c r="D160" s="3">
        <v>0</v>
      </c>
      <c r="F160" s="3">
        <v>0</v>
      </c>
      <c r="H160" s="3">
        <v>0</v>
      </c>
    </row>
    <row r="161" spans="1:15">
      <c r="A161" t="s">
        <v>302</v>
      </c>
      <c r="B161" s="3">
        <f>11238041/1000</f>
        <v>11238.040999999999</v>
      </c>
      <c r="D161" s="3">
        <v>0</v>
      </c>
      <c r="F161" s="3">
        <v>0</v>
      </c>
      <c r="H161" s="3">
        <v>0</v>
      </c>
    </row>
    <row r="162" spans="1:15">
      <c r="A162" t="s">
        <v>289</v>
      </c>
      <c r="B162" s="4">
        <f>+B159+B160</f>
        <v>35359.625</v>
      </c>
      <c r="D162" s="4">
        <f>+D159+D160</f>
        <v>0</v>
      </c>
      <c r="F162" s="4">
        <f>+F159+F160</f>
        <v>0</v>
      </c>
      <c r="H162" s="4">
        <f>+H159+H160</f>
        <v>0</v>
      </c>
    </row>
    <row r="163" spans="1:15">
      <c r="A163" t="s">
        <v>379</v>
      </c>
      <c r="B163" s="3">
        <f>26835884/1000</f>
        <v>26835.883999999998</v>
      </c>
      <c r="D163" s="3">
        <v>0</v>
      </c>
      <c r="F163" s="3">
        <v>0</v>
      </c>
      <c r="H163" s="3">
        <v>0</v>
      </c>
    </row>
    <row r="164" spans="1:15">
      <c r="A164" t="s">
        <v>380</v>
      </c>
      <c r="B164" s="3">
        <f>1560445/1000</f>
        <v>1560.4449999999999</v>
      </c>
      <c r="D164" s="3">
        <v>0</v>
      </c>
      <c r="F164" s="3">
        <v>0</v>
      </c>
      <c r="H164" s="3">
        <v>0</v>
      </c>
    </row>
    <row r="166" spans="1:15">
      <c r="A166" t="s">
        <v>381</v>
      </c>
      <c r="B166" s="4">
        <f>SUM(B167:B168)</f>
        <v>0</v>
      </c>
      <c r="C166" s="11"/>
      <c r="D166" s="4">
        <f>SUM(D167:D168)</f>
        <v>0</v>
      </c>
      <c r="E166" s="11"/>
      <c r="F166" s="4">
        <f>SUM(F167:F168)</f>
        <v>0</v>
      </c>
      <c r="G166" s="11"/>
      <c r="H166" s="4">
        <f>SUM(H167:H168)</f>
        <v>0</v>
      </c>
      <c r="I166" s="11"/>
      <c r="J166" s="4"/>
      <c r="K166" s="11"/>
      <c r="L166" s="4"/>
      <c r="M166" s="11"/>
      <c r="O166" s="11"/>
    </row>
    <row r="167" spans="1:15">
      <c r="A167" t="s">
        <v>382</v>
      </c>
      <c r="B167" s="3">
        <v>0</v>
      </c>
      <c r="D167" s="3">
        <v>0</v>
      </c>
      <c r="F167" s="3">
        <v>0</v>
      </c>
      <c r="H167" s="3">
        <v>0</v>
      </c>
    </row>
    <row r="168" spans="1:15">
      <c r="A168" t="s">
        <v>383</v>
      </c>
      <c r="B168" s="3">
        <v>0</v>
      </c>
      <c r="D168" s="3">
        <v>0</v>
      </c>
      <c r="F168" s="3">
        <v>0</v>
      </c>
      <c r="H168" s="3">
        <v>0</v>
      </c>
    </row>
    <row r="170" spans="1:15">
      <c r="A170" t="s">
        <v>384</v>
      </c>
      <c r="B170" s="4">
        <f>+B120+B124+B126+B128+B143+B152+B154+B156+B158+B166</f>
        <v>1627628.307</v>
      </c>
      <c r="C170" s="11" t="s">
        <v>0</v>
      </c>
      <c r="D170" s="4">
        <f>+D120+D124+D126+D128+D143+D152+D154+D156+D158+D166</f>
        <v>0</v>
      </c>
      <c r="E170" s="11">
        <f t="shared" ref="E170:O170" si="11">+E120+E124+E126+E128+E143+E152+E154+E156+E158+E166</f>
        <v>0</v>
      </c>
      <c r="F170" s="4">
        <f>+F120+F124+F126+F128+F143+F152+F154+F156+F158+F166</f>
        <v>0</v>
      </c>
      <c r="G170" s="11">
        <f t="shared" si="11"/>
        <v>0</v>
      </c>
      <c r="H170" s="4">
        <f>+H120+H124+H126+H128+H143+H152+H154+H156+H158+H166</f>
        <v>0</v>
      </c>
      <c r="I170" s="11">
        <f t="shared" si="11"/>
        <v>0</v>
      </c>
      <c r="J170" s="4">
        <f t="shared" si="11"/>
        <v>0</v>
      </c>
      <c r="K170" s="11">
        <f t="shared" si="11"/>
        <v>0</v>
      </c>
      <c r="L170" s="4">
        <f t="shared" si="11"/>
        <v>0</v>
      </c>
      <c r="M170" s="11">
        <f t="shared" si="11"/>
        <v>0</v>
      </c>
      <c r="O170" s="11">
        <f t="shared" si="11"/>
        <v>0</v>
      </c>
    </row>
  </sheetData>
  <pageMargins left="0.25" right="0.2" top="0.7" bottom="0.56999999999999995" header="0.5" footer="0.38"/>
  <pageSetup scale="55" orientation="landscape" r:id="rId1"/>
  <headerFooter alignWithMargins="0">
    <oddFooter>&amp;R&amp;14&amp;P</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5"/>
  <sheetViews>
    <sheetView workbookViewId="0"/>
  </sheetViews>
  <sheetFormatPr defaultRowHeight="15.75"/>
  <cols>
    <col min="1" max="1" width="33.25" customWidth="1"/>
    <col min="2" max="2" width="17.25" style="12" customWidth="1"/>
    <col min="3" max="3" width="9.75" style="13" customWidth="1"/>
    <col min="4" max="4" width="15.75" style="12" customWidth="1"/>
    <col min="5" max="5" width="9.75" style="13" customWidth="1"/>
    <col min="6" max="6" width="15.75" style="12" customWidth="1"/>
    <col min="7" max="7" width="9.75" style="13" customWidth="1"/>
    <col min="8" max="8" width="15.375" style="12" customWidth="1"/>
    <col min="9" max="9" width="9.75" style="13" customWidth="1"/>
    <col min="10" max="10" width="15.75" style="12" customWidth="1"/>
    <col min="11" max="11" width="9.75" style="13" customWidth="1"/>
    <col min="12" max="12" width="15.75" style="12" customWidth="1"/>
    <col min="13" max="13" width="10.125" style="13" customWidth="1"/>
    <col min="14" max="14" width="15.75" style="12" customWidth="1"/>
    <col min="15" max="15" width="9.75" style="13" customWidth="1"/>
    <col min="16" max="16" width="15.75" style="12" customWidth="1"/>
    <col min="17" max="17" width="8.75" style="12" customWidth="1"/>
    <col min="18" max="18" width="15.75" style="12" customWidth="1"/>
    <col min="19" max="21" width="15.75" customWidth="1"/>
    <col min="22" max="256" width="11" customWidth="1"/>
  </cols>
  <sheetData>
    <row r="1" spans="1:21">
      <c r="A1" s="114" t="s">
        <v>603</v>
      </c>
      <c r="B1" s="37"/>
      <c r="C1" s="38"/>
      <c r="D1" s="37"/>
      <c r="E1" s="38"/>
      <c r="F1" s="37"/>
      <c r="G1" s="38"/>
      <c r="H1" s="37"/>
      <c r="I1" s="38"/>
      <c r="J1" s="37"/>
      <c r="K1" s="38"/>
      <c r="L1" s="37"/>
      <c r="M1" s="38"/>
      <c r="N1" s="37"/>
      <c r="O1" s="38"/>
      <c r="P1" s="37"/>
      <c r="Q1" s="37"/>
    </row>
    <row r="2" spans="1:21">
      <c r="A2" s="114" t="s">
        <v>305</v>
      </c>
      <c r="B2" s="37"/>
      <c r="C2" s="38"/>
      <c r="D2" s="37"/>
      <c r="E2" s="38"/>
      <c r="F2" s="37"/>
      <c r="G2" s="38"/>
      <c r="H2" s="37"/>
      <c r="I2" s="38"/>
      <c r="J2" s="37"/>
      <c r="K2" s="38"/>
      <c r="L2" s="37"/>
      <c r="M2" s="38"/>
      <c r="N2" s="37"/>
      <c r="O2" s="38"/>
      <c r="P2" s="37"/>
      <c r="Q2" s="37"/>
    </row>
    <row r="3" spans="1:21">
      <c r="A3" s="114" t="s">
        <v>526</v>
      </c>
      <c r="B3" s="37"/>
      <c r="C3" s="38"/>
      <c r="D3" s="37"/>
      <c r="E3" s="38"/>
      <c r="F3" s="37"/>
      <c r="G3" s="38"/>
      <c r="H3" s="37"/>
      <c r="I3" s="38"/>
      <c r="J3" s="37"/>
      <c r="K3" s="38"/>
      <c r="L3" s="37"/>
      <c r="M3" s="38"/>
      <c r="N3" s="37"/>
      <c r="O3" s="38"/>
      <c r="P3" s="37"/>
      <c r="Q3" s="37"/>
    </row>
    <row r="4" spans="1:21">
      <c r="A4" s="114" t="s">
        <v>179</v>
      </c>
      <c r="B4" s="37"/>
      <c r="C4" s="38"/>
      <c r="D4" s="37"/>
      <c r="E4" s="38"/>
      <c r="F4" s="37"/>
      <c r="G4" s="38"/>
      <c r="H4" s="37"/>
      <c r="I4" s="38"/>
      <c r="J4" s="37"/>
      <c r="K4" s="38"/>
      <c r="L4" s="37"/>
      <c r="M4" s="38"/>
      <c r="N4" s="37"/>
      <c r="O4" s="38"/>
      <c r="P4" s="37"/>
      <c r="Q4" s="37"/>
    </row>
    <row r="5" spans="1:21" ht="16.5" thickBot="1">
      <c r="B5" s="4"/>
      <c r="C5" s="11"/>
      <c r="D5" s="4"/>
      <c r="E5" s="11"/>
      <c r="F5" s="4"/>
      <c r="G5" s="11"/>
      <c r="H5" s="4"/>
      <c r="I5" s="11"/>
      <c r="J5" s="507" t="s">
        <v>167</v>
      </c>
      <c r="K5" s="508"/>
      <c r="L5" s="507"/>
      <c r="M5" s="508"/>
      <c r="N5" s="507"/>
      <c r="O5" s="508"/>
      <c r="P5" s="507"/>
      <c r="Q5" s="507"/>
    </row>
    <row r="6" spans="1:21" ht="16.5" thickBot="1">
      <c r="B6" s="223" t="s">
        <v>168</v>
      </c>
      <c r="C6" s="224" t="s">
        <v>301</v>
      </c>
      <c r="D6" s="225" t="s">
        <v>170</v>
      </c>
      <c r="E6" s="224" t="s">
        <v>301</v>
      </c>
      <c r="F6" s="225" t="s">
        <v>171</v>
      </c>
      <c r="G6" s="224" t="s">
        <v>301</v>
      </c>
      <c r="H6" s="225" t="s">
        <v>172</v>
      </c>
      <c r="I6" s="224" t="s">
        <v>301</v>
      </c>
      <c r="J6" s="225" t="s">
        <v>174</v>
      </c>
      <c r="K6" s="224" t="s">
        <v>301</v>
      </c>
      <c r="L6" s="225" t="s">
        <v>175</v>
      </c>
      <c r="M6" s="224" t="s">
        <v>301</v>
      </c>
      <c r="N6" s="225" t="s">
        <v>176</v>
      </c>
      <c r="O6" s="224" t="s">
        <v>301</v>
      </c>
      <c r="P6" s="225" t="s">
        <v>177</v>
      </c>
      <c r="Q6" s="224" t="s">
        <v>301</v>
      </c>
      <c r="R6" s="14"/>
      <c r="S6" s="9"/>
      <c r="T6" s="9"/>
      <c r="U6" s="9"/>
    </row>
    <row r="7" spans="1:21">
      <c r="A7" s="2" t="s">
        <v>243</v>
      </c>
      <c r="B7" s="125"/>
      <c r="C7" s="124"/>
      <c r="D7" s="125"/>
      <c r="E7" s="124"/>
      <c r="F7" s="125"/>
      <c r="G7" s="124"/>
      <c r="H7" s="125"/>
      <c r="I7" s="124"/>
      <c r="J7" s="219"/>
      <c r="K7" s="124"/>
      <c r="L7" s="219"/>
      <c r="M7" s="124"/>
      <c r="N7" s="219"/>
      <c r="O7" s="124"/>
      <c r="P7" s="219"/>
      <c r="Q7" s="124"/>
      <c r="R7" s="14"/>
      <c r="S7" s="9"/>
      <c r="T7" s="9"/>
      <c r="U7" s="9"/>
    </row>
    <row r="8" spans="1:21">
      <c r="A8" s="1" t="s">
        <v>264</v>
      </c>
      <c r="B8"/>
    </row>
    <row r="9" spans="1:21">
      <c r="A9" s="1" t="s">
        <v>265</v>
      </c>
      <c r="B9" s="88">
        <f>+buhvar!B10</f>
        <v>250622</v>
      </c>
      <c r="C9" s="104">
        <f>+B9/$B$21</f>
        <v>0.11848709143034365</v>
      </c>
      <c r="D9" s="88">
        <f>+buhvar!D10</f>
        <v>0</v>
      </c>
      <c r="E9" s="89">
        <v>0</v>
      </c>
      <c r="F9" s="88">
        <f>+buhvar!F10</f>
        <v>0</v>
      </c>
      <c r="G9" s="89">
        <v>0</v>
      </c>
      <c r="H9" s="88">
        <f>+buhvar!H10</f>
        <v>0</v>
      </c>
      <c r="I9" s="89">
        <v>0</v>
      </c>
      <c r="J9" s="88">
        <f>+buhvar!J10</f>
        <v>212528</v>
      </c>
      <c r="K9" s="104">
        <f>+J9/$J$21</f>
        <v>0.10272318323546513</v>
      </c>
      <c r="L9" s="88">
        <f>+buhvar!L10</f>
        <v>231069</v>
      </c>
      <c r="M9" s="104">
        <f>+L9/$L$21</f>
        <v>0.12802202429365134</v>
      </c>
      <c r="N9" s="88">
        <f>+buhvar!N10</f>
        <v>166843.5</v>
      </c>
      <c r="O9" s="104">
        <f>+N9/$N$21</f>
        <v>0.11156334791614816</v>
      </c>
      <c r="P9" s="88">
        <f>+buhvar!P10</f>
        <v>118942.92264</v>
      </c>
      <c r="Q9" s="104">
        <f>+P9/$P$21</f>
        <v>9.2848117043685174E-2</v>
      </c>
      <c r="R9" s="60"/>
      <c r="S9" s="1"/>
      <c r="T9" s="1"/>
    </row>
    <row r="10" spans="1:21">
      <c r="A10" s="1" t="s">
        <v>266</v>
      </c>
      <c r="B10" s="88">
        <f>+buhvar!B11</f>
        <v>235553</v>
      </c>
      <c r="C10" s="104">
        <f t="shared" ref="C10:C27" si="0">+B10/$B$21</f>
        <v>0.11136288852411894</v>
      </c>
      <c r="D10" s="88">
        <f>+buhvar!D11</f>
        <v>0</v>
      </c>
      <c r="E10" s="89">
        <v>0</v>
      </c>
      <c r="F10" s="88">
        <f>+buhvar!F11</f>
        <v>0</v>
      </c>
      <c r="G10" s="89">
        <v>0</v>
      </c>
      <c r="H10" s="88">
        <f>+buhvar!H11</f>
        <v>0</v>
      </c>
      <c r="I10" s="89">
        <v>0</v>
      </c>
      <c r="J10" s="88">
        <f>+buhvar!J11</f>
        <v>288048</v>
      </c>
      <c r="K10" s="104">
        <f t="shared" ref="K10:K27" si="1">+J10/$J$21</f>
        <v>0.13922498440021672</v>
      </c>
      <c r="L10" s="88">
        <f>+buhvar!L11</f>
        <v>88788</v>
      </c>
      <c r="M10" s="104">
        <f t="shared" ref="M10:M27" si="2">+L10/$L$21</f>
        <v>4.9192316983172626E-2</v>
      </c>
      <c r="N10" s="88">
        <f>+buhvar!N11</f>
        <v>52055</v>
      </c>
      <c r="O10" s="104">
        <f t="shared" ref="O10:O27" si="3">+N10/$N$21</f>
        <v>3.4807649538490214E-2</v>
      </c>
      <c r="P10" s="88">
        <f>+buhvar!P11</f>
        <v>168854.6036</v>
      </c>
      <c r="Q10" s="104">
        <f t="shared" ref="Q10:Q27" si="4">+P10/$P$21</f>
        <v>0.13180970881192619</v>
      </c>
      <c r="R10" s="60"/>
      <c r="S10" s="1"/>
      <c r="T10" s="1"/>
    </row>
    <row r="11" spans="1:21">
      <c r="A11" s="1" t="s">
        <v>267</v>
      </c>
      <c r="B11" s="88">
        <f>+buhvar!B12</f>
        <v>113044</v>
      </c>
      <c r="C11" s="104">
        <f t="shared" si="0"/>
        <v>5.3444050257566246E-2</v>
      </c>
      <c r="D11" s="88">
        <f>+buhvar!D12</f>
        <v>0</v>
      </c>
      <c r="E11" s="89">
        <v>0</v>
      </c>
      <c r="F11" s="88">
        <f>+buhvar!F12</f>
        <v>0</v>
      </c>
      <c r="G11" s="89">
        <v>0</v>
      </c>
      <c r="H11" s="88">
        <f>+buhvar!H12</f>
        <v>0</v>
      </c>
      <c r="I11" s="89">
        <v>0</v>
      </c>
      <c r="J11" s="88">
        <f>+buhvar!J12</f>
        <v>124018</v>
      </c>
      <c r="K11" s="104">
        <f t="shared" si="1"/>
        <v>5.9942801600240507E-2</v>
      </c>
      <c r="L11" s="88">
        <f>+buhvar!L12</f>
        <v>160302</v>
      </c>
      <c r="M11" s="104">
        <f t="shared" si="2"/>
        <v>8.8814105476376734E-2</v>
      </c>
      <c r="N11" s="88">
        <f>+buhvar!N12</f>
        <v>67925.100000000006</v>
      </c>
      <c r="O11" s="104">
        <f t="shared" si="3"/>
        <v>4.5419519271288102E-2</v>
      </c>
      <c r="P11" s="88">
        <f>+buhvar!P12</f>
        <v>158169.27721</v>
      </c>
      <c r="Q11" s="104">
        <f t="shared" si="4"/>
        <v>0.12346862879397937</v>
      </c>
      <c r="R11" s="60"/>
      <c r="S11" s="1"/>
      <c r="T11" s="1"/>
    </row>
    <row r="12" spans="1:21">
      <c r="A12" s="1" t="s">
        <v>268</v>
      </c>
      <c r="B12" s="88">
        <f>+buhvar!B13</f>
        <v>175541</v>
      </c>
      <c r="C12" s="104">
        <f t="shared" si="0"/>
        <v>8.2990888735920851E-2</v>
      </c>
      <c r="D12" s="88">
        <f>+buhvar!D13</f>
        <v>0</v>
      </c>
      <c r="E12" s="89">
        <v>0</v>
      </c>
      <c r="F12" s="88">
        <f>+buhvar!F13</f>
        <v>0</v>
      </c>
      <c r="G12" s="89">
        <v>0</v>
      </c>
      <c r="H12" s="88">
        <f>+buhvar!H13</f>
        <v>0</v>
      </c>
      <c r="I12" s="89">
        <v>0</v>
      </c>
      <c r="J12" s="88">
        <f>+buhvar!J13</f>
        <v>190023</v>
      </c>
      <c r="K12" s="104">
        <f t="shared" si="1"/>
        <v>9.1845627154788029E-2</v>
      </c>
      <c r="L12" s="88">
        <f>+buhvar!L13</f>
        <v>147766</v>
      </c>
      <c r="M12" s="104">
        <f t="shared" si="2"/>
        <v>8.1868629897457829E-2</v>
      </c>
      <c r="N12" s="88">
        <f>+buhvar!N13</f>
        <v>89396</v>
      </c>
      <c r="O12" s="104">
        <f t="shared" si="3"/>
        <v>5.9776479457167832E-2</v>
      </c>
      <c r="P12" s="88">
        <f>+buhvar!P13</f>
        <v>350383.21666999999</v>
      </c>
      <c r="Q12" s="104">
        <f t="shared" si="4"/>
        <v>0.27351288491526055</v>
      </c>
      <c r="R12" s="60"/>
      <c r="S12" s="1"/>
      <c r="T12" s="1"/>
    </row>
    <row r="13" spans="1:21">
      <c r="A13" s="1" t="s">
        <v>269</v>
      </c>
      <c r="B13" s="221">
        <f>+buhvar!B14</f>
        <v>13365</v>
      </c>
      <c r="C13" s="328">
        <f t="shared" si="0"/>
        <v>6.3185992329745306E-3</v>
      </c>
      <c r="D13" s="221">
        <f>+buhvar!D14</f>
        <v>0</v>
      </c>
      <c r="E13" s="295">
        <v>0</v>
      </c>
      <c r="F13" s="221">
        <f>+buhvar!F14</f>
        <v>0</v>
      </c>
      <c r="G13" s="295">
        <v>0</v>
      </c>
      <c r="H13" s="221">
        <f>+buhvar!H14</f>
        <v>0</v>
      </c>
      <c r="I13" s="295">
        <v>0</v>
      </c>
      <c r="J13" s="221">
        <f>+buhvar!J14</f>
        <v>10594</v>
      </c>
      <c r="K13" s="328">
        <f t="shared" si="1"/>
        <v>5.1204989610616845E-3</v>
      </c>
      <c r="L13" s="221">
        <f>+buhvar!L14</f>
        <v>14458</v>
      </c>
      <c r="M13" s="328">
        <f t="shared" si="2"/>
        <v>8.0103450797710252E-3</v>
      </c>
      <c r="N13" s="221">
        <f>+buhvar!N14</f>
        <v>19258.5</v>
      </c>
      <c r="O13" s="328">
        <f t="shared" si="3"/>
        <v>1.2877593288579653E-2</v>
      </c>
      <c r="P13" s="221">
        <f>+buhvar!P14</f>
        <v>30406.08843</v>
      </c>
      <c r="Q13" s="328">
        <f t="shared" si="4"/>
        <v>2.3735317703046491E-2</v>
      </c>
      <c r="R13" s="60"/>
      <c r="S13" s="1"/>
      <c r="T13" s="1"/>
    </row>
    <row r="14" spans="1:21" ht="15.6" customHeight="1">
      <c r="A14" s="1"/>
      <c r="B14" s="88">
        <f>SUM(B9:B13)</f>
        <v>788125</v>
      </c>
      <c r="C14" s="104">
        <f t="shared" si="0"/>
        <v>0.37260351818092419</v>
      </c>
      <c r="D14" s="88">
        <f>SUM(D9:D13)</f>
        <v>0</v>
      </c>
      <c r="E14" s="89">
        <v>0</v>
      </c>
      <c r="F14" s="88">
        <f>SUM(F9:F13)</f>
        <v>0</v>
      </c>
      <c r="G14" s="89">
        <v>0</v>
      </c>
      <c r="H14" s="88">
        <f>SUM(H9:H13)</f>
        <v>0</v>
      </c>
      <c r="I14" s="89">
        <v>0</v>
      </c>
      <c r="J14" s="88">
        <f>SUM(J9:J13)</f>
        <v>825211</v>
      </c>
      <c r="K14" s="104">
        <f t="shared" si="1"/>
        <v>0.39885709535177211</v>
      </c>
      <c r="L14" s="88">
        <f>SUM(L9:L13)</f>
        <v>642383</v>
      </c>
      <c r="M14" s="104">
        <f t="shared" si="2"/>
        <v>0.35590742173042955</v>
      </c>
      <c r="N14" s="88">
        <f>SUM(N9:N13)</f>
        <v>395478.1</v>
      </c>
      <c r="O14" s="104">
        <f t="shared" si="3"/>
        <v>0.26444458947167393</v>
      </c>
      <c r="P14" s="88">
        <f>SUM(P9:P13)</f>
        <v>826756.10855</v>
      </c>
      <c r="Q14" s="104">
        <f t="shared" si="4"/>
        <v>0.64537465726789778</v>
      </c>
      <c r="R14" s="60"/>
      <c r="S14" s="1"/>
      <c r="T14" s="1"/>
    </row>
    <row r="15" spans="1:21" ht="7.9" customHeight="1">
      <c r="A15" s="1"/>
      <c r="B15" s="88"/>
      <c r="C15" s="104" t="s">
        <v>0</v>
      </c>
      <c r="D15" s="88"/>
      <c r="E15" s="89" t="s">
        <v>0</v>
      </c>
      <c r="F15" s="88"/>
      <c r="G15" s="89" t="s">
        <v>0</v>
      </c>
      <c r="H15" s="88"/>
      <c r="I15" s="89" t="s">
        <v>0</v>
      </c>
      <c r="J15" s="88"/>
      <c r="K15" s="104" t="s">
        <v>0</v>
      </c>
      <c r="L15" s="88"/>
      <c r="M15" s="104" t="s">
        <v>0</v>
      </c>
      <c r="N15" s="88"/>
      <c r="O15" s="104" t="s">
        <v>0</v>
      </c>
      <c r="P15" s="88"/>
      <c r="Q15" s="104" t="s">
        <v>0</v>
      </c>
      <c r="R15" s="60"/>
      <c r="S15" s="1"/>
      <c r="T15" s="1"/>
    </row>
    <row r="16" spans="1:21" ht="15.6" customHeight="1">
      <c r="A16" s="1" t="s">
        <v>610</v>
      </c>
      <c r="B16" s="88">
        <f>+buhvar!B17</f>
        <v>125000</v>
      </c>
      <c r="C16" s="104">
        <f t="shared" si="0"/>
        <v>5.9096513589361493E-2</v>
      </c>
      <c r="D16" s="88">
        <f>+buhvar!D17</f>
        <v>0</v>
      </c>
      <c r="E16" s="89">
        <v>0</v>
      </c>
      <c r="F16" s="88">
        <f>+buhvar!F17</f>
        <v>0</v>
      </c>
      <c r="G16" s="89">
        <v>0</v>
      </c>
      <c r="H16" s="88">
        <f>+buhvar!H17</f>
        <v>0</v>
      </c>
      <c r="I16" s="89">
        <v>0</v>
      </c>
      <c r="J16" s="88">
        <f>+buhvar!J17</f>
        <v>80000</v>
      </c>
      <c r="K16" s="104">
        <f t="shared" si="1"/>
        <v>3.866716225079618E-2</v>
      </c>
      <c r="L16" s="88">
        <f>+buhvar!L17</f>
        <v>240000</v>
      </c>
      <c r="M16" s="104">
        <f t="shared" si="2"/>
        <v>0.13297017700546729</v>
      </c>
      <c r="N16" s="88">
        <f>+buhvar!N17</f>
        <v>280000</v>
      </c>
      <c r="O16" s="104">
        <f t="shared" si="3"/>
        <v>0.18722777582897437</v>
      </c>
      <c r="P16" s="88">
        <f>+buhvar!P17</f>
        <v>0</v>
      </c>
      <c r="Q16" s="104">
        <f t="shared" si="4"/>
        <v>0</v>
      </c>
      <c r="R16" s="60"/>
      <c r="S16" s="1"/>
      <c r="T16" s="1"/>
    </row>
    <row r="17" spans="1:20" ht="16.149999999999999" customHeight="1">
      <c r="A17" s="1" t="s">
        <v>271</v>
      </c>
      <c r="B17" s="88">
        <f>+buhvar!B18</f>
        <v>98137</v>
      </c>
      <c r="C17" s="104">
        <f t="shared" si="0"/>
        <v>4.6396436432953353E-2</v>
      </c>
      <c r="D17" s="88">
        <f>+buhvar!D18</f>
        <v>0</v>
      </c>
      <c r="E17" s="89">
        <v>0</v>
      </c>
      <c r="F17" s="88">
        <f>+buhvar!F18</f>
        <v>0</v>
      </c>
      <c r="G17" s="89">
        <v>0</v>
      </c>
      <c r="H17" s="88">
        <f>+buhvar!H18</f>
        <v>0</v>
      </c>
      <c r="I17" s="89">
        <v>0</v>
      </c>
      <c r="J17" s="88">
        <f>+buhvar!J18</f>
        <v>55257</v>
      </c>
      <c r="K17" s="104">
        <f t="shared" si="1"/>
        <v>2.6707892306153058E-2</v>
      </c>
      <c r="L17" s="88">
        <f>+buhvar!L18</f>
        <v>62850</v>
      </c>
      <c r="M17" s="104">
        <f t="shared" si="2"/>
        <v>3.4821565103306744E-2</v>
      </c>
      <c r="N17" s="88">
        <f>+buhvar!N18</f>
        <v>74802.2</v>
      </c>
      <c r="O17" s="104">
        <f t="shared" si="3"/>
        <v>5.0018034046836093E-2</v>
      </c>
      <c r="P17" s="88">
        <f>+buhvar!P18</f>
        <v>4769.9279999999999</v>
      </c>
      <c r="Q17" s="104">
        <f t="shared" si="4"/>
        <v>3.7234567925861005E-3</v>
      </c>
      <c r="R17" s="60"/>
      <c r="S17" s="1"/>
      <c r="T17" s="1"/>
    </row>
    <row r="18" spans="1:20">
      <c r="A18" s="1" t="s">
        <v>272</v>
      </c>
      <c r="B18" s="88">
        <f>+buhvar!B19</f>
        <v>746670</v>
      </c>
      <c r="C18" s="104">
        <f t="shared" si="0"/>
        <v>0.35300475041414836</v>
      </c>
      <c r="D18" s="88">
        <f>+buhvar!D19</f>
        <v>0</v>
      </c>
      <c r="E18" s="89">
        <v>0</v>
      </c>
      <c r="F18" s="88">
        <f>+buhvar!F19</f>
        <v>0</v>
      </c>
      <c r="G18" s="89">
        <v>0</v>
      </c>
      <c r="H18" s="88">
        <f>+buhvar!H19</f>
        <v>0</v>
      </c>
      <c r="I18" s="89">
        <v>0</v>
      </c>
      <c r="J18" s="88">
        <f>+buhvar!J19</f>
        <v>698170</v>
      </c>
      <c r="K18" s="104">
        <f t="shared" si="1"/>
        <v>0.33745315835797962</v>
      </c>
      <c r="L18" s="88">
        <f>+buhvar!L19</f>
        <v>662542</v>
      </c>
      <c r="M18" s="104">
        <f t="shared" si="2"/>
        <v>0.36707636255648463</v>
      </c>
      <c r="N18" s="88">
        <f>+buhvar!N19</f>
        <v>573791.69999999995</v>
      </c>
      <c r="O18" s="104">
        <f t="shared" si="3"/>
        <v>0.38367765635759321</v>
      </c>
      <c r="P18" s="88">
        <f>+buhvar!P19</f>
        <v>332299.32156999997</v>
      </c>
      <c r="Q18" s="104">
        <f t="shared" si="4"/>
        <v>0.25939640306343603</v>
      </c>
      <c r="R18" s="60"/>
      <c r="S18" s="1"/>
      <c r="T18" s="1"/>
    </row>
    <row r="19" spans="1:20">
      <c r="A19" s="1" t="s">
        <v>273</v>
      </c>
      <c r="B19" s="88">
        <f>+buhvar!B20</f>
        <v>230086</v>
      </c>
      <c r="C19" s="104">
        <f t="shared" si="0"/>
        <v>0.10877824340577463</v>
      </c>
      <c r="D19" s="88">
        <f>+buhvar!D20</f>
        <v>0</v>
      </c>
      <c r="E19" s="89">
        <v>0</v>
      </c>
      <c r="F19" s="88">
        <f>+buhvar!F20</f>
        <v>0</v>
      </c>
      <c r="G19" s="89">
        <v>0</v>
      </c>
      <c r="H19" s="88">
        <f>+buhvar!H20</f>
        <v>0</v>
      </c>
      <c r="I19" s="89">
        <v>0</v>
      </c>
      <c r="J19" s="88">
        <f>+buhvar!J20</f>
        <v>232527</v>
      </c>
      <c r="K19" s="104">
        <f t="shared" si="1"/>
        <v>0.11238949045863604</v>
      </c>
      <c r="L19" s="88">
        <f>+buhvar!L20</f>
        <v>147760</v>
      </c>
      <c r="M19" s="104">
        <f t="shared" si="2"/>
        <v>8.1865305643032696E-2</v>
      </c>
      <c r="N19" s="88">
        <f>+buhvar!N20</f>
        <v>114738.5</v>
      </c>
      <c r="O19" s="104">
        <f t="shared" si="3"/>
        <v>7.6722264846259908E-2</v>
      </c>
      <c r="P19" s="88">
        <f>+buhvar!P20</f>
        <v>85952.647099999987</v>
      </c>
      <c r="Q19" s="104">
        <f t="shared" si="4"/>
        <v>6.7095555254765057E-2</v>
      </c>
      <c r="R19" s="60"/>
      <c r="S19" s="1"/>
      <c r="T19" s="1"/>
    </row>
    <row r="20" spans="1:20" ht="16.5" thickBot="1">
      <c r="A20" s="1" t="s">
        <v>274</v>
      </c>
      <c r="B20" s="99">
        <f>+buhvar!B21</f>
        <v>127166</v>
      </c>
      <c r="C20" s="329">
        <f t="shared" si="0"/>
        <v>6.0120537976837946E-2</v>
      </c>
      <c r="D20" s="99">
        <f>+buhvar!D21</f>
        <v>0</v>
      </c>
      <c r="E20" s="98">
        <v>0</v>
      </c>
      <c r="F20" s="99">
        <f>+buhvar!F21</f>
        <v>0</v>
      </c>
      <c r="G20" s="98">
        <v>0</v>
      </c>
      <c r="H20" s="99">
        <f>+buhvar!H21</f>
        <v>0</v>
      </c>
      <c r="I20" s="98">
        <v>0</v>
      </c>
      <c r="J20" s="99">
        <f>+buhvar!J21</f>
        <v>177774</v>
      </c>
      <c r="K20" s="329">
        <f t="shared" si="1"/>
        <v>8.5925201274663007E-2</v>
      </c>
      <c r="L20" s="99">
        <f>+buhvar!L21</f>
        <v>49381</v>
      </c>
      <c r="M20" s="329">
        <f t="shared" si="2"/>
        <v>2.7359167961279084E-2</v>
      </c>
      <c r="N20" s="99">
        <f>+buhvar!N21</f>
        <v>56694.1</v>
      </c>
      <c r="O20" s="329">
        <f t="shared" si="3"/>
        <v>3.7909679448662338E-2</v>
      </c>
      <c r="P20" s="99">
        <f>+buhvar!P21</f>
        <v>31270.296320000001</v>
      </c>
      <c r="Q20" s="329">
        <f t="shared" si="4"/>
        <v>2.440992762131507E-2</v>
      </c>
      <c r="R20" s="60"/>
      <c r="S20" s="1"/>
      <c r="T20" s="1"/>
    </row>
    <row r="21" spans="1:20">
      <c r="A21" s="1" t="s">
        <v>275</v>
      </c>
      <c r="B21" s="91">
        <f>SUM(B14:B20)</f>
        <v>2115184</v>
      </c>
      <c r="C21" s="112">
        <f t="shared" si="0"/>
        <v>1</v>
      </c>
      <c r="D21" s="91">
        <f>SUM(D14:D20)</f>
        <v>0</v>
      </c>
      <c r="E21" s="42">
        <v>0</v>
      </c>
      <c r="F21" s="91">
        <f>SUM(F14:F20)</f>
        <v>0</v>
      </c>
      <c r="G21" s="42">
        <v>0</v>
      </c>
      <c r="H21" s="91">
        <f>SUM(H14:H20)</f>
        <v>0</v>
      </c>
      <c r="I21" s="42">
        <v>0</v>
      </c>
      <c r="J21" s="91">
        <f>SUM(J14:J20)</f>
        <v>2068939</v>
      </c>
      <c r="K21" s="104">
        <f t="shared" si="1"/>
        <v>1</v>
      </c>
      <c r="L21" s="91">
        <f>SUM(L14:L20)</f>
        <v>1804916</v>
      </c>
      <c r="M21" s="104">
        <f t="shared" si="2"/>
        <v>1</v>
      </c>
      <c r="N21" s="91">
        <f>SUM(N14:N20)</f>
        <v>1495504.6</v>
      </c>
      <c r="O21" s="104">
        <f t="shared" si="3"/>
        <v>1</v>
      </c>
      <c r="P21" s="91">
        <f>SUM(P14:P20)</f>
        <v>1281048.3015399999</v>
      </c>
      <c r="Q21" s="104">
        <f t="shared" si="4"/>
        <v>1</v>
      </c>
      <c r="R21" s="60"/>
      <c r="S21" s="1"/>
      <c r="T21" s="1"/>
    </row>
    <row r="22" spans="1:20" ht="13.15" customHeight="1">
      <c r="A22" s="1"/>
      <c r="B22" s="88"/>
      <c r="C22" s="104" t="s">
        <v>0</v>
      </c>
      <c r="D22" s="88"/>
      <c r="E22" s="89" t="s">
        <v>0</v>
      </c>
      <c r="F22" s="88"/>
      <c r="G22" s="89" t="s">
        <v>0</v>
      </c>
      <c r="H22" s="88"/>
      <c r="I22" s="89" t="s">
        <v>0</v>
      </c>
      <c r="J22" s="88"/>
      <c r="K22" s="104" t="s">
        <v>0</v>
      </c>
      <c r="L22" s="88"/>
      <c r="M22" s="104" t="s">
        <v>0</v>
      </c>
      <c r="N22" s="88"/>
      <c r="O22" s="104" t="s">
        <v>0</v>
      </c>
      <c r="P22" s="88"/>
      <c r="Q22" s="104" t="s">
        <v>0</v>
      </c>
      <c r="R22" s="60"/>
      <c r="S22" s="1"/>
      <c r="T22" s="1"/>
    </row>
    <row r="23" spans="1:20" ht="13.15" customHeight="1">
      <c r="A23" s="1"/>
      <c r="B23" s="88"/>
      <c r="C23" s="104"/>
      <c r="D23" s="88"/>
      <c r="E23" s="89"/>
      <c r="F23" s="88"/>
      <c r="G23" s="89"/>
      <c r="H23" s="88"/>
      <c r="I23" s="89"/>
      <c r="J23" s="88"/>
      <c r="K23" s="104"/>
      <c r="L23" s="88"/>
      <c r="M23" s="104"/>
      <c r="N23" s="88"/>
      <c r="O23" s="104"/>
      <c r="P23" s="88"/>
      <c r="Q23" s="104"/>
      <c r="R23" s="60"/>
      <c r="S23" s="1"/>
      <c r="T23" s="1"/>
    </row>
    <row r="24" spans="1:20">
      <c r="A24" s="2" t="s">
        <v>276</v>
      </c>
      <c r="B24" s="88"/>
      <c r="C24" s="104" t="s">
        <v>0</v>
      </c>
      <c r="D24" s="88"/>
      <c r="E24" s="89" t="s">
        <v>0</v>
      </c>
      <c r="F24" s="88"/>
      <c r="G24" s="89" t="s">
        <v>0</v>
      </c>
      <c r="H24" s="88"/>
      <c r="I24" s="89" t="s">
        <v>0</v>
      </c>
      <c r="J24" s="88"/>
      <c r="K24" s="104" t="s">
        <v>0</v>
      </c>
      <c r="L24" s="88"/>
      <c r="M24" s="104" t="s">
        <v>0</v>
      </c>
      <c r="N24" s="88"/>
      <c r="O24" s="104" t="s">
        <v>0</v>
      </c>
      <c r="P24" s="88"/>
      <c r="Q24" s="104" t="s">
        <v>0</v>
      </c>
      <c r="R24" s="60"/>
      <c r="S24" s="1"/>
      <c r="T24" s="1"/>
    </row>
    <row r="25" spans="1:20">
      <c r="A25" s="1" t="s">
        <v>277</v>
      </c>
      <c r="B25" s="88"/>
      <c r="C25" s="104" t="s">
        <v>0</v>
      </c>
      <c r="D25" s="88"/>
      <c r="E25" s="89" t="s">
        <v>0</v>
      </c>
      <c r="F25" s="88"/>
      <c r="G25" s="89" t="s">
        <v>0</v>
      </c>
      <c r="H25" s="88"/>
      <c r="I25" s="89" t="s">
        <v>0</v>
      </c>
      <c r="J25" s="88"/>
      <c r="K25" s="104" t="s">
        <v>0</v>
      </c>
      <c r="L25" s="88"/>
      <c r="M25" s="104" t="s">
        <v>0</v>
      </c>
      <c r="N25" s="88"/>
      <c r="O25" s="104" t="s">
        <v>0</v>
      </c>
      <c r="P25" s="88"/>
      <c r="Q25" s="104" t="s">
        <v>0</v>
      </c>
      <c r="R25" s="60"/>
      <c r="S25" s="1"/>
      <c r="T25" s="1"/>
    </row>
    <row r="26" spans="1:20">
      <c r="A26" s="1" t="s">
        <v>278</v>
      </c>
      <c r="B26" s="88">
        <f>+buhvar!B26</f>
        <v>433531</v>
      </c>
      <c r="C26" s="104">
        <f t="shared" si="0"/>
        <v>0.20496136506327581</v>
      </c>
      <c r="D26" s="88">
        <f>+buhvar!D26</f>
        <v>0</v>
      </c>
      <c r="E26" s="89">
        <v>0</v>
      </c>
      <c r="F26" s="88">
        <f>+buhvar!F26</f>
        <v>0</v>
      </c>
      <c r="G26" s="89">
        <v>0</v>
      </c>
      <c r="H26" s="88">
        <f>+buhvar!H26</f>
        <v>0</v>
      </c>
      <c r="I26" s="89">
        <v>0</v>
      </c>
      <c r="J26" s="88">
        <f>+buhvar!J26</f>
        <v>391213</v>
      </c>
      <c r="K26" s="104">
        <f t="shared" si="1"/>
        <v>0.18908870682025908</v>
      </c>
      <c r="L26" s="88">
        <f>+buhvar!L26</f>
        <v>445662</v>
      </c>
      <c r="M26" s="104">
        <f t="shared" si="2"/>
        <v>0.24691564593587734</v>
      </c>
      <c r="N26" s="88">
        <f>+buhvar!N26</f>
        <v>358050.3</v>
      </c>
      <c r="O26" s="104">
        <f t="shared" si="3"/>
        <v>0.23941771894248937</v>
      </c>
      <c r="P26" s="88">
        <f>+buhvar!P26</f>
        <v>279342.75601000001</v>
      </c>
      <c r="Q26" s="104">
        <f t="shared" si="4"/>
        <v>0.21805794182326366</v>
      </c>
      <c r="R26" s="60"/>
      <c r="S26" s="1"/>
      <c r="T26" s="1"/>
    </row>
    <row r="27" spans="1:20">
      <c r="A27" s="1" t="s">
        <v>279</v>
      </c>
      <c r="B27" s="88">
        <f>+buhvar!B27</f>
        <v>911967</v>
      </c>
      <c r="C27" s="104">
        <f t="shared" si="0"/>
        <v>0.43115256166839389</v>
      </c>
      <c r="D27" s="88">
        <f>+buhvar!D27</f>
        <v>0</v>
      </c>
      <c r="E27" s="89">
        <v>0</v>
      </c>
      <c r="F27" s="88">
        <f>+buhvar!F27</f>
        <v>0</v>
      </c>
      <c r="G27" s="89">
        <v>0</v>
      </c>
      <c r="H27" s="88">
        <f>+buhvar!H27</f>
        <v>0</v>
      </c>
      <c r="I27" s="89">
        <v>0</v>
      </c>
      <c r="J27" s="88">
        <f>+buhvar!J27</f>
        <v>863562</v>
      </c>
      <c r="K27" s="104">
        <f t="shared" si="1"/>
        <v>0.41739364959527564</v>
      </c>
      <c r="L27" s="88">
        <f>+buhvar!L27</f>
        <v>705524</v>
      </c>
      <c r="M27" s="104">
        <f t="shared" si="2"/>
        <v>0.39089021317335543</v>
      </c>
      <c r="N27" s="88">
        <f>+buhvar!N27</f>
        <v>630014.5</v>
      </c>
      <c r="O27" s="104">
        <f t="shared" si="3"/>
        <v>0.42127219133929777</v>
      </c>
      <c r="P27" s="88">
        <f>+buhvar!P27</f>
        <v>564841.17467999994</v>
      </c>
      <c r="Q27" s="104">
        <f t="shared" si="4"/>
        <v>0.44092105972973972</v>
      </c>
      <c r="R27" s="60"/>
      <c r="S27" s="1"/>
      <c r="T27" s="1"/>
    </row>
    <row r="28" spans="1:20">
      <c r="A28" s="1" t="s">
        <v>280</v>
      </c>
      <c r="B28" s="221">
        <f>+buhvar!B28</f>
        <v>610865</v>
      </c>
      <c r="C28" s="328">
        <f t="shared" ref="C28:C44" si="5">+B28/$B$21</f>
        <v>0.28879993419012245</v>
      </c>
      <c r="D28" s="221">
        <f>+buhvar!D28</f>
        <v>0</v>
      </c>
      <c r="E28" s="295">
        <v>0</v>
      </c>
      <c r="F28" s="221">
        <f>+buhvar!F28</f>
        <v>0</v>
      </c>
      <c r="G28" s="295">
        <v>0</v>
      </c>
      <c r="H28" s="221">
        <f>+buhvar!H28</f>
        <v>0</v>
      </c>
      <c r="I28" s="295">
        <v>0</v>
      </c>
      <c r="J28" s="221">
        <f>+buhvar!J28</f>
        <v>565481</v>
      </c>
      <c r="K28" s="328">
        <f t="shared" ref="K28:K44" si="6">+J28/$J$21</f>
        <v>0.27331931970928092</v>
      </c>
      <c r="L28" s="221">
        <f>+buhvar!L28</f>
        <v>427871</v>
      </c>
      <c r="M28" s="328">
        <f t="shared" ref="M28:M44" si="7">+L28/$L$21</f>
        <v>0.23705867752294291</v>
      </c>
      <c r="N28" s="221">
        <f>+buhvar!N28</f>
        <v>311897.8</v>
      </c>
      <c r="O28" s="328">
        <f t="shared" ref="O28:O44" si="8">+N28/$N$21</f>
        <v>0.20855689778553671</v>
      </c>
      <c r="P28" s="221">
        <f>+buhvar!P28</f>
        <v>261962.97237</v>
      </c>
      <c r="Q28" s="328">
        <f t="shared" ref="Q28:Q44" si="9">+P28/$P$21</f>
        <v>0.20449109690484249</v>
      </c>
      <c r="R28" s="60"/>
      <c r="S28" s="1"/>
      <c r="T28" s="1"/>
    </row>
    <row r="29" spans="1:20">
      <c r="A29" s="1"/>
      <c r="B29" s="88">
        <f>SUM(B26:B28)</f>
        <v>1956363</v>
      </c>
      <c r="C29" s="104">
        <f t="shared" si="5"/>
        <v>0.92491386092179217</v>
      </c>
      <c r="D29" s="88">
        <f>SUM(D26:D28)</f>
        <v>0</v>
      </c>
      <c r="E29" s="89">
        <v>0</v>
      </c>
      <c r="F29" s="88">
        <f>SUM(F26:F28)</f>
        <v>0</v>
      </c>
      <c r="G29" s="89">
        <v>0</v>
      </c>
      <c r="H29" s="88">
        <f>SUM(H26:H28)</f>
        <v>0</v>
      </c>
      <c r="I29" s="89">
        <v>0</v>
      </c>
      <c r="J29" s="88">
        <f>SUM(J26:J28)</f>
        <v>1820256</v>
      </c>
      <c r="K29" s="104">
        <f t="shared" si="6"/>
        <v>0.87980167612481563</v>
      </c>
      <c r="L29" s="88">
        <f>SUM(L26:L28)</f>
        <v>1579057</v>
      </c>
      <c r="M29" s="104">
        <f t="shared" si="7"/>
        <v>0.87486453663217567</v>
      </c>
      <c r="N29" s="88">
        <f>SUM(N26:N28)</f>
        <v>1299962.6000000001</v>
      </c>
      <c r="O29" s="104">
        <f t="shared" si="8"/>
        <v>0.86924680806732391</v>
      </c>
      <c r="P29" s="88">
        <f>SUM(P26:P28)</f>
        <v>1106146.9030599999</v>
      </c>
      <c r="Q29" s="104">
        <f t="shared" si="9"/>
        <v>0.86347009845784584</v>
      </c>
      <c r="R29" s="60"/>
      <c r="S29" s="1"/>
      <c r="T29" s="1"/>
    </row>
    <row r="30" spans="1:20" ht="7.9" customHeight="1">
      <c r="A30" s="1"/>
      <c r="B30" s="88"/>
      <c r="C30" s="104" t="s">
        <v>0</v>
      </c>
      <c r="D30" s="88"/>
      <c r="E30" s="89" t="s">
        <v>0</v>
      </c>
      <c r="F30" s="88"/>
      <c r="G30" s="89" t="s">
        <v>0</v>
      </c>
      <c r="H30" s="88"/>
      <c r="I30" s="89" t="s">
        <v>0</v>
      </c>
      <c r="J30" s="88"/>
      <c r="K30" s="104" t="s">
        <v>0</v>
      </c>
      <c r="L30" s="88"/>
      <c r="M30" s="104" t="s">
        <v>0</v>
      </c>
      <c r="N30" s="88"/>
      <c r="O30" s="104" t="s">
        <v>0</v>
      </c>
      <c r="P30" s="88"/>
      <c r="Q30" s="104" t="s">
        <v>0</v>
      </c>
      <c r="R30" s="60"/>
      <c r="S30" s="1"/>
      <c r="T30" s="1"/>
    </row>
    <row r="31" spans="1:20">
      <c r="A31" s="1" t="s">
        <v>281</v>
      </c>
      <c r="B31" s="88"/>
      <c r="C31" s="104" t="s">
        <v>0</v>
      </c>
      <c r="D31" s="88"/>
      <c r="E31" s="89" t="s">
        <v>0</v>
      </c>
      <c r="F31" s="88"/>
      <c r="G31" s="89" t="s">
        <v>0</v>
      </c>
      <c r="H31" s="88"/>
      <c r="I31" s="89" t="s">
        <v>0</v>
      </c>
      <c r="J31" s="88"/>
      <c r="K31" s="104" t="s">
        <v>0</v>
      </c>
      <c r="L31" s="88"/>
      <c r="M31" s="104" t="s">
        <v>0</v>
      </c>
      <c r="N31" s="88"/>
      <c r="O31" s="104" t="s">
        <v>0</v>
      </c>
      <c r="P31" s="88"/>
      <c r="Q31" s="104" t="s">
        <v>0</v>
      </c>
      <c r="R31" s="60"/>
      <c r="S31" s="1"/>
      <c r="T31" s="1"/>
    </row>
    <row r="32" spans="1:20">
      <c r="A32" s="1" t="s">
        <v>282</v>
      </c>
      <c r="B32" s="88">
        <f>+buhvar!B32</f>
        <v>0</v>
      </c>
      <c r="C32" s="104">
        <f t="shared" si="5"/>
        <v>0</v>
      </c>
      <c r="D32" s="88">
        <f>+buhvar!D32</f>
        <v>0</v>
      </c>
      <c r="E32" s="89">
        <v>0</v>
      </c>
      <c r="F32" s="88">
        <f>+buhvar!F32</f>
        <v>0</v>
      </c>
      <c r="G32" s="89">
        <v>0</v>
      </c>
      <c r="H32" s="88">
        <f>+buhvar!H32</f>
        <v>0</v>
      </c>
      <c r="I32" s="89">
        <v>0</v>
      </c>
      <c r="J32" s="88">
        <f>+buhvar!J32</f>
        <v>0</v>
      </c>
      <c r="K32" s="104">
        <f t="shared" si="6"/>
        <v>0</v>
      </c>
      <c r="L32" s="88">
        <f>+buhvar!L32</f>
        <v>0</v>
      </c>
      <c r="M32" s="104">
        <f t="shared" si="7"/>
        <v>0</v>
      </c>
      <c r="N32" s="88">
        <f>+buhvar!N32</f>
        <v>0</v>
      </c>
      <c r="O32" s="104">
        <f t="shared" si="8"/>
        <v>0</v>
      </c>
      <c r="P32" s="88">
        <f>+buhvar!P32</f>
        <v>0</v>
      </c>
      <c r="Q32" s="104">
        <f t="shared" si="9"/>
        <v>0</v>
      </c>
      <c r="R32" s="60"/>
      <c r="S32" s="1"/>
      <c r="T32" s="1"/>
    </row>
    <row r="33" spans="1:21">
      <c r="A33" s="1" t="s">
        <v>283</v>
      </c>
      <c r="B33" s="88">
        <f>+buhvar!B33</f>
        <v>0</v>
      </c>
      <c r="C33" s="104">
        <f t="shared" si="5"/>
        <v>0</v>
      </c>
      <c r="D33" s="88">
        <f>+buhvar!D33</f>
        <v>0</v>
      </c>
      <c r="E33" s="89">
        <v>0</v>
      </c>
      <c r="F33" s="88">
        <f>+buhvar!F33</f>
        <v>0</v>
      </c>
      <c r="G33" s="89">
        <v>0</v>
      </c>
      <c r="H33" s="88">
        <f>+buhvar!H33</f>
        <v>0</v>
      </c>
      <c r="I33" s="89">
        <v>0</v>
      </c>
      <c r="J33" s="88">
        <f>+buhvar!J33</f>
        <v>0</v>
      </c>
      <c r="K33" s="104">
        <f t="shared" si="6"/>
        <v>0</v>
      </c>
      <c r="L33" s="88">
        <f>+buhvar!L33</f>
        <v>0</v>
      </c>
      <c r="M33" s="104">
        <f t="shared" si="7"/>
        <v>0</v>
      </c>
      <c r="N33" s="88">
        <f>+buhvar!N33</f>
        <v>0</v>
      </c>
      <c r="O33" s="104">
        <f t="shared" si="8"/>
        <v>0</v>
      </c>
      <c r="P33" s="88">
        <f>+buhvar!P33</f>
        <v>0</v>
      </c>
      <c r="Q33" s="104">
        <f t="shared" si="9"/>
        <v>0</v>
      </c>
      <c r="R33" s="60"/>
      <c r="S33" s="1"/>
      <c r="T33" s="1"/>
    </row>
    <row r="34" spans="1:21" ht="18">
      <c r="A34" s="1" t="s">
        <v>284</v>
      </c>
      <c r="B34" s="221">
        <f>+buhvar!B34</f>
        <v>108982</v>
      </c>
      <c r="C34" s="328">
        <f t="shared" si="5"/>
        <v>5.1523649951966351E-2</v>
      </c>
      <c r="D34" s="221">
        <f>+buhvar!D34</f>
        <v>0</v>
      </c>
      <c r="E34" s="295">
        <v>0</v>
      </c>
      <c r="F34" s="221">
        <f>+buhvar!F34</f>
        <v>0</v>
      </c>
      <c r="G34" s="295">
        <v>0</v>
      </c>
      <c r="H34" s="221">
        <f>+buhvar!H34</f>
        <v>0</v>
      </c>
      <c r="I34" s="295">
        <v>0</v>
      </c>
      <c r="J34" s="221">
        <f>+buhvar!J34</f>
        <v>94673</v>
      </c>
      <c r="K34" s="328">
        <f t="shared" si="6"/>
        <v>4.5759203147120335E-2</v>
      </c>
      <c r="L34" s="221">
        <f>+buhvar!L34</f>
        <v>96777</v>
      </c>
      <c r="M34" s="328">
        <f t="shared" si="7"/>
        <v>5.3618561750242114E-2</v>
      </c>
      <c r="N34" s="221">
        <f>+buhvar!N34</f>
        <v>70667.8</v>
      </c>
      <c r="O34" s="328">
        <f t="shared" si="8"/>
        <v>4.7253482202595697E-2</v>
      </c>
      <c r="P34" s="221">
        <f>+buhvar!P34</f>
        <v>49516.427600000003</v>
      </c>
      <c r="Q34" s="328">
        <f t="shared" si="9"/>
        <v>3.8653052769731092E-2</v>
      </c>
      <c r="R34" s="64"/>
      <c r="S34" s="66"/>
      <c r="T34" s="66"/>
      <c r="U34" s="7"/>
    </row>
    <row r="35" spans="1:21">
      <c r="A35" s="1"/>
      <c r="B35" s="88">
        <f>SUM(B32:B34)</f>
        <v>108982</v>
      </c>
      <c r="C35" s="104">
        <f t="shared" si="5"/>
        <v>5.1523649951966351E-2</v>
      </c>
      <c r="D35" s="88">
        <f>SUM(D32:D34)</f>
        <v>0</v>
      </c>
      <c r="E35" s="89">
        <v>0</v>
      </c>
      <c r="F35" s="88">
        <f>SUM(F32:F34)</f>
        <v>0</v>
      </c>
      <c r="G35" s="89">
        <v>0</v>
      </c>
      <c r="H35" s="88">
        <f>SUM(H32:H34)</f>
        <v>0</v>
      </c>
      <c r="I35" s="89">
        <v>0</v>
      </c>
      <c r="J35" s="88">
        <f>SUM(J32:J34)</f>
        <v>94673</v>
      </c>
      <c r="K35" s="104">
        <f t="shared" si="6"/>
        <v>4.5759203147120335E-2</v>
      </c>
      <c r="L35" s="88">
        <f>SUM(L32:L34)</f>
        <v>96777</v>
      </c>
      <c r="M35" s="104">
        <f t="shared" si="7"/>
        <v>5.3618561750242114E-2</v>
      </c>
      <c r="N35" s="88">
        <f>SUM(N32:N34)</f>
        <v>70667.8</v>
      </c>
      <c r="O35" s="104">
        <f t="shared" si="8"/>
        <v>4.7253482202595697E-2</v>
      </c>
      <c r="P35" s="88">
        <f>SUM(P32:P34)</f>
        <v>49516.427600000003</v>
      </c>
      <c r="Q35" s="104">
        <f t="shared" si="9"/>
        <v>3.8653052769731092E-2</v>
      </c>
      <c r="R35" s="60"/>
      <c r="S35" s="1"/>
      <c r="T35" s="1"/>
    </row>
    <row r="36" spans="1:21" ht="7.15" customHeight="1">
      <c r="A36" s="1"/>
      <c r="B36" s="88"/>
      <c r="C36" s="104" t="s">
        <v>0</v>
      </c>
      <c r="D36" s="88"/>
      <c r="E36" s="89" t="s">
        <v>0</v>
      </c>
      <c r="F36" s="88"/>
      <c r="G36" s="89" t="s">
        <v>0</v>
      </c>
      <c r="H36" s="88"/>
      <c r="I36" s="89" t="s">
        <v>0</v>
      </c>
      <c r="J36" s="88"/>
      <c r="K36" s="104" t="s">
        <v>0</v>
      </c>
      <c r="L36" s="88"/>
      <c r="M36" s="104" t="s">
        <v>0</v>
      </c>
      <c r="N36" s="88"/>
      <c r="O36" s="104" t="s">
        <v>0</v>
      </c>
      <c r="P36" s="88"/>
      <c r="Q36" s="104" t="s">
        <v>0</v>
      </c>
      <c r="R36" s="60"/>
      <c r="S36" s="1"/>
      <c r="T36" s="1"/>
    </row>
    <row r="37" spans="1:21">
      <c r="A37" s="1" t="s">
        <v>285</v>
      </c>
      <c r="B37" s="88"/>
      <c r="C37" s="104" t="s">
        <v>0</v>
      </c>
      <c r="D37" s="88"/>
      <c r="E37" s="89" t="s">
        <v>0</v>
      </c>
      <c r="F37" s="88"/>
      <c r="G37" s="89" t="s">
        <v>0</v>
      </c>
      <c r="H37" s="88"/>
      <c r="I37" s="89" t="s">
        <v>0</v>
      </c>
      <c r="J37" s="88"/>
      <c r="K37" s="104" t="s">
        <v>0</v>
      </c>
      <c r="L37" s="88"/>
      <c r="M37" s="104" t="s">
        <v>0</v>
      </c>
      <c r="N37" s="88"/>
      <c r="O37" s="104" t="s">
        <v>0</v>
      </c>
      <c r="P37" s="88"/>
      <c r="Q37" s="104" t="s">
        <v>0</v>
      </c>
      <c r="R37" s="60"/>
      <c r="S37" s="1"/>
      <c r="T37" s="1"/>
    </row>
    <row r="38" spans="1:21">
      <c r="A38" s="1" t="s">
        <v>282</v>
      </c>
      <c r="B38" s="88">
        <f>+buhvar!B38</f>
        <v>5671</v>
      </c>
      <c r="C38" s="104">
        <f t="shared" si="5"/>
        <v>2.6810906285221524E-3</v>
      </c>
      <c r="D38" s="88">
        <f>+buhvar!D38</f>
        <v>0</v>
      </c>
      <c r="E38" s="89">
        <v>0</v>
      </c>
      <c r="F38" s="88">
        <f>+buhvar!F38</f>
        <v>0</v>
      </c>
      <c r="G38" s="89">
        <v>0</v>
      </c>
      <c r="H38" s="88">
        <f>+buhvar!H38</f>
        <v>0</v>
      </c>
      <c r="I38" s="89">
        <v>0</v>
      </c>
      <c r="J38" s="88">
        <f>+buhvar!J38</f>
        <v>31666</v>
      </c>
      <c r="K38" s="104">
        <f t="shared" si="6"/>
        <v>1.5305429497921399E-2</v>
      </c>
      <c r="L38" s="88">
        <f>+buhvar!L38</f>
        <v>0</v>
      </c>
      <c r="M38" s="104">
        <f t="shared" si="7"/>
        <v>0</v>
      </c>
      <c r="N38" s="88">
        <f>+buhvar!N38</f>
        <v>0</v>
      </c>
      <c r="O38" s="104">
        <f t="shared" si="8"/>
        <v>0</v>
      </c>
      <c r="P38" s="88">
        <f>+buhvar!P38</f>
        <v>0</v>
      </c>
      <c r="Q38" s="104">
        <f t="shared" si="9"/>
        <v>0</v>
      </c>
      <c r="R38" s="60"/>
      <c r="S38" s="1"/>
      <c r="T38" s="1"/>
    </row>
    <row r="39" spans="1:21">
      <c r="A39" s="1" t="s">
        <v>286</v>
      </c>
      <c r="B39" s="88">
        <f>+buhvar!B39</f>
        <v>0</v>
      </c>
      <c r="C39" s="104">
        <f t="shared" si="5"/>
        <v>0</v>
      </c>
      <c r="D39" s="88">
        <f>+buhvar!D39</f>
        <v>0</v>
      </c>
      <c r="E39" s="89">
        <v>0</v>
      </c>
      <c r="F39" s="88">
        <f>+buhvar!F39</f>
        <v>0</v>
      </c>
      <c r="G39" s="89">
        <v>0</v>
      </c>
      <c r="H39" s="88">
        <f>+buhvar!H39</f>
        <v>0</v>
      </c>
      <c r="I39" s="89">
        <v>0</v>
      </c>
      <c r="J39" s="88">
        <f>+buhvar!J39</f>
        <v>0</v>
      </c>
      <c r="K39" s="104">
        <f t="shared" si="6"/>
        <v>0</v>
      </c>
      <c r="L39" s="88">
        <f>+buhvar!L39</f>
        <v>0</v>
      </c>
      <c r="M39" s="104">
        <f t="shared" si="7"/>
        <v>0</v>
      </c>
      <c r="N39" s="88">
        <f>+buhvar!N39</f>
        <v>0</v>
      </c>
      <c r="O39" s="104">
        <f t="shared" si="8"/>
        <v>0</v>
      </c>
      <c r="P39" s="88">
        <f>+buhvar!P39</f>
        <v>0</v>
      </c>
      <c r="Q39" s="104">
        <f t="shared" si="9"/>
        <v>0</v>
      </c>
      <c r="R39" s="60"/>
      <c r="S39" s="1"/>
      <c r="T39" s="1"/>
    </row>
    <row r="40" spans="1:21">
      <c r="A40" s="1" t="s">
        <v>284</v>
      </c>
      <c r="B40" s="221">
        <f>+buhvar!B40</f>
        <v>36133</v>
      </c>
      <c r="C40" s="328">
        <f t="shared" si="5"/>
        <v>1.7082674604195189E-2</v>
      </c>
      <c r="D40" s="221">
        <f>+buhvar!D40</f>
        <v>0</v>
      </c>
      <c r="E40" s="295">
        <v>0</v>
      </c>
      <c r="F40" s="221">
        <f>+buhvar!F40</f>
        <v>0</v>
      </c>
      <c r="G40" s="295">
        <v>0</v>
      </c>
      <c r="H40" s="221">
        <f>+buhvar!H40</f>
        <v>0</v>
      </c>
      <c r="I40" s="295">
        <v>0</v>
      </c>
      <c r="J40" s="221">
        <f>+buhvar!J40</f>
        <v>36996</v>
      </c>
      <c r="K40" s="328">
        <f t="shared" si="6"/>
        <v>1.7881629182880693E-2</v>
      </c>
      <c r="L40" s="221">
        <f>+buhvar!L40</f>
        <v>34500</v>
      </c>
      <c r="M40" s="328">
        <f t="shared" si="7"/>
        <v>1.9114462944535924E-2</v>
      </c>
      <c r="N40" s="221">
        <f>+buhvar!N40</f>
        <v>57798.1</v>
      </c>
      <c r="O40" s="328">
        <f t="shared" si="8"/>
        <v>3.8647891821930867E-2</v>
      </c>
      <c r="P40" s="221">
        <f>+buhvar!P40</f>
        <v>62747.58438</v>
      </c>
      <c r="Q40" s="328">
        <f t="shared" si="9"/>
        <v>4.8981435207843912E-2</v>
      </c>
      <c r="R40" s="60"/>
      <c r="S40" s="1"/>
      <c r="T40" s="1"/>
    </row>
    <row r="41" spans="1:21">
      <c r="A41" s="1"/>
      <c r="B41" s="88">
        <f>SUM(B38:B40)</f>
        <v>41804</v>
      </c>
      <c r="C41" s="104">
        <f t="shared" si="5"/>
        <v>1.9763765232717345E-2</v>
      </c>
      <c r="D41" s="88">
        <f>SUM(D38:D40)</f>
        <v>0</v>
      </c>
      <c r="E41" s="89">
        <v>0</v>
      </c>
      <c r="F41" s="88">
        <f>SUM(F38:F40)</f>
        <v>0</v>
      </c>
      <c r="G41" s="89">
        <v>0</v>
      </c>
      <c r="H41" s="88">
        <f>SUM(H38:H40)</f>
        <v>0</v>
      </c>
      <c r="I41" s="89">
        <v>0</v>
      </c>
      <c r="J41" s="88">
        <f>SUM(J38:J40)</f>
        <v>68662</v>
      </c>
      <c r="K41" s="104">
        <f t="shared" si="6"/>
        <v>3.3187058680802094E-2</v>
      </c>
      <c r="L41" s="88">
        <f>SUM(L38:L40)</f>
        <v>34500</v>
      </c>
      <c r="M41" s="104">
        <f t="shared" si="7"/>
        <v>1.9114462944535924E-2</v>
      </c>
      <c r="N41" s="88">
        <f>SUM(N38:N40)</f>
        <v>57798.1</v>
      </c>
      <c r="O41" s="104">
        <f t="shared" si="8"/>
        <v>3.8647891821930867E-2</v>
      </c>
      <c r="P41" s="88">
        <f>SUM(P38:P40)</f>
        <v>62747.58438</v>
      </c>
      <c r="Q41" s="104">
        <f t="shared" si="9"/>
        <v>4.8981435207843912E-2</v>
      </c>
      <c r="R41" s="60"/>
      <c r="S41" s="1"/>
      <c r="T41" s="1"/>
    </row>
    <row r="42" spans="1:21" ht="8.4499999999999993" customHeight="1">
      <c r="A42" s="1"/>
      <c r="B42" s="88"/>
      <c r="C42" s="104" t="s">
        <v>0</v>
      </c>
      <c r="D42" s="88"/>
      <c r="E42" s="89" t="s">
        <v>0</v>
      </c>
      <c r="F42" s="88"/>
      <c r="G42" s="89" t="s">
        <v>0</v>
      </c>
      <c r="H42" s="88"/>
      <c r="I42" s="89" t="s">
        <v>0</v>
      </c>
      <c r="J42" s="88"/>
      <c r="K42" s="104" t="s">
        <v>0</v>
      </c>
      <c r="L42" s="88"/>
      <c r="M42" s="104" t="s">
        <v>0</v>
      </c>
      <c r="N42" s="88"/>
      <c r="O42" s="104" t="s">
        <v>0</v>
      </c>
      <c r="P42" s="88"/>
      <c r="Q42" s="104" t="s">
        <v>0</v>
      </c>
      <c r="R42" s="60"/>
      <c r="S42" s="1"/>
      <c r="T42" s="1"/>
    </row>
    <row r="43" spans="1:21" ht="17.25">
      <c r="A43" s="1" t="s">
        <v>287</v>
      </c>
      <c r="B43" s="221">
        <f>+buhvar!B43</f>
        <v>2841</v>
      </c>
      <c r="C43" s="328">
        <f t="shared" si="5"/>
        <v>1.3431455608590079E-3</v>
      </c>
      <c r="D43" s="221">
        <f>+buhvar!D43</f>
        <v>0</v>
      </c>
      <c r="E43" s="295">
        <v>0</v>
      </c>
      <c r="F43" s="221">
        <f>+buhvar!F43</f>
        <v>0</v>
      </c>
      <c r="G43" s="295">
        <v>0</v>
      </c>
      <c r="H43" s="221">
        <f>+buhvar!H43</f>
        <v>0</v>
      </c>
      <c r="I43" s="295">
        <v>0</v>
      </c>
      <c r="J43" s="221">
        <f>+buhvar!J43</f>
        <v>1382</v>
      </c>
      <c r="K43" s="328">
        <f t="shared" si="6"/>
        <v>6.6797522788250401E-4</v>
      </c>
      <c r="L43" s="221">
        <f>+buhvar!L43</f>
        <v>5903</v>
      </c>
      <c r="M43" s="328">
        <f t="shared" si="7"/>
        <v>3.270512311930306E-3</v>
      </c>
      <c r="N43" s="221">
        <f>+buhvar!N43</f>
        <v>1415</v>
      </c>
      <c r="O43" s="328">
        <f t="shared" si="8"/>
        <v>9.4616893856428114E-4</v>
      </c>
      <c r="P43" s="221">
        <f>+buhvar!P43</f>
        <v>54.743220000000001</v>
      </c>
      <c r="Q43" s="328">
        <f t="shared" si="9"/>
        <v>4.2733142797341028E-5</v>
      </c>
      <c r="R43" s="64"/>
      <c r="S43" s="1"/>
      <c r="T43" s="1"/>
    </row>
    <row r="44" spans="1:21">
      <c r="A44" s="1"/>
      <c r="B44" s="88">
        <f>+B29+B35+B41+B43</f>
        <v>2109990</v>
      </c>
      <c r="C44" s="104">
        <f t="shared" si="5"/>
        <v>0.99754442166733481</v>
      </c>
      <c r="D44" s="88">
        <f>+D29+D35+D41+D43</f>
        <v>0</v>
      </c>
      <c r="E44" s="89">
        <v>0</v>
      </c>
      <c r="F44" s="88">
        <f>+F29+F35+F41+F43</f>
        <v>0</v>
      </c>
      <c r="G44" s="89">
        <v>0</v>
      </c>
      <c r="H44" s="88">
        <f>+H29+H35+H41+H43</f>
        <v>0</v>
      </c>
      <c r="I44" s="89">
        <v>0</v>
      </c>
      <c r="J44" s="88">
        <f>+J29+J35+J41+J43</f>
        <v>1984973</v>
      </c>
      <c r="K44" s="104">
        <f t="shared" si="6"/>
        <v>0.95941591318062058</v>
      </c>
      <c r="L44" s="88">
        <f>+L29+L35+L41+L43</f>
        <v>1716237</v>
      </c>
      <c r="M44" s="104">
        <f t="shared" si="7"/>
        <v>0.95086807363888404</v>
      </c>
      <c r="N44" s="88">
        <f>+N29+N35+N41+N43</f>
        <v>1429843.5000000002</v>
      </c>
      <c r="O44" s="104">
        <f t="shared" si="8"/>
        <v>0.95609435103041485</v>
      </c>
      <c r="P44" s="88">
        <f>+P29+P35+P41+P43</f>
        <v>1218465.6582599999</v>
      </c>
      <c r="Q44" s="104">
        <f t="shared" si="9"/>
        <v>0.95114731957821819</v>
      </c>
      <c r="R44" s="60"/>
      <c r="S44" s="1"/>
      <c r="T44" s="1"/>
    </row>
    <row r="45" spans="1:21" ht="8.4499999999999993" customHeight="1">
      <c r="A45" s="1"/>
      <c r="B45" s="88"/>
      <c r="C45" s="104" t="s">
        <v>0</v>
      </c>
      <c r="D45" s="88"/>
      <c r="E45" s="89" t="s">
        <v>0</v>
      </c>
      <c r="F45" s="88"/>
      <c r="G45" s="89" t="s">
        <v>0</v>
      </c>
      <c r="H45" s="88"/>
      <c r="I45" s="89" t="s">
        <v>0</v>
      </c>
      <c r="J45" s="88"/>
      <c r="K45" s="104" t="s">
        <v>0</v>
      </c>
      <c r="L45" s="88"/>
      <c r="M45" s="104" t="s">
        <v>0</v>
      </c>
      <c r="N45" s="88"/>
      <c r="O45" s="104" t="s">
        <v>0</v>
      </c>
      <c r="P45" s="88"/>
      <c r="Q45" s="104" t="s">
        <v>0</v>
      </c>
      <c r="R45" s="60"/>
      <c r="S45" s="1"/>
      <c r="T45" s="1"/>
    </row>
    <row r="46" spans="1:21">
      <c r="A46" s="2" t="s">
        <v>288</v>
      </c>
      <c r="B46" s="88"/>
      <c r="C46" s="104" t="s">
        <v>0</v>
      </c>
      <c r="D46" s="88"/>
      <c r="E46" s="89" t="s">
        <v>0</v>
      </c>
      <c r="F46" s="88"/>
      <c r="G46" s="89" t="s">
        <v>0</v>
      </c>
      <c r="H46" s="88"/>
      <c r="I46" s="89" t="s">
        <v>0</v>
      </c>
      <c r="J46" s="88"/>
      <c r="K46" s="104" t="s">
        <v>0</v>
      </c>
      <c r="L46" s="88"/>
      <c r="M46" s="104" t="s">
        <v>0</v>
      </c>
      <c r="N46" s="88"/>
      <c r="O46" s="104" t="s">
        <v>0</v>
      </c>
      <c r="P46" s="88"/>
      <c r="Q46" s="104" t="s">
        <v>0</v>
      </c>
      <c r="R46" s="60"/>
      <c r="S46" s="1"/>
      <c r="T46" s="1"/>
    </row>
    <row r="47" spans="1:21">
      <c r="A47" s="1" t="s">
        <v>289</v>
      </c>
      <c r="B47" s="88">
        <f>+buhvar!B47</f>
        <v>36935</v>
      </c>
      <c r="C47" s="104">
        <f t="shared" ref="C47:C52" si="10">+B47/$B$21</f>
        <v>1.7461837835384533E-2</v>
      </c>
      <c r="D47" s="88">
        <f>+buhvar!D47</f>
        <v>0</v>
      </c>
      <c r="E47" s="89">
        <v>0</v>
      </c>
      <c r="F47" s="88">
        <f>+buhvar!F47</f>
        <v>0</v>
      </c>
      <c r="G47" s="89">
        <v>0</v>
      </c>
      <c r="H47" s="88">
        <f>+buhvar!H47</f>
        <v>0</v>
      </c>
      <c r="I47" s="89">
        <v>0</v>
      </c>
      <c r="J47" s="88">
        <f>+buhvar!J47</f>
        <v>36935</v>
      </c>
      <c r="K47" s="104">
        <f t="shared" ref="K47:K52" si="11">+J47/$J$21</f>
        <v>1.7852145471664461E-2</v>
      </c>
      <c r="L47" s="88">
        <f>+buhvar!L47</f>
        <v>36960</v>
      </c>
      <c r="M47" s="104">
        <f t="shared" ref="M47:M52" si="12">+L47/$L$21</f>
        <v>2.0477407258841961E-2</v>
      </c>
      <c r="N47" s="88">
        <f>+buhvar!N47</f>
        <v>30116.7</v>
      </c>
      <c r="O47" s="104">
        <f>+N47/$N$21</f>
        <v>2.0138152701101687E-2</v>
      </c>
      <c r="P47" s="88">
        <f>+buhvar!P47</f>
        <v>25346.625</v>
      </c>
      <c r="Q47" s="104">
        <f>+P47/$P$21</f>
        <v>1.9785846458349618E-2</v>
      </c>
      <c r="R47" s="60"/>
      <c r="S47" s="1"/>
      <c r="T47" s="1"/>
    </row>
    <row r="48" spans="1:21">
      <c r="A48" s="1" t="s">
        <v>290</v>
      </c>
      <c r="B48" s="88">
        <f>+buhvar!B48</f>
        <v>1939</v>
      </c>
      <c r="C48" s="104">
        <f t="shared" si="10"/>
        <v>9.1670511879817548E-4</v>
      </c>
      <c r="D48" s="88">
        <f>+buhvar!D48</f>
        <v>0</v>
      </c>
      <c r="E48" s="89">
        <v>0</v>
      </c>
      <c r="F48" s="88">
        <f>+buhvar!F48</f>
        <v>0</v>
      </c>
      <c r="G48" s="89">
        <v>0</v>
      </c>
      <c r="H48" s="88">
        <f>+buhvar!H48</f>
        <v>0</v>
      </c>
      <c r="I48" s="89">
        <v>0</v>
      </c>
      <c r="J48" s="88">
        <f>+buhvar!J48</f>
        <v>1939</v>
      </c>
      <c r="K48" s="104">
        <f t="shared" si="11"/>
        <v>9.3719534505367242E-4</v>
      </c>
      <c r="L48" s="88">
        <f>+buhvar!L48</f>
        <v>0</v>
      </c>
      <c r="M48" s="104">
        <f t="shared" si="12"/>
        <v>0</v>
      </c>
      <c r="N48" s="88">
        <f>+buhvar!N48</f>
        <v>9611.1</v>
      </c>
      <c r="O48" s="104">
        <f>+N48/$N$21</f>
        <v>6.4266602723923412E-3</v>
      </c>
      <c r="P48" s="88">
        <f>+buhvar!P48</f>
        <v>13352.6335</v>
      </c>
      <c r="Q48" s="104">
        <f>+P48/$P$21</f>
        <v>1.0423208464464814E-2</v>
      </c>
      <c r="R48" s="60"/>
      <c r="S48" s="1"/>
      <c r="T48" s="1"/>
    </row>
    <row r="49" spans="1:21">
      <c r="A49" s="1" t="s">
        <v>611</v>
      </c>
      <c r="B49" s="88">
        <f>+buhvar!B49</f>
        <v>12722</v>
      </c>
      <c r="C49" s="104">
        <f t="shared" si="10"/>
        <v>6.0146067670708552E-3</v>
      </c>
      <c r="D49" s="88">
        <f>+buhvar!D49</f>
        <v>0</v>
      </c>
      <c r="E49" s="89">
        <v>0</v>
      </c>
      <c r="F49" s="88">
        <f>+buhvar!F49</f>
        <v>0</v>
      </c>
      <c r="G49" s="89">
        <v>0</v>
      </c>
      <c r="H49" s="88">
        <f>+buhvar!H49</f>
        <v>0</v>
      </c>
      <c r="I49" s="89">
        <v>0</v>
      </c>
      <c r="J49" s="88">
        <f>+buhvar!J49</f>
        <v>12725</v>
      </c>
      <c r="K49" s="104">
        <f t="shared" si="11"/>
        <v>6.1504954955172676E-3</v>
      </c>
      <c r="L49" s="88">
        <f>+buhvar!L49</f>
        <v>12868</v>
      </c>
      <c r="M49" s="104">
        <f t="shared" si="12"/>
        <v>7.1294176571098048E-3</v>
      </c>
      <c r="N49" s="88"/>
      <c r="O49" s="104"/>
      <c r="P49" s="88"/>
      <c r="Q49" s="104"/>
      <c r="R49" s="60"/>
      <c r="S49" s="1"/>
      <c r="T49" s="1"/>
    </row>
    <row r="50" spans="1:21" ht="18">
      <c r="A50" s="1" t="s">
        <v>292</v>
      </c>
      <c r="B50" s="221">
        <f>+buhvar!B50</f>
        <v>-46402</v>
      </c>
      <c r="C50" s="328">
        <f t="shared" si="10"/>
        <v>-2.1937571388588414E-2</v>
      </c>
      <c r="D50" s="221">
        <f>+buhvar!D50</f>
        <v>0</v>
      </c>
      <c r="E50" s="295">
        <v>0</v>
      </c>
      <c r="F50" s="221">
        <f>+buhvar!F50</f>
        <v>0</v>
      </c>
      <c r="G50" s="295">
        <v>0</v>
      </c>
      <c r="H50" s="221">
        <f>+buhvar!H50</f>
        <v>0</v>
      </c>
      <c r="I50" s="295">
        <v>0</v>
      </c>
      <c r="J50" s="221">
        <f>+buhvar!J50</f>
        <v>32367</v>
      </c>
      <c r="K50" s="328">
        <f t="shared" si="11"/>
        <v>1.5644250507143999E-2</v>
      </c>
      <c r="L50" s="221">
        <f>+buhvar!L50</f>
        <v>38851</v>
      </c>
      <c r="M50" s="328">
        <f t="shared" si="12"/>
        <v>2.1525101445164205E-2</v>
      </c>
      <c r="N50" s="221">
        <f>+buhvar!N50</f>
        <v>20045.5</v>
      </c>
      <c r="O50" s="328">
        <f>+N50/$N$21</f>
        <v>1.3403837072784664E-2</v>
      </c>
      <c r="P50" s="221">
        <f>+buhvar!P50</f>
        <v>23883.384730000002</v>
      </c>
      <c r="Q50" s="328">
        <f>+P50/$P$21</f>
        <v>1.8643625459936849E-2</v>
      </c>
      <c r="R50" s="64"/>
      <c r="S50" s="66"/>
      <c r="T50" s="66"/>
      <c r="U50" s="7"/>
    </row>
    <row r="51" spans="1:21" ht="16.5" thickBot="1">
      <c r="A51" s="1" t="s">
        <v>275</v>
      </c>
      <c r="B51" s="99">
        <f>SUM(B47:B50)</f>
        <v>5194</v>
      </c>
      <c r="C51" s="329">
        <f t="shared" si="10"/>
        <v>2.4555783326651488E-3</v>
      </c>
      <c r="D51" s="99">
        <f>SUM(D47:D50)</f>
        <v>0</v>
      </c>
      <c r="E51" s="98">
        <v>0</v>
      </c>
      <c r="F51" s="99">
        <f>SUM(F47:F50)</f>
        <v>0</v>
      </c>
      <c r="G51" s="98">
        <v>0</v>
      </c>
      <c r="H51" s="99">
        <f>SUM(H47:H50)</f>
        <v>0</v>
      </c>
      <c r="I51" s="98">
        <v>0</v>
      </c>
      <c r="J51" s="99">
        <f>SUM(J47:J50)</f>
        <v>83966</v>
      </c>
      <c r="K51" s="329">
        <f t="shared" si="11"/>
        <v>4.0584086819379403E-2</v>
      </c>
      <c r="L51" s="99">
        <f>SUM(L47:L50)</f>
        <v>88679</v>
      </c>
      <c r="M51" s="329">
        <f t="shared" si="12"/>
        <v>4.9131926361115977E-2</v>
      </c>
      <c r="N51" s="99">
        <f>SUM(N47:N50)</f>
        <v>59773.3</v>
      </c>
      <c r="O51" s="329">
        <f>+N51/$N$21</f>
        <v>3.9968650046278691E-2</v>
      </c>
      <c r="P51" s="99">
        <f>SUM(P47:P50)</f>
        <v>62582.643230000001</v>
      </c>
      <c r="Q51" s="329">
        <f>+P51/$P$21</f>
        <v>4.8852680382751285E-2</v>
      </c>
      <c r="R51" s="60"/>
      <c r="S51" s="1"/>
      <c r="T51" s="1"/>
    </row>
    <row r="52" spans="1:21">
      <c r="A52" s="1" t="s">
        <v>0</v>
      </c>
      <c r="B52" s="91">
        <f>+B29+B35+B41+B43+B51</f>
        <v>2115184</v>
      </c>
      <c r="C52" s="112">
        <f t="shared" si="10"/>
        <v>1</v>
      </c>
      <c r="D52" s="91">
        <f>+D29+D35+D41+D43+D51</f>
        <v>0</v>
      </c>
      <c r="E52" s="42">
        <v>0</v>
      </c>
      <c r="F52" s="91">
        <f>+F29+F35+F41+F43+F51</f>
        <v>0</v>
      </c>
      <c r="G52" s="42">
        <v>0</v>
      </c>
      <c r="H52" s="91">
        <f>+H29+H35+H41+H43+H51</f>
        <v>0</v>
      </c>
      <c r="I52" s="42">
        <v>0</v>
      </c>
      <c r="J52" s="91">
        <f>+J29+J35+J41+J43+J51</f>
        <v>2068939</v>
      </c>
      <c r="K52" s="112">
        <f t="shared" si="11"/>
        <v>1</v>
      </c>
      <c r="L52" s="91">
        <f>+L29+L35+L41+L43+L51</f>
        <v>1804916</v>
      </c>
      <c r="M52" s="104">
        <f t="shared" si="12"/>
        <v>1</v>
      </c>
      <c r="N52" s="91">
        <f>+N29+N35+N41+N43+N51</f>
        <v>1489616.8000000003</v>
      </c>
      <c r="O52" s="104">
        <f>+N52/$N$21</f>
        <v>0.99606300107669354</v>
      </c>
      <c r="P52" s="91">
        <f>+P29+P35+P41+P43+P51</f>
        <v>1281048.30149</v>
      </c>
      <c r="Q52" s="104">
        <f>+P52/$P$21</f>
        <v>0.99999999996096955</v>
      </c>
      <c r="R52" s="60"/>
      <c r="S52" s="1"/>
      <c r="T52" s="1"/>
    </row>
    <row r="55" spans="1:21">
      <c r="A55" s="185" t="s">
        <v>293</v>
      </c>
      <c r="B55"/>
      <c r="C55"/>
      <c r="D55"/>
      <c r="E55"/>
      <c r="F55"/>
      <c r="G55"/>
      <c r="H55"/>
      <c r="I55"/>
      <c r="J55"/>
      <c r="K55"/>
      <c r="L55"/>
      <c r="M55"/>
      <c r="N55"/>
      <c r="O55"/>
      <c r="P55"/>
      <c r="Q55"/>
    </row>
    <row r="56" spans="1:21">
      <c r="A56" t="s">
        <v>294</v>
      </c>
      <c r="B56" s="3">
        <f>+buhvar!B56</f>
        <v>0</v>
      </c>
      <c r="C56"/>
      <c r="D56" s="3">
        <f>+buhvar!D56</f>
        <v>0</v>
      </c>
      <c r="E56"/>
      <c r="F56" s="3">
        <f>+buhvar!F56</f>
        <v>0</v>
      </c>
      <c r="G56"/>
      <c r="H56" s="3">
        <f>+buhvar!H56</f>
        <v>0</v>
      </c>
      <c r="I56"/>
      <c r="J56" s="3">
        <f>+buhvar!J56</f>
        <v>63</v>
      </c>
      <c r="K56"/>
      <c r="L56" s="3">
        <f>+buhvar!L56</f>
        <v>53</v>
      </c>
      <c r="M56"/>
      <c r="N56" s="3">
        <f>+buhvar!N56</f>
        <v>1117.48</v>
      </c>
      <c r="O56"/>
      <c r="P56" s="3">
        <f>+buhvar!P56</f>
        <v>707.9</v>
      </c>
      <c r="Q56"/>
    </row>
    <row r="57" spans="1:21">
      <c r="A57" t="s">
        <v>295</v>
      </c>
      <c r="B57" s="3">
        <f>+buhvar!B57</f>
        <v>0</v>
      </c>
      <c r="C57"/>
      <c r="D57" s="3">
        <f>+buhvar!D57</f>
        <v>0</v>
      </c>
      <c r="E57"/>
      <c r="F57" s="3">
        <f>+buhvar!F57</f>
        <v>0</v>
      </c>
      <c r="G57"/>
      <c r="H57" s="3">
        <f>+buhvar!H57</f>
        <v>0</v>
      </c>
      <c r="I57"/>
      <c r="J57" s="3">
        <f>+buhvar!J57</f>
        <v>0</v>
      </c>
      <c r="K57"/>
      <c r="L57" s="3">
        <f>+buhvar!L57</f>
        <v>0</v>
      </c>
      <c r="M57"/>
      <c r="N57" s="3">
        <f>+buhvar!N57</f>
        <v>2425</v>
      </c>
      <c r="O57"/>
      <c r="P57" s="3">
        <f>+buhvar!P57</f>
        <v>1872.6</v>
      </c>
      <c r="Q57"/>
    </row>
    <row r="58" spans="1:21">
      <c r="A58" t="s">
        <v>284</v>
      </c>
      <c r="B58" s="3">
        <f>+buhvar!B58</f>
        <v>67451</v>
      </c>
      <c r="C58"/>
      <c r="D58" s="3">
        <f>+buhvar!D58</f>
        <v>0</v>
      </c>
      <c r="E58"/>
      <c r="F58" s="3">
        <f>+buhvar!F58</f>
        <v>0</v>
      </c>
      <c r="G58"/>
      <c r="H58" s="3">
        <f>+buhvar!H58</f>
        <v>0</v>
      </c>
      <c r="I58"/>
      <c r="J58" s="3">
        <f>+buhvar!J58</f>
        <v>82276</v>
      </c>
      <c r="K58"/>
      <c r="L58" s="3">
        <f>+buhvar!L58</f>
        <v>82812</v>
      </c>
      <c r="M58"/>
      <c r="N58" s="3">
        <f>+buhvar!N58</f>
        <v>-3542.48</v>
      </c>
      <c r="O58"/>
      <c r="P58" s="3">
        <f>+buhvar!P58</f>
        <v>-2580.5</v>
      </c>
      <c r="Q58"/>
    </row>
    <row r="59" spans="1:21">
      <c r="B59" s="3"/>
      <c r="C59"/>
      <c r="D59" s="3"/>
      <c r="E59"/>
      <c r="F59" s="3"/>
      <c r="G59"/>
      <c r="H59" s="3"/>
      <c r="I59"/>
      <c r="J59"/>
      <c r="K59"/>
      <c r="L59" s="3"/>
      <c r="M59"/>
      <c r="N59" s="3"/>
      <c r="O59"/>
      <c r="P59" s="3"/>
      <c r="Q59"/>
    </row>
    <row r="60" spans="1:21" ht="18.75">
      <c r="A60" s="122" t="s">
        <v>303</v>
      </c>
      <c r="B60" s="3">
        <f>+buhvar!B60</f>
        <v>785886</v>
      </c>
      <c r="C60"/>
      <c r="D60" s="3">
        <f>+buhvar!D60</f>
        <v>0</v>
      </c>
      <c r="E60"/>
      <c r="F60" s="3">
        <f>+buhvar!F60</f>
        <v>0</v>
      </c>
      <c r="G60"/>
      <c r="H60" s="3">
        <f>+buhvar!H60</f>
        <v>0</v>
      </c>
      <c r="I60"/>
      <c r="J60" s="3">
        <f>+buhvar!J60</f>
        <v>737060</v>
      </c>
      <c r="K60"/>
      <c r="L60" s="3">
        <f>+buhvar!L60</f>
        <v>700240</v>
      </c>
      <c r="M60"/>
      <c r="N60" s="3">
        <f>+buhvar!N60</f>
        <v>603075.69999999995</v>
      </c>
      <c r="O60"/>
      <c r="P60" s="3">
        <f>+buhvar!P60</f>
        <v>360324.9</v>
      </c>
      <c r="Q60"/>
    </row>
    <row r="61" spans="1:21">
      <c r="A61" t="s">
        <v>217</v>
      </c>
      <c r="B61" s="3">
        <f>+buhvar!B61</f>
        <v>39216</v>
      </c>
      <c r="C61"/>
      <c r="D61" s="3">
        <f>+buhvar!D61</f>
        <v>0</v>
      </c>
      <c r="E61"/>
      <c r="F61" s="3">
        <f>+buhvar!F61</f>
        <v>0</v>
      </c>
      <c r="G61"/>
      <c r="H61" s="3">
        <f>+buhvar!H61</f>
        <v>0</v>
      </c>
      <c r="I61"/>
      <c r="J61" s="3">
        <f>+buhvar!J61</f>
        <v>38890</v>
      </c>
      <c r="K61"/>
      <c r="L61" s="3">
        <f>+buhvar!L61</f>
        <v>37699</v>
      </c>
      <c r="M61"/>
      <c r="N61" s="3">
        <f>+buhvar!N61</f>
        <v>29284.1</v>
      </c>
      <c r="O61"/>
      <c r="P61" s="3">
        <f>+buhvar!P61</f>
        <v>28025.599999999999</v>
      </c>
      <c r="Q61"/>
    </row>
    <row r="62" spans="1:21">
      <c r="A62" t="s">
        <v>297</v>
      </c>
      <c r="B62" s="3">
        <f>+buhvar!B62</f>
        <v>68389</v>
      </c>
      <c r="C62"/>
      <c r="D62" s="3">
        <f>+buhvar!D62</f>
        <v>0</v>
      </c>
      <c r="E62"/>
      <c r="F62" s="3">
        <f>+buhvar!F62</f>
        <v>0</v>
      </c>
      <c r="G62"/>
      <c r="H62" s="3">
        <f>+buhvar!H62</f>
        <v>0</v>
      </c>
      <c r="I62"/>
      <c r="J62" s="3">
        <f>+buhvar!J62</f>
        <v>66797</v>
      </c>
      <c r="K62"/>
      <c r="L62" s="3">
        <f>+buhvar!L62</f>
        <v>97310</v>
      </c>
      <c r="M62"/>
      <c r="N62" s="3">
        <f>+buhvar!N62</f>
        <v>24491.5</v>
      </c>
      <c r="O62"/>
      <c r="P62" s="3">
        <f>+buhvar!P62</f>
        <v>17448.900000000001</v>
      </c>
      <c r="Q62"/>
    </row>
    <row r="63" spans="1:21">
      <c r="B63"/>
      <c r="C63"/>
      <c r="D63"/>
      <c r="E63"/>
      <c r="F63"/>
      <c r="G63"/>
      <c r="H63"/>
      <c r="I63"/>
      <c r="J63"/>
      <c r="K63"/>
      <c r="L63"/>
      <c r="M63"/>
      <c r="N63"/>
      <c r="O63"/>
      <c r="P63"/>
      <c r="Q63"/>
    </row>
    <row r="64" spans="1:21">
      <c r="B64"/>
      <c r="C64"/>
      <c r="D64"/>
      <c r="E64"/>
      <c r="F64"/>
      <c r="G64"/>
      <c r="H64"/>
      <c r="I64"/>
      <c r="J64"/>
      <c r="K64"/>
      <c r="L64"/>
      <c r="M64"/>
      <c r="N64"/>
      <c r="O64"/>
      <c r="P64"/>
      <c r="Q64"/>
    </row>
    <row r="65" spans="2:17">
      <c r="B65"/>
      <c r="C65"/>
      <c r="D65"/>
      <c r="E65"/>
      <c r="F65"/>
      <c r="G65"/>
      <c r="H65"/>
      <c r="I65"/>
      <c r="J65"/>
      <c r="K65"/>
      <c r="L65"/>
      <c r="M65"/>
      <c r="N65"/>
      <c r="O65"/>
      <c r="P65"/>
      <c r="Q65"/>
    </row>
    <row r="66" spans="2:17">
      <c r="B66"/>
      <c r="C66"/>
      <c r="D66"/>
      <c r="E66"/>
      <c r="F66"/>
      <c r="G66"/>
      <c r="H66"/>
      <c r="I66"/>
      <c r="J66"/>
      <c r="K66"/>
      <c r="L66"/>
      <c r="M66"/>
      <c r="N66"/>
      <c r="O66"/>
      <c r="P66"/>
      <c r="Q66"/>
    </row>
    <row r="67" spans="2:17">
      <c r="B67"/>
      <c r="C67"/>
      <c r="D67"/>
      <c r="E67"/>
      <c r="F67"/>
      <c r="G67"/>
      <c r="H67"/>
      <c r="I67"/>
      <c r="J67"/>
      <c r="K67"/>
      <c r="L67"/>
      <c r="M67"/>
      <c r="N67"/>
      <c r="O67"/>
      <c r="P67"/>
      <c r="Q67"/>
    </row>
    <row r="68" spans="2:17">
      <c r="B68"/>
      <c r="C68"/>
      <c r="D68"/>
      <c r="E68"/>
      <c r="F68"/>
      <c r="G68"/>
      <c r="H68"/>
      <c r="I68"/>
      <c r="J68"/>
      <c r="K68"/>
      <c r="L68"/>
      <c r="M68"/>
      <c r="N68"/>
      <c r="O68"/>
      <c r="P68"/>
      <c r="Q68"/>
    </row>
    <row r="69" spans="2:17">
      <c r="B69"/>
      <c r="C69"/>
      <c r="D69"/>
      <c r="E69"/>
      <c r="F69"/>
      <c r="G69"/>
      <c r="H69"/>
      <c r="I69"/>
      <c r="J69"/>
      <c r="K69"/>
      <c r="L69"/>
      <c r="M69"/>
      <c r="N69"/>
      <c r="O69"/>
      <c r="P69"/>
      <c r="Q69"/>
    </row>
    <row r="70" spans="2:17">
      <c r="B70"/>
      <c r="C70"/>
      <c r="D70"/>
      <c r="E70"/>
      <c r="F70"/>
      <c r="G70"/>
      <c r="H70"/>
      <c r="I70"/>
      <c r="J70"/>
      <c r="K70"/>
      <c r="L70"/>
      <c r="M70"/>
      <c r="N70"/>
      <c r="O70"/>
      <c r="P70"/>
      <c r="Q70"/>
    </row>
    <row r="71" spans="2:17">
      <c r="B71"/>
      <c r="C71"/>
      <c r="D71"/>
      <c r="E71"/>
      <c r="F71"/>
      <c r="G71"/>
      <c r="H71"/>
      <c r="I71"/>
      <c r="J71"/>
      <c r="K71"/>
      <c r="L71"/>
      <c r="M71"/>
      <c r="N71"/>
      <c r="O71"/>
      <c r="P71"/>
      <c r="Q71"/>
    </row>
    <row r="72" spans="2:17">
      <c r="B72"/>
      <c r="C72"/>
      <c r="D72"/>
      <c r="E72"/>
      <c r="F72"/>
      <c r="G72"/>
      <c r="H72"/>
      <c r="I72"/>
      <c r="J72"/>
      <c r="K72"/>
      <c r="L72"/>
      <c r="M72"/>
      <c r="N72"/>
      <c r="O72"/>
      <c r="P72"/>
      <c r="Q72"/>
    </row>
    <row r="73" spans="2:17">
      <c r="B73"/>
      <c r="C73"/>
      <c r="D73"/>
      <c r="E73"/>
      <c r="F73"/>
      <c r="G73"/>
      <c r="H73"/>
      <c r="I73"/>
      <c r="J73"/>
      <c r="K73"/>
      <c r="L73"/>
      <c r="M73"/>
      <c r="N73"/>
      <c r="O73"/>
      <c r="P73"/>
      <c r="Q73"/>
    </row>
    <row r="74" spans="2:17">
      <c r="B74"/>
      <c r="C74"/>
      <c r="D74"/>
      <c r="E74"/>
      <c r="F74"/>
      <c r="G74"/>
      <c r="H74"/>
      <c r="I74"/>
      <c r="J74"/>
      <c r="K74"/>
      <c r="L74"/>
      <c r="M74"/>
      <c r="N74"/>
      <c r="O74"/>
      <c r="P74"/>
      <c r="Q74"/>
    </row>
    <row r="75" spans="2:17">
      <c r="B75"/>
      <c r="C75"/>
      <c r="D75"/>
      <c r="E75"/>
      <c r="F75"/>
      <c r="G75"/>
      <c r="H75"/>
      <c r="I75"/>
      <c r="J75"/>
      <c r="K75"/>
      <c r="L75"/>
      <c r="M75"/>
      <c r="N75"/>
      <c r="O75"/>
      <c r="P75"/>
      <c r="Q75"/>
    </row>
    <row r="76" spans="2:17">
      <c r="B76"/>
      <c r="C76"/>
      <c r="D76"/>
      <c r="E76"/>
      <c r="F76"/>
      <c r="G76"/>
      <c r="H76"/>
      <c r="I76"/>
      <c r="J76"/>
      <c r="K76"/>
      <c r="L76"/>
      <c r="M76"/>
      <c r="N76"/>
      <c r="O76"/>
      <c r="P76"/>
      <c r="Q76"/>
    </row>
    <row r="77" spans="2:17">
      <c r="B77"/>
      <c r="C77"/>
      <c r="D77"/>
      <c r="E77"/>
      <c r="F77"/>
      <c r="G77"/>
      <c r="H77"/>
      <c r="I77"/>
      <c r="J77"/>
      <c r="K77"/>
      <c r="L77"/>
      <c r="M77"/>
      <c r="N77"/>
      <c r="O77"/>
      <c r="P77"/>
      <c r="Q77"/>
    </row>
    <row r="78" spans="2:17">
      <c r="B78"/>
      <c r="C78"/>
      <c r="D78"/>
      <c r="E78"/>
      <c r="F78"/>
      <c r="G78"/>
      <c r="H78"/>
      <c r="I78"/>
      <c r="J78"/>
      <c r="K78"/>
      <c r="L78"/>
      <c r="M78"/>
      <c r="N78"/>
      <c r="O78"/>
      <c r="P78"/>
      <c r="Q78"/>
    </row>
    <row r="79" spans="2:17">
      <c r="B79"/>
      <c r="C79"/>
      <c r="D79"/>
      <c r="E79"/>
      <c r="F79"/>
      <c r="G79"/>
      <c r="H79"/>
      <c r="I79"/>
      <c r="J79"/>
      <c r="K79"/>
      <c r="L79"/>
      <c r="M79"/>
      <c r="N79"/>
      <c r="O79"/>
      <c r="P79"/>
      <c r="Q79"/>
    </row>
    <row r="80" spans="2:17">
      <c r="B80"/>
      <c r="C80"/>
      <c r="D80"/>
      <c r="E80"/>
      <c r="F80"/>
      <c r="G80"/>
      <c r="H80"/>
      <c r="I80"/>
      <c r="J80"/>
      <c r="K80"/>
      <c r="L80"/>
      <c r="M80"/>
      <c r="N80"/>
      <c r="O80"/>
      <c r="P80"/>
      <c r="Q80"/>
    </row>
    <row r="81" spans="2:17">
      <c r="B81"/>
      <c r="C81"/>
      <c r="D81"/>
      <c r="E81"/>
      <c r="F81"/>
      <c r="G81"/>
      <c r="H81"/>
      <c r="I81"/>
      <c r="J81"/>
      <c r="K81"/>
      <c r="L81"/>
      <c r="M81"/>
      <c r="N81"/>
      <c r="O81"/>
      <c r="P81"/>
      <c r="Q81"/>
    </row>
    <row r="82" spans="2:17">
      <c r="B82"/>
      <c r="C82"/>
      <c r="D82"/>
      <c r="E82"/>
      <c r="F82"/>
      <c r="G82"/>
      <c r="H82"/>
      <c r="I82"/>
      <c r="J82"/>
      <c r="K82"/>
      <c r="L82"/>
      <c r="M82"/>
      <c r="N82"/>
      <c r="O82"/>
      <c r="P82"/>
      <c r="Q82"/>
    </row>
    <row r="83" spans="2:17">
      <c r="B83"/>
      <c r="C83"/>
      <c r="D83"/>
      <c r="E83"/>
      <c r="F83"/>
      <c r="G83"/>
      <c r="H83"/>
      <c r="I83"/>
      <c r="J83"/>
      <c r="K83"/>
      <c r="L83"/>
      <c r="M83"/>
      <c r="N83"/>
      <c r="O83"/>
      <c r="P83"/>
      <c r="Q83"/>
    </row>
    <row r="84" spans="2:17">
      <c r="B84"/>
      <c r="C84"/>
      <c r="D84"/>
      <c r="E84"/>
      <c r="F84"/>
      <c r="G84"/>
      <c r="H84"/>
      <c r="I84"/>
      <c r="J84"/>
      <c r="K84"/>
      <c r="L84"/>
      <c r="M84"/>
      <c r="N84"/>
      <c r="O84"/>
      <c r="P84"/>
      <c r="Q84"/>
    </row>
    <row r="85" spans="2:17">
      <c r="B85"/>
      <c r="C85"/>
      <c r="D85"/>
      <c r="E85"/>
      <c r="F85"/>
      <c r="G85"/>
      <c r="H85"/>
      <c r="I85"/>
      <c r="J85"/>
      <c r="K85"/>
      <c r="L85"/>
      <c r="M85"/>
      <c r="N85"/>
      <c r="O85"/>
      <c r="P85"/>
      <c r="Q85"/>
    </row>
    <row r="86" spans="2:17">
      <c r="B86"/>
      <c r="C86"/>
      <c r="D86"/>
      <c r="E86"/>
      <c r="F86"/>
      <c r="G86"/>
      <c r="H86"/>
      <c r="I86"/>
      <c r="J86"/>
      <c r="K86"/>
      <c r="L86"/>
      <c r="M86"/>
      <c r="N86"/>
      <c r="O86"/>
      <c r="P86"/>
      <c r="Q86"/>
    </row>
    <row r="87" spans="2:17">
      <c r="B87"/>
      <c r="C87"/>
      <c r="D87"/>
      <c r="E87"/>
      <c r="F87"/>
      <c r="G87"/>
      <c r="H87"/>
      <c r="I87"/>
      <c r="J87"/>
      <c r="K87"/>
      <c r="L87"/>
      <c r="M87"/>
      <c r="N87"/>
      <c r="O87"/>
      <c r="P87"/>
      <c r="Q87"/>
    </row>
    <row r="88" spans="2:17">
      <c r="B88"/>
      <c r="C88"/>
      <c r="D88"/>
      <c r="E88"/>
      <c r="F88"/>
      <c r="G88"/>
      <c r="H88"/>
      <c r="I88"/>
      <c r="J88"/>
      <c r="K88"/>
      <c r="L88"/>
      <c r="M88"/>
      <c r="N88"/>
      <c r="O88"/>
      <c r="P88"/>
      <c r="Q88"/>
    </row>
    <row r="89" spans="2:17">
      <c r="B89"/>
      <c r="C89"/>
      <c r="D89"/>
      <c r="E89"/>
      <c r="F89"/>
      <c r="G89"/>
      <c r="H89"/>
      <c r="I89"/>
      <c r="J89"/>
      <c r="K89"/>
      <c r="L89"/>
      <c r="M89"/>
      <c r="N89"/>
      <c r="O89"/>
      <c r="P89"/>
      <c r="Q89"/>
    </row>
    <row r="90" spans="2:17">
      <c r="B90"/>
      <c r="C90"/>
      <c r="D90"/>
      <c r="E90"/>
      <c r="F90"/>
      <c r="G90"/>
      <c r="H90"/>
      <c r="I90"/>
      <c r="J90"/>
      <c r="K90"/>
      <c r="L90"/>
      <c r="M90"/>
      <c r="N90"/>
      <c r="O90"/>
      <c r="P90"/>
      <c r="Q90"/>
    </row>
    <row r="91" spans="2:17">
      <c r="B91"/>
      <c r="C91"/>
      <c r="D91"/>
      <c r="E91"/>
      <c r="F91"/>
      <c r="G91"/>
      <c r="H91"/>
      <c r="I91"/>
      <c r="J91"/>
      <c r="K91"/>
      <c r="L91"/>
      <c r="M91"/>
      <c r="N91"/>
      <c r="O91"/>
      <c r="P91"/>
      <c r="Q91"/>
    </row>
    <row r="92" spans="2:17">
      <c r="B92"/>
      <c r="C92"/>
      <c r="D92"/>
      <c r="E92"/>
      <c r="F92"/>
      <c r="G92"/>
      <c r="H92"/>
      <c r="I92"/>
      <c r="J92"/>
      <c r="K92"/>
      <c r="L92"/>
      <c r="M92"/>
      <c r="N92"/>
      <c r="O92"/>
      <c r="P92"/>
      <c r="Q92"/>
    </row>
    <row r="93" spans="2:17">
      <c r="B93"/>
      <c r="C93"/>
      <c r="D93"/>
      <c r="E93"/>
      <c r="F93"/>
      <c r="G93"/>
      <c r="H93"/>
      <c r="I93"/>
      <c r="J93"/>
      <c r="K93"/>
      <c r="L93"/>
      <c r="M93"/>
      <c r="N93"/>
      <c r="O93"/>
      <c r="P93"/>
      <c r="Q93"/>
    </row>
    <row r="94" spans="2:17">
      <c r="B94"/>
      <c r="C94"/>
      <c r="D94"/>
      <c r="E94"/>
      <c r="F94"/>
      <c r="G94"/>
      <c r="H94"/>
      <c r="I94"/>
      <c r="J94"/>
      <c r="K94"/>
      <c r="L94"/>
      <c r="M94"/>
      <c r="N94"/>
      <c r="O94"/>
      <c r="P94"/>
      <c r="Q94"/>
    </row>
    <row r="95" spans="2:17">
      <c r="B95"/>
      <c r="C95"/>
      <c r="D95"/>
      <c r="E95"/>
      <c r="F95"/>
      <c r="G95"/>
      <c r="H95"/>
      <c r="I95"/>
      <c r="J95"/>
      <c r="K95"/>
      <c r="L95"/>
      <c r="M95"/>
      <c r="N95"/>
      <c r="O95"/>
      <c r="P95"/>
      <c r="Q95"/>
    </row>
    <row r="96" spans="2:17">
      <c r="B96"/>
      <c r="C96"/>
      <c r="D96"/>
      <c r="E96"/>
      <c r="F96"/>
      <c r="G96"/>
      <c r="H96"/>
      <c r="I96"/>
      <c r="J96"/>
      <c r="K96"/>
      <c r="L96"/>
      <c r="M96"/>
      <c r="N96"/>
      <c r="O96"/>
      <c r="P96"/>
      <c r="Q96"/>
    </row>
    <row r="97" spans="2:17">
      <c r="B97"/>
      <c r="C97"/>
      <c r="D97"/>
      <c r="E97"/>
      <c r="F97"/>
      <c r="G97"/>
      <c r="H97"/>
      <c r="I97"/>
      <c r="J97"/>
      <c r="K97"/>
      <c r="L97"/>
      <c r="M97"/>
      <c r="N97"/>
      <c r="O97"/>
      <c r="P97"/>
      <c r="Q97"/>
    </row>
    <row r="98" spans="2:17">
      <c r="B98"/>
      <c r="C98"/>
      <c r="D98"/>
      <c r="E98"/>
      <c r="F98"/>
      <c r="G98"/>
      <c r="H98"/>
      <c r="I98"/>
      <c r="J98"/>
      <c r="K98"/>
      <c r="L98"/>
      <c r="M98"/>
      <c r="N98"/>
      <c r="O98"/>
      <c r="P98"/>
      <c r="Q98"/>
    </row>
    <row r="99" spans="2:17">
      <c r="B99"/>
      <c r="C99"/>
      <c r="D99"/>
      <c r="E99"/>
      <c r="F99"/>
      <c r="G99"/>
      <c r="H99"/>
      <c r="I99"/>
      <c r="J99"/>
      <c r="K99"/>
      <c r="L99"/>
      <c r="M99"/>
      <c r="N99"/>
      <c r="O99"/>
      <c r="P99"/>
      <c r="Q99"/>
    </row>
    <row r="100" spans="2:17">
      <c r="B100"/>
      <c r="C100"/>
      <c r="D100"/>
      <c r="E100"/>
      <c r="F100"/>
      <c r="G100"/>
      <c r="H100"/>
      <c r="I100"/>
      <c r="J100"/>
      <c r="K100"/>
      <c r="L100"/>
      <c r="M100"/>
      <c r="N100"/>
      <c r="O100"/>
      <c r="P100"/>
      <c r="Q100"/>
    </row>
    <row r="101" spans="2:17">
      <c r="B101"/>
      <c r="C101"/>
      <c r="D101"/>
      <c r="E101"/>
      <c r="F101"/>
      <c r="G101"/>
      <c r="H101"/>
      <c r="I101"/>
      <c r="J101"/>
      <c r="K101"/>
      <c r="L101"/>
      <c r="M101"/>
      <c r="N101"/>
      <c r="O101"/>
      <c r="P101"/>
      <c r="Q101"/>
    </row>
    <row r="102" spans="2:17">
      <c r="B102"/>
      <c r="C102"/>
      <c r="D102"/>
      <c r="E102"/>
      <c r="F102"/>
      <c r="G102"/>
      <c r="H102"/>
      <c r="I102"/>
      <c r="J102"/>
      <c r="K102"/>
      <c r="L102"/>
      <c r="M102"/>
      <c r="N102"/>
      <c r="O102"/>
      <c r="P102"/>
      <c r="Q102"/>
    </row>
    <row r="103" spans="2:17">
      <c r="B103"/>
      <c r="C103"/>
      <c r="D103"/>
      <c r="E103"/>
      <c r="F103"/>
      <c r="G103"/>
      <c r="H103"/>
      <c r="I103"/>
      <c r="J103"/>
      <c r="K103"/>
      <c r="L103"/>
      <c r="M103"/>
      <c r="N103"/>
      <c r="O103"/>
      <c r="P103"/>
      <c r="Q103"/>
    </row>
    <row r="104" spans="2:17">
      <c r="B104"/>
      <c r="C104"/>
      <c r="D104"/>
      <c r="E104"/>
      <c r="F104"/>
      <c r="G104"/>
      <c r="H104"/>
      <c r="I104"/>
      <c r="J104"/>
      <c r="K104"/>
      <c r="L104"/>
      <c r="M104"/>
      <c r="N104"/>
      <c r="O104"/>
      <c r="P104"/>
      <c r="Q104"/>
    </row>
    <row r="105" spans="2:17">
      <c r="B105"/>
      <c r="C105"/>
      <c r="D105"/>
      <c r="E105"/>
      <c r="F105"/>
      <c r="G105"/>
      <c r="H105"/>
      <c r="I105"/>
      <c r="J105"/>
      <c r="K105"/>
      <c r="L105"/>
      <c r="M105"/>
      <c r="N105"/>
      <c r="O105"/>
      <c r="P105"/>
      <c r="Q105"/>
    </row>
    <row r="106" spans="2:17">
      <c r="B106"/>
      <c r="C106"/>
      <c r="D106"/>
      <c r="E106"/>
      <c r="F106"/>
      <c r="G106"/>
      <c r="H106"/>
      <c r="I106"/>
      <c r="J106"/>
      <c r="K106"/>
      <c r="L106"/>
      <c r="M106"/>
      <c r="N106"/>
      <c r="O106"/>
      <c r="P106"/>
      <c r="Q106"/>
    </row>
    <row r="107" spans="2:17">
      <c r="B107"/>
      <c r="C107"/>
      <c r="D107"/>
      <c r="E107"/>
      <c r="F107"/>
      <c r="G107"/>
      <c r="H107"/>
      <c r="I107"/>
      <c r="J107"/>
      <c r="K107"/>
      <c r="L107"/>
      <c r="M107"/>
      <c r="N107"/>
      <c r="O107"/>
      <c r="P107"/>
      <c r="Q107"/>
    </row>
    <row r="108" spans="2:17">
      <c r="B108"/>
      <c r="C108"/>
      <c r="D108"/>
      <c r="E108"/>
      <c r="F108"/>
      <c r="G108"/>
      <c r="H108"/>
      <c r="I108"/>
      <c r="J108"/>
      <c r="K108"/>
      <c r="L108"/>
      <c r="M108"/>
      <c r="N108"/>
      <c r="O108"/>
      <c r="P108"/>
      <c r="Q108"/>
    </row>
    <row r="109" spans="2:17">
      <c r="B109"/>
      <c r="C109"/>
      <c r="D109"/>
      <c r="E109"/>
      <c r="F109"/>
      <c r="G109"/>
      <c r="H109"/>
      <c r="I109"/>
      <c r="J109"/>
      <c r="K109"/>
      <c r="L109"/>
      <c r="M109"/>
      <c r="N109"/>
      <c r="O109"/>
      <c r="P109"/>
      <c r="Q109"/>
    </row>
    <row r="110" spans="2:17">
      <c r="B110"/>
      <c r="C110"/>
      <c r="D110"/>
      <c r="E110"/>
      <c r="F110"/>
      <c r="G110"/>
      <c r="H110"/>
      <c r="I110"/>
      <c r="J110"/>
      <c r="K110"/>
      <c r="L110"/>
      <c r="M110"/>
      <c r="N110"/>
      <c r="O110"/>
      <c r="P110"/>
      <c r="Q110"/>
    </row>
    <row r="111" spans="2:17">
      <c r="B111"/>
      <c r="C111"/>
      <c r="D111"/>
      <c r="E111"/>
      <c r="F111"/>
      <c r="G111"/>
      <c r="H111"/>
      <c r="I111"/>
      <c r="J111"/>
      <c r="K111"/>
      <c r="L111"/>
      <c r="M111"/>
      <c r="N111"/>
      <c r="O111"/>
      <c r="P111"/>
      <c r="Q111"/>
    </row>
    <row r="112" spans="2:17">
      <c r="B112"/>
      <c r="C112"/>
      <c r="D112"/>
      <c r="E112"/>
      <c r="F112"/>
      <c r="G112"/>
      <c r="H112"/>
      <c r="I112"/>
      <c r="J112"/>
      <c r="K112"/>
      <c r="L112"/>
      <c r="M112"/>
      <c r="N112"/>
      <c r="O112"/>
      <c r="P112"/>
      <c r="Q112"/>
    </row>
    <row r="113" spans="2:17">
      <c r="B113"/>
      <c r="C113"/>
      <c r="D113"/>
      <c r="E113"/>
      <c r="F113"/>
      <c r="G113"/>
      <c r="H113"/>
      <c r="I113"/>
      <c r="J113"/>
      <c r="K113"/>
      <c r="L113"/>
      <c r="M113"/>
      <c r="N113"/>
      <c r="O113"/>
      <c r="P113"/>
      <c r="Q113"/>
    </row>
    <row r="114" spans="2:17">
      <c r="B114"/>
      <c r="C114"/>
      <c r="D114"/>
      <c r="E114"/>
      <c r="F114"/>
      <c r="G114"/>
      <c r="H114"/>
      <c r="I114"/>
      <c r="J114"/>
      <c r="K114"/>
      <c r="L114"/>
      <c r="M114"/>
      <c r="N114"/>
      <c r="O114"/>
      <c r="P114"/>
      <c r="Q114"/>
    </row>
    <row r="115" spans="2:17">
      <c r="B115"/>
      <c r="C115"/>
      <c r="D115"/>
      <c r="E115"/>
      <c r="F115"/>
      <c r="G115"/>
      <c r="H115"/>
      <c r="I115"/>
      <c r="J115"/>
      <c r="K115"/>
      <c r="L115"/>
      <c r="M115"/>
      <c r="N115"/>
      <c r="O115"/>
      <c r="P115"/>
      <c r="Q115"/>
    </row>
    <row r="116" spans="2:17">
      <c r="B116"/>
      <c r="C116"/>
      <c r="D116"/>
      <c r="E116"/>
      <c r="F116"/>
      <c r="G116"/>
      <c r="H116"/>
      <c r="I116"/>
      <c r="J116"/>
      <c r="K116"/>
      <c r="L116"/>
      <c r="M116"/>
      <c r="N116"/>
      <c r="O116"/>
      <c r="P116"/>
      <c r="Q116"/>
    </row>
    <row r="117" spans="2:17">
      <c r="B117"/>
      <c r="C117"/>
      <c r="D117"/>
      <c r="E117"/>
      <c r="F117"/>
      <c r="G117"/>
      <c r="H117"/>
      <c r="I117"/>
      <c r="J117"/>
      <c r="K117"/>
      <c r="L117"/>
      <c r="M117"/>
      <c r="N117"/>
      <c r="O117"/>
      <c r="P117"/>
      <c r="Q117"/>
    </row>
    <row r="118" spans="2:17">
      <c r="B118"/>
      <c r="C118"/>
      <c r="D118"/>
      <c r="E118"/>
      <c r="F118"/>
      <c r="G118"/>
      <c r="H118"/>
      <c r="I118"/>
      <c r="J118"/>
      <c r="K118"/>
      <c r="L118"/>
      <c r="M118"/>
      <c r="N118"/>
      <c r="O118"/>
      <c r="P118"/>
      <c r="Q118"/>
    </row>
    <row r="119" spans="2:17">
      <c r="B119"/>
      <c r="C119"/>
      <c r="D119"/>
      <c r="E119"/>
      <c r="F119"/>
      <c r="G119"/>
      <c r="H119"/>
      <c r="I119"/>
      <c r="J119"/>
      <c r="K119"/>
      <c r="L119"/>
      <c r="M119"/>
      <c r="N119"/>
      <c r="O119"/>
      <c r="P119"/>
      <c r="Q119"/>
    </row>
    <row r="120" spans="2:17">
      <c r="B120"/>
      <c r="C120"/>
      <c r="D120"/>
      <c r="E120"/>
      <c r="F120"/>
      <c r="G120"/>
      <c r="H120"/>
      <c r="I120"/>
      <c r="J120"/>
      <c r="K120"/>
      <c r="L120"/>
      <c r="M120"/>
      <c r="N120"/>
      <c r="O120"/>
      <c r="P120"/>
      <c r="Q120"/>
    </row>
    <row r="121" spans="2:17">
      <c r="B121"/>
      <c r="C121"/>
      <c r="D121"/>
      <c r="E121"/>
      <c r="F121"/>
      <c r="G121"/>
      <c r="H121"/>
      <c r="I121"/>
      <c r="J121"/>
      <c r="K121"/>
      <c r="L121"/>
      <c r="M121"/>
      <c r="N121"/>
      <c r="O121"/>
      <c r="P121"/>
      <c r="Q121"/>
    </row>
    <row r="122" spans="2:17">
      <c r="B122"/>
      <c r="C122"/>
      <c r="D122"/>
      <c r="E122"/>
      <c r="F122"/>
      <c r="G122"/>
      <c r="H122"/>
      <c r="I122"/>
      <c r="J122"/>
      <c r="K122"/>
      <c r="L122"/>
      <c r="M122"/>
      <c r="N122"/>
      <c r="O122"/>
      <c r="P122"/>
      <c r="Q122"/>
    </row>
    <row r="123" spans="2:17">
      <c r="B123"/>
      <c r="C123"/>
      <c r="D123"/>
      <c r="E123"/>
      <c r="F123"/>
      <c r="G123"/>
      <c r="H123"/>
      <c r="I123"/>
      <c r="J123"/>
      <c r="K123"/>
      <c r="L123"/>
      <c r="M123"/>
      <c r="N123"/>
      <c r="O123"/>
      <c r="P123"/>
      <c r="Q123"/>
    </row>
    <row r="124" spans="2:17">
      <c r="B124"/>
      <c r="C124"/>
      <c r="D124"/>
      <c r="E124"/>
      <c r="F124"/>
      <c r="G124"/>
      <c r="H124"/>
      <c r="I124"/>
      <c r="J124"/>
      <c r="K124"/>
      <c r="L124"/>
      <c r="M124"/>
      <c r="N124"/>
      <c r="O124"/>
      <c r="P124"/>
      <c r="Q124"/>
    </row>
    <row r="125" spans="2:17">
      <c r="B125"/>
      <c r="C125"/>
      <c r="D125"/>
      <c r="E125"/>
      <c r="F125"/>
      <c r="G125"/>
      <c r="H125"/>
      <c r="I125"/>
      <c r="J125"/>
      <c r="K125"/>
      <c r="L125"/>
      <c r="M125"/>
      <c r="N125"/>
      <c r="O125"/>
      <c r="P125"/>
      <c r="Q125"/>
    </row>
    <row r="126" spans="2:17">
      <c r="B126"/>
      <c r="C126"/>
      <c r="D126"/>
      <c r="E126"/>
      <c r="F126"/>
      <c r="G126"/>
      <c r="H126"/>
      <c r="I126"/>
      <c r="J126"/>
      <c r="K126"/>
      <c r="L126"/>
      <c r="M126"/>
      <c r="N126"/>
      <c r="O126"/>
      <c r="P126"/>
      <c r="Q126"/>
    </row>
    <row r="127" spans="2:17">
      <c r="B127"/>
      <c r="C127"/>
      <c r="D127"/>
      <c r="E127"/>
      <c r="F127"/>
      <c r="G127"/>
      <c r="H127"/>
      <c r="I127"/>
      <c r="J127"/>
      <c r="K127"/>
      <c r="L127"/>
      <c r="M127"/>
      <c r="N127"/>
      <c r="O127"/>
      <c r="P127"/>
      <c r="Q127"/>
    </row>
    <row r="128" spans="2:17">
      <c r="B128"/>
      <c r="C128"/>
      <c r="D128"/>
      <c r="E128"/>
      <c r="F128"/>
      <c r="G128"/>
      <c r="H128"/>
      <c r="I128"/>
      <c r="J128"/>
      <c r="K128"/>
      <c r="L128"/>
      <c r="M128"/>
      <c r="N128"/>
      <c r="O128"/>
      <c r="P128"/>
      <c r="Q128"/>
    </row>
    <row r="129" spans="2:17">
      <c r="B129"/>
      <c r="C129"/>
      <c r="D129"/>
      <c r="E129"/>
      <c r="F129"/>
      <c r="G129"/>
      <c r="H129"/>
      <c r="I129"/>
      <c r="J129"/>
      <c r="K129"/>
      <c r="L129"/>
      <c r="M129"/>
      <c r="N129"/>
      <c r="O129"/>
      <c r="P129"/>
      <c r="Q129"/>
    </row>
    <row r="130" spans="2:17">
      <c r="B130"/>
      <c r="C130"/>
      <c r="D130"/>
      <c r="E130"/>
      <c r="F130"/>
      <c r="G130"/>
      <c r="H130"/>
      <c r="I130"/>
      <c r="J130"/>
      <c r="K130"/>
      <c r="L130"/>
      <c r="M130"/>
      <c r="N130"/>
      <c r="O130"/>
      <c r="P130"/>
      <c r="Q130"/>
    </row>
    <row r="131" spans="2:17">
      <c r="B131"/>
      <c r="C131"/>
      <c r="D131"/>
      <c r="E131"/>
      <c r="F131"/>
      <c r="G131"/>
      <c r="H131"/>
      <c r="I131"/>
      <c r="J131"/>
      <c r="K131"/>
      <c r="L131"/>
      <c r="M131"/>
      <c r="N131"/>
      <c r="O131"/>
      <c r="P131"/>
      <c r="Q131"/>
    </row>
    <row r="132" spans="2:17">
      <c r="B132"/>
      <c r="C132"/>
      <c r="D132"/>
      <c r="E132"/>
      <c r="F132"/>
      <c r="G132"/>
      <c r="H132"/>
      <c r="I132"/>
      <c r="J132"/>
      <c r="K132"/>
      <c r="L132"/>
      <c r="M132"/>
      <c r="N132"/>
      <c r="O132"/>
      <c r="P132"/>
      <c r="Q132"/>
    </row>
    <row r="133" spans="2:17">
      <c r="B133"/>
      <c r="C133"/>
      <c r="D133"/>
      <c r="E133"/>
      <c r="F133"/>
      <c r="G133"/>
      <c r="H133"/>
      <c r="I133"/>
      <c r="J133"/>
      <c r="K133"/>
      <c r="L133"/>
      <c r="M133"/>
      <c r="N133"/>
      <c r="O133"/>
      <c r="P133"/>
      <c r="Q133"/>
    </row>
    <row r="134" spans="2:17">
      <c r="B134"/>
      <c r="C134"/>
      <c r="D134"/>
      <c r="E134"/>
      <c r="F134"/>
      <c r="G134"/>
      <c r="H134"/>
      <c r="I134"/>
      <c r="J134"/>
      <c r="K134"/>
      <c r="L134"/>
      <c r="M134"/>
      <c r="N134"/>
      <c r="O134"/>
      <c r="P134"/>
      <c r="Q134"/>
    </row>
    <row r="135" spans="2:17">
      <c r="B135"/>
      <c r="C135"/>
      <c r="D135"/>
      <c r="E135"/>
      <c r="F135"/>
      <c r="G135"/>
      <c r="H135"/>
      <c r="I135"/>
      <c r="J135"/>
      <c r="K135"/>
      <c r="L135"/>
      <c r="M135"/>
      <c r="N135"/>
      <c r="O135"/>
      <c r="P135"/>
      <c r="Q135"/>
    </row>
    <row r="136" spans="2:17">
      <c r="B136"/>
      <c r="C136"/>
      <c r="D136"/>
      <c r="E136"/>
      <c r="F136"/>
      <c r="G136"/>
      <c r="H136"/>
      <c r="I136"/>
      <c r="J136"/>
      <c r="K136"/>
      <c r="L136"/>
      <c r="M136"/>
      <c r="N136"/>
      <c r="O136"/>
      <c r="P136"/>
      <c r="Q136"/>
    </row>
    <row r="137" spans="2:17">
      <c r="B137"/>
      <c r="C137"/>
      <c r="D137"/>
      <c r="E137"/>
      <c r="F137"/>
      <c r="G137"/>
      <c r="H137"/>
      <c r="I137"/>
      <c r="J137"/>
      <c r="K137"/>
      <c r="L137"/>
      <c r="M137"/>
      <c r="N137"/>
      <c r="O137"/>
      <c r="P137"/>
      <c r="Q137"/>
    </row>
    <row r="138" spans="2:17">
      <c r="B138"/>
      <c r="C138"/>
      <c r="D138"/>
      <c r="E138"/>
      <c r="F138"/>
      <c r="G138"/>
      <c r="H138"/>
      <c r="I138"/>
      <c r="J138"/>
      <c r="K138"/>
      <c r="L138"/>
      <c r="M138"/>
      <c r="N138"/>
      <c r="O138"/>
      <c r="P138"/>
      <c r="Q138"/>
    </row>
    <row r="139" spans="2:17">
      <c r="B139"/>
      <c r="C139"/>
      <c r="D139"/>
      <c r="E139"/>
      <c r="F139"/>
      <c r="G139"/>
      <c r="H139"/>
      <c r="I139"/>
      <c r="J139"/>
      <c r="K139"/>
      <c r="L139"/>
      <c r="M139"/>
      <c r="N139"/>
      <c r="O139"/>
      <c r="P139"/>
      <c r="Q139"/>
    </row>
    <row r="140" spans="2:17">
      <c r="B140"/>
      <c r="C140"/>
      <c r="D140"/>
      <c r="E140"/>
      <c r="F140"/>
      <c r="G140"/>
      <c r="H140"/>
      <c r="I140"/>
      <c r="J140"/>
      <c r="K140"/>
      <c r="L140"/>
      <c r="M140"/>
      <c r="N140"/>
      <c r="O140"/>
      <c r="P140"/>
      <c r="Q140"/>
    </row>
    <row r="141" spans="2:17">
      <c r="B141"/>
      <c r="C141"/>
      <c r="D141"/>
      <c r="E141"/>
      <c r="F141"/>
      <c r="G141"/>
      <c r="H141"/>
      <c r="I141"/>
      <c r="J141"/>
      <c r="K141"/>
      <c r="L141"/>
      <c r="M141"/>
      <c r="N141"/>
      <c r="O141"/>
      <c r="P141"/>
      <c r="Q141"/>
    </row>
    <row r="142" spans="2:17">
      <c r="B142"/>
      <c r="C142"/>
      <c r="D142"/>
      <c r="E142"/>
      <c r="F142"/>
      <c r="G142"/>
      <c r="H142"/>
      <c r="I142"/>
      <c r="J142"/>
      <c r="K142"/>
      <c r="L142"/>
      <c r="M142"/>
      <c r="N142"/>
      <c r="O142"/>
      <c r="P142"/>
      <c r="Q142"/>
    </row>
    <row r="143" spans="2:17">
      <c r="B143"/>
      <c r="C143"/>
      <c r="D143"/>
      <c r="E143"/>
      <c r="F143"/>
      <c r="G143"/>
      <c r="H143"/>
      <c r="I143"/>
      <c r="J143"/>
      <c r="K143"/>
      <c r="L143"/>
      <c r="M143"/>
      <c r="N143"/>
      <c r="O143"/>
      <c r="P143"/>
      <c r="Q143"/>
    </row>
    <row r="144" spans="2:17">
      <c r="B144"/>
      <c r="C144"/>
      <c r="D144"/>
      <c r="E144"/>
      <c r="F144"/>
      <c r="G144"/>
      <c r="H144"/>
      <c r="I144"/>
      <c r="J144"/>
      <c r="K144"/>
      <c r="L144"/>
      <c r="M144"/>
      <c r="N144"/>
      <c r="O144"/>
      <c r="P144"/>
      <c r="Q144"/>
    </row>
    <row r="145" spans="2:17">
      <c r="B145"/>
      <c r="C145"/>
      <c r="D145"/>
      <c r="E145"/>
      <c r="F145"/>
      <c r="G145"/>
      <c r="H145"/>
      <c r="I145"/>
      <c r="J145"/>
      <c r="K145"/>
      <c r="L145"/>
      <c r="M145"/>
      <c r="N145"/>
      <c r="O145"/>
      <c r="P145"/>
      <c r="Q145"/>
    </row>
    <row r="146" spans="2:17">
      <c r="B146"/>
      <c r="C146"/>
      <c r="D146"/>
      <c r="E146"/>
      <c r="F146"/>
      <c r="G146"/>
      <c r="H146"/>
      <c r="I146"/>
      <c r="J146"/>
      <c r="K146"/>
      <c r="L146"/>
      <c r="M146"/>
      <c r="N146"/>
      <c r="O146"/>
      <c r="P146"/>
      <c r="Q146"/>
    </row>
    <row r="147" spans="2:17">
      <c r="B147"/>
      <c r="C147"/>
      <c r="D147"/>
      <c r="E147"/>
      <c r="F147"/>
      <c r="G147"/>
      <c r="H147"/>
      <c r="I147"/>
      <c r="J147"/>
      <c r="K147"/>
      <c r="L147"/>
      <c r="M147"/>
      <c r="N147"/>
      <c r="O147"/>
      <c r="P147"/>
      <c r="Q147"/>
    </row>
    <row r="148" spans="2:17">
      <c r="B148"/>
      <c r="C148"/>
      <c r="D148"/>
      <c r="E148"/>
      <c r="F148"/>
      <c r="G148"/>
      <c r="H148"/>
      <c r="I148"/>
      <c r="J148"/>
      <c r="K148"/>
      <c r="L148"/>
      <c r="M148"/>
      <c r="N148"/>
      <c r="O148"/>
      <c r="P148"/>
      <c r="Q148"/>
    </row>
    <row r="149" spans="2:17">
      <c r="B149"/>
      <c r="C149"/>
      <c r="D149"/>
      <c r="E149"/>
      <c r="F149"/>
      <c r="G149"/>
      <c r="H149"/>
      <c r="I149"/>
      <c r="J149"/>
      <c r="K149"/>
      <c r="L149"/>
      <c r="M149"/>
      <c r="N149"/>
      <c r="O149"/>
      <c r="P149"/>
      <c r="Q149"/>
    </row>
    <row r="150" spans="2:17">
      <c r="B150"/>
      <c r="C150"/>
      <c r="D150"/>
      <c r="E150"/>
      <c r="F150"/>
      <c r="G150"/>
      <c r="H150"/>
      <c r="I150"/>
      <c r="J150"/>
      <c r="K150"/>
      <c r="L150"/>
      <c r="M150"/>
      <c r="N150"/>
      <c r="O150"/>
      <c r="P150"/>
      <c r="Q150"/>
    </row>
    <row r="151" spans="2:17">
      <c r="B151"/>
      <c r="C151"/>
      <c r="D151"/>
      <c r="E151"/>
      <c r="F151"/>
      <c r="G151"/>
      <c r="H151"/>
      <c r="I151"/>
      <c r="J151"/>
      <c r="K151"/>
      <c r="L151"/>
      <c r="M151"/>
      <c r="N151"/>
      <c r="O151"/>
      <c r="P151"/>
      <c r="Q151"/>
    </row>
    <row r="152" spans="2:17">
      <c r="B152"/>
      <c r="C152"/>
      <c r="D152"/>
      <c r="E152"/>
      <c r="F152"/>
      <c r="G152"/>
      <c r="H152"/>
      <c r="I152"/>
      <c r="J152"/>
      <c r="K152"/>
      <c r="L152"/>
      <c r="M152"/>
      <c r="N152"/>
      <c r="O152"/>
      <c r="P152"/>
      <c r="Q152"/>
    </row>
    <row r="153" spans="2:17">
      <c r="B153"/>
      <c r="C153"/>
      <c r="D153"/>
      <c r="E153"/>
      <c r="F153"/>
      <c r="G153"/>
      <c r="H153"/>
      <c r="I153"/>
      <c r="J153"/>
      <c r="K153"/>
      <c r="L153"/>
      <c r="M153"/>
      <c r="N153"/>
      <c r="O153"/>
      <c r="P153"/>
      <c r="Q153"/>
    </row>
    <row r="154" spans="2:17">
      <c r="B154"/>
      <c r="C154"/>
      <c r="D154"/>
      <c r="E154"/>
      <c r="F154"/>
      <c r="G154"/>
      <c r="H154"/>
      <c r="I154"/>
      <c r="J154"/>
      <c r="K154"/>
      <c r="L154"/>
      <c r="M154"/>
      <c r="N154"/>
      <c r="O154"/>
      <c r="P154"/>
      <c r="Q154"/>
    </row>
    <row r="155" spans="2:17">
      <c r="B155"/>
      <c r="C155"/>
      <c r="D155"/>
      <c r="E155"/>
      <c r="F155"/>
      <c r="G155"/>
      <c r="H155"/>
      <c r="I155"/>
      <c r="J155"/>
      <c r="K155"/>
      <c r="L155"/>
      <c r="M155"/>
      <c r="N155"/>
      <c r="O155"/>
      <c r="P155"/>
      <c r="Q155"/>
    </row>
  </sheetData>
  <pageMargins left="0.27" right="0.23" top="0.82" bottom="0.75" header="0.5" footer="0.5"/>
  <pageSetup scale="52" orientation="landscape" r:id="rId1"/>
  <headerFooter alignWithMargins="0">
    <oddFooter>&amp;R&amp;16&amp;P</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4"/>
  <sheetViews>
    <sheetView workbookViewId="0"/>
  </sheetViews>
  <sheetFormatPr defaultRowHeight="15.75"/>
  <cols>
    <col min="1" max="1" width="33.25" customWidth="1"/>
    <col min="2" max="2" width="17.625" style="12" customWidth="1"/>
    <col min="3" max="3" width="15.75" style="13" customWidth="1"/>
    <col min="4" max="4" width="15.75" style="12" customWidth="1"/>
    <col min="5" max="5" width="15.375" style="13" customWidth="1"/>
    <col min="6" max="6" width="11" style="12" customWidth="1"/>
    <col min="7" max="7" width="9.75" style="13" customWidth="1"/>
    <col min="8" max="8" width="17.875" style="12" customWidth="1"/>
    <col min="9" max="9" width="15.75" style="12" customWidth="1"/>
    <col min="10" max="10" width="15.75" style="13" customWidth="1"/>
    <col min="11" max="11" width="15.25" style="12" customWidth="1"/>
    <col min="12" max="12" width="15.75" style="12" customWidth="1"/>
    <col min="13" max="15" width="15.75" customWidth="1"/>
    <col min="16" max="256" width="11" customWidth="1"/>
  </cols>
  <sheetData>
    <row r="1" spans="1:15">
      <c r="A1" s="114" t="s">
        <v>603</v>
      </c>
      <c r="B1" s="37"/>
      <c r="C1" s="38"/>
      <c r="D1" s="37"/>
      <c r="E1" s="38"/>
      <c r="F1" s="37"/>
      <c r="G1" s="38"/>
      <c r="H1" s="37"/>
      <c r="I1" s="37"/>
      <c r="J1" s="38"/>
      <c r="K1" s="37"/>
    </row>
    <row r="2" spans="1:15">
      <c r="A2" s="114" t="s">
        <v>305</v>
      </c>
      <c r="B2" s="37"/>
      <c r="C2" s="38"/>
      <c r="D2" s="37"/>
      <c r="E2" s="38"/>
      <c r="F2" s="37"/>
      <c r="G2" s="38"/>
      <c r="H2" s="37"/>
      <c r="I2" s="37"/>
      <c r="J2" s="38"/>
      <c r="K2" s="37"/>
    </row>
    <row r="3" spans="1:15">
      <c r="A3" s="114" t="s">
        <v>306</v>
      </c>
      <c r="B3" s="37"/>
      <c r="C3" s="38"/>
      <c r="D3" s="37"/>
      <c r="E3" s="38"/>
      <c r="F3" s="37"/>
      <c r="G3" s="38"/>
      <c r="H3" s="37"/>
      <c r="I3" s="37"/>
      <c r="J3" s="38"/>
      <c r="K3" s="37"/>
    </row>
    <row r="4" spans="1:15">
      <c r="A4" s="114" t="s">
        <v>179</v>
      </c>
      <c r="B4" s="37"/>
      <c r="C4" s="38"/>
      <c r="D4" s="37"/>
      <c r="E4" s="38"/>
      <c r="F4" s="37"/>
      <c r="G4" s="38"/>
      <c r="H4" s="37"/>
      <c r="I4" s="37"/>
      <c r="J4" s="38"/>
      <c r="K4" s="37"/>
    </row>
    <row r="5" spans="1:15">
      <c r="A5" s="34"/>
      <c r="B5" s="37"/>
      <c r="C5" s="38"/>
      <c r="D5" s="37"/>
      <c r="E5" s="38"/>
      <c r="F5" s="37"/>
      <c r="G5" s="38"/>
      <c r="H5" s="37"/>
      <c r="I5" s="37"/>
      <c r="J5" s="38"/>
    </row>
    <row r="6" spans="1:15">
      <c r="B6" s="238" t="s">
        <v>0</v>
      </c>
      <c r="C6" s="332" t="s">
        <v>0</v>
      </c>
      <c r="D6" s="238" t="s">
        <v>0</v>
      </c>
    </row>
    <row r="7" spans="1:15" ht="16.5" thickBot="1">
      <c r="B7" s="429" t="s">
        <v>307</v>
      </c>
      <c r="C7" s="38"/>
      <c r="D7" s="37"/>
      <c r="E7" s="38"/>
      <c r="H7" s="377" t="s">
        <v>308</v>
      </c>
      <c r="I7" s="215"/>
      <c r="J7" s="216"/>
      <c r="K7" s="37"/>
    </row>
    <row r="8" spans="1:15" ht="16.5" thickTop="1">
      <c r="A8" s="87" t="s">
        <v>243</v>
      </c>
      <c r="B8" s="402" t="s">
        <v>313</v>
      </c>
      <c r="C8" s="403" t="s">
        <v>310</v>
      </c>
      <c r="D8" s="408" t="s">
        <v>311</v>
      </c>
      <c r="E8" s="407" t="s">
        <v>312</v>
      </c>
      <c r="F8" s="125" t="s">
        <v>0</v>
      </c>
      <c r="G8" s="124" t="s">
        <v>0</v>
      </c>
      <c r="H8" s="402" t="s">
        <v>313</v>
      </c>
      <c r="I8" s="404" t="s">
        <v>310</v>
      </c>
      <c r="J8" s="406" t="s">
        <v>311</v>
      </c>
      <c r="K8" s="417" t="s">
        <v>312</v>
      </c>
      <c r="L8" s="14"/>
      <c r="M8" s="9"/>
      <c r="N8" s="9"/>
      <c r="O8" s="9"/>
    </row>
    <row r="9" spans="1:15">
      <c r="A9" s="1" t="s">
        <v>264</v>
      </c>
      <c r="B9" s="126"/>
      <c r="C9" s="127"/>
      <c r="D9" s="365"/>
      <c r="E9" s="372" t="s">
        <v>0</v>
      </c>
      <c r="H9" s="135"/>
      <c r="I9" s="78"/>
      <c r="J9" s="370" t="s">
        <v>0</v>
      </c>
      <c r="K9" s="128"/>
    </row>
    <row r="10" spans="1:15">
      <c r="A10" s="1" t="s">
        <v>265</v>
      </c>
      <c r="B10" s="129">
        <v>110215</v>
      </c>
      <c r="C10" s="92">
        <v>140407</v>
      </c>
      <c r="D10" s="366">
        <f t="shared" ref="D10:D15" si="0">SUM(B10:C10)</f>
        <v>250622</v>
      </c>
      <c r="E10" s="373">
        <f>+B10/D10</f>
        <v>0.43976586253401539</v>
      </c>
      <c r="F10" s="88" t="s">
        <v>0</v>
      </c>
      <c r="G10" s="100" t="s">
        <v>0</v>
      </c>
      <c r="H10" s="129">
        <v>74017</v>
      </c>
      <c r="I10" s="92">
        <v>138511</v>
      </c>
      <c r="J10" s="366">
        <f t="shared" ref="J10:J15" si="1">SUM(H10:I10)</f>
        <v>212528</v>
      </c>
      <c r="K10" s="375">
        <f>+H10/J10</f>
        <v>0.34826940450199501</v>
      </c>
    </row>
    <row r="11" spans="1:15">
      <c r="A11" s="1" t="s">
        <v>266</v>
      </c>
      <c r="B11" s="129">
        <v>46194</v>
      </c>
      <c r="C11" s="92">
        <v>189359</v>
      </c>
      <c r="D11" s="366">
        <f t="shared" si="0"/>
        <v>235553</v>
      </c>
      <c r="E11" s="373">
        <f>+B11/D11</f>
        <v>0.19610873136831203</v>
      </c>
      <c r="F11" s="88" t="s">
        <v>0</v>
      </c>
      <c r="G11" s="100" t="s">
        <v>0</v>
      </c>
      <c r="H11" s="129">
        <v>10228</v>
      </c>
      <c r="I11" s="92">
        <v>277820</v>
      </c>
      <c r="J11" s="366">
        <f t="shared" si="1"/>
        <v>288048</v>
      </c>
      <c r="K11" s="375">
        <f>+H11/J11</f>
        <v>3.5507970893739929E-2</v>
      </c>
    </row>
    <row r="12" spans="1:15">
      <c r="A12" s="1" t="s">
        <v>267</v>
      </c>
      <c r="B12" s="129">
        <v>113072</v>
      </c>
      <c r="C12" s="92">
        <v>-28</v>
      </c>
      <c r="D12" s="366">
        <f t="shared" si="0"/>
        <v>113044</v>
      </c>
      <c r="E12" s="373">
        <f>+B12/D12</f>
        <v>1.0002476911645024</v>
      </c>
      <c r="F12" s="88" t="s">
        <v>0</v>
      </c>
      <c r="G12" s="100" t="s">
        <v>0</v>
      </c>
      <c r="H12" s="129">
        <v>124018</v>
      </c>
      <c r="I12" s="92">
        <v>0</v>
      </c>
      <c r="J12" s="366">
        <f t="shared" si="1"/>
        <v>124018</v>
      </c>
      <c r="K12" s="375">
        <f>+H12/J12</f>
        <v>1</v>
      </c>
    </row>
    <row r="13" spans="1:15">
      <c r="A13" s="1" t="s">
        <v>268</v>
      </c>
      <c r="B13" s="129">
        <v>0</v>
      </c>
      <c r="C13" s="92">
        <v>175541</v>
      </c>
      <c r="D13" s="366">
        <f t="shared" si="0"/>
        <v>175541</v>
      </c>
      <c r="E13" s="136">
        <v>0</v>
      </c>
      <c r="F13" s="88" t="s">
        <v>0</v>
      </c>
      <c r="G13" s="100" t="s">
        <v>0</v>
      </c>
      <c r="H13" s="129">
        <v>0</v>
      </c>
      <c r="I13" s="92">
        <v>190023</v>
      </c>
      <c r="J13" s="366">
        <f t="shared" si="1"/>
        <v>190023</v>
      </c>
      <c r="K13" s="376">
        <v>0</v>
      </c>
    </row>
    <row r="14" spans="1:15" ht="18">
      <c r="A14" s="1" t="s">
        <v>269</v>
      </c>
      <c r="B14" s="130">
        <v>2587</v>
      </c>
      <c r="C14" s="137">
        <v>10778</v>
      </c>
      <c r="D14" s="367">
        <f t="shared" si="0"/>
        <v>13365</v>
      </c>
      <c r="E14" s="373">
        <f>+B14/D14</f>
        <v>0.19356528245417134</v>
      </c>
      <c r="F14" s="88" t="s">
        <v>0</v>
      </c>
      <c r="G14" s="100" t="s">
        <v>0</v>
      </c>
      <c r="H14" s="130">
        <f>-115+19+940</f>
        <v>844</v>
      </c>
      <c r="I14" s="137">
        <v>9750</v>
      </c>
      <c r="J14" s="367">
        <f t="shared" si="1"/>
        <v>10594</v>
      </c>
      <c r="K14" s="375">
        <f>+H14/J14</f>
        <v>7.9667736454596946E-2</v>
      </c>
    </row>
    <row r="15" spans="1:15" ht="15.6" customHeight="1">
      <c r="A15" s="1"/>
      <c r="B15" s="129">
        <f>SUM(B10:B14)</f>
        <v>272068</v>
      </c>
      <c r="C15" s="92">
        <f>SUM(C10:C14)</f>
        <v>516057</v>
      </c>
      <c r="D15" s="366">
        <f t="shared" si="0"/>
        <v>788125</v>
      </c>
      <c r="E15" s="373">
        <f>+B15/D15</f>
        <v>0.34520919904837433</v>
      </c>
      <c r="F15" s="88" t="s">
        <v>0</v>
      </c>
      <c r="G15" s="100" t="s">
        <v>0</v>
      </c>
      <c r="H15" s="129">
        <f>SUM(H10:H14)</f>
        <v>209107</v>
      </c>
      <c r="I15" s="92">
        <f>SUM(I10:I14)</f>
        <v>616104</v>
      </c>
      <c r="J15" s="366">
        <f t="shared" si="1"/>
        <v>825211</v>
      </c>
      <c r="K15" s="375">
        <f>+H15/J15</f>
        <v>0.25339822178812449</v>
      </c>
    </row>
    <row r="16" spans="1:15" ht="7.9" customHeight="1">
      <c r="A16" s="1"/>
      <c r="B16" s="129"/>
      <c r="C16" s="93" t="s">
        <v>0</v>
      </c>
      <c r="D16" s="366"/>
      <c r="E16" s="373" t="s">
        <v>0</v>
      </c>
      <c r="F16" s="88"/>
      <c r="G16" s="100" t="s">
        <v>0</v>
      </c>
      <c r="H16" s="129"/>
      <c r="I16" s="93" t="s">
        <v>0</v>
      </c>
      <c r="J16" s="371" t="s">
        <v>0</v>
      </c>
      <c r="K16" s="375"/>
    </row>
    <row r="17" spans="1:11" ht="15.6" customHeight="1">
      <c r="A17" s="1" t="s">
        <v>270</v>
      </c>
      <c r="B17" s="129">
        <v>0</v>
      </c>
      <c r="C17" s="92">
        <v>125000</v>
      </c>
      <c r="D17" s="366">
        <f t="shared" ref="D17:D22" si="2">SUM(B17:C17)</f>
        <v>125000</v>
      </c>
      <c r="E17" s="136">
        <v>0</v>
      </c>
      <c r="F17"/>
      <c r="G17"/>
      <c r="H17" s="129">
        <v>0</v>
      </c>
      <c r="I17" s="92">
        <v>80000</v>
      </c>
      <c r="J17" s="366">
        <f t="shared" ref="J17:J22" si="3">SUM(H17:I17)</f>
        <v>80000</v>
      </c>
      <c r="K17" s="376">
        <v>0</v>
      </c>
    </row>
    <row r="18" spans="1:11">
      <c r="A18" s="1" t="s">
        <v>271</v>
      </c>
      <c r="B18" s="129">
        <v>47797</v>
      </c>
      <c r="C18" s="92">
        <v>50340</v>
      </c>
      <c r="D18" s="366">
        <f t="shared" si="2"/>
        <v>98137</v>
      </c>
      <c r="E18" s="373">
        <f>+B18/D18</f>
        <v>0.48704362269072826</v>
      </c>
      <c r="F18"/>
      <c r="G18"/>
      <c r="H18" s="129">
        <f>45423-360</f>
        <v>45063</v>
      </c>
      <c r="I18" s="92">
        <f>528+9666</f>
        <v>10194</v>
      </c>
      <c r="J18" s="366">
        <f t="shared" si="3"/>
        <v>55257</v>
      </c>
      <c r="K18" s="375">
        <f>+H18/J18</f>
        <v>0.81551658613388345</v>
      </c>
    </row>
    <row r="19" spans="1:11">
      <c r="A19" s="1" t="s">
        <v>314</v>
      </c>
      <c r="B19" s="129">
        <v>198145</v>
      </c>
      <c r="C19" s="92">
        <v>548525</v>
      </c>
      <c r="D19" s="366">
        <f t="shared" si="2"/>
        <v>746670</v>
      </c>
      <c r="E19" s="373">
        <f>+B19/D19</f>
        <v>0.26537158316257514</v>
      </c>
      <c r="F19"/>
      <c r="G19"/>
      <c r="H19" s="129">
        <v>186018</v>
      </c>
      <c r="I19" s="92">
        <v>512152</v>
      </c>
      <c r="J19" s="366">
        <f t="shared" si="3"/>
        <v>698170</v>
      </c>
      <c r="K19" s="375">
        <f>+H19/J19</f>
        <v>0.26643654124353666</v>
      </c>
    </row>
    <row r="20" spans="1:11">
      <c r="A20" s="1" t="s">
        <v>273</v>
      </c>
      <c r="B20" s="129">
        <v>0</v>
      </c>
      <c r="C20" s="92">
        <v>230086</v>
      </c>
      <c r="D20" s="366">
        <f t="shared" si="2"/>
        <v>230086</v>
      </c>
      <c r="E20" s="136">
        <v>0</v>
      </c>
      <c r="F20"/>
      <c r="G20"/>
      <c r="H20" s="129">
        <v>0</v>
      </c>
      <c r="I20" s="92">
        <v>232527</v>
      </c>
      <c r="J20" s="366">
        <f t="shared" si="3"/>
        <v>232527</v>
      </c>
      <c r="K20" s="376">
        <v>0</v>
      </c>
    </row>
    <row r="21" spans="1:11" ht="18">
      <c r="A21" s="1" t="s">
        <v>274</v>
      </c>
      <c r="B21" s="130">
        <v>61573</v>
      </c>
      <c r="C21" s="137">
        <v>65593</v>
      </c>
      <c r="D21" s="367">
        <f t="shared" si="2"/>
        <v>127166</v>
      </c>
      <c r="E21" s="373">
        <f>+B21/D21</f>
        <v>0.48419388830347737</v>
      </c>
      <c r="F21"/>
      <c r="G21"/>
      <c r="H21" s="130">
        <v>88486</v>
      </c>
      <c r="I21" s="137">
        <v>89288</v>
      </c>
      <c r="J21" s="367">
        <f t="shared" si="3"/>
        <v>177774</v>
      </c>
      <c r="K21" s="375">
        <f>+H21/J21</f>
        <v>0.49774432706695015</v>
      </c>
    </row>
    <row r="22" spans="1:11">
      <c r="A22" s="1" t="s">
        <v>275</v>
      </c>
      <c r="B22" s="132">
        <f>SUM(B15:B21)</f>
        <v>579583</v>
      </c>
      <c r="C22" s="95">
        <f>SUM(C15:C21)</f>
        <v>1535601</v>
      </c>
      <c r="D22" s="368">
        <f t="shared" si="2"/>
        <v>2115184</v>
      </c>
      <c r="E22" s="431">
        <f>+B22/D22</f>
        <v>0.27401067708530324</v>
      </c>
      <c r="F22"/>
      <c r="G22"/>
      <c r="H22" s="132">
        <f>SUM(H15:H21)</f>
        <v>528674</v>
      </c>
      <c r="I22" s="95">
        <f>SUM(I15:I21)</f>
        <v>1540265</v>
      </c>
      <c r="J22" s="368">
        <f t="shared" si="3"/>
        <v>2068939</v>
      </c>
      <c r="K22" s="431">
        <f>+H22/J22</f>
        <v>0.25552904169721774</v>
      </c>
    </row>
    <row r="23" spans="1:11" ht="7.9" customHeight="1">
      <c r="A23" s="1"/>
      <c r="B23" s="129"/>
      <c r="C23" s="93" t="s">
        <v>0</v>
      </c>
      <c r="D23" s="366"/>
      <c r="E23" s="373" t="s">
        <v>0</v>
      </c>
      <c r="F23"/>
      <c r="G23"/>
      <c r="H23" s="129"/>
      <c r="I23" s="93" t="s">
        <v>0</v>
      </c>
      <c r="J23" s="371" t="s">
        <v>0</v>
      </c>
      <c r="K23" s="375"/>
    </row>
    <row r="24" spans="1:11">
      <c r="A24" s="87" t="s">
        <v>276</v>
      </c>
      <c r="B24" s="129"/>
      <c r="C24" s="93" t="s">
        <v>0</v>
      </c>
      <c r="D24" s="366"/>
      <c r="E24" s="373" t="s">
        <v>0</v>
      </c>
      <c r="F24"/>
      <c r="G24"/>
      <c r="H24" s="129"/>
      <c r="I24" s="93" t="s">
        <v>0</v>
      </c>
      <c r="J24" s="371" t="s">
        <v>0</v>
      </c>
      <c r="K24" s="375"/>
    </row>
    <row r="25" spans="1:11">
      <c r="A25" s="1" t="s">
        <v>277</v>
      </c>
      <c r="B25" s="129"/>
      <c r="C25" s="93" t="s">
        <v>0</v>
      </c>
      <c r="D25" s="366"/>
      <c r="E25" s="373" t="s">
        <v>0</v>
      </c>
      <c r="F25"/>
      <c r="G25"/>
      <c r="H25" s="129"/>
      <c r="I25" s="93" t="s">
        <v>0</v>
      </c>
      <c r="J25" s="371" t="s">
        <v>0</v>
      </c>
      <c r="K25" s="375"/>
    </row>
    <row r="26" spans="1:11">
      <c r="A26" s="1" t="s">
        <v>278</v>
      </c>
      <c r="B26" s="129">
        <v>102891</v>
      </c>
      <c r="C26" s="92">
        <v>330640</v>
      </c>
      <c r="D26" s="366">
        <f>SUM(B26:C26)</f>
        <v>433531</v>
      </c>
      <c r="E26" s="373">
        <f>+B26/D26</f>
        <v>0.2373325090939287</v>
      </c>
      <c r="F26"/>
      <c r="G26"/>
      <c r="H26" s="129">
        <v>75454</v>
      </c>
      <c r="I26" s="92">
        <v>315759</v>
      </c>
      <c r="J26" s="366">
        <f>SUM(H26:I26)</f>
        <v>391213</v>
      </c>
      <c r="K26" s="375">
        <f>+H26/J26</f>
        <v>0.19287191376564686</v>
      </c>
    </row>
    <row r="27" spans="1:11">
      <c r="A27" s="1" t="s">
        <v>279</v>
      </c>
      <c r="B27" s="129">
        <v>221094</v>
      </c>
      <c r="C27" s="92">
        <v>690873</v>
      </c>
      <c r="D27" s="366">
        <f>SUM(B27:C27)</f>
        <v>911967</v>
      </c>
      <c r="E27" s="373">
        <f>+B27/D27</f>
        <v>0.24243640394882709</v>
      </c>
      <c r="F27"/>
      <c r="G27"/>
      <c r="H27" s="129">
        <v>198640</v>
      </c>
      <c r="I27" s="92">
        <v>664922</v>
      </c>
      <c r="J27" s="366">
        <f>SUM(H27:I27)</f>
        <v>863562</v>
      </c>
      <c r="K27" s="375">
        <f>+H27/J27</f>
        <v>0.23002401680481541</v>
      </c>
    </row>
    <row r="28" spans="1:11" ht="18">
      <c r="A28" s="1" t="s">
        <v>280</v>
      </c>
      <c r="B28" s="130">
        <v>188210</v>
      </c>
      <c r="C28" s="137">
        <v>422655</v>
      </c>
      <c r="D28" s="367">
        <f>SUM(B28:C28)</f>
        <v>610865</v>
      </c>
      <c r="E28" s="373">
        <f>+B28/D28</f>
        <v>0.30810408191662642</v>
      </c>
      <c r="F28"/>
      <c r="G28"/>
      <c r="H28" s="130">
        <v>161210</v>
      </c>
      <c r="I28" s="137">
        <v>404271</v>
      </c>
      <c r="J28" s="367">
        <f>SUM(H28:I28)</f>
        <v>565481</v>
      </c>
      <c r="K28" s="375">
        <f>+H28/J28</f>
        <v>0.28508473317405891</v>
      </c>
    </row>
    <row r="29" spans="1:11">
      <c r="A29" s="1"/>
      <c r="B29" s="129">
        <f>SUM(B26:B28)</f>
        <v>512195</v>
      </c>
      <c r="C29" s="92">
        <f>SUM(C26:C28)</f>
        <v>1444168</v>
      </c>
      <c r="D29" s="366">
        <f>SUM(B29:C29)</f>
        <v>1956363</v>
      </c>
      <c r="E29" s="373">
        <f>+B29/D29</f>
        <v>0.26180979705709012</v>
      </c>
      <c r="F29"/>
      <c r="G29"/>
      <c r="H29" s="129">
        <f>SUM(H26:H28)</f>
        <v>435304</v>
      </c>
      <c r="I29" s="92">
        <f>SUM(I26:I28)</f>
        <v>1384952</v>
      </c>
      <c r="J29" s="366">
        <f>SUM(H29:I29)</f>
        <v>1820256</v>
      </c>
      <c r="K29" s="375">
        <f>+H29/J29</f>
        <v>0.23914438408663397</v>
      </c>
    </row>
    <row r="30" spans="1:11" ht="7.9" customHeight="1">
      <c r="A30" s="1"/>
      <c r="B30" s="129"/>
      <c r="C30" s="93" t="s">
        <v>0</v>
      </c>
      <c r="D30" s="366"/>
      <c r="E30" s="373" t="s">
        <v>0</v>
      </c>
      <c r="F30"/>
      <c r="G30"/>
      <c r="H30" s="129"/>
      <c r="I30" s="93" t="s">
        <v>0</v>
      </c>
      <c r="J30" s="371" t="s">
        <v>0</v>
      </c>
      <c r="K30" s="375"/>
    </row>
    <row r="31" spans="1:11">
      <c r="A31" s="1" t="s">
        <v>281</v>
      </c>
      <c r="B31" s="129"/>
      <c r="C31" s="93" t="s">
        <v>0</v>
      </c>
      <c r="D31" s="366"/>
      <c r="E31" s="373" t="s">
        <v>0</v>
      </c>
      <c r="F31"/>
      <c r="G31"/>
      <c r="H31" s="129"/>
      <c r="I31" s="93" t="s">
        <v>0</v>
      </c>
      <c r="J31" s="371" t="s">
        <v>0</v>
      </c>
      <c r="K31" s="375"/>
    </row>
    <row r="32" spans="1:11">
      <c r="A32" s="1" t="s">
        <v>282</v>
      </c>
      <c r="B32" s="129">
        <f>+B144</f>
        <v>0</v>
      </c>
      <c r="C32" s="92">
        <v>0</v>
      </c>
      <c r="D32" s="366">
        <f>SUM(B32:C32)</f>
        <v>0</v>
      </c>
      <c r="E32" s="136">
        <v>0</v>
      </c>
      <c r="F32"/>
      <c r="G32"/>
      <c r="H32" s="129">
        <f>+H144</f>
        <v>0</v>
      </c>
      <c r="I32" s="92">
        <v>0</v>
      </c>
      <c r="J32" s="366">
        <f>SUM(H32:I32)</f>
        <v>0</v>
      </c>
      <c r="K32" s="376">
        <v>0</v>
      </c>
    </row>
    <row r="33" spans="1:15">
      <c r="A33" s="1" t="s">
        <v>283</v>
      </c>
      <c r="B33" s="129">
        <f>+B145</f>
        <v>0</v>
      </c>
      <c r="C33" s="92">
        <v>0</v>
      </c>
      <c r="D33" s="366">
        <f>SUM(B33:C33)</f>
        <v>0</v>
      </c>
      <c r="E33" s="136">
        <v>0</v>
      </c>
      <c r="F33"/>
      <c r="G33"/>
      <c r="H33" s="129">
        <f>+H145</f>
        <v>0</v>
      </c>
      <c r="I33" s="92">
        <v>0</v>
      </c>
      <c r="J33" s="366">
        <f>SUM(H33:I33)</f>
        <v>0</v>
      </c>
      <c r="K33" s="376">
        <v>0</v>
      </c>
    </row>
    <row r="34" spans="1:15" ht="18">
      <c r="A34" s="1" t="s">
        <v>284</v>
      </c>
      <c r="B34" s="130">
        <v>19617</v>
      </c>
      <c r="C34" s="137">
        <v>89365</v>
      </c>
      <c r="D34" s="367">
        <f>SUM(B34:C34)</f>
        <v>108982</v>
      </c>
      <c r="E34" s="373">
        <f>+B34/D34</f>
        <v>0.18000220219852819</v>
      </c>
      <c r="F34"/>
      <c r="G34"/>
      <c r="H34" s="130">
        <v>33283</v>
      </c>
      <c r="I34" s="137">
        <v>61390</v>
      </c>
      <c r="J34" s="367">
        <f>SUM(H34:I34)</f>
        <v>94673</v>
      </c>
      <c r="K34" s="375">
        <f>+H34/J34</f>
        <v>0.3515574662258511</v>
      </c>
      <c r="L34" s="6"/>
      <c r="M34" s="7"/>
      <c r="N34" s="7"/>
      <c r="O34" s="7"/>
    </row>
    <row r="35" spans="1:15">
      <c r="A35" s="1"/>
      <c r="B35" s="129">
        <f>SUM(B32:B34)</f>
        <v>19617</v>
      </c>
      <c r="C35" s="92">
        <f>SUM(C32:C34)</f>
        <v>89365</v>
      </c>
      <c r="D35" s="366">
        <f>SUM(B35:C35)</f>
        <v>108982</v>
      </c>
      <c r="E35" s="373">
        <f>+B35/D35</f>
        <v>0.18000220219852819</v>
      </c>
      <c r="F35"/>
      <c r="G35"/>
      <c r="H35" s="129">
        <f>SUM(H32:H34)</f>
        <v>33283</v>
      </c>
      <c r="I35" s="92">
        <f>SUM(I32:I34)</f>
        <v>61390</v>
      </c>
      <c r="J35" s="366">
        <f>SUM(H35:I35)</f>
        <v>94673</v>
      </c>
      <c r="K35" s="375">
        <f>+H35/J35</f>
        <v>0.3515574662258511</v>
      </c>
    </row>
    <row r="36" spans="1:15" ht="7.15" customHeight="1">
      <c r="A36" s="1"/>
      <c r="B36" s="129"/>
      <c r="C36" s="93" t="s">
        <v>0</v>
      </c>
      <c r="D36" s="366"/>
      <c r="E36" s="373" t="s">
        <v>275</v>
      </c>
      <c r="F36"/>
      <c r="G36"/>
      <c r="H36" s="129"/>
      <c r="I36" s="93" t="s">
        <v>0</v>
      </c>
      <c r="J36" s="371" t="s">
        <v>0</v>
      </c>
      <c r="K36" s="375"/>
    </row>
    <row r="37" spans="1:15">
      <c r="A37" s="1" t="s">
        <v>285</v>
      </c>
      <c r="B37" s="129"/>
      <c r="C37" s="93" t="s">
        <v>0</v>
      </c>
      <c r="D37" s="366"/>
      <c r="E37" s="373" t="s">
        <v>0</v>
      </c>
      <c r="F37"/>
      <c r="G37"/>
      <c r="H37" s="129"/>
      <c r="I37" s="93" t="s">
        <v>0</v>
      </c>
      <c r="J37" s="371" t="s">
        <v>0</v>
      </c>
      <c r="K37" s="375"/>
    </row>
    <row r="38" spans="1:15">
      <c r="A38" s="1" t="s">
        <v>282</v>
      </c>
      <c r="B38" s="129">
        <v>2803</v>
      </c>
      <c r="C38" s="92">
        <v>2868</v>
      </c>
      <c r="D38" s="366">
        <f>SUM(B38:C38)</f>
        <v>5671</v>
      </c>
      <c r="E38" s="136">
        <v>0</v>
      </c>
      <c r="F38"/>
      <c r="G38"/>
      <c r="H38" s="129">
        <f>2948+25412</f>
        <v>28360</v>
      </c>
      <c r="I38" s="92">
        <v>3306</v>
      </c>
      <c r="J38" s="366">
        <f>SUM(H38:I38)</f>
        <v>31666</v>
      </c>
      <c r="K38" s="376">
        <v>0</v>
      </c>
    </row>
    <row r="39" spans="1:15">
      <c r="A39" s="1" t="s">
        <v>286</v>
      </c>
      <c r="B39" s="129">
        <v>0</v>
      </c>
      <c r="C39" s="92">
        <v>0</v>
      </c>
      <c r="D39" s="366">
        <f>SUM(B39:C39)</f>
        <v>0</v>
      </c>
      <c r="E39" s="136">
        <v>0</v>
      </c>
      <c r="F39"/>
      <c r="G39"/>
      <c r="H39" s="129">
        <v>0</v>
      </c>
      <c r="I39" s="92">
        <v>0</v>
      </c>
      <c r="J39" s="366">
        <f>SUM(H39:I39)</f>
        <v>0</v>
      </c>
      <c r="K39" s="376">
        <v>0</v>
      </c>
    </row>
    <row r="40" spans="1:15" ht="18">
      <c r="A40" s="1" t="s">
        <v>284</v>
      </c>
      <c r="B40" s="130">
        <v>25055</v>
      </c>
      <c r="C40" s="137">
        <v>11078</v>
      </c>
      <c r="D40" s="367">
        <f>SUM(B40:C40)</f>
        <v>36133</v>
      </c>
      <c r="E40" s="373">
        <f>+B40/D40</f>
        <v>0.69341045581601302</v>
      </c>
      <c r="F40"/>
      <c r="G40"/>
      <c r="H40" s="130">
        <f>22963+538</f>
        <v>23501</v>
      </c>
      <c r="I40" s="137">
        <f>9165+4330</f>
        <v>13495</v>
      </c>
      <c r="J40" s="367">
        <f>SUM(H40:I40)</f>
        <v>36996</v>
      </c>
      <c r="K40" s="375">
        <f>+H40/J40</f>
        <v>0.63523083576602879</v>
      </c>
    </row>
    <row r="41" spans="1:15">
      <c r="A41" s="1"/>
      <c r="B41" s="129">
        <f>SUM(B38:B40)</f>
        <v>27858</v>
      </c>
      <c r="C41" s="92">
        <f>SUM(C38:C40)</f>
        <v>13946</v>
      </c>
      <c r="D41" s="366">
        <f>SUM(B41:C41)</f>
        <v>41804</v>
      </c>
      <c r="E41" s="373">
        <f>+B41/D41</f>
        <v>0.66639556023347046</v>
      </c>
      <c r="F41"/>
      <c r="G41"/>
      <c r="H41" s="129">
        <f>SUM(H38:H40)</f>
        <v>51861</v>
      </c>
      <c r="I41" s="92">
        <f>SUM(I38:I40)</f>
        <v>16801</v>
      </c>
      <c r="J41" s="366">
        <f>SUM(H41:I41)</f>
        <v>68662</v>
      </c>
      <c r="K41" s="375">
        <f>+H41/J41</f>
        <v>0.75530861320672282</v>
      </c>
    </row>
    <row r="42" spans="1:15" ht="8.4499999999999993" customHeight="1">
      <c r="A42" s="1"/>
      <c r="B42" s="129"/>
      <c r="C42" s="93" t="s">
        <v>0</v>
      </c>
      <c r="D42" s="366"/>
      <c r="E42" s="373" t="s">
        <v>0</v>
      </c>
      <c r="F42"/>
      <c r="G42"/>
      <c r="H42" s="129"/>
      <c r="I42" s="93" t="s">
        <v>0</v>
      </c>
      <c r="J42" s="371" t="s">
        <v>0</v>
      </c>
      <c r="K42" s="375"/>
    </row>
    <row r="43" spans="1:15" ht="18">
      <c r="A43" s="1" t="s">
        <v>287</v>
      </c>
      <c r="B43" s="130">
        <v>0</v>
      </c>
      <c r="C43" s="137">
        <v>2841</v>
      </c>
      <c r="D43" s="367">
        <f>SUM(B43:C43)</f>
        <v>2841</v>
      </c>
      <c r="E43" s="136">
        <v>0</v>
      </c>
      <c r="F43"/>
      <c r="G43"/>
      <c r="H43" s="130">
        <v>0</v>
      </c>
      <c r="I43" s="137">
        <v>1382</v>
      </c>
      <c r="J43" s="367">
        <f>SUM(H43:I43)</f>
        <v>1382</v>
      </c>
      <c r="K43" s="376">
        <v>0</v>
      </c>
      <c r="L43" s="6"/>
    </row>
    <row r="44" spans="1:15">
      <c r="A44" s="1"/>
      <c r="B44" s="129">
        <f>+B29+B35+B41+B43</f>
        <v>559670</v>
      </c>
      <c r="C44" s="92">
        <f>+C29+C35+C41+C43</f>
        <v>1550320</v>
      </c>
      <c r="D44" s="366">
        <f>+D29+D35+D41+D43</f>
        <v>2109990</v>
      </c>
      <c r="E44" s="373">
        <f>+B44/D44</f>
        <v>0.26524770259574693</v>
      </c>
      <c r="F44"/>
      <c r="G44"/>
      <c r="H44" s="129">
        <f>+H29+H35+H41+H43</f>
        <v>520448</v>
      </c>
      <c r="I44" s="92">
        <f>+I29+I35+I41+I43</f>
        <v>1464525</v>
      </c>
      <c r="J44" s="366">
        <f>+J29+J35+J41+J43</f>
        <v>1984973</v>
      </c>
      <c r="K44" s="375">
        <f>+H44/J44</f>
        <v>0.26219399457826381</v>
      </c>
    </row>
    <row r="45" spans="1:15" ht="8.4499999999999993" customHeight="1">
      <c r="A45" s="1"/>
      <c r="B45" s="129"/>
      <c r="C45" s="93" t="s">
        <v>0</v>
      </c>
      <c r="D45" s="366"/>
      <c r="E45" s="373" t="s">
        <v>0</v>
      </c>
      <c r="F45"/>
      <c r="G45"/>
      <c r="H45" s="129"/>
      <c r="I45" s="93" t="s">
        <v>0</v>
      </c>
      <c r="J45" s="371" t="s">
        <v>0</v>
      </c>
      <c r="K45" s="375"/>
    </row>
    <row r="46" spans="1:15">
      <c r="A46" s="87" t="s">
        <v>288</v>
      </c>
      <c r="B46" s="129"/>
      <c r="C46" s="93" t="s">
        <v>0</v>
      </c>
      <c r="D46" s="366"/>
      <c r="E46" s="373" t="s">
        <v>0</v>
      </c>
      <c r="F46"/>
      <c r="G46"/>
      <c r="H46" s="129"/>
      <c r="I46" s="93" t="s">
        <v>0</v>
      </c>
      <c r="J46" s="371" t="s">
        <v>0</v>
      </c>
      <c r="K46" s="375"/>
    </row>
    <row r="47" spans="1:15">
      <c r="A47" s="1" t="s">
        <v>289</v>
      </c>
      <c r="B47" s="129">
        <v>0</v>
      </c>
      <c r="C47" s="92">
        <v>36935</v>
      </c>
      <c r="D47" s="366">
        <f>SUM(B47:C47)</f>
        <v>36935</v>
      </c>
      <c r="E47" s="136">
        <f>+B47/D47</f>
        <v>0</v>
      </c>
      <c r="F47"/>
      <c r="G47"/>
      <c r="H47" s="129">
        <v>0</v>
      </c>
      <c r="I47" s="92">
        <v>36935</v>
      </c>
      <c r="J47" s="366">
        <f>SUM(H47:I47)</f>
        <v>36935</v>
      </c>
      <c r="K47" s="376">
        <v>0</v>
      </c>
    </row>
    <row r="48" spans="1:15">
      <c r="A48" s="1" t="s">
        <v>290</v>
      </c>
      <c r="B48" s="129">
        <v>0</v>
      </c>
      <c r="C48" s="92">
        <v>1939</v>
      </c>
      <c r="D48" s="366">
        <f>SUM(B48:C48)</f>
        <v>1939</v>
      </c>
      <c r="E48" s="136">
        <v>0</v>
      </c>
      <c r="F48"/>
      <c r="G48"/>
      <c r="H48" s="129">
        <v>0</v>
      </c>
      <c r="I48" s="92">
        <v>1939</v>
      </c>
      <c r="J48" s="366">
        <f>SUM(H48:I48)</f>
        <v>1939</v>
      </c>
      <c r="K48" s="376">
        <v>0</v>
      </c>
    </row>
    <row r="49" spans="1:15">
      <c r="A49" s="1" t="s">
        <v>611</v>
      </c>
      <c r="B49" s="129">
        <v>0</v>
      </c>
      <c r="C49" s="92">
        <v>12722</v>
      </c>
      <c r="D49" s="366">
        <f>SUM(B49:C49)</f>
        <v>12722</v>
      </c>
      <c r="E49" s="136">
        <v>0</v>
      </c>
      <c r="F49"/>
      <c r="G49"/>
      <c r="H49" s="129">
        <v>0</v>
      </c>
      <c r="I49" s="92">
        <v>12725</v>
      </c>
      <c r="J49" s="366">
        <f>SUM(H49:I49)</f>
        <v>12725</v>
      </c>
      <c r="K49" s="376">
        <v>0</v>
      </c>
    </row>
    <row r="50" spans="1:15" ht="18">
      <c r="A50" s="1" t="s">
        <v>292</v>
      </c>
      <c r="B50" s="130">
        <v>0</v>
      </c>
      <c r="C50" s="137">
        <v>-46402</v>
      </c>
      <c r="D50" s="940">
        <f>SUM(B50:C50)</f>
        <v>-46402</v>
      </c>
      <c r="E50" s="136">
        <v>0</v>
      </c>
      <c r="F50"/>
      <c r="G50"/>
      <c r="H50" s="130">
        <v>0</v>
      </c>
      <c r="I50" s="137">
        <v>32367</v>
      </c>
      <c r="J50" s="367">
        <f>SUM(H50:I50)</f>
        <v>32367</v>
      </c>
      <c r="K50" s="376">
        <v>0</v>
      </c>
      <c r="L50" s="6"/>
      <c r="M50" s="7"/>
      <c r="N50" s="7"/>
      <c r="O50" s="7"/>
    </row>
    <row r="51" spans="1:15">
      <c r="A51" s="1" t="s">
        <v>275</v>
      </c>
      <c r="B51" s="129">
        <f>SUM(B47:B50)</f>
        <v>0</v>
      </c>
      <c r="C51" s="92">
        <f>SUM(C47:C50)</f>
        <v>5194</v>
      </c>
      <c r="D51" s="92">
        <f>SUM(D47:D50)</f>
        <v>5194</v>
      </c>
      <c r="E51" s="373" t="s">
        <v>0</v>
      </c>
      <c r="F51"/>
      <c r="G51"/>
      <c r="H51" s="129">
        <f>SUM(H47:H50)</f>
        <v>0</v>
      </c>
      <c r="I51" s="92">
        <f>SUM(I47:I50)</f>
        <v>83966</v>
      </c>
      <c r="J51" s="366">
        <f>SUM(H51:I51)</f>
        <v>83966</v>
      </c>
      <c r="K51" s="376">
        <v>0</v>
      </c>
    </row>
    <row r="52" spans="1:15">
      <c r="A52" s="1" t="s">
        <v>0</v>
      </c>
      <c r="B52" s="129"/>
      <c r="C52" s="93" t="s">
        <v>0</v>
      </c>
      <c r="D52" s="366"/>
      <c r="E52" s="373" t="s">
        <v>0</v>
      </c>
      <c r="F52"/>
      <c r="G52"/>
      <c r="H52" s="129"/>
      <c r="I52" s="93" t="s">
        <v>0</v>
      </c>
      <c r="J52" s="371" t="s">
        <v>0</v>
      </c>
      <c r="K52" s="375"/>
    </row>
    <row r="53" spans="1:15" ht="16.5" thickBot="1">
      <c r="A53" s="1" t="s">
        <v>0</v>
      </c>
      <c r="B53" s="133">
        <f>+B29+B35+B41+B43+B51</f>
        <v>559670</v>
      </c>
      <c r="C53" s="134">
        <f>+C29+C35+C41+C43+C51</f>
        <v>1555514</v>
      </c>
      <c r="D53" s="369">
        <f>SUM(B53:C53)</f>
        <v>2115184</v>
      </c>
      <c r="E53" s="430">
        <f>+B53/D53</f>
        <v>0.26459636608446357</v>
      </c>
      <c r="F53"/>
      <c r="G53"/>
      <c r="H53" s="133">
        <f>+H29+H35+H41+H43+H51</f>
        <v>520448</v>
      </c>
      <c r="I53" s="134">
        <f>+I29+I35+I41+I43+I51</f>
        <v>1548491</v>
      </c>
      <c r="J53" s="369">
        <f>SUM(H53:I53)</f>
        <v>2068939</v>
      </c>
      <c r="K53" s="430">
        <f>+H53/J53</f>
        <v>0.25155309073877963</v>
      </c>
    </row>
    <row r="54" spans="1:15" ht="16.5" thickTop="1">
      <c r="A54" s="1"/>
      <c r="B54" s="91"/>
      <c r="C54" s="89" t="s">
        <v>0</v>
      </c>
      <c r="D54" s="91"/>
      <c r="E54" s="100" t="s">
        <v>0</v>
      </c>
      <c r="F54"/>
      <c r="G54"/>
      <c r="H54" s="91"/>
      <c r="I54" s="89" t="s">
        <v>0</v>
      </c>
      <c r="J54" s="89" t="s">
        <v>0</v>
      </c>
    </row>
    <row r="55" spans="1:15">
      <c r="A55" s="1"/>
      <c r="B55" s="91" t="s">
        <v>612</v>
      </c>
      <c r="C55" s="89"/>
      <c r="D55" s="91"/>
      <c r="E55" s="100"/>
      <c r="F55"/>
      <c r="G55"/>
      <c r="H55" s="91" t="s">
        <v>569</v>
      </c>
      <c r="I55" s="89"/>
      <c r="J55" s="89"/>
    </row>
    <row r="56" spans="1:15">
      <c r="A56" s="1"/>
      <c r="B56" s="91"/>
      <c r="C56" s="89"/>
      <c r="D56" s="91"/>
      <c r="E56" s="100"/>
      <c r="F56"/>
      <c r="G56"/>
      <c r="H56"/>
      <c r="I56" s="91"/>
      <c r="J56" s="89"/>
    </row>
    <row r="57" spans="1:15">
      <c r="A57" s="1"/>
      <c r="B57" s="91"/>
      <c r="C57" s="89"/>
      <c r="D57" s="91"/>
      <c r="E57" s="100"/>
      <c r="F57"/>
      <c r="G57"/>
      <c r="H57"/>
      <c r="I57" s="91"/>
      <c r="J57" s="89"/>
    </row>
    <row r="58" spans="1:15">
      <c r="C58" s="43"/>
      <c r="E58" s="115" t="s">
        <v>0</v>
      </c>
      <c r="F58"/>
      <c r="G58"/>
      <c r="H58"/>
      <c r="J58" s="43"/>
    </row>
    <row r="59" spans="1:15">
      <c r="C59" s="43"/>
      <c r="E59" s="115" t="s">
        <v>0</v>
      </c>
      <c r="F59"/>
      <c r="G59"/>
      <c r="H59"/>
      <c r="J59" s="43"/>
    </row>
    <row r="60" spans="1:15">
      <c r="A60" s="18" t="s">
        <v>319</v>
      </c>
      <c r="C60" s="43"/>
      <c r="E60" s="115"/>
      <c r="F60"/>
      <c r="G60"/>
      <c r="H60"/>
      <c r="J60" s="43"/>
    </row>
    <row r="61" spans="1:15">
      <c r="A61" t="s">
        <v>294</v>
      </c>
      <c r="B61" s="12">
        <f>+buhcomp!B56</f>
        <v>0</v>
      </c>
      <c r="C61" s="43">
        <v>0</v>
      </c>
      <c r="D61" s="12">
        <f>+B61+C61</f>
        <v>0</v>
      </c>
      <c r="E61" s="115" t="s">
        <v>0</v>
      </c>
      <c r="F61"/>
      <c r="G61"/>
      <c r="H61" s="3">
        <f>707934.2/1000</f>
        <v>707.93419999999992</v>
      </c>
      <c r="I61" s="12">
        <v>0</v>
      </c>
      <c r="J61" s="12">
        <f>+H61+I61</f>
        <v>707.93419999999992</v>
      </c>
    </row>
    <row r="62" spans="1:15">
      <c r="A62" t="s">
        <v>295</v>
      </c>
      <c r="B62" s="12">
        <f>+buhcomp!B57</f>
        <v>0</v>
      </c>
      <c r="C62" s="43">
        <v>0</v>
      </c>
      <c r="D62" s="12">
        <f>+B62+C62</f>
        <v>0</v>
      </c>
      <c r="E62" s="115" t="s">
        <v>0</v>
      </c>
      <c r="F62"/>
      <c r="G62"/>
      <c r="H62" s="3">
        <f>1872610/1000</f>
        <v>1872.61</v>
      </c>
      <c r="I62" s="12">
        <v>0</v>
      </c>
      <c r="J62" s="12">
        <f>+H62+I62</f>
        <v>1872.61</v>
      </c>
    </row>
    <row r="63" spans="1:15">
      <c r="A63" t="s">
        <v>284</v>
      </c>
      <c r="B63" s="12">
        <f>+buhcomp!B58</f>
        <v>67451</v>
      </c>
      <c r="C63" s="43">
        <v>0</v>
      </c>
      <c r="D63" s="12">
        <f>+B63+C63</f>
        <v>67451</v>
      </c>
      <c r="E63" s="115" t="s">
        <v>0</v>
      </c>
      <c r="F63"/>
      <c r="G63"/>
      <c r="H63" s="3">
        <f>+(1707900-4288444.2)/1000</f>
        <v>-2580.5442000000003</v>
      </c>
      <c r="I63" s="12">
        <v>0</v>
      </c>
      <c r="J63" s="12">
        <f>+H63+I63</f>
        <v>-2580.5442000000003</v>
      </c>
    </row>
    <row r="64" spans="1:15">
      <c r="C64" s="43"/>
      <c r="E64" s="115" t="s">
        <v>0</v>
      </c>
      <c r="F64"/>
      <c r="G64"/>
      <c r="H64"/>
      <c r="J64" s="43"/>
    </row>
    <row r="65" spans="1:12" ht="18.75">
      <c r="A65" s="122" t="s">
        <v>303</v>
      </c>
      <c r="B65" s="12">
        <f>+buhcomp!B60</f>
        <v>785886</v>
      </c>
      <c r="C65" s="43"/>
      <c r="E65" s="115" t="s">
        <v>0</v>
      </c>
      <c r="F65"/>
      <c r="G65"/>
      <c r="H65" s="41">
        <v>0</v>
      </c>
      <c r="I65" s="43">
        <v>0</v>
      </c>
      <c r="J65" s="12">
        <f>J66+J19</f>
        <v>726195.55842000002</v>
      </c>
    </row>
    <row r="66" spans="1:12">
      <c r="A66" t="s">
        <v>217</v>
      </c>
      <c r="B66" s="12">
        <f>+buhcomp!B61</f>
        <v>39216</v>
      </c>
      <c r="C66" s="43"/>
      <c r="E66" s="115" t="s">
        <v>0</v>
      </c>
      <c r="F66"/>
      <c r="G66"/>
      <c r="H66" s="41">
        <v>0</v>
      </c>
      <c r="I66" s="43">
        <v>0</v>
      </c>
      <c r="J66" s="12">
        <f>28025558.42/1000</f>
        <v>28025.558420000001</v>
      </c>
    </row>
    <row r="67" spans="1:12">
      <c r="A67" t="s">
        <v>320</v>
      </c>
      <c r="B67" s="12">
        <f>+buhcomp!B62</f>
        <v>68389</v>
      </c>
      <c r="C67" s="43"/>
      <c r="E67" s="115" t="s">
        <v>0</v>
      </c>
      <c r="F67"/>
      <c r="G67"/>
      <c r="H67" s="41">
        <v>0</v>
      </c>
      <c r="I67" s="43">
        <v>0</v>
      </c>
      <c r="J67" s="12">
        <f>17448936.48/1000</f>
        <v>17448.93648</v>
      </c>
    </row>
    <row r="72" spans="1:12">
      <c r="B72"/>
      <c r="C72"/>
      <c r="D72"/>
      <c r="E72"/>
      <c r="F72"/>
      <c r="G72"/>
      <c r="H72"/>
      <c r="I72"/>
      <c r="J72"/>
      <c r="K72"/>
      <c r="L72"/>
    </row>
    <row r="73" spans="1:12">
      <c r="B73"/>
      <c r="C73"/>
      <c r="D73"/>
      <c r="E73"/>
      <c r="F73"/>
      <c r="G73"/>
      <c r="H73"/>
      <c r="I73"/>
      <c r="J73"/>
      <c r="K73"/>
      <c r="L73"/>
    </row>
    <row r="74" spans="1:12">
      <c r="B74"/>
      <c r="C74"/>
      <c r="D74"/>
      <c r="E74"/>
      <c r="F74"/>
      <c r="G74"/>
      <c r="H74"/>
      <c r="I74"/>
      <c r="J74"/>
      <c r="K74"/>
      <c r="L74"/>
    </row>
    <row r="75" spans="1:12">
      <c r="B75"/>
      <c r="C75"/>
      <c r="D75"/>
      <c r="E75"/>
      <c r="F75"/>
      <c r="G75"/>
      <c r="H75"/>
      <c r="I75"/>
      <c r="J75"/>
      <c r="K75"/>
      <c r="L75"/>
    </row>
    <row r="76" spans="1:12">
      <c r="B76"/>
      <c r="C76"/>
      <c r="D76"/>
      <c r="E76"/>
      <c r="F76"/>
      <c r="G76"/>
      <c r="H76"/>
      <c r="I76"/>
      <c r="J76"/>
      <c r="K76"/>
      <c r="L76"/>
    </row>
    <row r="77" spans="1:12">
      <c r="B77"/>
      <c r="C77"/>
      <c r="D77"/>
      <c r="E77"/>
      <c r="F77"/>
      <c r="G77"/>
      <c r="H77"/>
      <c r="I77"/>
      <c r="J77"/>
      <c r="K77"/>
      <c r="L77"/>
    </row>
    <row r="78" spans="1:12">
      <c r="B78"/>
      <c r="C78"/>
      <c r="D78"/>
      <c r="E78"/>
      <c r="F78"/>
      <c r="G78"/>
      <c r="H78"/>
      <c r="I78"/>
      <c r="J78"/>
      <c r="K78"/>
      <c r="L78"/>
    </row>
    <row r="79" spans="1:12">
      <c r="B79"/>
      <c r="C79"/>
      <c r="D79"/>
      <c r="E79"/>
      <c r="F79"/>
      <c r="G79"/>
      <c r="H79"/>
      <c r="I79"/>
      <c r="J79"/>
      <c r="K79"/>
      <c r="L79"/>
    </row>
    <row r="80" spans="1: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row r="172" spans="2:12">
      <c r="B172"/>
      <c r="C172"/>
      <c r="D172"/>
      <c r="E172"/>
      <c r="F172"/>
      <c r="G172"/>
      <c r="H172"/>
      <c r="I172"/>
      <c r="J172"/>
      <c r="K172"/>
      <c r="L172"/>
    </row>
    <row r="173" spans="2:12">
      <c r="B173"/>
      <c r="C173"/>
      <c r="D173"/>
      <c r="E173"/>
      <c r="F173"/>
      <c r="G173"/>
      <c r="H173"/>
      <c r="I173"/>
      <c r="J173"/>
      <c r="K173"/>
      <c r="L173"/>
    </row>
    <row r="174" spans="2:12">
      <c r="B174"/>
      <c r="C174"/>
      <c r="D174"/>
      <c r="E174"/>
      <c r="F174"/>
      <c r="G174"/>
      <c r="H174"/>
      <c r="I174"/>
      <c r="J174"/>
      <c r="K174"/>
      <c r="L174"/>
    </row>
  </sheetData>
  <pageMargins left="0.56999999999999995" right="0.28999999999999998" top="0.61" bottom="0.52" header="0.34" footer="0.22"/>
  <pageSetup scale="59" orientation="landscape" r:id="rId1"/>
  <headerFooter alignWithMargins="0">
    <oddFooter>&amp;R&amp;14&amp;P</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27"/>
  <sheetViews>
    <sheetView workbookViewId="0"/>
  </sheetViews>
  <sheetFormatPr defaultRowHeight="15.75"/>
  <cols>
    <col min="1" max="1" width="50" customWidth="1"/>
    <col min="2" max="2" width="15.75" style="21" customWidth="1"/>
    <col min="3" max="3" width="8.75" style="21" customWidth="1"/>
    <col min="4" max="4" width="15.75" style="21" customWidth="1"/>
    <col min="5" max="5" width="11" style="21" customWidth="1"/>
    <col min="6" max="6" width="15.75" style="21" customWidth="1"/>
    <col min="7" max="7" width="11" style="21" customWidth="1"/>
    <col min="8" max="8" width="15.75" style="21" customWidth="1"/>
    <col min="9" max="9" width="6.375" style="21" customWidth="1"/>
    <col min="10" max="10" width="15.75" style="21" customWidth="1"/>
    <col min="11" max="11" width="8.75" style="21" customWidth="1"/>
    <col min="12" max="12" width="15.75" style="21" customWidth="1"/>
    <col min="13" max="13" width="11" style="21" customWidth="1"/>
    <col min="14" max="14" width="15.75" style="21" customWidth="1"/>
    <col min="15" max="15" width="11" style="21" customWidth="1"/>
    <col min="16" max="16" width="15.75" style="21" customWidth="1"/>
    <col min="17" max="17" width="5.375" style="21" customWidth="1"/>
    <col min="18" max="18" width="16.125" style="21" customWidth="1"/>
    <col min="19" max="19" width="9.875" style="21" customWidth="1"/>
    <col min="20" max="20" width="16.625" style="21" customWidth="1"/>
    <col min="21" max="21" width="14.875" style="21" customWidth="1"/>
    <col min="22" max="256" width="11" customWidth="1"/>
  </cols>
  <sheetData>
    <row r="1" spans="1:22">
      <c r="A1" s="114" t="s">
        <v>603</v>
      </c>
      <c r="B1" s="39"/>
      <c r="C1" s="39"/>
      <c r="D1" s="39"/>
      <c r="E1" s="39"/>
      <c r="F1" s="39"/>
      <c r="G1" s="39"/>
      <c r="H1" s="39"/>
      <c r="I1" s="39"/>
      <c r="J1" s="39"/>
      <c r="K1" s="39"/>
      <c r="L1" s="39"/>
      <c r="M1" s="39"/>
      <c r="N1" s="39"/>
      <c r="O1" s="39"/>
      <c r="P1" s="39"/>
      <c r="Q1" s="39"/>
      <c r="R1" s="39"/>
      <c r="S1" s="39"/>
      <c r="T1" s="39"/>
    </row>
    <row r="2" spans="1:22">
      <c r="A2" s="114" t="s">
        <v>365</v>
      </c>
      <c r="B2" s="39"/>
      <c r="C2" s="39"/>
      <c r="D2" s="39"/>
      <c r="E2" s="39"/>
      <c r="F2" s="39"/>
      <c r="G2" s="39"/>
      <c r="H2" s="39"/>
      <c r="I2" s="39"/>
      <c r="J2" s="39"/>
      <c r="K2" s="39"/>
      <c r="L2" s="39"/>
      <c r="M2" s="39"/>
      <c r="N2" s="39"/>
      <c r="O2" s="39"/>
      <c r="P2" s="39"/>
      <c r="Q2" s="39"/>
      <c r="R2" s="39"/>
      <c r="S2" s="39"/>
      <c r="T2" s="39"/>
    </row>
    <row r="3" spans="1:22">
      <c r="A3" s="114" t="s">
        <v>531</v>
      </c>
      <c r="B3" s="39"/>
      <c r="C3" s="39"/>
      <c r="D3" s="39"/>
      <c r="E3" s="39"/>
      <c r="F3" s="39"/>
      <c r="G3" s="39"/>
      <c r="H3" s="39"/>
      <c r="I3" s="39"/>
      <c r="J3" s="39"/>
      <c r="K3" s="39"/>
      <c r="L3" s="39"/>
      <c r="M3" s="39"/>
      <c r="N3" s="39"/>
      <c r="O3" s="39"/>
      <c r="P3" s="39"/>
      <c r="Q3" s="39"/>
      <c r="R3" s="39"/>
      <c r="S3" s="39"/>
      <c r="T3" s="39"/>
    </row>
    <row r="4" spans="1:22">
      <c r="A4" s="114" t="s">
        <v>179</v>
      </c>
      <c r="B4" s="39"/>
      <c r="C4" s="39"/>
      <c r="D4" s="39"/>
      <c r="E4" s="39"/>
      <c r="F4" s="39"/>
      <c r="G4" s="39"/>
      <c r="H4" s="39"/>
      <c r="I4" s="39"/>
      <c r="J4" s="39"/>
      <c r="K4" s="39"/>
      <c r="L4" s="39"/>
      <c r="M4" s="39"/>
      <c r="N4" s="39"/>
      <c r="O4" s="39"/>
      <c r="P4" s="39"/>
      <c r="Q4" s="39"/>
      <c r="R4" s="39"/>
      <c r="S4" s="39"/>
      <c r="T4" s="39"/>
    </row>
    <row r="6" spans="1:22" s="2" customFormat="1" ht="16.5" thickBot="1">
      <c r="B6" s="333" t="s">
        <v>185</v>
      </c>
      <c r="C6" s="413"/>
      <c r="D6" s="413"/>
      <c r="E6" s="413"/>
      <c r="F6" s="413"/>
      <c r="G6" s="413"/>
      <c r="H6" s="413"/>
      <c r="I6" s="146"/>
      <c r="J6" s="333" t="s">
        <v>174</v>
      </c>
      <c r="K6" s="413"/>
      <c r="L6" s="413"/>
      <c r="M6" s="413"/>
      <c r="N6" s="413"/>
      <c r="O6" s="413"/>
      <c r="P6" s="413"/>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3"/>
      <c r="R7" s="23"/>
      <c r="S7" s="23"/>
      <c r="T7" s="23"/>
      <c r="U7" s="23"/>
      <c r="V7" s="9"/>
    </row>
    <row r="8" spans="1:22">
      <c r="A8" t="s">
        <v>328</v>
      </c>
      <c r="B8" s="21" t="s">
        <v>0</v>
      </c>
    </row>
    <row r="9" spans="1:22">
      <c r="A9" t="s">
        <v>329</v>
      </c>
      <c r="B9" s="16" t="s">
        <v>0</v>
      </c>
      <c r="C9" s="145" t="s">
        <v>0</v>
      </c>
      <c r="D9" s="147" t="s">
        <v>0</v>
      </c>
      <c r="E9" s="147" t="s">
        <v>0</v>
      </c>
      <c r="F9" s="147" t="s">
        <v>0</v>
      </c>
      <c r="G9" s="147" t="s">
        <v>0</v>
      </c>
      <c r="H9" s="147" t="s">
        <v>0</v>
      </c>
      <c r="I9" s="105"/>
      <c r="J9" s="144" t="s">
        <v>0</v>
      </c>
      <c r="K9" s="145" t="s">
        <v>0</v>
      </c>
      <c r="L9" s="144" t="s">
        <v>0</v>
      </c>
      <c r="M9" s="145" t="s">
        <v>0</v>
      </c>
      <c r="N9" s="144" t="s">
        <v>0</v>
      </c>
      <c r="O9" s="145" t="s">
        <v>0</v>
      </c>
      <c r="P9" s="144" t="s">
        <v>0</v>
      </c>
      <c r="Q9" s="105"/>
      <c r="R9" s="105"/>
      <c r="S9" s="105"/>
      <c r="T9" s="105"/>
    </row>
    <row r="10" spans="1:22">
      <c r="A10" t="s">
        <v>330</v>
      </c>
      <c r="B10" s="88">
        <f>+B50</f>
        <v>38051</v>
      </c>
      <c r="C10" s="89">
        <v>0</v>
      </c>
      <c r="D10" s="88">
        <f>+F50</f>
        <v>0</v>
      </c>
      <c r="E10" s="89">
        <v>0</v>
      </c>
      <c r="F10" s="88">
        <f>+J50</f>
        <v>0</v>
      </c>
      <c r="G10" s="89">
        <v>0</v>
      </c>
      <c r="H10" s="88">
        <f>+N50</f>
        <v>0</v>
      </c>
      <c r="I10" s="105"/>
      <c r="J10" s="16">
        <f>+D50</f>
        <v>35913</v>
      </c>
      <c r="K10" s="47">
        <f t="shared" ref="K10:K15" si="0">+(-J10+L10)/ABS(J10)</f>
        <v>5.7249463982401917E-2</v>
      </c>
      <c r="L10" s="16">
        <f>+H50</f>
        <v>37969</v>
      </c>
      <c r="M10" s="47">
        <f t="shared" ref="M10:M15" si="1">+(-L10+N10)/ABS(L10)</f>
        <v>1.3168637572756722E-4</v>
      </c>
      <c r="N10" s="16">
        <f>+L50</f>
        <v>37974</v>
      </c>
      <c r="O10" s="47">
        <f t="shared" ref="O10:O15" si="2">+(-N10+P10)/ABS(N10)</f>
        <v>7.5894032759256339E-2</v>
      </c>
      <c r="P10" s="16">
        <f>+P50</f>
        <v>40856</v>
      </c>
      <c r="Q10" s="105"/>
      <c r="R10" s="105"/>
      <c r="S10" s="105"/>
      <c r="T10" s="105"/>
    </row>
    <row r="11" spans="1:22">
      <c r="A11" t="s">
        <v>354</v>
      </c>
      <c r="B11" s="88">
        <f>+B51</f>
        <v>5389</v>
      </c>
      <c r="C11" s="89">
        <v>0</v>
      </c>
      <c r="D11" s="88">
        <f>+F51</f>
        <v>0</v>
      </c>
      <c r="E11" s="89">
        <v>0</v>
      </c>
      <c r="F11" s="88">
        <f>+J51</f>
        <v>0</v>
      </c>
      <c r="G11" s="89">
        <v>0</v>
      </c>
      <c r="H11" s="88">
        <f>+N51</f>
        <v>0</v>
      </c>
      <c r="I11" s="105"/>
      <c r="J11" s="16">
        <f>+D51</f>
        <v>10763</v>
      </c>
      <c r="K11" s="44">
        <v>0</v>
      </c>
      <c r="L11" s="16">
        <f>+H51</f>
        <v>4327</v>
      </c>
      <c r="M11" s="47">
        <f t="shared" si="1"/>
        <v>3.4203836376242198E-2</v>
      </c>
      <c r="N11" s="16">
        <f>+L51</f>
        <v>4475</v>
      </c>
      <c r="O11" s="47">
        <f t="shared" si="2"/>
        <v>-0.2017877094972067</v>
      </c>
      <c r="P11" s="16">
        <f>+P51</f>
        <v>3572</v>
      </c>
      <c r="Q11" s="105"/>
      <c r="R11" s="105"/>
      <c r="S11" s="105"/>
      <c r="T11" s="105"/>
    </row>
    <row r="12" spans="1:22">
      <c r="A12" t="s">
        <v>332</v>
      </c>
      <c r="B12" s="221">
        <f>+B52</f>
        <v>1853</v>
      </c>
      <c r="C12" s="89">
        <v>0</v>
      </c>
      <c r="D12" s="221">
        <f>+F52</f>
        <v>0</v>
      </c>
      <c r="E12" s="89">
        <v>0</v>
      </c>
      <c r="F12" s="221">
        <f>+J52</f>
        <v>0</v>
      </c>
      <c r="G12" s="89">
        <v>0</v>
      </c>
      <c r="H12" s="221">
        <f>+N52</f>
        <v>0</v>
      </c>
      <c r="I12" s="105"/>
      <c r="J12" s="221">
        <f>+D52</f>
        <v>2083</v>
      </c>
      <c r="K12" s="47">
        <f t="shared" si="0"/>
        <v>-0.47239558329332693</v>
      </c>
      <c r="L12" s="221">
        <f>+H52</f>
        <v>1099</v>
      </c>
      <c r="M12" s="47">
        <f t="shared" si="1"/>
        <v>0.36578707916287534</v>
      </c>
      <c r="N12" s="221">
        <f>+L52</f>
        <v>1501</v>
      </c>
      <c r="O12" s="47">
        <f t="shared" si="2"/>
        <v>3.9307128580946038E-2</v>
      </c>
      <c r="P12" s="221">
        <f>+P52</f>
        <v>1560</v>
      </c>
      <c r="Q12" s="105"/>
      <c r="R12" s="105"/>
      <c r="S12" s="105"/>
      <c r="T12" s="105"/>
    </row>
    <row r="13" spans="1:22">
      <c r="B13" s="88">
        <f>SUM(B10:B12)</f>
        <v>45293</v>
      </c>
      <c r="C13" s="89">
        <v>0</v>
      </c>
      <c r="D13" s="88">
        <f>SUM(D10:D12)</f>
        <v>0</v>
      </c>
      <c r="E13" s="89">
        <v>0</v>
      </c>
      <c r="F13" s="88">
        <f>SUM(F10:F12)</f>
        <v>0</v>
      </c>
      <c r="G13" s="89">
        <v>0</v>
      </c>
      <c r="H13" s="88">
        <f>SUM(H10:H12)</f>
        <v>0</v>
      </c>
      <c r="I13" s="105"/>
      <c r="J13" s="88">
        <f>SUM(J10:J12)</f>
        <v>48759</v>
      </c>
      <c r="K13" s="47">
        <f t="shared" si="0"/>
        <v>-0.11001045960745709</v>
      </c>
      <c r="L13" s="88">
        <f>SUM(L10:L12)</f>
        <v>43395</v>
      </c>
      <c r="M13" s="47">
        <f t="shared" si="1"/>
        <v>1.2789491876944349E-2</v>
      </c>
      <c r="N13" s="88">
        <f>SUM(N10:N12)</f>
        <v>43950</v>
      </c>
      <c r="O13" s="47">
        <f t="shared" si="2"/>
        <v>4.6370875995449375E-2</v>
      </c>
      <c r="P13" s="88">
        <f>SUM(P10:P12)</f>
        <v>45988</v>
      </c>
      <c r="Q13" s="105"/>
      <c r="R13" s="105"/>
      <c r="S13" s="105"/>
      <c r="T13" s="105"/>
    </row>
    <row r="14" spans="1:22">
      <c r="A14" t="s">
        <v>333</v>
      </c>
      <c r="B14" s="221">
        <f>+B54</f>
        <v>17536</v>
      </c>
      <c r="C14" s="89">
        <v>0</v>
      </c>
      <c r="D14" s="221">
        <f>+F54</f>
        <v>0</v>
      </c>
      <c r="E14" s="89">
        <v>0</v>
      </c>
      <c r="F14" s="221">
        <f>+J54</f>
        <v>0</v>
      </c>
      <c r="G14" s="89">
        <v>0</v>
      </c>
      <c r="H14" s="221">
        <f>+N54</f>
        <v>0</v>
      </c>
      <c r="I14" s="105"/>
      <c r="J14" s="221">
        <f>+D54</f>
        <v>22424</v>
      </c>
      <c r="K14" s="47">
        <f t="shared" si="0"/>
        <v>-0.12428647877274349</v>
      </c>
      <c r="L14" s="221">
        <f>+H54</f>
        <v>19637</v>
      </c>
      <c r="M14" s="47">
        <f t="shared" si="1"/>
        <v>-0.16458725874624433</v>
      </c>
      <c r="N14" s="221">
        <f>+L54</f>
        <v>16405</v>
      </c>
      <c r="O14" s="47">
        <f t="shared" si="2"/>
        <v>-7.3575129533678757E-2</v>
      </c>
      <c r="P14" s="221">
        <f>+P54</f>
        <v>15198</v>
      </c>
      <c r="Q14" s="105"/>
      <c r="R14" s="105"/>
      <c r="S14" s="105"/>
      <c r="T14" s="105"/>
    </row>
    <row r="15" spans="1:22">
      <c r="B15" s="16">
        <f>+B13-B14</f>
        <v>27757</v>
      </c>
      <c r="C15" s="89">
        <v>0</v>
      </c>
      <c r="D15" s="16">
        <f>+D13-D14</f>
        <v>0</v>
      </c>
      <c r="E15" s="89">
        <v>0</v>
      </c>
      <c r="F15" s="16">
        <f>+F13-F14</f>
        <v>0</v>
      </c>
      <c r="G15" s="89">
        <v>0</v>
      </c>
      <c r="H15" s="16">
        <f>+H13-H14</f>
        <v>0</v>
      </c>
      <c r="I15" s="105"/>
      <c r="J15" s="16">
        <f>+J13-J14</f>
        <v>26335</v>
      </c>
      <c r="K15" s="47">
        <f t="shared" si="0"/>
        <v>-9.7854566166698312E-2</v>
      </c>
      <c r="L15" s="16">
        <f>+L13-L14</f>
        <v>23758</v>
      </c>
      <c r="M15" s="47">
        <f t="shared" si="1"/>
        <v>0.15939893930465526</v>
      </c>
      <c r="N15" s="16">
        <f>+N13-N14</f>
        <v>27545</v>
      </c>
      <c r="O15" s="47">
        <f t="shared" si="2"/>
        <v>0.11780722454165911</v>
      </c>
      <c r="P15" s="16">
        <f>+P13-P14</f>
        <v>30790</v>
      </c>
      <c r="Q15" s="105"/>
      <c r="R15" s="105"/>
      <c r="S15" s="105"/>
      <c r="T15" s="105"/>
    </row>
    <row r="16" spans="1:22" ht="9" customHeight="1">
      <c r="B16" s="88"/>
      <c r="C16" s="89" t="s">
        <v>0</v>
      </c>
      <c r="D16" s="105"/>
      <c r="E16" s="89" t="s">
        <v>0</v>
      </c>
      <c r="F16" s="105"/>
      <c r="G16" s="89" t="s">
        <v>0</v>
      </c>
      <c r="H16" s="105"/>
      <c r="I16" s="105"/>
      <c r="J16" s="88"/>
      <c r="K16" s="104"/>
      <c r="L16" s="88"/>
      <c r="M16" s="104"/>
      <c r="N16" s="88"/>
      <c r="O16" s="104"/>
      <c r="P16" s="88"/>
      <c r="Q16" s="105"/>
      <c r="R16" s="105"/>
      <c r="S16" s="105"/>
      <c r="T16" s="105"/>
    </row>
    <row r="17" spans="1:20">
      <c r="A17" t="s">
        <v>334</v>
      </c>
      <c r="B17" s="88"/>
      <c r="C17" s="89" t="s">
        <v>0</v>
      </c>
      <c r="D17" s="105"/>
      <c r="E17" s="89" t="s">
        <v>0</v>
      </c>
      <c r="F17" s="105"/>
      <c r="G17" s="89" t="s">
        <v>0</v>
      </c>
      <c r="H17" s="105"/>
      <c r="I17" s="105"/>
      <c r="J17" s="88"/>
      <c r="K17" s="104"/>
      <c r="L17" s="88"/>
      <c r="M17" s="104"/>
      <c r="N17" s="88"/>
      <c r="O17" s="104" t="s">
        <v>0</v>
      </c>
      <c r="P17" s="88"/>
      <c r="Q17" s="105"/>
      <c r="R17" s="105"/>
      <c r="S17" s="105"/>
      <c r="T17" s="105"/>
    </row>
    <row r="18" spans="1:20">
      <c r="A18" t="s">
        <v>335</v>
      </c>
      <c r="B18" s="88">
        <f>+B58</f>
        <v>10040</v>
      </c>
      <c r="C18" s="89">
        <v>0</v>
      </c>
      <c r="D18" s="88">
        <f>+F58</f>
        <v>0</v>
      </c>
      <c r="E18" s="89">
        <v>0</v>
      </c>
      <c r="F18" s="88">
        <f>+J58</f>
        <v>0</v>
      </c>
      <c r="G18" s="89">
        <v>0</v>
      </c>
      <c r="H18" s="88">
        <f>+N58</f>
        <v>0</v>
      </c>
      <c r="I18" s="105"/>
      <c r="J18" s="88">
        <f>+D58</f>
        <v>8206</v>
      </c>
      <c r="K18" s="47">
        <f>+(-J18+L18)/ABS(J18)</f>
        <v>0.11150377772361686</v>
      </c>
      <c r="L18" s="88">
        <f>+H58</f>
        <v>9121</v>
      </c>
      <c r="M18" s="47">
        <f>+(-L18+N18)/ABS(L18)</f>
        <v>-7.7184519241311256E-2</v>
      </c>
      <c r="N18" s="88">
        <f>+L58</f>
        <v>8417</v>
      </c>
      <c r="O18" s="47">
        <f>+(-N18+P18)/ABS(N18)</f>
        <v>-5.0017821076393014E-2</v>
      </c>
      <c r="P18" s="88">
        <f>+P58</f>
        <v>7996</v>
      </c>
      <c r="Q18" s="105"/>
      <c r="R18" s="105"/>
      <c r="S18" s="105"/>
      <c r="T18" s="105"/>
    </row>
    <row r="19" spans="1:20">
      <c r="A19" t="s">
        <v>336</v>
      </c>
      <c r="B19" s="88">
        <f>+B59</f>
        <v>3052</v>
      </c>
      <c r="C19" s="89">
        <v>0</v>
      </c>
      <c r="D19" s="88">
        <f>+F59</f>
        <v>0</v>
      </c>
      <c r="E19" s="89">
        <v>0</v>
      </c>
      <c r="F19" s="88">
        <f>+J59</f>
        <v>0</v>
      </c>
      <c r="G19" s="89">
        <v>0</v>
      </c>
      <c r="H19" s="88">
        <f>+N59</f>
        <v>0</v>
      </c>
      <c r="I19" s="105"/>
      <c r="J19" s="88">
        <f>+D59</f>
        <v>3234</v>
      </c>
      <c r="K19" s="44">
        <v>0</v>
      </c>
      <c r="L19" s="88">
        <f>+H59</f>
        <v>4185</v>
      </c>
      <c r="M19" s="47">
        <f>+(-L19+N19)/ABS(L19)</f>
        <v>-1.2186379928315413E-2</v>
      </c>
      <c r="N19" s="88">
        <f>+L59</f>
        <v>4134</v>
      </c>
      <c r="O19" s="47">
        <f>+(-N19+P19)/ABS(N19)</f>
        <v>0.1347363328495404</v>
      </c>
      <c r="P19" s="88">
        <f>+P59</f>
        <v>4691</v>
      </c>
      <c r="Q19" s="105"/>
      <c r="R19" s="105"/>
      <c r="S19" s="105"/>
      <c r="T19" s="105"/>
    </row>
    <row r="20" spans="1:20">
      <c r="A20" t="s">
        <v>284</v>
      </c>
      <c r="B20" s="221">
        <f>+B60</f>
        <v>788</v>
      </c>
      <c r="C20" s="89">
        <v>0</v>
      </c>
      <c r="D20" s="221">
        <f>+F60</f>
        <v>0</v>
      </c>
      <c r="E20" s="89">
        <v>0</v>
      </c>
      <c r="F20" s="221">
        <f>+J60</f>
        <v>0</v>
      </c>
      <c r="G20" s="89">
        <v>0</v>
      </c>
      <c r="H20" s="221">
        <f>+N60</f>
        <v>0</v>
      </c>
      <c r="I20" s="105"/>
      <c r="J20" s="221">
        <f>+D60</f>
        <v>987</v>
      </c>
      <c r="K20" s="47">
        <f>+(-J20+L20)/ABS(J20)</f>
        <v>0.353596757852077</v>
      </c>
      <c r="L20" s="221">
        <f>+H60</f>
        <v>1336</v>
      </c>
      <c r="M20" s="47">
        <f>+(-L20+N20)/ABS(L20)</f>
        <v>-0.7956586826347305</v>
      </c>
      <c r="N20" s="221">
        <f>+L60</f>
        <v>273</v>
      </c>
      <c r="O20" s="47">
        <f>+(-N20+P20)/ABS(N20)</f>
        <v>2.0805860805860807</v>
      </c>
      <c r="P20" s="221">
        <f>+P60</f>
        <v>841</v>
      </c>
      <c r="Q20" s="105"/>
      <c r="R20" s="105"/>
      <c r="S20" s="105"/>
      <c r="T20" s="105"/>
    </row>
    <row r="21" spans="1:20">
      <c r="B21" s="16">
        <f>SUM(B18:B20)</f>
        <v>13880</v>
      </c>
      <c r="C21" s="89">
        <v>0</v>
      </c>
      <c r="D21" s="16">
        <f>SUM(D18:D20)</f>
        <v>0</v>
      </c>
      <c r="E21" s="89">
        <v>0</v>
      </c>
      <c r="F21" s="16">
        <f>SUM(F18:F20)</f>
        <v>0</v>
      </c>
      <c r="G21" s="89">
        <v>0</v>
      </c>
      <c r="H21" s="16">
        <f>SUM(H18:H20)</f>
        <v>0</v>
      </c>
      <c r="I21" s="105"/>
      <c r="J21" s="16">
        <f>SUM(J18:J20)</f>
        <v>12427</v>
      </c>
      <c r="K21" s="47">
        <f>+(-J21+L21)/ABS(J21)</f>
        <v>0.17824092701376035</v>
      </c>
      <c r="L21" s="16">
        <f>SUM(L18:L20)</f>
        <v>14642</v>
      </c>
      <c r="M21" s="47">
        <f>+(-L21+N21)/ABS(L21)</f>
        <v>-0.1241633656604289</v>
      </c>
      <c r="N21" s="16">
        <f>SUM(N18:N20)</f>
        <v>12824</v>
      </c>
      <c r="O21" s="47">
        <f>+(-N21+P21)/ABS(N21)</f>
        <v>5.4897067997504677E-2</v>
      </c>
      <c r="P21" s="16">
        <f>SUM(P18:P20)</f>
        <v>13528</v>
      </c>
      <c r="Q21" s="105"/>
      <c r="R21" s="105"/>
      <c r="S21" s="105"/>
      <c r="T21" s="105"/>
    </row>
    <row r="22" spans="1:20">
      <c r="B22" s="221"/>
      <c r="C22" s="89" t="s">
        <v>0</v>
      </c>
      <c r="D22" s="221"/>
      <c r="E22" s="89" t="s">
        <v>0</v>
      </c>
      <c r="F22" s="334"/>
      <c r="G22" s="89" t="s">
        <v>0</v>
      </c>
      <c r="H22" s="334"/>
      <c r="I22" s="105"/>
      <c r="J22" s="221"/>
      <c r="K22" s="104"/>
      <c r="L22" s="221"/>
      <c r="M22" s="104"/>
      <c r="N22" s="221"/>
      <c r="O22" s="104"/>
      <c r="P22" s="221"/>
      <c r="Q22" s="105"/>
      <c r="R22" s="105"/>
      <c r="S22" s="105"/>
      <c r="T22" s="105"/>
    </row>
    <row r="23" spans="1:20">
      <c r="A23" t="s">
        <v>337</v>
      </c>
      <c r="B23" s="16">
        <f>+B15+B21</f>
        <v>41637</v>
      </c>
      <c r="C23" s="89">
        <v>0</v>
      </c>
      <c r="D23" s="16">
        <f>+D15+D21</f>
        <v>0</v>
      </c>
      <c r="E23" s="89">
        <v>0</v>
      </c>
      <c r="F23" s="16">
        <f>+F15+F21</f>
        <v>0</v>
      </c>
      <c r="G23" s="89">
        <v>0</v>
      </c>
      <c r="H23" s="16">
        <f>+H15+H21</f>
        <v>0</v>
      </c>
      <c r="I23" s="105"/>
      <c r="J23" s="16">
        <f>+J15+J21</f>
        <v>38762</v>
      </c>
      <c r="K23" s="47">
        <f>+(-J23+L23)/ABS(J23)</f>
        <v>-9.339043393013776E-3</v>
      </c>
      <c r="L23" s="16">
        <f>+L15+L21</f>
        <v>38400</v>
      </c>
      <c r="M23" s="47">
        <f>+(-L23+N23)/ABS(L23)</f>
        <v>5.1276041666666668E-2</v>
      </c>
      <c r="N23" s="16">
        <f>+N15+N21</f>
        <v>40369</v>
      </c>
      <c r="O23" s="47">
        <f>+(-N23+P23)/ABS(N23)</f>
        <v>9.782258663826203E-2</v>
      </c>
      <c r="P23" s="16">
        <f>+P15+P21</f>
        <v>44318</v>
      </c>
      <c r="Q23" s="105"/>
      <c r="R23" s="105"/>
      <c r="S23" s="105"/>
      <c r="T23" s="105"/>
    </row>
    <row r="24" spans="1:20">
      <c r="B24" s="88"/>
      <c r="C24" s="89" t="s">
        <v>0</v>
      </c>
      <c r="D24" s="88"/>
      <c r="E24" s="89" t="s">
        <v>0</v>
      </c>
      <c r="F24" s="105"/>
      <c r="G24" s="89" t="s">
        <v>0</v>
      </c>
      <c r="H24" s="105"/>
      <c r="I24" s="105"/>
      <c r="J24" s="88"/>
      <c r="K24" s="104"/>
      <c r="L24" s="88"/>
      <c r="M24" s="104"/>
      <c r="N24" s="88"/>
      <c r="O24" s="104"/>
      <c r="P24" s="88"/>
      <c r="Q24" s="105"/>
      <c r="R24" s="105"/>
      <c r="S24" s="105"/>
      <c r="T24" s="105"/>
    </row>
    <row r="25" spans="1:20">
      <c r="A25" t="s">
        <v>338</v>
      </c>
      <c r="B25" s="88">
        <f>+B65</f>
        <v>2499</v>
      </c>
      <c r="C25" s="89">
        <v>0</v>
      </c>
      <c r="D25" s="88">
        <f>+F65</f>
        <v>0</v>
      </c>
      <c r="E25" s="89">
        <v>0</v>
      </c>
      <c r="F25" s="88">
        <f>+J65</f>
        <v>0</v>
      </c>
      <c r="G25" s="89">
        <v>0</v>
      </c>
      <c r="H25" s="88">
        <f>+N65</f>
        <v>0</v>
      </c>
      <c r="I25" s="105"/>
      <c r="J25" s="88">
        <f>+D65</f>
        <v>1998</v>
      </c>
      <c r="K25" s="47">
        <f>+(-J25+L25)/ABS(J25)</f>
        <v>0</v>
      </c>
      <c r="L25" s="88">
        <f>+H65</f>
        <v>1998</v>
      </c>
      <c r="M25" s="47">
        <f>+(-L25+N25)/ABS(L25)</f>
        <v>4.5525525525525525</v>
      </c>
      <c r="N25" s="88">
        <f>+L65</f>
        <v>11094</v>
      </c>
      <c r="O25" s="47">
        <f>+(-N25+P25)/ABS(N25)</f>
        <v>-0.77474310438074634</v>
      </c>
      <c r="P25" s="88">
        <f>+P65</f>
        <v>2499</v>
      </c>
      <c r="Q25" s="105"/>
      <c r="R25" s="105"/>
      <c r="S25" s="105"/>
      <c r="T25" s="105"/>
    </row>
    <row r="26" spans="1:20">
      <c r="B26" s="88"/>
      <c r="C26" s="89" t="s">
        <v>0</v>
      </c>
      <c r="D26" s="88"/>
      <c r="E26" s="89" t="s">
        <v>0</v>
      </c>
      <c r="F26" s="105"/>
      <c r="G26" s="89" t="s">
        <v>0</v>
      </c>
      <c r="H26" s="105"/>
      <c r="I26" s="105"/>
      <c r="J26" s="88"/>
      <c r="K26" s="104"/>
      <c r="L26" s="88"/>
      <c r="M26" s="104"/>
      <c r="N26" s="88"/>
      <c r="O26" s="104"/>
      <c r="P26" s="88"/>
      <c r="Q26" s="105"/>
      <c r="R26" s="105"/>
      <c r="S26" s="105"/>
      <c r="T26" s="105"/>
    </row>
    <row r="27" spans="1:20">
      <c r="A27" t="s">
        <v>339</v>
      </c>
      <c r="B27" s="221"/>
      <c r="C27" s="89" t="s">
        <v>0</v>
      </c>
      <c r="D27" s="221"/>
      <c r="E27" s="89" t="s">
        <v>0</v>
      </c>
      <c r="F27" s="334"/>
      <c r="G27" s="89" t="s">
        <v>0</v>
      </c>
      <c r="H27" s="334"/>
      <c r="I27" s="105"/>
      <c r="J27" s="221"/>
      <c r="K27" s="104"/>
      <c r="L27" s="221"/>
      <c r="M27" s="104"/>
      <c r="N27" s="221"/>
      <c r="O27" s="104"/>
      <c r="P27" s="221"/>
      <c r="Q27" s="105"/>
      <c r="R27" s="105"/>
      <c r="S27" s="105"/>
      <c r="T27" s="105"/>
    </row>
    <row r="28" spans="1:20">
      <c r="A28" t="s">
        <v>340</v>
      </c>
      <c r="B28" s="16">
        <f>+B23-B25</f>
        <v>39138</v>
      </c>
      <c r="C28" s="89">
        <v>0</v>
      </c>
      <c r="D28" s="16">
        <f>+D23-D25</f>
        <v>0</v>
      </c>
      <c r="E28" s="89">
        <v>0</v>
      </c>
      <c r="F28" s="16">
        <f>+F23-F25</f>
        <v>0</v>
      </c>
      <c r="G28" s="89">
        <v>0</v>
      </c>
      <c r="H28" s="16">
        <f>+H23-H25</f>
        <v>0</v>
      </c>
      <c r="I28" s="105"/>
      <c r="J28" s="16">
        <f>+J23-J25</f>
        <v>36764</v>
      </c>
      <c r="K28" s="47">
        <f>+(-J28+L28)/ABS(J28)</f>
        <v>-9.8465890545098474E-3</v>
      </c>
      <c r="L28" s="16">
        <f>+L23-L25</f>
        <v>36402</v>
      </c>
      <c r="M28" s="47">
        <f>+(-L28+N28)/ABS(L28)</f>
        <v>-0.19578594582715236</v>
      </c>
      <c r="N28" s="16">
        <f>+N23-N25</f>
        <v>29275</v>
      </c>
      <c r="O28" s="47">
        <f>+(-N28+P28)/ABS(N28)</f>
        <v>0.42848847139197266</v>
      </c>
      <c r="P28" s="16">
        <f>+P23-P25</f>
        <v>41819</v>
      </c>
      <c r="Q28" s="105"/>
      <c r="R28" s="105"/>
      <c r="S28" s="105"/>
      <c r="T28" s="105"/>
    </row>
    <row r="29" spans="1:20">
      <c r="B29" s="88"/>
      <c r="C29" s="89" t="s">
        <v>0</v>
      </c>
      <c r="D29" s="88"/>
      <c r="E29" s="89" t="s">
        <v>0</v>
      </c>
      <c r="F29" s="105"/>
      <c r="G29" s="89" t="s">
        <v>0</v>
      </c>
      <c r="H29" s="105"/>
      <c r="I29" s="105"/>
      <c r="J29" s="88"/>
      <c r="K29" s="104"/>
      <c r="L29" s="88"/>
      <c r="M29" s="104"/>
      <c r="N29" s="88"/>
      <c r="O29" s="104"/>
      <c r="P29" s="88"/>
      <c r="Q29" s="105"/>
      <c r="R29" s="105"/>
      <c r="S29" s="105"/>
      <c r="T29" s="105"/>
    </row>
    <row r="30" spans="1:20">
      <c r="A30" t="s">
        <v>341</v>
      </c>
      <c r="B30" s="88"/>
      <c r="C30" s="89" t="s">
        <v>0</v>
      </c>
      <c r="D30" s="88"/>
      <c r="E30" s="89" t="s">
        <v>0</v>
      </c>
      <c r="F30" s="105"/>
      <c r="G30" s="89" t="s">
        <v>0</v>
      </c>
      <c r="H30" s="105"/>
      <c r="I30" s="105"/>
      <c r="J30" s="88"/>
      <c r="K30" s="104"/>
      <c r="L30" s="88"/>
      <c r="M30" s="104"/>
      <c r="N30" s="88"/>
      <c r="O30" s="104"/>
      <c r="P30" s="88"/>
      <c r="Q30" s="105"/>
      <c r="R30" s="105"/>
      <c r="S30" s="105"/>
      <c r="T30" s="105"/>
    </row>
    <row r="31" spans="1:20">
      <c r="A31" t="s">
        <v>342</v>
      </c>
      <c r="B31" s="88">
        <f>+B71</f>
        <v>15771</v>
      </c>
      <c r="C31" s="89">
        <v>0</v>
      </c>
      <c r="D31" s="88">
        <f>+F71</f>
        <v>0</v>
      </c>
      <c r="E31" s="89">
        <v>0</v>
      </c>
      <c r="F31" s="88">
        <f>+J71</f>
        <v>0</v>
      </c>
      <c r="G31" s="89">
        <v>0</v>
      </c>
      <c r="H31" s="88">
        <f>+N71</f>
        <v>0</v>
      </c>
      <c r="I31" s="105"/>
      <c r="J31" s="88">
        <f>+D71</f>
        <v>13497</v>
      </c>
      <c r="K31" s="47">
        <f>+(-J31+L31)/ABS(J31)</f>
        <v>5.7123805290064458E-2</v>
      </c>
      <c r="L31" s="88">
        <f>+H71</f>
        <v>14268</v>
      </c>
      <c r="M31" s="47">
        <f>+(-L31+N31)/ABS(L31)</f>
        <v>8.088029156153631E-2</v>
      </c>
      <c r="N31" s="88">
        <f>+L71</f>
        <v>15422</v>
      </c>
      <c r="O31" s="47">
        <f>+(-N31+P31)/ABS(N31)</f>
        <v>0.10945402671508235</v>
      </c>
      <c r="P31" s="88">
        <f>+P71</f>
        <v>17110</v>
      </c>
      <c r="Q31" s="105"/>
      <c r="R31" s="105"/>
      <c r="S31" s="105"/>
      <c r="T31" s="105"/>
    </row>
    <row r="32" spans="1:20">
      <c r="A32" t="s">
        <v>343</v>
      </c>
      <c r="B32" s="88">
        <f>+B72</f>
        <v>2358</v>
      </c>
      <c r="C32" s="89">
        <v>0</v>
      </c>
      <c r="D32" s="88">
        <f>+F72</f>
        <v>0</v>
      </c>
      <c r="E32" s="89">
        <v>0</v>
      </c>
      <c r="F32" s="88">
        <f>+J72</f>
        <v>0</v>
      </c>
      <c r="G32" s="89">
        <v>0</v>
      </c>
      <c r="H32" s="88">
        <f>+N72</f>
        <v>0</v>
      </c>
      <c r="I32" s="105"/>
      <c r="J32" s="88">
        <f>+D72</f>
        <v>2121</v>
      </c>
      <c r="K32" s="47">
        <f>+(-J32+L32)/ABS(J32)</f>
        <v>3.2531824611032531E-2</v>
      </c>
      <c r="L32" s="88">
        <f>+H72</f>
        <v>2190</v>
      </c>
      <c r="M32" s="47">
        <f>+(-L32+N32)/ABS(L32)</f>
        <v>-0.25936073059360731</v>
      </c>
      <c r="N32" s="88">
        <f>+L72</f>
        <v>1622</v>
      </c>
      <c r="O32" s="47">
        <f>+(-N32+P32)/ABS(N32)</f>
        <v>0.29654747225647349</v>
      </c>
      <c r="P32" s="88">
        <f>+P72</f>
        <v>2103</v>
      </c>
      <c r="Q32" s="105"/>
      <c r="R32" s="105"/>
      <c r="S32" s="105"/>
      <c r="T32" s="105"/>
    </row>
    <row r="33" spans="1:22">
      <c r="A33" t="s">
        <v>344</v>
      </c>
      <c r="B33" s="88">
        <f>+B73</f>
        <v>7225</v>
      </c>
      <c r="C33" s="89">
        <v>0</v>
      </c>
      <c r="D33" s="88">
        <f>+F73</f>
        <v>0</v>
      </c>
      <c r="E33" s="89">
        <v>0</v>
      </c>
      <c r="F33" s="88">
        <f>+J73</f>
        <v>0</v>
      </c>
      <c r="G33" s="89">
        <v>0</v>
      </c>
      <c r="H33" s="88">
        <f>+N73</f>
        <v>0</v>
      </c>
      <c r="I33" s="105"/>
      <c r="J33" s="88">
        <f>+D73</f>
        <v>4341</v>
      </c>
      <c r="K33" s="47">
        <f>+(-J33+L33)/ABS(J33)</f>
        <v>0.15411195577055978</v>
      </c>
      <c r="L33" s="88">
        <f>+H73</f>
        <v>5010</v>
      </c>
      <c r="M33" s="47">
        <f>+(-L33+N33)/ABS(L33)</f>
        <v>0.11656686626746507</v>
      </c>
      <c r="N33" s="88">
        <f>+L73</f>
        <v>5594</v>
      </c>
      <c r="O33" s="47">
        <f>+(-N33+P33)/ABS(N33)</f>
        <v>0.32552735073292816</v>
      </c>
      <c r="P33" s="88">
        <f>+P73</f>
        <v>7415</v>
      </c>
      <c r="Q33" s="105"/>
      <c r="R33" s="105"/>
      <c r="S33" s="105"/>
      <c r="T33" s="105"/>
    </row>
    <row r="34" spans="1:22">
      <c r="A34" t="s">
        <v>345</v>
      </c>
      <c r="B34" s="221">
        <f>+B74</f>
        <v>15811</v>
      </c>
      <c r="C34" s="89">
        <v>0</v>
      </c>
      <c r="D34" s="221">
        <f>+F74</f>
        <v>0</v>
      </c>
      <c r="E34" s="89">
        <v>0</v>
      </c>
      <c r="F34" s="221">
        <f>+J74</f>
        <v>0</v>
      </c>
      <c r="G34" s="89">
        <v>0</v>
      </c>
      <c r="H34" s="221">
        <f>+N74</f>
        <v>0</v>
      </c>
      <c r="I34" s="105"/>
      <c r="J34" s="221">
        <f>+D74</f>
        <v>12507</v>
      </c>
      <c r="K34" s="47">
        <f>+(-J34+L34)/ABS(J34)</f>
        <v>2.8544015351403215E-2</v>
      </c>
      <c r="L34" s="221">
        <f>+H74</f>
        <v>12864</v>
      </c>
      <c r="M34" s="47">
        <f>+(-L34+N34)/ABS(L34)</f>
        <v>0.37095771144278605</v>
      </c>
      <c r="N34" s="221">
        <f>+L74</f>
        <v>17636</v>
      </c>
      <c r="O34" s="47">
        <f>+(-N34+P34)/ABS(N34)</f>
        <v>-5.3980494443184396E-2</v>
      </c>
      <c r="P34" s="221">
        <f>+P74</f>
        <v>16684</v>
      </c>
      <c r="Q34" s="105"/>
      <c r="R34" s="105"/>
      <c r="S34" s="105"/>
      <c r="T34" s="105"/>
    </row>
    <row r="35" spans="1:22">
      <c r="B35" s="16">
        <f>SUM(B31:B34)</f>
        <v>41165</v>
      </c>
      <c r="C35" s="89">
        <v>0</v>
      </c>
      <c r="D35" s="16">
        <f>SUM(D31:D34)</f>
        <v>0</v>
      </c>
      <c r="E35" s="89">
        <v>0</v>
      </c>
      <c r="F35" s="16">
        <f>SUM(F31:F34)</f>
        <v>0</v>
      </c>
      <c r="G35" s="89">
        <v>0</v>
      </c>
      <c r="H35" s="16">
        <f>SUM(H31:H34)</f>
        <v>0</v>
      </c>
      <c r="I35" s="105"/>
      <c r="J35" s="16">
        <f>SUM(J31:J34)</f>
        <v>32466</v>
      </c>
      <c r="K35" s="47">
        <f>+(-J35+L35)/ABS(J35)</f>
        <v>5.7475512844206246E-2</v>
      </c>
      <c r="L35" s="16">
        <f>SUM(L31:L34)</f>
        <v>34332</v>
      </c>
      <c r="M35" s="47">
        <f>+(-L35+N35)/ABS(L35)</f>
        <v>0.17307468251194222</v>
      </c>
      <c r="N35" s="16">
        <f>SUM(N31:N34)</f>
        <v>40274</v>
      </c>
      <c r="O35" s="47">
        <f>+(-N35+P35)/ABS(N35)</f>
        <v>7.5433282018175493E-2</v>
      </c>
      <c r="P35" s="16">
        <f>SUM(P31:P34)</f>
        <v>43312</v>
      </c>
      <c r="Q35" s="105"/>
      <c r="R35" s="105"/>
      <c r="S35" s="105"/>
      <c r="T35" s="105"/>
    </row>
    <row r="36" spans="1:22" ht="9" customHeight="1">
      <c r="B36" s="221"/>
      <c r="C36" s="89" t="s">
        <v>0</v>
      </c>
      <c r="D36" s="221"/>
      <c r="E36" s="89" t="s">
        <v>0</v>
      </c>
      <c r="F36" s="334"/>
      <c r="G36" s="89" t="s">
        <v>0</v>
      </c>
      <c r="H36" s="334"/>
      <c r="I36" s="105"/>
      <c r="J36" s="221"/>
      <c r="K36" s="104"/>
      <c r="L36" s="221"/>
      <c r="M36" s="104"/>
      <c r="N36" s="221"/>
      <c r="O36" s="104"/>
      <c r="P36" s="221"/>
      <c r="Q36" s="105"/>
      <c r="R36" s="105"/>
      <c r="S36" s="105"/>
      <c r="T36" s="105"/>
    </row>
    <row r="37" spans="1:22" ht="16.899999999999999" customHeight="1">
      <c r="A37" t="s">
        <v>346</v>
      </c>
      <c r="B37" s="16">
        <f>+B28-B35</f>
        <v>-2027</v>
      </c>
      <c r="C37" s="89">
        <v>0</v>
      </c>
      <c r="D37" s="16">
        <f>+D28-D35</f>
        <v>0</v>
      </c>
      <c r="E37" s="89">
        <v>0</v>
      </c>
      <c r="F37" s="16">
        <f>+F28-F35</f>
        <v>0</v>
      </c>
      <c r="G37" s="89">
        <v>0</v>
      </c>
      <c r="H37" s="16">
        <f>+H28-H35</f>
        <v>0</v>
      </c>
      <c r="I37" s="105"/>
      <c r="J37" s="16">
        <f>+J28-J35</f>
        <v>4298</v>
      </c>
      <c r="K37" s="47">
        <f>+(-J37+L37)/ABS(J37)</f>
        <v>-0.51838064215914381</v>
      </c>
      <c r="L37" s="16">
        <f>+L28-L35</f>
        <v>2070</v>
      </c>
      <c r="M37" s="47">
        <f>+(-L37+N37)/ABS(L37)</f>
        <v>-6.3135265700483094</v>
      </c>
      <c r="N37" s="16">
        <f>+N28-N35</f>
        <v>-10999</v>
      </c>
      <c r="O37" s="47">
        <f>+(-N37+P37)/ABS(N37)</f>
        <v>0.86426038730793708</v>
      </c>
      <c r="P37" s="16">
        <f>+P28-P35</f>
        <v>-1493</v>
      </c>
      <c r="Q37" s="105"/>
      <c r="R37" s="105"/>
      <c r="S37" s="105"/>
      <c r="T37" s="105"/>
    </row>
    <row r="38" spans="1:22">
      <c r="B38" s="88"/>
      <c r="C38" s="89" t="s">
        <v>0</v>
      </c>
      <c r="D38" s="88"/>
      <c r="E38" s="89" t="s">
        <v>0</v>
      </c>
      <c r="F38" s="105"/>
      <c r="G38" s="89" t="s">
        <v>0</v>
      </c>
      <c r="H38" s="105"/>
      <c r="I38" s="105"/>
      <c r="J38" s="88"/>
      <c r="K38" s="104"/>
      <c r="L38" s="88"/>
      <c r="M38" s="104"/>
      <c r="N38" s="88"/>
      <c r="O38" s="104"/>
      <c r="P38" s="88"/>
      <c r="Q38" s="105"/>
      <c r="R38" s="105"/>
      <c r="S38" s="105"/>
      <c r="T38" s="105"/>
    </row>
    <row r="39" spans="1:22">
      <c r="A39" t="s">
        <v>347</v>
      </c>
      <c r="B39" s="88">
        <f>+B79</f>
        <v>-710</v>
      </c>
      <c r="C39" s="89">
        <v>0</v>
      </c>
      <c r="D39" s="88">
        <f>+F79</f>
        <v>0</v>
      </c>
      <c r="E39" s="89">
        <v>0</v>
      </c>
      <c r="F39" s="88">
        <f>+J79</f>
        <v>0</v>
      </c>
      <c r="G39" s="89">
        <v>0</v>
      </c>
      <c r="H39" s="88">
        <f>+N79</f>
        <v>0</v>
      </c>
      <c r="I39" s="105"/>
      <c r="J39" s="88">
        <f>+D79</f>
        <v>1504</v>
      </c>
      <c r="K39" s="47">
        <f>+(-J39+L39)/ABS(J39)</f>
        <v>-0.5186170212765957</v>
      </c>
      <c r="L39" s="88">
        <f>+H79</f>
        <v>724</v>
      </c>
      <c r="M39" s="47">
        <f>+(-L39+N39)/ABS(L39)</f>
        <v>-6.3176795580110499</v>
      </c>
      <c r="N39" s="88">
        <f>+L79</f>
        <v>-3850</v>
      </c>
      <c r="O39" s="47">
        <f>+(-N39+P39)/ABS(N39)</f>
        <v>0.86415584415584412</v>
      </c>
      <c r="P39" s="88">
        <f>+P79</f>
        <v>-523</v>
      </c>
      <c r="Q39" s="105"/>
      <c r="R39" s="105"/>
      <c r="S39" s="105"/>
      <c r="T39" s="105"/>
    </row>
    <row r="40" spans="1:22">
      <c r="B40" s="221"/>
      <c r="C40" s="89" t="s">
        <v>0</v>
      </c>
      <c r="D40" s="221"/>
      <c r="E40" s="89" t="s">
        <v>0</v>
      </c>
      <c r="F40" s="334"/>
      <c r="G40" s="89" t="s">
        <v>0</v>
      </c>
      <c r="H40" s="334"/>
      <c r="I40" s="105"/>
      <c r="J40" s="221"/>
      <c r="K40" s="104"/>
      <c r="L40" s="221"/>
      <c r="M40" s="104"/>
      <c r="N40" s="221"/>
      <c r="O40" s="104"/>
      <c r="P40" s="221"/>
      <c r="Q40" s="105"/>
      <c r="R40" s="105"/>
      <c r="S40" s="105"/>
      <c r="T40" s="105"/>
    </row>
    <row r="41" spans="1:22">
      <c r="A41" s="2" t="s">
        <v>427</v>
      </c>
      <c r="B41" s="4">
        <f>B37-B39</f>
        <v>-1317</v>
      </c>
      <c r="C41" s="42">
        <v>0</v>
      </c>
      <c r="D41" s="4">
        <f>+D37-D39</f>
        <v>0</v>
      </c>
      <c r="E41" s="42">
        <v>0</v>
      </c>
      <c r="F41" s="4">
        <f>+F37-F39</f>
        <v>0</v>
      </c>
      <c r="G41" s="42">
        <v>0</v>
      </c>
      <c r="H41" s="4">
        <f>+H37-H39</f>
        <v>0</v>
      </c>
      <c r="I41" s="105"/>
      <c r="J41" s="4">
        <f>+J37-J39</f>
        <v>2794</v>
      </c>
      <c r="K41" s="112">
        <f>+(-J41+L41)/ABS(J41)</f>
        <v>-0.5182534001431639</v>
      </c>
      <c r="L41" s="4">
        <f>+L37-L39</f>
        <v>1346</v>
      </c>
      <c r="M41" s="112">
        <f>+(-L41+N41)/ABS(L41)</f>
        <v>-6.3112927191679047</v>
      </c>
      <c r="N41" s="4">
        <f>+N37-N39</f>
        <v>-7149</v>
      </c>
      <c r="O41" s="112">
        <f>+(-N41+P41)/ABS(N41)</f>
        <v>0.86431668764862224</v>
      </c>
      <c r="P41" s="4">
        <f>+P37-P39</f>
        <v>-970</v>
      </c>
      <c r="Q41" s="105"/>
      <c r="R41" s="105"/>
      <c r="S41" s="105"/>
      <c r="T41" s="105"/>
    </row>
    <row r="42" spans="1:22" ht="5.45" customHeight="1">
      <c r="B42" s="52"/>
      <c r="C42" s="21" t="s">
        <v>0</v>
      </c>
    </row>
    <row r="43" spans="1:22" ht="7.9" customHeight="1" thickBot="1">
      <c r="A43" s="19"/>
      <c r="B43" s="53"/>
      <c r="C43" s="24" t="s">
        <v>0</v>
      </c>
      <c r="D43" s="24"/>
      <c r="E43" s="24"/>
      <c r="F43" s="24"/>
      <c r="G43" s="24"/>
      <c r="H43" s="24"/>
      <c r="I43" s="24"/>
      <c r="J43" s="24"/>
      <c r="K43" s="24"/>
      <c r="L43" s="24"/>
      <c r="M43" s="24"/>
      <c r="N43" s="24"/>
      <c r="O43" s="24"/>
      <c r="P43" s="24"/>
      <c r="Q43" s="24"/>
      <c r="R43" s="24"/>
      <c r="S43" s="24"/>
      <c r="T43" s="24"/>
    </row>
    <row r="44" spans="1:22" ht="7.9" customHeight="1">
      <c r="A44" s="20"/>
      <c r="B44" s="54"/>
      <c r="C44" s="21" t="s">
        <v>0</v>
      </c>
      <c r="D44" s="25"/>
      <c r="E44" s="25"/>
      <c r="F44" s="25"/>
      <c r="G44" s="25"/>
      <c r="H44" s="25"/>
      <c r="I44" s="25"/>
      <c r="J44" s="25"/>
      <c r="K44" s="25"/>
      <c r="L44" s="25"/>
      <c r="M44" s="25"/>
      <c r="N44" s="25"/>
      <c r="O44" s="25"/>
    </row>
    <row r="45" spans="1:22" ht="7.9" customHeight="1">
      <c r="A45" s="20"/>
      <c r="B45" s="54"/>
      <c r="C45" s="21" t="s">
        <v>0</v>
      </c>
      <c r="D45" s="25"/>
      <c r="E45" s="25"/>
      <c r="F45" s="25"/>
      <c r="G45" s="25"/>
      <c r="H45" s="25"/>
      <c r="I45" s="25"/>
      <c r="J45" s="25"/>
      <c r="K45" s="25"/>
      <c r="L45" s="25"/>
      <c r="M45" s="25"/>
      <c r="N45" s="25"/>
      <c r="O45" s="25"/>
    </row>
    <row r="46" spans="1:22" s="2" customFormat="1">
      <c r="B46" s="416" t="s">
        <v>349</v>
      </c>
      <c r="C46" s="146" t="s">
        <v>0</v>
      </c>
      <c r="D46" s="241" t="s">
        <v>350</v>
      </c>
      <c r="E46" s="146"/>
      <c r="F46" s="416" t="s">
        <v>349</v>
      </c>
      <c r="G46" s="146"/>
      <c r="H46" s="241" t="s">
        <v>350</v>
      </c>
      <c r="I46" s="146"/>
      <c r="J46" s="416" t="s">
        <v>349</v>
      </c>
      <c r="K46" s="146"/>
      <c r="L46" s="241" t="s">
        <v>350</v>
      </c>
      <c r="M46" s="146"/>
      <c r="N46" s="416" t="s">
        <v>349</v>
      </c>
      <c r="O46" s="146"/>
      <c r="P46" s="241" t="s">
        <v>350</v>
      </c>
      <c r="Q46" s="146"/>
      <c r="R46" s="993" t="s">
        <v>351</v>
      </c>
      <c r="S46" s="146"/>
      <c r="T46" s="993" t="s">
        <v>532</v>
      </c>
      <c r="U46" s="241" t="s">
        <v>263</v>
      </c>
    </row>
    <row r="47" spans="1:22" ht="16.5" thickBot="1">
      <c r="B47" s="335" t="s">
        <v>353</v>
      </c>
      <c r="C47" s="245"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190</v>
      </c>
      <c r="V47" s="18"/>
    </row>
    <row r="48" spans="1:22">
      <c r="A48" t="s">
        <v>328</v>
      </c>
      <c r="B48" s="52" t="s">
        <v>0</v>
      </c>
    </row>
    <row r="49" spans="1:21">
      <c r="A49" t="s">
        <v>329</v>
      </c>
      <c r="B49" s="144" t="s">
        <v>0</v>
      </c>
      <c r="C49" s="104" t="s">
        <v>0</v>
      </c>
      <c r="D49" s="144" t="s">
        <v>0</v>
      </c>
      <c r="E49" s="105" t="s">
        <v>0</v>
      </c>
      <c r="F49" s="144" t="s">
        <v>0</v>
      </c>
      <c r="G49" s="104" t="s">
        <v>0</v>
      </c>
      <c r="H49" s="144" t="s">
        <v>0</v>
      </c>
      <c r="I49" s="105" t="s">
        <v>0</v>
      </c>
      <c r="J49" s="144" t="s">
        <v>0</v>
      </c>
      <c r="K49" s="104" t="s">
        <v>0</v>
      </c>
      <c r="L49" s="144" t="s">
        <v>0</v>
      </c>
      <c r="M49" s="105" t="s">
        <v>0</v>
      </c>
      <c r="N49" s="144" t="s">
        <v>0</v>
      </c>
      <c r="O49" s="104" t="s">
        <v>0</v>
      </c>
      <c r="P49" s="144" t="s">
        <v>0</v>
      </c>
      <c r="Q49" s="105"/>
      <c r="R49" s="144" t="s">
        <v>0</v>
      </c>
      <c r="S49" s="104" t="s">
        <v>0</v>
      </c>
      <c r="T49" s="144" t="s">
        <v>0</v>
      </c>
      <c r="U49" s="144" t="s">
        <v>0</v>
      </c>
    </row>
    <row r="50" spans="1:21">
      <c r="A50" t="s">
        <v>330</v>
      </c>
      <c r="B50" s="88">
        <v>38051</v>
      </c>
      <c r="C50" s="104">
        <f t="shared" ref="C50:C55" si="3">+(B50-D50)/ABS(D50)</f>
        <v>5.9532759724890708E-2</v>
      </c>
      <c r="D50" s="88">
        <f>11888+11594+12431</f>
        <v>35913</v>
      </c>
      <c r="E50" s="105"/>
      <c r="F50" s="88">
        <v>0</v>
      </c>
      <c r="G50" s="89">
        <v>0</v>
      </c>
      <c r="H50" s="88">
        <f>12200+12642+13127</f>
        <v>37969</v>
      </c>
      <c r="I50" s="105"/>
      <c r="J50" s="88">
        <v>0</v>
      </c>
      <c r="K50" s="89">
        <v>0</v>
      </c>
      <c r="L50" s="88">
        <f>24986+12988</f>
        <v>37974</v>
      </c>
      <c r="M50" s="105"/>
      <c r="N50" s="88">
        <v>0</v>
      </c>
      <c r="O50" s="89">
        <v>0</v>
      </c>
      <c r="P50" s="88">
        <f>12429+14424+14003</f>
        <v>40856</v>
      </c>
      <c r="Q50" s="105"/>
      <c r="R50" s="88">
        <f>+B50</f>
        <v>38051</v>
      </c>
      <c r="S50" s="104">
        <f t="shared" ref="S50:S55" si="4">+(R50-T50)/ABS(T50)</f>
        <v>5.9532759724890708E-2</v>
      </c>
      <c r="T50" s="88">
        <f>+D50</f>
        <v>35913</v>
      </c>
      <c r="U50" s="88">
        <f>+D50+H50+L50+P50</f>
        <v>152712</v>
      </c>
    </row>
    <row r="51" spans="1:21">
      <c r="A51" t="s">
        <v>354</v>
      </c>
      <c r="B51" s="88">
        <v>5389</v>
      </c>
      <c r="C51" s="104">
        <f t="shared" si="3"/>
        <v>-0.49930316826163706</v>
      </c>
      <c r="D51" s="88">
        <f>4564+3373+2826</f>
        <v>10763</v>
      </c>
      <c r="E51" s="105"/>
      <c r="F51" s="88">
        <v>0</v>
      </c>
      <c r="G51" s="89">
        <v>0</v>
      </c>
      <c r="H51" s="88">
        <f>1344+1372+1611</f>
        <v>4327</v>
      </c>
      <c r="I51" s="105"/>
      <c r="J51" s="88">
        <v>0</v>
      </c>
      <c r="K51" s="89">
        <v>0</v>
      </c>
      <c r="L51" s="88">
        <f>3014+1461</f>
        <v>4475</v>
      </c>
      <c r="M51" s="105"/>
      <c r="N51" s="88">
        <v>0</v>
      </c>
      <c r="O51" s="89">
        <v>0</v>
      </c>
      <c r="P51" s="88">
        <f>1534+786+1252</f>
        <v>3572</v>
      </c>
      <c r="Q51" s="105"/>
      <c r="R51" s="88">
        <f>+B51</f>
        <v>5389</v>
      </c>
      <c r="S51" s="104">
        <f t="shared" si="4"/>
        <v>-0.49930316826163706</v>
      </c>
      <c r="T51" s="88">
        <f>+D51</f>
        <v>10763</v>
      </c>
      <c r="U51" s="88">
        <f>+D51+H51+L51+P51</f>
        <v>23137</v>
      </c>
    </row>
    <row r="52" spans="1:21">
      <c r="A52" t="s">
        <v>332</v>
      </c>
      <c r="B52" s="221">
        <v>1853</v>
      </c>
      <c r="C52" s="104">
        <f t="shared" si="3"/>
        <v>-0.11041766682669227</v>
      </c>
      <c r="D52" s="221">
        <f>322+515+1246</f>
        <v>2083</v>
      </c>
      <c r="E52" s="105"/>
      <c r="F52" s="221">
        <v>0</v>
      </c>
      <c r="G52" s="89">
        <v>0</v>
      </c>
      <c r="H52" s="221">
        <f>319+310+470</f>
        <v>1099</v>
      </c>
      <c r="I52" s="105"/>
      <c r="J52" s="221">
        <v>0</v>
      </c>
      <c r="K52" s="89">
        <v>0</v>
      </c>
      <c r="L52" s="221">
        <f>1029+472</f>
        <v>1501</v>
      </c>
      <c r="M52" s="105"/>
      <c r="N52" s="221">
        <v>0</v>
      </c>
      <c r="O52" s="89">
        <v>0</v>
      </c>
      <c r="P52" s="221">
        <f>345+356+859</f>
        <v>1560</v>
      </c>
      <c r="Q52" s="105"/>
      <c r="R52" s="221">
        <f>+B52</f>
        <v>1853</v>
      </c>
      <c r="S52" s="104">
        <f t="shared" si="4"/>
        <v>-0.11041766682669227</v>
      </c>
      <c r="T52" s="221">
        <f>+D52</f>
        <v>2083</v>
      </c>
      <c r="U52" s="221">
        <f>+D52+H52+L52+P52</f>
        <v>6243</v>
      </c>
    </row>
    <row r="53" spans="1:21">
      <c r="B53" s="88">
        <f>SUM(B50:B52)</f>
        <v>45293</v>
      </c>
      <c r="C53" s="104">
        <f t="shared" si="3"/>
        <v>-7.1084312639717789E-2</v>
      </c>
      <c r="D53" s="88">
        <f>SUM(D50:D52)</f>
        <v>48759</v>
      </c>
      <c r="E53" s="105"/>
      <c r="F53" s="88">
        <f>SUM(F50:F52)</f>
        <v>0</v>
      </c>
      <c r="G53" s="89">
        <v>0</v>
      </c>
      <c r="H53" s="88">
        <f>SUM(H50:H52)</f>
        <v>43395</v>
      </c>
      <c r="I53" s="105"/>
      <c r="J53" s="88">
        <f>SUM(J50:J52)</f>
        <v>0</v>
      </c>
      <c r="K53" s="89">
        <v>0</v>
      </c>
      <c r="L53" s="88">
        <f>SUM(L50:L52)</f>
        <v>43950</v>
      </c>
      <c r="M53" s="105"/>
      <c r="N53" s="88">
        <f>SUM(N50:N52)</f>
        <v>0</v>
      </c>
      <c r="O53" s="89">
        <v>0</v>
      </c>
      <c r="P53" s="88">
        <f>SUM(P50:P52)</f>
        <v>45988</v>
      </c>
      <c r="Q53" s="105"/>
      <c r="R53" s="88">
        <f>SUM(R50:R52)</f>
        <v>45293</v>
      </c>
      <c r="S53" s="104">
        <f t="shared" si="4"/>
        <v>-7.1084312639717789E-2</v>
      </c>
      <c r="T53" s="88">
        <f>SUM(T50:T52)</f>
        <v>48759</v>
      </c>
      <c r="U53" s="88">
        <f>+U50+U52</f>
        <v>158955</v>
      </c>
    </row>
    <row r="54" spans="1:21">
      <c r="A54" t="s">
        <v>333</v>
      </c>
      <c r="B54" s="221">
        <v>17536</v>
      </c>
      <c r="C54" s="104">
        <f t="shared" si="3"/>
        <v>-0.21798073492686407</v>
      </c>
      <c r="D54" s="221">
        <f>7831+6916+7677</f>
        <v>22424</v>
      </c>
      <c r="E54" s="105" t="s">
        <v>0</v>
      </c>
      <c r="F54" s="221">
        <v>0</v>
      </c>
      <c r="G54" s="89">
        <v>0</v>
      </c>
      <c r="H54" s="221">
        <f>6640+6333+6664</f>
        <v>19637</v>
      </c>
      <c r="I54" s="105"/>
      <c r="J54" s="221">
        <v>0</v>
      </c>
      <c r="K54" s="89">
        <v>0</v>
      </c>
      <c r="L54" s="221">
        <f>10702+5703</f>
        <v>16405</v>
      </c>
      <c r="M54" s="105" t="s">
        <v>0</v>
      </c>
      <c r="N54" s="221">
        <v>0</v>
      </c>
      <c r="O54" s="89">
        <v>0</v>
      </c>
      <c r="P54" s="221">
        <f>4818+5228+5152</f>
        <v>15198</v>
      </c>
      <c r="Q54" s="105"/>
      <c r="R54" s="221">
        <f>+B54</f>
        <v>17536</v>
      </c>
      <c r="S54" s="104">
        <f t="shared" si="4"/>
        <v>-0.21798073492686407</v>
      </c>
      <c r="T54" s="221">
        <f>+D54</f>
        <v>22424</v>
      </c>
      <c r="U54" s="221">
        <f>+D54+H54+L54+P54</f>
        <v>73664</v>
      </c>
    </row>
    <row r="55" spans="1:21">
      <c r="B55" s="16">
        <f>+B53-B54</f>
        <v>27757</v>
      </c>
      <c r="C55" s="104">
        <f t="shared" si="3"/>
        <v>5.399658249477881E-2</v>
      </c>
      <c r="D55" s="16">
        <f>+D53-D54</f>
        <v>26335</v>
      </c>
      <c r="E55" s="107" t="s">
        <v>0</v>
      </c>
      <c r="F55" s="16">
        <f>+F53-F54</f>
        <v>0</v>
      </c>
      <c r="G55" s="89">
        <v>0</v>
      </c>
      <c r="H55" s="16">
        <f>+H53-H54</f>
        <v>23758</v>
      </c>
      <c r="I55" s="107"/>
      <c r="J55" s="16">
        <f>+J53-J54</f>
        <v>0</v>
      </c>
      <c r="K55" s="89">
        <v>0</v>
      </c>
      <c r="L55" s="16">
        <f>+L53-L54</f>
        <v>27545</v>
      </c>
      <c r="M55" s="107" t="s">
        <v>0</v>
      </c>
      <c r="N55" s="16">
        <f>+N53-N54</f>
        <v>0</v>
      </c>
      <c r="O55" s="89">
        <v>0</v>
      </c>
      <c r="P55" s="16">
        <f>+P53-P54</f>
        <v>30790</v>
      </c>
      <c r="Q55" s="107"/>
      <c r="R55" s="16">
        <f>+R53-R54</f>
        <v>27757</v>
      </c>
      <c r="S55" s="104">
        <f t="shared" si="4"/>
        <v>5.399658249477881E-2</v>
      </c>
      <c r="T55" s="16">
        <f>+T53-T54</f>
        <v>26335</v>
      </c>
      <c r="U55" s="91">
        <f>+U53-U54</f>
        <v>85291</v>
      </c>
    </row>
    <row r="56" spans="1:21">
      <c r="B56" s="88"/>
      <c r="C56" s="104" t="s">
        <v>0</v>
      </c>
      <c r="D56" s="88"/>
      <c r="E56" s="105" t="s">
        <v>0</v>
      </c>
      <c r="F56" s="88"/>
      <c r="G56" s="89" t="s">
        <v>0</v>
      </c>
      <c r="H56" s="88"/>
      <c r="I56" s="105"/>
      <c r="J56" s="88"/>
      <c r="K56" s="89" t="s">
        <v>0</v>
      </c>
      <c r="L56" s="88"/>
      <c r="M56" s="105" t="s">
        <v>0</v>
      </c>
      <c r="N56" s="88"/>
      <c r="O56" s="89" t="s">
        <v>0</v>
      </c>
      <c r="P56" s="88"/>
      <c r="Q56" s="105"/>
      <c r="R56" s="88"/>
      <c r="S56" s="104"/>
      <c r="T56" s="88"/>
      <c r="U56" s="88"/>
    </row>
    <row r="57" spans="1:21">
      <c r="A57" t="s">
        <v>334</v>
      </c>
      <c r="B57" s="88"/>
      <c r="C57" s="104" t="s">
        <v>0</v>
      </c>
      <c r="D57" s="88"/>
      <c r="E57" s="105" t="s">
        <v>0</v>
      </c>
      <c r="F57" s="88"/>
      <c r="G57" s="89" t="s">
        <v>0</v>
      </c>
      <c r="H57" s="88"/>
      <c r="I57" s="105"/>
      <c r="J57" s="88"/>
      <c r="K57" s="89" t="s">
        <v>0</v>
      </c>
      <c r="L57" s="88"/>
      <c r="M57" s="105" t="s">
        <v>0</v>
      </c>
      <c r="N57" s="88"/>
      <c r="O57" s="89" t="s">
        <v>0</v>
      </c>
      <c r="P57" s="88"/>
      <c r="Q57" s="105"/>
      <c r="R57" s="88"/>
      <c r="S57" s="104" t="s">
        <v>0</v>
      </c>
      <c r="T57" s="88"/>
      <c r="U57" s="88"/>
    </row>
    <row r="58" spans="1:21">
      <c r="A58" t="s">
        <v>335</v>
      </c>
      <c r="B58" s="88">
        <v>10040</v>
      </c>
      <c r="C58" s="104">
        <f>+(B58-D58)/ABS(D58)</f>
        <v>0.22349500365586156</v>
      </c>
      <c r="D58" s="88">
        <f>2300+3005+2901</f>
        <v>8206</v>
      </c>
      <c r="E58" s="105" t="s">
        <v>0</v>
      </c>
      <c r="F58" s="88">
        <v>0</v>
      </c>
      <c r="G58" s="89">
        <v>0</v>
      </c>
      <c r="H58" s="88">
        <f>3360+2880+2881</f>
        <v>9121</v>
      </c>
      <c r="I58" s="105"/>
      <c r="J58" s="88">
        <v>0</v>
      </c>
      <c r="K58" s="89">
        <v>0</v>
      </c>
      <c r="L58" s="88">
        <f>5633+2784</f>
        <v>8417</v>
      </c>
      <c r="M58" s="105" t="s">
        <v>0</v>
      </c>
      <c r="N58" s="88">
        <v>0</v>
      </c>
      <c r="O58" s="89">
        <v>0</v>
      </c>
      <c r="P58" s="88">
        <f>1967+1397+4632</f>
        <v>7996</v>
      </c>
      <c r="Q58" s="105"/>
      <c r="R58" s="88">
        <f>+B58</f>
        <v>10040</v>
      </c>
      <c r="S58" s="104">
        <f>+(R58-T58)/ABS(T58)</f>
        <v>0.22349500365586156</v>
      </c>
      <c r="T58" s="88">
        <f>+D58</f>
        <v>8206</v>
      </c>
      <c r="U58" s="88">
        <f>+D58+H58+L58+P58</f>
        <v>33740</v>
      </c>
    </row>
    <row r="59" spans="1:21">
      <c r="A59" t="s">
        <v>336</v>
      </c>
      <c r="B59" s="88">
        <v>3052</v>
      </c>
      <c r="C59" s="104">
        <f>+(B59-D59)/ABS(D59)</f>
        <v>-5.627705627705628E-2</v>
      </c>
      <c r="D59" s="88">
        <f>1406+709+1119</f>
        <v>3234</v>
      </c>
      <c r="E59" s="105" t="s">
        <v>0</v>
      </c>
      <c r="F59" s="88">
        <v>0</v>
      </c>
      <c r="G59" s="89">
        <v>0</v>
      </c>
      <c r="H59" s="88">
        <f>1724+1413+1048</f>
        <v>4185</v>
      </c>
      <c r="I59" s="105"/>
      <c r="J59" s="88">
        <v>0</v>
      </c>
      <c r="K59" s="89">
        <v>0</v>
      </c>
      <c r="L59" s="88">
        <f>2656+1478</f>
        <v>4134</v>
      </c>
      <c r="M59" s="105" t="s">
        <v>0</v>
      </c>
      <c r="N59" s="88">
        <v>0</v>
      </c>
      <c r="O59" s="89">
        <v>0</v>
      </c>
      <c r="P59" s="88">
        <f>1540+2169+982</f>
        <v>4691</v>
      </c>
      <c r="Q59" s="105"/>
      <c r="R59" s="88">
        <f>+B59</f>
        <v>3052</v>
      </c>
      <c r="S59" s="104">
        <f>+(R59-T59)/ABS(T59)</f>
        <v>-5.627705627705628E-2</v>
      </c>
      <c r="T59" s="88">
        <f>+D59</f>
        <v>3234</v>
      </c>
      <c r="U59" s="88">
        <f>+D59+H59+L59+P59</f>
        <v>16244</v>
      </c>
    </row>
    <row r="60" spans="1:21">
      <c r="A60" t="s">
        <v>284</v>
      </c>
      <c r="B60" s="221">
        <v>788</v>
      </c>
      <c r="C60" s="104">
        <f>+(B60-D60)/ABS(D60)</f>
        <v>-0.2016210739614995</v>
      </c>
      <c r="D60" s="221">
        <f>576+184+227</f>
        <v>987</v>
      </c>
      <c r="E60" s="105" t="s">
        <v>0</v>
      </c>
      <c r="F60" s="221">
        <v>0</v>
      </c>
      <c r="G60" s="89">
        <v>0</v>
      </c>
      <c r="H60" s="221">
        <f>154+127+1055</f>
        <v>1336</v>
      </c>
      <c r="I60" s="105"/>
      <c r="J60" s="221">
        <v>0</v>
      </c>
      <c r="K60" s="89">
        <v>0</v>
      </c>
      <c r="L60" s="221">
        <f>-218+491</f>
        <v>273</v>
      </c>
      <c r="M60" s="105" t="s">
        <v>0</v>
      </c>
      <c r="N60" s="221">
        <v>0</v>
      </c>
      <c r="O60" s="89">
        <v>0</v>
      </c>
      <c r="P60" s="221">
        <f>123+218+500</f>
        <v>841</v>
      </c>
      <c r="Q60" s="105"/>
      <c r="R60" s="221">
        <f>+B60</f>
        <v>788</v>
      </c>
      <c r="S60" s="104">
        <f>+(R60-T60)/ABS(T60)</f>
        <v>-0.2016210739614995</v>
      </c>
      <c r="T60" s="221">
        <f>+D60</f>
        <v>987</v>
      </c>
      <c r="U60" s="221">
        <f>+D60+H60+L60+P60</f>
        <v>3437</v>
      </c>
    </row>
    <row r="61" spans="1:21">
      <c r="B61" s="16">
        <f>SUM(B58:B60)</f>
        <v>13880</v>
      </c>
      <c r="C61" s="104">
        <f>+(B61-D61)/ABS(D61)</f>
        <v>0.11692282932324777</v>
      </c>
      <c r="D61" s="16">
        <f>SUM(D58:D60)</f>
        <v>12427</v>
      </c>
      <c r="E61" s="105" t="s">
        <v>0</v>
      </c>
      <c r="F61" s="16">
        <f>SUM(F58:F60)</f>
        <v>0</v>
      </c>
      <c r="G61" s="89">
        <v>0</v>
      </c>
      <c r="H61" s="16">
        <f>SUM(H58:H60)</f>
        <v>14642</v>
      </c>
      <c r="I61" s="105"/>
      <c r="J61" s="16">
        <f>SUM(J58:J60)</f>
        <v>0</v>
      </c>
      <c r="K61" s="89">
        <v>0</v>
      </c>
      <c r="L61" s="16">
        <f>SUM(L58:L60)</f>
        <v>12824</v>
      </c>
      <c r="M61" s="105" t="s">
        <v>0</v>
      </c>
      <c r="N61" s="16">
        <f>SUM(N58:N60)</f>
        <v>0</v>
      </c>
      <c r="O61" s="89">
        <v>0</v>
      </c>
      <c r="P61" s="16">
        <f>SUM(P58:P60)</f>
        <v>13528</v>
      </c>
      <c r="Q61" s="105"/>
      <c r="R61" s="16">
        <f>SUM(R58:R60)</f>
        <v>13880</v>
      </c>
      <c r="S61" s="104">
        <f>+(R61-T61)/ABS(T61)</f>
        <v>0.11692282932324777</v>
      </c>
      <c r="T61" s="16">
        <f>SUM(T58:T60)</f>
        <v>12427</v>
      </c>
      <c r="U61" s="88">
        <f>SUM(U58:U60)</f>
        <v>53421</v>
      </c>
    </row>
    <row r="62" spans="1:21">
      <c r="B62" s="221"/>
      <c r="C62" s="104" t="s">
        <v>0</v>
      </c>
      <c r="D62" s="221"/>
      <c r="E62" s="105" t="s">
        <v>0</v>
      </c>
      <c r="F62" s="221"/>
      <c r="G62" s="89" t="s">
        <v>0</v>
      </c>
      <c r="H62" s="221"/>
      <c r="I62" s="105"/>
      <c r="J62" s="221"/>
      <c r="K62" s="89" t="s">
        <v>0</v>
      </c>
      <c r="L62" s="221"/>
      <c r="M62" s="105" t="s">
        <v>0</v>
      </c>
      <c r="N62" s="221"/>
      <c r="O62" s="89" t="s">
        <v>0</v>
      </c>
      <c r="P62" s="221"/>
      <c r="Q62" s="105"/>
      <c r="R62" s="221"/>
      <c r="S62" s="104"/>
      <c r="T62" s="221"/>
      <c r="U62" s="221"/>
    </row>
    <row r="63" spans="1:21">
      <c r="A63" t="s">
        <v>337</v>
      </c>
      <c r="B63" s="16">
        <f>+B55+B61</f>
        <v>41637</v>
      </c>
      <c r="C63" s="104">
        <f>+(B63-D63)/ABS(D63)</f>
        <v>7.4170579433465764E-2</v>
      </c>
      <c r="D63" s="16">
        <f>+D55+D61</f>
        <v>38762</v>
      </c>
      <c r="E63" s="105" t="s">
        <v>0</v>
      </c>
      <c r="F63" s="16">
        <f>+F55+F61</f>
        <v>0</v>
      </c>
      <c r="G63" s="89">
        <v>0</v>
      </c>
      <c r="H63" s="16">
        <f>+H55+H61</f>
        <v>38400</v>
      </c>
      <c r="I63" s="105"/>
      <c r="J63" s="16">
        <f>+J55+J61</f>
        <v>0</v>
      </c>
      <c r="K63" s="89">
        <v>0</v>
      </c>
      <c r="L63" s="16">
        <f>+L55+L61</f>
        <v>40369</v>
      </c>
      <c r="M63" s="105" t="s">
        <v>0</v>
      </c>
      <c r="N63" s="16">
        <f>+N55+N61</f>
        <v>0</v>
      </c>
      <c r="O63" s="89">
        <v>0</v>
      </c>
      <c r="P63" s="16">
        <f>+P55+P61</f>
        <v>44318</v>
      </c>
      <c r="Q63" s="105"/>
      <c r="R63" s="16">
        <f>+R55+R61</f>
        <v>41637</v>
      </c>
      <c r="S63" s="104">
        <f>+(R63-T63)/ABS(T63)</f>
        <v>7.4170579433465764E-2</v>
      </c>
      <c r="T63" s="16">
        <f>+T55+T61</f>
        <v>38762</v>
      </c>
      <c r="U63" s="88">
        <f>+U55+U61</f>
        <v>138712</v>
      </c>
    </row>
    <row r="64" spans="1:21">
      <c r="B64" s="88"/>
      <c r="C64" s="104" t="s">
        <v>0</v>
      </c>
      <c r="D64" s="88"/>
      <c r="E64" s="105" t="s">
        <v>0</v>
      </c>
      <c r="F64" s="88"/>
      <c r="G64" s="89" t="s">
        <v>0</v>
      </c>
      <c r="H64" s="88"/>
      <c r="I64" s="105"/>
      <c r="J64" s="88"/>
      <c r="K64" s="89" t="s">
        <v>0</v>
      </c>
      <c r="L64" s="88"/>
      <c r="M64" s="105" t="s">
        <v>0</v>
      </c>
      <c r="N64" s="88"/>
      <c r="O64" s="89" t="s">
        <v>0</v>
      </c>
      <c r="P64" s="88"/>
      <c r="Q64" s="105"/>
      <c r="R64" s="88"/>
      <c r="S64" s="104"/>
      <c r="T64" s="88"/>
      <c r="U64" s="88"/>
    </row>
    <row r="65" spans="1:21">
      <c r="A65" t="s">
        <v>338</v>
      </c>
      <c r="B65" s="88">
        <v>2499</v>
      </c>
      <c r="C65" s="104">
        <f>+(B65-D65)/ABS(D65)</f>
        <v>0.25075075075075076</v>
      </c>
      <c r="D65" s="88">
        <f>650+682+666</f>
        <v>1998</v>
      </c>
      <c r="E65" s="105" t="s">
        <v>0</v>
      </c>
      <c r="F65" s="88">
        <v>0</v>
      </c>
      <c r="G65" s="89">
        <v>0</v>
      </c>
      <c r="H65" s="88">
        <f>666+666+666</f>
        <v>1998</v>
      </c>
      <c r="I65" s="105"/>
      <c r="J65" s="88">
        <v>0</v>
      </c>
      <c r="K65" s="89">
        <v>0</v>
      </c>
      <c r="L65" s="88">
        <f>1499+9595</f>
        <v>11094</v>
      </c>
      <c r="M65" s="105" t="s">
        <v>0</v>
      </c>
      <c r="N65" s="88">
        <v>0</v>
      </c>
      <c r="O65" s="89">
        <v>0</v>
      </c>
      <c r="P65" s="88">
        <f>333+1333+833</f>
        <v>2499</v>
      </c>
      <c r="Q65" s="105"/>
      <c r="R65" s="88">
        <f>+B65</f>
        <v>2499</v>
      </c>
      <c r="S65" s="104">
        <f>+(R65-T65)/ABS(T65)</f>
        <v>0.25075075075075076</v>
      </c>
      <c r="T65" s="88">
        <f>+D65</f>
        <v>1998</v>
      </c>
      <c r="U65" s="88">
        <f>+D65+H65+L65+P65</f>
        <v>17589</v>
      </c>
    </row>
    <row r="66" spans="1:21">
      <c r="B66" s="88"/>
      <c r="C66" s="104" t="s">
        <v>0</v>
      </c>
      <c r="D66" s="88"/>
      <c r="E66" s="105" t="s">
        <v>0</v>
      </c>
      <c r="F66" s="88"/>
      <c r="G66" s="89" t="s">
        <v>0</v>
      </c>
      <c r="H66" s="88"/>
      <c r="I66" s="105"/>
      <c r="J66" s="88"/>
      <c r="K66" s="89" t="s">
        <v>0</v>
      </c>
      <c r="L66" s="88"/>
      <c r="M66" s="105" t="s">
        <v>0</v>
      </c>
      <c r="N66" s="88"/>
      <c r="O66" s="89" t="s">
        <v>0</v>
      </c>
      <c r="P66" s="88"/>
      <c r="Q66" s="105"/>
      <c r="R66" s="88"/>
      <c r="S66" s="104"/>
      <c r="T66" s="88"/>
      <c r="U66" s="88"/>
    </row>
    <row r="67" spans="1:21">
      <c r="A67" t="s">
        <v>339</v>
      </c>
      <c r="B67" s="221"/>
      <c r="C67" s="104" t="s">
        <v>0</v>
      </c>
      <c r="D67" s="221"/>
      <c r="E67" s="105" t="s">
        <v>0</v>
      </c>
      <c r="F67" s="221"/>
      <c r="G67" s="89" t="s">
        <v>0</v>
      </c>
      <c r="H67" s="221"/>
      <c r="I67" s="105"/>
      <c r="J67" s="221"/>
      <c r="K67" s="89" t="s">
        <v>0</v>
      </c>
      <c r="L67" s="221"/>
      <c r="M67" s="105" t="s">
        <v>0</v>
      </c>
      <c r="N67" s="221"/>
      <c r="O67" s="89" t="s">
        <v>0</v>
      </c>
      <c r="P67" s="221"/>
      <c r="Q67" s="105"/>
      <c r="R67" s="221"/>
      <c r="S67" s="104"/>
      <c r="T67" s="221"/>
      <c r="U67" s="221"/>
    </row>
    <row r="68" spans="1:21">
      <c r="A68" t="s">
        <v>340</v>
      </c>
      <c r="B68" s="16">
        <f>+B63-B65</f>
        <v>39138</v>
      </c>
      <c r="C68" s="104">
        <f>+(B68-D68)/ABS(D68)</f>
        <v>6.457403982156458E-2</v>
      </c>
      <c r="D68" s="16">
        <f>+D63-D65</f>
        <v>36764</v>
      </c>
      <c r="E68" s="105" t="s">
        <v>0</v>
      </c>
      <c r="F68" s="16">
        <f>+F63-F65</f>
        <v>0</v>
      </c>
      <c r="G68" s="89">
        <v>0</v>
      </c>
      <c r="H68" s="16">
        <f>+H63-H65</f>
        <v>36402</v>
      </c>
      <c r="I68" s="105"/>
      <c r="J68" s="16">
        <f>+J63-J65</f>
        <v>0</v>
      </c>
      <c r="K68" s="89">
        <v>0</v>
      </c>
      <c r="L68" s="16">
        <f>+L63-L65</f>
        <v>29275</v>
      </c>
      <c r="M68" s="105" t="s">
        <v>0</v>
      </c>
      <c r="N68" s="16">
        <f>+N63-N65</f>
        <v>0</v>
      </c>
      <c r="O68" s="89">
        <v>0</v>
      </c>
      <c r="P68" s="16">
        <f>+P63-P65</f>
        <v>41819</v>
      </c>
      <c r="Q68" s="105"/>
      <c r="R68" s="16">
        <f>+R63-R65</f>
        <v>39138</v>
      </c>
      <c r="S68" s="104">
        <f>+(R68-T68)/ABS(T68)</f>
        <v>6.457403982156458E-2</v>
      </c>
      <c r="T68" s="16">
        <f>+T63-T65</f>
        <v>36764</v>
      </c>
      <c r="U68" s="88">
        <f>+U63-U65</f>
        <v>121123</v>
      </c>
    </row>
    <row r="69" spans="1:21">
      <c r="B69" s="88"/>
      <c r="C69" s="104" t="s">
        <v>0</v>
      </c>
      <c r="D69" s="88"/>
      <c r="E69" s="105" t="s">
        <v>0</v>
      </c>
      <c r="F69" s="88"/>
      <c r="G69" s="89" t="s">
        <v>0</v>
      </c>
      <c r="H69" s="88"/>
      <c r="I69" s="105"/>
      <c r="J69" s="88"/>
      <c r="K69" s="89" t="s">
        <v>0</v>
      </c>
      <c r="L69" s="88"/>
      <c r="M69" s="105" t="s">
        <v>0</v>
      </c>
      <c r="N69" s="88"/>
      <c r="O69" s="89" t="s">
        <v>0</v>
      </c>
      <c r="P69" s="88"/>
      <c r="Q69" s="105"/>
      <c r="R69" s="88"/>
      <c r="S69" s="104"/>
      <c r="T69" s="88"/>
      <c r="U69" s="88"/>
    </row>
    <row r="70" spans="1:21">
      <c r="A70" t="s">
        <v>341</v>
      </c>
      <c r="B70" s="88"/>
      <c r="C70" s="104" t="s">
        <v>0</v>
      </c>
      <c r="D70" s="88"/>
      <c r="E70" s="105" t="s">
        <v>0</v>
      </c>
      <c r="F70" s="88"/>
      <c r="G70" s="89" t="s">
        <v>0</v>
      </c>
      <c r="H70" s="88"/>
      <c r="I70" s="105"/>
      <c r="J70" s="88"/>
      <c r="K70" s="89" t="s">
        <v>0</v>
      </c>
      <c r="L70" s="88"/>
      <c r="M70" s="105" t="s">
        <v>0</v>
      </c>
      <c r="N70" s="88"/>
      <c r="O70" s="89" t="s">
        <v>0</v>
      </c>
      <c r="P70" s="88"/>
      <c r="Q70" s="105"/>
      <c r="R70" s="88"/>
      <c r="S70" s="104"/>
      <c r="T70" s="88"/>
      <c r="U70" s="88"/>
    </row>
    <row r="71" spans="1:21">
      <c r="A71" t="s">
        <v>342</v>
      </c>
      <c r="B71" s="88">
        <v>15771</v>
      </c>
      <c r="C71" s="104">
        <f>+(B71-D71)/ABS(D71)</f>
        <v>0.16848188486330296</v>
      </c>
      <c r="D71" s="88">
        <f>4678+4381+4438</f>
        <v>13497</v>
      </c>
      <c r="E71" s="105" t="s">
        <v>0</v>
      </c>
      <c r="F71" s="88">
        <v>0</v>
      </c>
      <c r="G71" s="89">
        <v>0</v>
      </c>
      <c r="H71" s="88">
        <f>4857+4519+4892</f>
        <v>14268</v>
      </c>
      <c r="I71" s="105"/>
      <c r="J71" s="88">
        <v>0</v>
      </c>
      <c r="K71" s="89">
        <v>0</v>
      </c>
      <c r="L71" s="88">
        <f>10426+4996</f>
        <v>15422</v>
      </c>
      <c r="M71" s="105" t="s">
        <v>0</v>
      </c>
      <c r="N71" s="88">
        <v>0</v>
      </c>
      <c r="O71" s="89">
        <v>0</v>
      </c>
      <c r="P71" s="88">
        <f>4627+4752+7731</f>
        <v>17110</v>
      </c>
      <c r="Q71" s="105"/>
      <c r="R71" s="88">
        <f>+B71</f>
        <v>15771</v>
      </c>
      <c r="S71" s="104">
        <f>+(R71-T71)/ABS(T71)</f>
        <v>0.16848188486330296</v>
      </c>
      <c r="T71" s="88">
        <f>+D71</f>
        <v>13497</v>
      </c>
      <c r="U71" s="88">
        <f>+D71+H71+L71+P71</f>
        <v>60297</v>
      </c>
    </row>
    <row r="72" spans="1:21">
      <c r="A72" t="s">
        <v>343</v>
      </c>
      <c r="B72" s="88">
        <v>2358</v>
      </c>
      <c r="C72" s="104">
        <f>+(B72-D72)/ABS(D72)</f>
        <v>0.11173974540311174</v>
      </c>
      <c r="D72" s="88">
        <f>595+768+758</f>
        <v>2121</v>
      </c>
      <c r="E72" s="105" t="s">
        <v>0</v>
      </c>
      <c r="F72" s="88">
        <v>0</v>
      </c>
      <c r="G72" s="89">
        <v>0</v>
      </c>
      <c r="H72" s="88">
        <f>701+623+866</f>
        <v>2190</v>
      </c>
      <c r="I72" s="105"/>
      <c r="J72" s="88">
        <v>0</v>
      </c>
      <c r="K72" s="89">
        <v>0</v>
      </c>
      <c r="L72" s="88">
        <f>1277+345</f>
        <v>1622</v>
      </c>
      <c r="M72" s="105" t="s">
        <v>0</v>
      </c>
      <c r="N72" s="88">
        <v>0</v>
      </c>
      <c r="O72" s="89">
        <v>0</v>
      </c>
      <c r="P72" s="88">
        <f>589+708+806</f>
        <v>2103</v>
      </c>
      <c r="Q72" s="105"/>
      <c r="R72" s="88">
        <f>+B72</f>
        <v>2358</v>
      </c>
      <c r="S72" s="104">
        <f>+(R72-T72)/ABS(T72)</f>
        <v>0.11173974540311174</v>
      </c>
      <c r="T72" s="88">
        <f>+D72</f>
        <v>2121</v>
      </c>
      <c r="U72" s="88">
        <f>+D72+H72+L72+P72</f>
        <v>8036</v>
      </c>
    </row>
    <row r="73" spans="1:21">
      <c r="A73" t="s">
        <v>344</v>
      </c>
      <c r="B73" s="88">
        <v>7225</v>
      </c>
      <c r="C73" s="104">
        <f>+(B73-D73)/ABS(D73)</f>
        <v>0.66436304998848195</v>
      </c>
      <c r="D73" s="88">
        <f>1237+1664+1440</f>
        <v>4341</v>
      </c>
      <c r="E73" s="105" t="s">
        <v>0</v>
      </c>
      <c r="F73" s="88">
        <v>0</v>
      </c>
      <c r="G73" s="89">
        <v>0</v>
      </c>
      <c r="H73" s="88">
        <f>1666+1730+1614</f>
        <v>5010</v>
      </c>
      <c r="I73" s="105"/>
      <c r="J73" s="88">
        <v>0</v>
      </c>
      <c r="K73" s="89">
        <v>0</v>
      </c>
      <c r="L73" s="88">
        <f>3798+1796</f>
        <v>5594</v>
      </c>
      <c r="M73" s="105" t="s">
        <v>0</v>
      </c>
      <c r="N73" s="88">
        <v>0</v>
      </c>
      <c r="O73" s="89">
        <v>0</v>
      </c>
      <c r="P73" s="88">
        <f>1974+1971+3470</f>
        <v>7415</v>
      </c>
      <c r="Q73" s="105"/>
      <c r="R73" s="88">
        <f>+B73</f>
        <v>7225</v>
      </c>
      <c r="S73" s="104">
        <f>+(R73-T73)/ABS(T73)</f>
        <v>0.66436304998848195</v>
      </c>
      <c r="T73" s="88">
        <f>+D73</f>
        <v>4341</v>
      </c>
      <c r="U73" s="88">
        <f>+D73+H73+L73+P73</f>
        <v>22360</v>
      </c>
    </row>
    <row r="74" spans="1:21">
      <c r="A74" t="s">
        <v>345</v>
      </c>
      <c r="B74" s="221">
        <v>15811</v>
      </c>
      <c r="C74" s="104">
        <f>+(B74-D74)/ABS(D74)</f>
        <v>0.26417206364435913</v>
      </c>
      <c r="D74" s="221">
        <f>3977+3629+4901</f>
        <v>12507</v>
      </c>
      <c r="E74" s="105" t="s">
        <v>0</v>
      </c>
      <c r="F74" s="221">
        <v>0</v>
      </c>
      <c r="G74" s="89">
        <v>0</v>
      </c>
      <c r="H74" s="221">
        <f>3925+3897+5042</f>
        <v>12864</v>
      </c>
      <c r="I74" s="105"/>
      <c r="J74" s="221">
        <v>0</v>
      </c>
      <c r="K74" s="89">
        <v>0</v>
      </c>
      <c r="L74" s="221">
        <f>13863+3773</f>
        <v>17636</v>
      </c>
      <c r="M74" s="105" t="s">
        <v>0</v>
      </c>
      <c r="N74" s="221">
        <v>0</v>
      </c>
      <c r="O74" s="89">
        <v>0</v>
      </c>
      <c r="P74" s="221">
        <f>5572+4779+6333</f>
        <v>16684</v>
      </c>
      <c r="Q74" s="105"/>
      <c r="R74" s="221">
        <f>+B74</f>
        <v>15811</v>
      </c>
      <c r="S74" s="104">
        <f>+(R74-T74)/ABS(T74)</f>
        <v>0.26417206364435913</v>
      </c>
      <c r="T74" s="221">
        <f>+D74</f>
        <v>12507</v>
      </c>
      <c r="U74" s="221">
        <f>+D74+H74+L74+P74</f>
        <v>59691</v>
      </c>
    </row>
    <row r="75" spans="1:21">
      <c r="B75" s="16">
        <f>SUM(B71:B74)</f>
        <v>41165</v>
      </c>
      <c r="C75" s="104">
        <f>+(B75-D75)/ABS(D75)</f>
        <v>0.26794184685517158</v>
      </c>
      <c r="D75" s="16">
        <f>SUM(D71:D74)</f>
        <v>32466</v>
      </c>
      <c r="E75" s="105" t="s">
        <v>0</v>
      </c>
      <c r="F75" s="16">
        <f>SUM(F71:F74)</f>
        <v>0</v>
      </c>
      <c r="G75" s="89">
        <v>0</v>
      </c>
      <c r="H75" s="16">
        <f>SUM(H71:H74)</f>
        <v>34332</v>
      </c>
      <c r="I75" s="105"/>
      <c r="J75" s="16">
        <f>SUM(J71:J74)</f>
        <v>0</v>
      </c>
      <c r="K75" s="89">
        <v>0</v>
      </c>
      <c r="L75" s="16">
        <f>SUM(L71:L74)</f>
        <v>40274</v>
      </c>
      <c r="M75" s="105" t="s">
        <v>0</v>
      </c>
      <c r="N75" s="16">
        <f>SUM(N71:N74)</f>
        <v>0</v>
      </c>
      <c r="O75" s="89">
        <v>0</v>
      </c>
      <c r="P75" s="16">
        <f>SUM(P71:P74)</f>
        <v>43312</v>
      </c>
      <c r="Q75" s="105"/>
      <c r="R75" s="16">
        <f>SUM(R71:R74)</f>
        <v>41165</v>
      </c>
      <c r="S75" s="104">
        <f>+(R75-T75)/ABS(T75)</f>
        <v>0.26794184685517158</v>
      </c>
      <c r="T75" s="16">
        <f>SUM(T71:T74)</f>
        <v>32466</v>
      </c>
      <c r="U75" s="88">
        <f>SUM(U71:U74)</f>
        <v>150384</v>
      </c>
    </row>
    <row r="76" spans="1:21">
      <c r="B76" s="221"/>
      <c r="C76" s="104"/>
      <c r="D76" s="221"/>
      <c r="E76" s="105"/>
      <c r="F76" s="221"/>
      <c r="G76" s="89" t="s">
        <v>0</v>
      </c>
      <c r="H76" s="221"/>
      <c r="I76" s="105"/>
      <c r="J76" s="221"/>
      <c r="K76" s="89" t="s">
        <v>0</v>
      </c>
      <c r="L76" s="221"/>
      <c r="M76" s="105"/>
      <c r="N76" s="221"/>
      <c r="O76" s="89" t="s">
        <v>0</v>
      </c>
      <c r="P76" s="221"/>
      <c r="Q76" s="105"/>
      <c r="R76" s="221"/>
      <c r="S76" s="104"/>
      <c r="T76" s="221"/>
      <c r="U76" s="221"/>
    </row>
    <row r="77" spans="1:21">
      <c r="A77" t="s">
        <v>346</v>
      </c>
      <c r="B77" s="16">
        <f>+B68-B75</f>
        <v>-2027</v>
      </c>
      <c r="C77" s="104">
        <f>+(B77-D77)/ABS(D77)</f>
        <v>-1.4716147045137273</v>
      </c>
      <c r="D77" s="16">
        <f>+D68-D75</f>
        <v>4298</v>
      </c>
      <c r="E77" s="105" t="s">
        <v>0</v>
      </c>
      <c r="F77" s="16">
        <f>+F68-F75</f>
        <v>0</v>
      </c>
      <c r="G77" s="89">
        <v>0</v>
      </c>
      <c r="H77" s="16">
        <f>+H68-H75</f>
        <v>2070</v>
      </c>
      <c r="I77" s="105"/>
      <c r="J77" s="16">
        <f>+J68-J75</f>
        <v>0</v>
      </c>
      <c r="K77" s="89">
        <v>0</v>
      </c>
      <c r="L77" s="16">
        <f>+L68-L75</f>
        <v>-10999</v>
      </c>
      <c r="M77" s="105" t="s">
        <v>0</v>
      </c>
      <c r="N77" s="16">
        <f>+N68-N75</f>
        <v>0</v>
      </c>
      <c r="O77" s="89">
        <v>0</v>
      </c>
      <c r="P77" s="16">
        <f>+P68-P75</f>
        <v>-1493</v>
      </c>
      <c r="Q77" s="105"/>
      <c r="R77" s="16">
        <f>+R68-R75</f>
        <v>-2027</v>
      </c>
      <c r="S77" s="104">
        <f>+(R77-T77)/ABS(T77)</f>
        <v>-1.4716147045137273</v>
      </c>
      <c r="T77" s="16">
        <f>+T68-T75</f>
        <v>4298</v>
      </c>
      <c r="U77" s="88">
        <f>+U68-U75</f>
        <v>-29261</v>
      </c>
    </row>
    <row r="78" spans="1:21">
      <c r="B78" s="88"/>
      <c r="C78" s="104" t="s">
        <v>0</v>
      </c>
      <c r="D78" s="88"/>
      <c r="E78" s="105" t="s">
        <v>0</v>
      </c>
      <c r="F78" s="88"/>
      <c r="G78" s="89" t="s">
        <v>0</v>
      </c>
      <c r="H78" s="88"/>
      <c r="I78" s="105"/>
      <c r="J78" s="88"/>
      <c r="K78" s="89" t="s">
        <v>0</v>
      </c>
      <c r="L78" s="88"/>
      <c r="M78" s="105" t="s">
        <v>0</v>
      </c>
      <c r="N78" s="88"/>
      <c r="O78" s="89" t="s">
        <v>0</v>
      </c>
      <c r="P78" s="88"/>
      <c r="Q78" s="105"/>
      <c r="R78" s="88"/>
      <c r="S78" s="104"/>
      <c r="T78" s="88"/>
      <c r="U78" s="88"/>
    </row>
    <row r="79" spans="1:21">
      <c r="A79" t="s">
        <v>347</v>
      </c>
      <c r="B79" s="88">
        <v>-710</v>
      </c>
      <c r="C79" s="104">
        <f>+(B79-D79)/ABS(D79)</f>
        <v>-1.4720744680851063</v>
      </c>
      <c r="D79" s="88">
        <f>731+469+304</f>
        <v>1504</v>
      </c>
      <c r="E79" s="105" t="s">
        <v>0</v>
      </c>
      <c r="F79" s="88">
        <v>0</v>
      </c>
      <c r="G79" s="89">
        <v>0</v>
      </c>
      <c r="H79" s="88">
        <f>226+341+157</f>
        <v>724</v>
      </c>
      <c r="I79" s="105"/>
      <c r="J79" s="88">
        <v>0</v>
      </c>
      <c r="K79" s="89">
        <v>0</v>
      </c>
      <c r="L79" s="88">
        <f>-1563-2287</f>
        <v>-3850</v>
      </c>
      <c r="M79" s="105" t="s">
        <v>0</v>
      </c>
      <c r="N79" s="88">
        <v>0</v>
      </c>
      <c r="O79" s="89">
        <v>0</v>
      </c>
      <c r="P79" s="88">
        <f>9+202-734</f>
        <v>-523</v>
      </c>
      <c r="Q79" s="105"/>
      <c r="R79" s="88">
        <f>+B79</f>
        <v>-710</v>
      </c>
      <c r="S79" s="104">
        <f>+(R79-T79)/ABS(T79)</f>
        <v>-1.4720744680851063</v>
      </c>
      <c r="T79" s="88">
        <f>+D79</f>
        <v>1504</v>
      </c>
      <c r="U79" s="88">
        <f>+D79+H79+L79+P79</f>
        <v>-2145</v>
      </c>
    </row>
    <row r="80" spans="1:21" ht="16.5" thickBot="1">
      <c r="B80" s="99"/>
      <c r="C80" s="104" t="s">
        <v>0</v>
      </c>
      <c r="D80" s="99"/>
      <c r="E80" s="105" t="s">
        <v>0</v>
      </c>
      <c r="F80" s="99"/>
      <c r="G80" s="89" t="s">
        <v>0</v>
      </c>
      <c r="H80" s="99"/>
      <c r="I80" s="105"/>
      <c r="J80" s="99"/>
      <c r="K80" s="89" t="s">
        <v>0</v>
      </c>
      <c r="L80" s="99"/>
      <c r="M80" s="105" t="s">
        <v>0</v>
      </c>
      <c r="N80" s="99"/>
      <c r="O80" s="89" t="s">
        <v>0</v>
      </c>
      <c r="P80" s="99"/>
      <c r="Q80" s="105"/>
      <c r="R80" s="99"/>
      <c r="S80" s="104"/>
      <c r="T80" s="99" t="s">
        <v>0</v>
      </c>
      <c r="U80" s="99"/>
    </row>
    <row r="81" spans="1:21">
      <c r="A81" s="2" t="s">
        <v>427</v>
      </c>
      <c r="B81" s="4">
        <f>+B77-B79</f>
        <v>-1317</v>
      </c>
      <c r="C81" s="112">
        <f>+(B81-D81)/ABS(D81)</f>
        <v>-1.4713672154617037</v>
      </c>
      <c r="D81" s="4">
        <f>+D77-D79</f>
        <v>2794</v>
      </c>
      <c r="E81" s="105" t="s">
        <v>0</v>
      </c>
      <c r="F81" s="4">
        <f>+F77-F79</f>
        <v>0</v>
      </c>
      <c r="G81" s="42">
        <v>0</v>
      </c>
      <c r="H81" s="4">
        <f>+H77-H79</f>
        <v>1346</v>
      </c>
      <c r="I81" s="105"/>
      <c r="J81" s="4">
        <f>+J77-J79</f>
        <v>0</v>
      </c>
      <c r="K81" s="42">
        <v>0</v>
      </c>
      <c r="L81" s="4">
        <f>+L77-L79</f>
        <v>-7149</v>
      </c>
      <c r="M81" s="105" t="s">
        <v>0</v>
      </c>
      <c r="N81" s="4">
        <f>+N77-N79</f>
        <v>0</v>
      </c>
      <c r="O81" s="42">
        <v>0</v>
      </c>
      <c r="P81" s="4">
        <f>+P77-P79</f>
        <v>-970</v>
      </c>
      <c r="Q81" s="105"/>
      <c r="R81" s="4">
        <f>+R77-R79</f>
        <v>-1317</v>
      </c>
      <c r="S81" s="112">
        <f>+(R81-T81)/ABS(T81)</f>
        <v>-1.4713672154617037</v>
      </c>
      <c r="T81" s="4">
        <f>+T77-T79</f>
        <v>2794</v>
      </c>
      <c r="U81" s="4">
        <f>+U77-U79</f>
        <v>-27116</v>
      </c>
    </row>
    <row r="82" spans="1:21">
      <c r="B82" s="52"/>
      <c r="D82" s="3"/>
      <c r="H82" s="3"/>
      <c r="L82" s="3"/>
    </row>
    <row r="83" spans="1:21">
      <c r="B83" s="52"/>
      <c r="D83" s="3"/>
      <c r="F83" s="21" t="s">
        <v>0</v>
      </c>
      <c r="H83" s="3"/>
      <c r="N83" s="21" t="s">
        <v>0</v>
      </c>
    </row>
    <row r="84" spans="1:21">
      <c r="B84" s="567" t="s">
        <v>261</v>
      </c>
      <c r="D84" s="5" t="s">
        <v>261</v>
      </c>
      <c r="E84" s="21" t="s">
        <v>0</v>
      </c>
      <c r="F84" s="566" t="s">
        <v>261</v>
      </c>
      <c r="H84" s="5" t="s">
        <v>261</v>
      </c>
      <c r="M84" s="21" t="s">
        <v>0</v>
      </c>
    </row>
    <row r="85" spans="1:21">
      <c r="B85" s="55" t="s">
        <v>353</v>
      </c>
      <c r="D85" s="79" t="s">
        <v>533</v>
      </c>
      <c r="F85" s="26" t="s">
        <v>534</v>
      </c>
      <c r="H85" s="79" t="s">
        <v>535</v>
      </c>
      <c r="M85" s="21" t="s">
        <v>0</v>
      </c>
    </row>
    <row r="86" spans="1:21">
      <c r="A86" t="s">
        <v>536</v>
      </c>
      <c r="B86" s="52" t="s">
        <v>0</v>
      </c>
      <c r="D86" s="3" t="s">
        <v>0</v>
      </c>
      <c r="F86" s="21" t="s">
        <v>0</v>
      </c>
      <c r="H86" s="3" t="s">
        <v>0</v>
      </c>
      <c r="M86" s="21" t="s">
        <v>0</v>
      </c>
    </row>
    <row r="87" spans="1:21">
      <c r="A87" t="s">
        <v>329</v>
      </c>
      <c r="B87" s="52" t="s">
        <v>0</v>
      </c>
      <c r="D87" s="3"/>
      <c r="H87" s="3"/>
    </row>
    <row r="88" spans="1:21">
      <c r="A88" t="s">
        <v>552</v>
      </c>
      <c r="B88" s="3">
        <f>+(10817958+10025463+8952542)/1000</f>
        <v>29795.963</v>
      </c>
      <c r="D88" s="52">
        <v>0</v>
      </c>
      <c r="F88" s="52">
        <v>0</v>
      </c>
      <c r="H88" s="52">
        <v>0</v>
      </c>
    </row>
    <row r="89" spans="1:21" ht="18">
      <c r="A89" t="s">
        <v>537</v>
      </c>
      <c r="B89" s="6">
        <f>+(2982312+2295268+2637138)/1000</f>
        <v>7914.7179999999998</v>
      </c>
      <c r="D89" s="148">
        <v>0</v>
      </c>
      <c r="F89" s="148">
        <v>0</v>
      </c>
      <c r="H89" s="148">
        <v>0</v>
      </c>
    </row>
    <row r="90" spans="1:21">
      <c r="B90" s="3">
        <f>SUM(B88:B89)</f>
        <v>37710.680999999997</v>
      </c>
      <c r="D90" s="52">
        <f>SUM(D88:D89)</f>
        <v>0</v>
      </c>
      <c r="F90" s="52">
        <f>SUM(F88:F89)</f>
        <v>0</v>
      </c>
      <c r="H90" s="52">
        <f>SUM(H88:H89)</f>
        <v>0</v>
      </c>
    </row>
    <row r="91" spans="1:21">
      <c r="A91" t="s">
        <v>333</v>
      </c>
      <c r="B91" s="3">
        <f>+(5767216+5355644+5023761)/1000</f>
        <v>16146.620999999999</v>
      </c>
      <c r="D91" s="52">
        <v>0</v>
      </c>
      <c r="F91" s="52">
        <v>0</v>
      </c>
      <c r="H91" s="52">
        <v>0</v>
      </c>
    </row>
    <row r="92" spans="1:21">
      <c r="B92" s="3">
        <f>+B90-B91</f>
        <v>21564.059999999998</v>
      </c>
      <c r="D92" s="52">
        <f>+D90-D91</f>
        <v>0</v>
      </c>
      <c r="F92" s="52">
        <f>+F90-F91</f>
        <v>0</v>
      </c>
      <c r="H92" s="52">
        <f>+H90-H91</f>
        <v>0</v>
      </c>
    </row>
    <row r="93" spans="1:21">
      <c r="B93" s="3"/>
      <c r="D93" s="52"/>
      <c r="F93" s="52"/>
      <c r="H93" s="52"/>
    </row>
    <row r="94" spans="1:21">
      <c r="A94" t="s">
        <v>334</v>
      </c>
      <c r="B94" s="3"/>
      <c r="D94" s="52"/>
      <c r="F94" s="52"/>
      <c r="H94" s="52"/>
    </row>
    <row r="95" spans="1:21">
      <c r="A95" t="s">
        <v>335</v>
      </c>
      <c r="B95" s="3">
        <f>+(3754465+1665537+1599271)/1000</f>
        <v>7019.2730000000001</v>
      </c>
      <c r="D95" s="52">
        <v>0</v>
      </c>
      <c r="F95" s="52">
        <v>0</v>
      </c>
      <c r="H95" s="52">
        <v>0</v>
      </c>
    </row>
    <row r="96" spans="1:21">
      <c r="A96" t="s">
        <v>336</v>
      </c>
      <c r="B96" s="3">
        <v>0</v>
      </c>
      <c r="D96" s="52">
        <v>0</v>
      </c>
      <c r="F96" s="52">
        <v>0</v>
      </c>
      <c r="H96" s="52">
        <v>0</v>
      </c>
    </row>
    <row r="97" spans="1:8">
      <c r="A97" t="s">
        <v>284</v>
      </c>
      <c r="B97" s="3">
        <f>+(430251+127526+1458226)/1000</f>
        <v>2016.0029999999999</v>
      </c>
      <c r="D97" s="52">
        <v>0</v>
      </c>
      <c r="F97" s="52">
        <v>0</v>
      </c>
      <c r="H97" s="52">
        <v>0</v>
      </c>
    </row>
    <row r="98" spans="1:8">
      <c r="B98" s="3">
        <f>SUM(B95:B97)</f>
        <v>9035.2759999999998</v>
      </c>
      <c r="D98" s="52">
        <f>SUM(D95:D97)</f>
        <v>0</v>
      </c>
      <c r="F98" s="52">
        <f>SUM(F95:F97)</f>
        <v>0</v>
      </c>
      <c r="H98" s="52">
        <f>SUM(H95:H97)</f>
        <v>0</v>
      </c>
    </row>
    <row r="99" spans="1:8">
      <c r="B99" s="3"/>
      <c r="D99" s="52"/>
      <c r="F99" s="52"/>
      <c r="H99" s="52"/>
    </row>
    <row r="100" spans="1:8">
      <c r="A100" t="s">
        <v>337</v>
      </c>
      <c r="B100" s="3">
        <f>+B92+B98</f>
        <v>30599.335999999996</v>
      </c>
      <c r="D100" s="52">
        <f>+D92+D98</f>
        <v>0</v>
      </c>
      <c r="F100" s="52">
        <f>+F92+F98</f>
        <v>0</v>
      </c>
      <c r="H100" s="52">
        <f>+H92+H98</f>
        <v>0</v>
      </c>
    </row>
    <row r="101" spans="1:8">
      <c r="B101" s="3"/>
      <c r="D101" s="52"/>
      <c r="F101" s="52"/>
      <c r="H101" s="52"/>
    </row>
    <row r="102" spans="1:8">
      <c r="A102" t="s">
        <v>538</v>
      </c>
      <c r="B102" s="3">
        <f>+(375000+375000+375000)/1000</f>
        <v>1125</v>
      </c>
      <c r="D102" s="52">
        <v>0</v>
      </c>
      <c r="F102" s="52">
        <v>0</v>
      </c>
      <c r="H102" s="52">
        <v>0</v>
      </c>
    </row>
    <row r="103" spans="1:8">
      <c r="B103" s="3"/>
      <c r="D103" s="52"/>
      <c r="F103" s="52"/>
      <c r="H103" s="52"/>
    </row>
    <row r="104" spans="1:8">
      <c r="A104" t="s">
        <v>339</v>
      </c>
      <c r="B104" s="3"/>
      <c r="D104" s="52"/>
      <c r="F104" s="52"/>
      <c r="H104" s="52"/>
    </row>
    <row r="105" spans="1:8">
      <c r="A105" t="s">
        <v>340</v>
      </c>
      <c r="B105" s="3">
        <f>+B100-B102</f>
        <v>29474.335999999996</v>
      </c>
      <c r="D105" s="52">
        <f>+D100-D102</f>
        <v>0</v>
      </c>
      <c r="F105" s="52">
        <f>+F100-F102</f>
        <v>0</v>
      </c>
      <c r="H105" s="52">
        <f>+H100-H102</f>
        <v>0</v>
      </c>
    </row>
    <row r="106" spans="1:8">
      <c r="B106" s="3"/>
      <c r="D106" s="52"/>
      <c r="F106" s="52"/>
      <c r="H106" s="52"/>
    </row>
    <row r="107" spans="1:8">
      <c r="A107" t="s">
        <v>341</v>
      </c>
      <c r="B107" s="3"/>
      <c r="D107" s="52"/>
      <c r="F107" s="52"/>
      <c r="H107" s="52"/>
    </row>
    <row r="108" spans="1:8">
      <c r="A108" t="s">
        <v>342</v>
      </c>
      <c r="B108" s="3">
        <f>+(5190040+4546265+4310655)/1000</f>
        <v>14046.96</v>
      </c>
      <c r="D108" s="52">
        <v>0</v>
      </c>
      <c r="F108" s="52">
        <v>0</v>
      </c>
      <c r="H108" s="52">
        <v>0</v>
      </c>
    </row>
    <row r="109" spans="1:8">
      <c r="A109" t="s">
        <v>343</v>
      </c>
      <c r="B109" s="3">
        <f>+(1012346+842846+676759)/1000</f>
        <v>2531.951</v>
      </c>
      <c r="D109" s="52">
        <v>0</v>
      </c>
      <c r="F109" s="52">
        <v>0</v>
      </c>
      <c r="H109" s="52">
        <v>0</v>
      </c>
    </row>
    <row r="110" spans="1:8">
      <c r="A110" t="s">
        <v>344</v>
      </c>
      <c r="B110" s="3">
        <f>+(1347819+647044+1123585)/1000</f>
        <v>3118.4479999999999</v>
      </c>
      <c r="D110" s="52">
        <v>0</v>
      </c>
      <c r="F110" s="52">
        <v>0</v>
      </c>
      <c r="H110" s="52">
        <v>0</v>
      </c>
    </row>
    <row r="111" spans="1:8">
      <c r="A111" t="s">
        <v>345</v>
      </c>
      <c r="B111" s="3">
        <f>+(3282491+2244656+1450655)/1000</f>
        <v>6977.8019999999997</v>
      </c>
      <c r="D111" s="52">
        <v>0</v>
      </c>
      <c r="F111" s="52">
        <v>0</v>
      </c>
      <c r="H111" s="52">
        <v>0</v>
      </c>
    </row>
    <row r="112" spans="1:8">
      <c r="B112" s="3">
        <f>SUM(B108:B111)</f>
        <v>26675.161</v>
      </c>
      <c r="D112" s="52">
        <f>SUM(D108:D111)</f>
        <v>0</v>
      </c>
      <c r="F112" s="52">
        <f>SUM(F108:F111)</f>
        <v>0</v>
      </c>
      <c r="H112" s="52">
        <f>SUM(H108:H111)</f>
        <v>0</v>
      </c>
    </row>
    <row r="113" spans="1:8">
      <c r="B113" s="3"/>
      <c r="D113" s="52"/>
      <c r="F113" s="52"/>
      <c r="H113" s="52"/>
    </row>
    <row r="114" spans="1:8">
      <c r="A114" t="s">
        <v>346</v>
      </c>
      <c r="B114" s="3">
        <f>+B105-B112</f>
        <v>2799.1749999999956</v>
      </c>
      <c r="D114" s="52">
        <f>+D105-D112</f>
        <v>0</v>
      </c>
      <c r="F114" s="52">
        <f>+F105-F112</f>
        <v>0</v>
      </c>
      <c r="H114" s="52">
        <f>+H105-H112</f>
        <v>0</v>
      </c>
    </row>
    <row r="115" spans="1:8">
      <c r="B115" s="3"/>
      <c r="D115" s="52"/>
      <c r="F115" s="52"/>
      <c r="H115" s="52"/>
    </row>
    <row r="116" spans="1:8">
      <c r="A116" t="s">
        <v>347</v>
      </c>
      <c r="B116" s="3">
        <f>+(353526+35818+590366)/1000</f>
        <v>979.71</v>
      </c>
      <c r="D116" s="52">
        <v>0</v>
      </c>
      <c r="F116" s="52">
        <v>0</v>
      </c>
      <c r="H116" s="52">
        <v>0</v>
      </c>
    </row>
    <row r="117" spans="1:8">
      <c r="B117" s="3"/>
      <c r="D117" s="52"/>
      <c r="F117" s="52"/>
      <c r="H117" s="52"/>
    </row>
    <row r="118" spans="1:8">
      <c r="A118" t="s">
        <v>539</v>
      </c>
      <c r="B118" s="3">
        <f>+B114-B116</f>
        <v>1819.4649999999956</v>
      </c>
      <c r="D118" s="52">
        <f>+D114-D116</f>
        <v>0</v>
      </c>
      <c r="F118" s="52">
        <f>+F114-F116</f>
        <v>0</v>
      </c>
      <c r="H118" s="52">
        <f>+H114-H116</f>
        <v>0</v>
      </c>
    </row>
    <row r="119" spans="1:8">
      <c r="B119" s="52"/>
      <c r="D119" s="3"/>
      <c r="H119" s="3"/>
    </row>
    <row r="120" spans="1:8">
      <c r="B120" s="52" t="s">
        <v>0</v>
      </c>
      <c r="H120" s="3"/>
    </row>
    <row r="121" spans="1:8">
      <c r="B121" s="52"/>
      <c r="H121" s="3"/>
    </row>
    <row r="122" spans="1:8">
      <c r="B122" s="52"/>
      <c r="H122" s="3"/>
    </row>
    <row r="123" spans="1:8">
      <c r="B123" s="52"/>
      <c r="H123" s="3"/>
    </row>
    <row r="124" spans="1:8">
      <c r="B124" s="52"/>
      <c r="H124" s="3"/>
    </row>
    <row r="125" spans="1:8">
      <c r="B125" s="52"/>
      <c r="H125" s="3"/>
    </row>
    <row r="126" spans="1:8">
      <c r="B126" s="52"/>
      <c r="H126" s="3"/>
    </row>
    <row r="127" spans="1:8">
      <c r="B127" s="52"/>
      <c r="H127" s="3"/>
    </row>
  </sheetData>
  <pageMargins left="0.22" right="0.2" top="0.55000000000000004" bottom="0.48" header="0.31" footer="0.27"/>
  <pageSetup scale="43" orientation="landscape" r:id="rId1"/>
  <headerFooter alignWithMargins="0">
    <oddFooter>&amp;R&amp;16&amp;P</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
  <sheetViews>
    <sheetView workbookViewId="0"/>
  </sheetViews>
  <sheetFormatPr defaultRowHeight="15.75"/>
  <cols>
    <col min="1" max="1" width="50" customWidth="1"/>
    <col min="2" max="2" width="15.75" customWidth="1"/>
    <col min="3" max="3" width="11" customWidth="1"/>
    <col min="4" max="4" width="15.875" customWidth="1"/>
    <col min="5" max="5" width="6.125" customWidth="1"/>
    <col min="6" max="6" width="16" customWidth="1"/>
    <col min="7" max="7" width="9.875"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603</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7" spans="1:14" ht="16.5" thickBot="1">
      <c r="B7" s="114" t="s">
        <v>556</v>
      </c>
      <c r="C7" s="34"/>
      <c r="D7" s="34"/>
      <c r="F7" s="114" t="s">
        <v>206</v>
      </c>
      <c r="G7" s="114"/>
      <c r="H7" s="114"/>
      <c r="I7" s="114"/>
      <c r="J7" s="114"/>
      <c r="K7" s="114"/>
      <c r="L7" s="114"/>
    </row>
    <row r="8" spans="1:14" ht="16.5" thickBot="1">
      <c r="B8" s="226">
        <v>2000</v>
      </c>
      <c r="C8" s="226" t="s">
        <v>169</v>
      </c>
      <c r="D8" s="226">
        <v>1999</v>
      </c>
      <c r="E8" s="2"/>
      <c r="F8" s="226">
        <v>1999</v>
      </c>
      <c r="G8" s="226" t="s">
        <v>169</v>
      </c>
      <c r="H8" s="226">
        <v>1998</v>
      </c>
      <c r="I8" s="226" t="s">
        <v>169</v>
      </c>
      <c r="J8" s="226">
        <v>1997</v>
      </c>
      <c r="K8" s="226" t="s">
        <v>169</v>
      </c>
      <c r="L8" s="226">
        <v>1996</v>
      </c>
    </row>
    <row r="9" spans="1:14">
      <c r="A9" t="s">
        <v>328</v>
      </c>
    </row>
    <row r="10" spans="1:14">
      <c r="A10" t="s">
        <v>329</v>
      </c>
      <c r="B10" s="88" t="str">
        <f>+buhrésult!R49</f>
        <v xml:space="preserve"> </v>
      </c>
      <c r="C10" s="104" t="s">
        <v>0</v>
      </c>
      <c r="D10" s="108" t="str">
        <f>+buhrésult!T49</f>
        <v xml:space="preserve"> </v>
      </c>
      <c r="E10" s="88" t="s">
        <v>0</v>
      </c>
      <c r="F10" s="108" t="str">
        <f>+buhrésult!T49</f>
        <v xml:space="preserve"> </v>
      </c>
      <c r="G10" s="104" t="s">
        <v>0</v>
      </c>
      <c r="L10" s="88" t="s">
        <v>0</v>
      </c>
      <c r="M10" s="60"/>
      <c r="N10" s="60"/>
    </row>
    <row r="11" spans="1:14">
      <c r="A11" t="s">
        <v>330</v>
      </c>
      <c r="B11" s="88">
        <f>+buhrésult!R50</f>
        <v>38051</v>
      </c>
      <c r="C11" s="104">
        <f t="shared" ref="C11:C16" si="0">+(B11-D11)/ABS(D11)</f>
        <v>5.9532759724890708E-2</v>
      </c>
      <c r="D11" s="336">
        <f>+buhrésult!T50</f>
        <v>35913</v>
      </c>
      <c r="E11" s="88"/>
      <c r="F11" s="336">
        <f>+buhrésult!U50</f>
        <v>152712</v>
      </c>
      <c r="G11" s="104">
        <f t="shared" ref="G11:G16" si="1">+(F11-H11)/ABS(H11)</f>
        <v>0.16144930181619058</v>
      </c>
      <c r="H11" s="88">
        <v>131484</v>
      </c>
      <c r="I11" s="104">
        <f>+(H11-J11)/ABS(J11)</f>
        <v>0.39607035351953407</v>
      </c>
      <c r="J11" s="88">
        <v>94181.5</v>
      </c>
      <c r="K11" s="104">
        <f>+(J11-L11)/ABS(L11)</f>
        <v>8.6583822411328573E-2</v>
      </c>
      <c r="L11" s="88">
        <v>86676.7</v>
      </c>
      <c r="M11" s="60"/>
      <c r="N11" s="60"/>
    </row>
    <row r="12" spans="1:14">
      <c r="A12" t="s">
        <v>354</v>
      </c>
      <c r="B12" s="88">
        <f>+buhrésult!R51</f>
        <v>5389</v>
      </c>
      <c r="C12" s="104">
        <f t="shared" si="0"/>
        <v>-0.49930316826163706</v>
      </c>
      <c r="D12" s="336">
        <f>+buhrésult!T51</f>
        <v>10763</v>
      </c>
      <c r="E12" s="88"/>
      <c r="F12" s="336">
        <f>+buhrésult!U51</f>
        <v>23137</v>
      </c>
      <c r="G12" s="89">
        <v>0</v>
      </c>
      <c r="H12" s="88">
        <v>35969</v>
      </c>
      <c r="I12" s="89">
        <v>0</v>
      </c>
      <c r="J12" s="88">
        <v>0</v>
      </c>
      <c r="K12" s="89">
        <v>0</v>
      </c>
      <c r="L12" s="88">
        <v>0</v>
      </c>
      <c r="M12" s="60"/>
      <c r="N12" s="60"/>
    </row>
    <row r="13" spans="1:14">
      <c r="A13" t="s">
        <v>332</v>
      </c>
      <c r="B13" s="221">
        <f>+buhrésult!R52</f>
        <v>1853</v>
      </c>
      <c r="C13" s="104">
        <f t="shared" si="0"/>
        <v>-0.11041766682669227</v>
      </c>
      <c r="D13" s="337">
        <f>+buhrésult!T52</f>
        <v>2083</v>
      </c>
      <c r="E13" s="88"/>
      <c r="F13" s="337">
        <f>+buhrésult!U52</f>
        <v>6243</v>
      </c>
      <c r="G13" s="104">
        <f t="shared" si="1"/>
        <v>-0.58248622331603439</v>
      </c>
      <c r="H13" s="221">
        <v>14952.8</v>
      </c>
      <c r="I13" s="104">
        <f>+(H13-J13)/ABS(J13)</f>
        <v>-0.5994621207656744</v>
      </c>
      <c r="J13" s="221">
        <v>37331.800000000003</v>
      </c>
      <c r="K13" s="89">
        <v>0</v>
      </c>
      <c r="L13" s="221">
        <v>12340.1</v>
      </c>
      <c r="M13" s="60"/>
      <c r="N13" s="60"/>
    </row>
    <row r="14" spans="1:14">
      <c r="B14" s="88">
        <f>SUM(B11:B13)</f>
        <v>45293</v>
      </c>
      <c r="C14" s="104">
        <f t="shared" si="0"/>
        <v>-7.1084312639717789E-2</v>
      </c>
      <c r="D14" s="336">
        <f>SUM(D11:D13)</f>
        <v>48759</v>
      </c>
      <c r="E14" s="88"/>
      <c r="F14" s="336">
        <f>SUM(F11:F13)</f>
        <v>182092</v>
      </c>
      <c r="G14" s="104">
        <f t="shared" si="1"/>
        <v>-1.7203400330471311E-3</v>
      </c>
      <c r="H14" s="336">
        <f>SUM(H11:H13)</f>
        <v>182405.8</v>
      </c>
      <c r="I14" s="104">
        <f>+(H14-J14)/ABS(J14)</f>
        <v>0.3869760701008948</v>
      </c>
      <c r="J14" s="336">
        <f>SUM(J11:J13)</f>
        <v>131513.29999999999</v>
      </c>
      <c r="K14" s="104">
        <f>+(J14-L14)/ABS(L14)</f>
        <v>0.32819178159665818</v>
      </c>
      <c r="L14" s="336">
        <f>SUM(L11:L13)</f>
        <v>99016.8</v>
      </c>
      <c r="M14" s="60"/>
      <c r="N14" s="60"/>
    </row>
    <row r="15" spans="1:14">
      <c r="A15" t="s">
        <v>333</v>
      </c>
      <c r="B15" s="221">
        <f>+buhrésult!R54</f>
        <v>17536</v>
      </c>
      <c r="C15" s="104">
        <f t="shared" si="0"/>
        <v>-0.21798073492686407</v>
      </c>
      <c r="D15" s="337">
        <f>+buhrésult!T54</f>
        <v>22424</v>
      </c>
      <c r="E15" s="88" t="s">
        <v>0</v>
      </c>
      <c r="F15" s="337">
        <f>+buhrésult!U54</f>
        <v>73664</v>
      </c>
      <c r="G15" s="104">
        <f t="shared" si="1"/>
        <v>-3.3439396424471052E-2</v>
      </c>
      <c r="H15" s="221">
        <v>76212.5</v>
      </c>
      <c r="I15" s="104">
        <f>+(H15-J15)/ABS(J15)</f>
        <v>0.37840633890573927</v>
      </c>
      <c r="J15" s="221">
        <v>55290.3</v>
      </c>
      <c r="K15" s="113">
        <f>+(J15-L15)/ABS(L15)</f>
        <v>0.27015373164501133</v>
      </c>
      <c r="L15" s="221">
        <v>43530.400000000001</v>
      </c>
      <c r="M15" s="60"/>
      <c r="N15" s="60"/>
    </row>
    <row r="16" spans="1:14">
      <c r="B16" s="16">
        <f>+B14-B15</f>
        <v>27757</v>
      </c>
      <c r="C16" s="104">
        <f t="shared" si="0"/>
        <v>5.399658249477881E-2</v>
      </c>
      <c r="D16" s="16">
        <f>+D14-D15</f>
        <v>26335</v>
      </c>
      <c r="E16" s="91" t="s">
        <v>0</v>
      </c>
      <c r="F16" s="16">
        <f>+F14-F15</f>
        <v>108428</v>
      </c>
      <c r="G16" s="104">
        <f t="shared" si="1"/>
        <v>2.1043700497112454E-2</v>
      </c>
      <c r="H16" s="16">
        <f>+H14-H15</f>
        <v>106193.29999999999</v>
      </c>
      <c r="I16" s="104">
        <f>+(H16-J16)/ABS(J16)</f>
        <v>0.39319234351836069</v>
      </c>
      <c r="J16" s="16">
        <f>+J14-J15</f>
        <v>76222.999999999985</v>
      </c>
      <c r="K16" s="104">
        <f>+(J16-L16)/ABS(L16)</f>
        <v>0.37372401164970126</v>
      </c>
      <c r="L16" s="16">
        <f>+L14-L15</f>
        <v>55486.400000000001</v>
      </c>
      <c r="M16" s="60"/>
      <c r="N16" s="60"/>
    </row>
    <row r="17" spans="1:14">
      <c r="B17" s="88"/>
      <c r="C17" s="104"/>
      <c r="D17" s="88"/>
      <c r="E17" s="88"/>
      <c r="F17" s="88"/>
      <c r="G17" s="101"/>
      <c r="H17" s="88"/>
      <c r="I17" s="104"/>
      <c r="J17" s="88"/>
      <c r="K17" s="104"/>
      <c r="L17" s="88"/>
      <c r="M17" s="60"/>
      <c r="N17" s="60"/>
    </row>
    <row r="18" spans="1:14">
      <c r="A18" t="s">
        <v>334</v>
      </c>
      <c r="B18" s="88"/>
      <c r="C18" s="104"/>
      <c r="D18" s="88"/>
      <c r="E18" s="88" t="s">
        <v>0</v>
      </c>
      <c r="F18" s="88"/>
      <c r="G18" s="101"/>
      <c r="H18" s="88"/>
      <c r="I18" s="104"/>
      <c r="J18" s="88"/>
      <c r="K18" s="104"/>
      <c r="L18" s="88"/>
      <c r="M18" s="60"/>
      <c r="N18" s="60"/>
    </row>
    <row r="19" spans="1:14">
      <c r="A19" t="s">
        <v>335</v>
      </c>
      <c r="B19" s="88">
        <f>+buhrésult!R58</f>
        <v>10040</v>
      </c>
      <c r="C19" s="104">
        <f>+(B19-D19)/ABS(D19)</f>
        <v>0.22349500365586156</v>
      </c>
      <c r="D19" s="336">
        <f>+buhrésult!T58</f>
        <v>8206</v>
      </c>
      <c r="E19" s="88" t="s">
        <v>0</v>
      </c>
      <c r="F19" s="336">
        <f>+buhrésult!U58</f>
        <v>33740</v>
      </c>
      <c r="G19" s="104">
        <f>+(F19-H19)/ABS(H19)</f>
        <v>0.25168796094318069</v>
      </c>
      <c r="H19" s="88">
        <v>26955.599999999999</v>
      </c>
      <c r="I19" s="104">
        <f>+(H19-J19)/ABS(J19)</f>
        <v>0.76870534044605421</v>
      </c>
      <c r="J19" s="88">
        <v>15240.3</v>
      </c>
      <c r="K19" s="104">
        <f>+(J19-L19)/ABS(L19)</f>
        <v>-7.8267127927230631E-2</v>
      </c>
      <c r="L19" s="88">
        <v>16534.400000000001</v>
      </c>
      <c r="M19" s="60"/>
      <c r="N19" s="60"/>
    </row>
    <row r="20" spans="1:14">
      <c r="A20" t="s">
        <v>336</v>
      </c>
      <c r="B20" s="88">
        <f>+buhrésult!R59</f>
        <v>3052</v>
      </c>
      <c r="C20" s="104">
        <f>+(B20-D20)/ABS(D20)</f>
        <v>-5.627705627705628E-2</v>
      </c>
      <c r="D20" s="336">
        <f>+buhrésult!T59</f>
        <v>3234</v>
      </c>
      <c r="E20" s="88" t="s">
        <v>0</v>
      </c>
      <c r="F20" s="336">
        <f>+buhrésult!U59</f>
        <v>16244</v>
      </c>
      <c r="G20" s="104">
        <f>+(F20-H20)/ABS(H20)</f>
        <v>1.7465169755173815</v>
      </c>
      <c r="H20" s="88">
        <v>5914.4</v>
      </c>
      <c r="I20" s="89">
        <v>0</v>
      </c>
      <c r="J20" s="88">
        <v>1406.7</v>
      </c>
      <c r="K20" s="89">
        <v>0</v>
      </c>
      <c r="L20" s="88">
        <v>0</v>
      </c>
      <c r="M20" s="60"/>
      <c r="N20" s="60"/>
    </row>
    <row r="21" spans="1:14">
      <c r="A21" t="s">
        <v>284</v>
      </c>
      <c r="B21" s="221">
        <f>+buhrésult!R60</f>
        <v>788</v>
      </c>
      <c r="C21" s="104">
        <f>+(B21-D21)/ABS(D21)</f>
        <v>-0.2016210739614995</v>
      </c>
      <c r="D21" s="337">
        <f>+buhrésult!T60</f>
        <v>987</v>
      </c>
      <c r="E21" s="88" t="s">
        <v>0</v>
      </c>
      <c r="F21" s="337">
        <f>+buhrésult!U60</f>
        <v>3437</v>
      </c>
      <c r="G21" s="104">
        <f>+(F21-H21)/ABS(H21)</f>
        <v>-0.38773692461165743</v>
      </c>
      <c r="H21" s="221">
        <v>5613.6</v>
      </c>
      <c r="I21" s="104">
        <f>+(H21-J21)/ABS(J21)</f>
        <v>2.2867659116998597E-2</v>
      </c>
      <c r="J21" s="221">
        <v>5488.1</v>
      </c>
      <c r="K21" s="104">
        <f>+(J21-L21)/ABS(L21)</f>
        <v>0.99436732320662835</v>
      </c>
      <c r="L21" s="221">
        <v>2751.8</v>
      </c>
      <c r="M21" s="60"/>
      <c r="N21" s="60"/>
    </row>
    <row r="22" spans="1:14">
      <c r="B22" s="16">
        <f>SUM(B19:B21)</f>
        <v>13880</v>
      </c>
      <c r="C22" s="104">
        <f>+(B22-D22)/ABS(D22)</f>
        <v>0.11692282932324777</v>
      </c>
      <c r="D22" s="16">
        <f>SUM(D19:D21)</f>
        <v>12427</v>
      </c>
      <c r="E22" s="91" t="s">
        <v>0</v>
      </c>
      <c r="F22" s="16">
        <f>SUM(F19:F21)</f>
        <v>53421</v>
      </c>
      <c r="G22" s="104">
        <f>+(F22-H22)/ABS(H22)</f>
        <v>0.38814975729921325</v>
      </c>
      <c r="H22" s="16">
        <f>SUM(H19:H21)</f>
        <v>38483.599999999999</v>
      </c>
      <c r="I22" s="104">
        <f>+(H22-J22)/ABS(J22)</f>
        <v>0.73857809542310637</v>
      </c>
      <c r="J22" s="16">
        <f>SUM(J19:J21)</f>
        <v>22135.1</v>
      </c>
      <c r="K22" s="104">
        <f>+(J22-L22)/ABS(L22)</f>
        <v>0.14771702046022533</v>
      </c>
      <c r="L22" s="16">
        <f>SUM(L19:L21)</f>
        <v>19286.2</v>
      </c>
      <c r="M22" s="60"/>
      <c r="N22" s="60"/>
    </row>
    <row r="23" spans="1:14">
      <c r="B23" s="221"/>
      <c r="C23" s="262"/>
      <c r="D23" s="221"/>
      <c r="E23" s="88"/>
      <c r="F23" s="221"/>
      <c r="G23" s="104"/>
      <c r="H23" s="221"/>
      <c r="I23" s="104"/>
      <c r="J23" s="221"/>
      <c r="K23" s="104"/>
      <c r="L23" s="221"/>
      <c r="M23" s="60"/>
      <c r="N23" s="60"/>
    </row>
    <row r="24" spans="1:14">
      <c r="A24" t="s">
        <v>337</v>
      </c>
      <c r="B24" s="16">
        <f>+B16+B22</f>
        <v>41637</v>
      </c>
      <c r="C24" s="104">
        <f>+(B24-D24)/ABS(D24)</f>
        <v>7.4170579433465764E-2</v>
      </c>
      <c r="D24" s="16">
        <f>+D16+D22</f>
        <v>38762</v>
      </c>
      <c r="E24" s="91" t="s">
        <v>0</v>
      </c>
      <c r="F24" s="16">
        <f>+F16+F22</f>
        <v>161849</v>
      </c>
      <c r="G24" s="104">
        <f>+(F24-H24)/ABS(H24)</f>
        <v>0.11869275606541201</v>
      </c>
      <c r="H24" s="16">
        <f>+H16+H22</f>
        <v>144676.9</v>
      </c>
      <c r="I24" s="104">
        <f>+(H24-J24)/ABS(J24)</f>
        <v>0.4709200360722709</v>
      </c>
      <c r="J24" s="16">
        <f>+J16+J22</f>
        <v>98358.099999999977</v>
      </c>
      <c r="K24" s="104">
        <f>+(J24-L24)/ABS(L24)</f>
        <v>0.31542971623295124</v>
      </c>
      <c r="L24" s="16">
        <f>+L16+L22</f>
        <v>74772.600000000006</v>
      </c>
      <c r="M24" s="60"/>
      <c r="N24" s="60"/>
    </row>
    <row r="25" spans="1:14">
      <c r="B25" s="88"/>
      <c r="C25" s="104"/>
      <c r="D25" s="88"/>
      <c r="E25" s="88" t="s">
        <v>0</v>
      </c>
      <c r="F25" s="88"/>
      <c r="G25" s="104"/>
      <c r="H25" s="88"/>
      <c r="I25" s="104"/>
      <c r="J25" s="88"/>
      <c r="K25" s="104"/>
      <c r="L25" s="88"/>
      <c r="M25" s="60"/>
      <c r="N25" s="60"/>
    </row>
    <row r="26" spans="1:14">
      <c r="A26" t="s">
        <v>338</v>
      </c>
      <c r="B26" s="88">
        <f>+buhrésult!R65</f>
        <v>2499</v>
      </c>
      <c r="C26" s="104">
        <f>+(B26-D26)/ABS(D26)</f>
        <v>0.25075075075075076</v>
      </c>
      <c r="D26" s="336">
        <f>+buhrésult!T65</f>
        <v>1998</v>
      </c>
      <c r="E26" s="88" t="s">
        <v>0</v>
      </c>
      <c r="F26" s="336">
        <f>+buhrésult!U65</f>
        <v>17589</v>
      </c>
      <c r="G26" s="104">
        <f>+(F26-H26)/ABS(H26)</f>
        <v>2.0247635425623387</v>
      </c>
      <c r="H26" s="88">
        <v>5815</v>
      </c>
      <c r="I26" s="104">
        <f>+(H26-J26)/ABS(J26)</f>
        <v>1.3263722195551289</v>
      </c>
      <c r="J26" s="88">
        <v>2499.6</v>
      </c>
      <c r="K26" s="104">
        <f>+(J26-L26)/ABS(L26)</f>
        <v>5.3572181243414084E-2</v>
      </c>
      <c r="L26" s="88">
        <v>2372.5</v>
      </c>
      <c r="M26" s="60"/>
      <c r="N26" s="60"/>
    </row>
    <row r="27" spans="1:14">
      <c r="B27" s="88"/>
      <c r="C27" s="104"/>
      <c r="D27" s="88"/>
      <c r="E27" s="88" t="s">
        <v>0</v>
      </c>
      <c r="F27" s="88"/>
      <c r="G27" s="104"/>
      <c r="H27" s="88"/>
      <c r="I27" s="104"/>
      <c r="J27" s="88"/>
      <c r="K27" s="104"/>
      <c r="L27" s="88"/>
      <c r="M27" s="60"/>
      <c r="N27" s="60"/>
    </row>
    <row r="28" spans="1:14">
      <c r="A28" t="s">
        <v>339</v>
      </c>
      <c r="B28" s="221"/>
      <c r="C28" s="104"/>
      <c r="D28" s="221"/>
      <c r="E28" s="88" t="s">
        <v>0</v>
      </c>
      <c r="F28" s="221"/>
      <c r="G28" s="104"/>
      <c r="H28" s="221"/>
      <c r="I28" s="104"/>
      <c r="J28" s="221"/>
      <c r="K28" s="104"/>
      <c r="L28" s="221"/>
      <c r="M28" s="60"/>
      <c r="N28" s="60"/>
    </row>
    <row r="29" spans="1:14">
      <c r="A29" t="s">
        <v>340</v>
      </c>
      <c r="B29" s="16">
        <f>+B24-B26</f>
        <v>39138</v>
      </c>
      <c r="C29" s="104">
        <f>+(B29-D29)/ABS(D29)</f>
        <v>6.457403982156458E-2</v>
      </c>
      <c r="D29" s="16">
        <f>+D24-D26</f>
        <v>36764</v>
      </c>
      <c r="E29" s="91" t="s">
        <v>0</v>
      </c>
      <c r="F29" s="16">
        <f>+F24-F26</f>
        <v>144260</v>
      </c>
      <c r="G29" s="104">
        <f>+(F29-H29)/ABS(H29)</f>
        <v>3.8873873971190125E-2</v>
      </c>
      <c r="H29" s="16">
        <f>+H24-H26</f>
        <v>138861.9</v>
      </c>
      <c r="I29" s="104">
        <f>+(H29-J29)/ABS(J29)</f>
        <v>0.44861332067578813</v>
      </c>
      <c r="J29" s="16">
        <f>+J24-J26</f>
        <v>95858.499999999971</v>
      </c>
      <c r="K29" s="104">
        <f>+(J29-L29)/ABS(L29)</f>
        <v>0.32401060219530031</v>
      </c>
      <c r="L29" s="16">
        <f>+L24-L26</f>
        <v>72400.100000000006</v>
      </c>
      <c r="M29" s="60"/>
      <c r="N29" s="60"/>
    </row>
    <row r="30" spans="1:14">
      <c r="B30" s="88"/>
      <c r="C30" s="104"/>
      <c r="D30" s="88"/>
      <c r="E30" s="88" t="s">
        <v>0</v>
      </c>
      <c r="F30" s="88"/>
      <c r="G30" s="104"/>
      <c r="H30" s="88"/>
      <c r="I30" s="104"/>
      <c r="J30" s="88"/>
      <c r="K30" s="104"/>
      <c r="L30" s="88"/>
      <c r="M30" s="60"/>
      <c r="N30" s="60"/>
    </row>
    <row r="31" spans="1:14">
      <c r="A31" t="s">
        <v>341</v>
      </c>
      <c r="B31" s="88"/>
      <c r="C31" s="104"/>
      <c r="D31" s="88"/>
      <c r="E31" s="88" t="s">
        <v>0</v>
      </c>
      <c r="F31" s="88"/>
      <c r="G31" s="104"/>
      <c r="H31" s="88"/>
      <c r="I31" s="104"/>
      <c r="J31" s="88"/>
      <c r="K31" s="104"/>
      <c r="L31" s="88"/>
      <c r="M31" s="60"/>
      <c r="N31" s="60"/>
    </row>
    <row r="32" spans="1:14">
      <c r="A32" t="s">
        <v>342</v>
      </c>
      <c r="B32" s="88">
        <f>+buhrésult!R71</f>
        <v>15771</v>
      </c>
      <c r="C32" s="104">
        <f>+(B32-D32)/ABS(D32)</f>
        <v>0.16848188486330296</v>
      </c>
      <c r="D32" s="336">
        <f>+buhrésult!T71</f>
        <v>13497</v>
      </c>
      <c r="E32" s="88" t="s">
        <v>0</v>
      </c>
      <c r="F32" s="336">
        <f>+buhrésult!U71</f>
        <v>60297</v>
      </c>
      <c r="G32" s="104">
        <f>+(F32-H32)/ABS(H32)</f>
        <v>0.11864746380911925</v>
      </c>
      <c r="H32" s="88">
        <v>53901.7</v>
      </c>
      <c r="I32" s="104">
        <f>+(H32-J32)/ABS(J32)</f>
        <v>7.5105412855381942E-2</v>
      </c>
      <c r="J32" s="88">
        <v>50136.2</v>
      </c>
      <c r="K32" s="104">
        <f>+(J32-L32)/ABS(L32)</f>
        <v>0.36764433096555243</v>
      </c>
      <c r="L32" s="88">
        <v>36658.800000000003</v>
      </c>
      <c r="M32" s="60"/>
      <c r="N32" s="60"/>
    </row>
    <row r="33" spans="1:14">
      <c r="A33" t="s">
        <v>343</v>
      </c>
      <c r="B33" s="88">
        <f>+buhrésult!R72</f>
        <v>2358</v>
      </c>
      <c r="C33" s="104">
        <f>+(B33-D33)/ABS(D33)</f>
        <v>0.11173974540311174</v>
      </c>
      <c r="D33" s="336">
        <f>+buhrésult!T72</f>
        <v>2121</v>
      </c>
      <c r="E33" s="88" t="s">
        <v>0</v>
      </c>
      <c r="F33" s="336">
        <f>+buhrésult!U72</f>
        <v>8036</v>
      </c>
      <c r="G33" s="104">
        <f>+(F33-H33)/ABS(H33)</f>
        <v>-0.14412303497635587</v>
      </c>
      <c r="H33" s="88">
        <v>9389.2000000000007</v>
      </c>
      <c r="I33" s="104">
        <f>+(H33-J33)/ABS(J33)</f>
        <v>0.17274112562763869</v>
      </c>
      <c r="J33" s="88">
        <v>8006.2</v>
      </c>
      <c r="K33" s="104">
        <f>+(J33-L33)/ABS(L33)</f>
        <v>9.0376705799035686E-2</v>
      </c>
      <c r="L33" s="88">
        <v>7342.6</v>
      </c>
      <c r="M33" s="60"/>
      <c r="N33" s="60"/>
    </row>
    <row r="34" spans="1:14">
      <c r="A34" t="s">
        <v>344</v>
      </c>
      <c r="B34" s="88">
        <f>+buhrésult!R73</f>
        <v>7225</v>
      </c>
      <c r="C34" s="104">
        <f>+(B34-D34)/ABS(D34)</f>
        <v>0.66436304998848195</v>
      </c>
      <c r="D34" s="336">
        <f>+buhrésult!T73</f>
        <v>4341</v>
      </c>
      <c r="E34" s="88" t="s">
        <v>0</v>
      </c>
      <c r="F34" s="336">
        <f>+buhrésult!U73</f>
        <v>22360</v>
      </c>
      <c r="G34" s="104">
        <f>+(F34-H34)/ABS(H34)</f>
        <v>0.58297522884469721</v>
      </c>
      <c r="H34" s="88">
        <v>14125.3</v>
      </c>
      <c r="I34" s="104">
        <f>+(H34-J34)/ABS(J34)</f>
        <v>0.50571894553943553</v>
      </c>
      <c r="J34" s="88">
        <v>9381.1</v>
      </c>
      <c r="K34" s="104">
        <f>+(J34-L34)/ABS(L34)</f>
        <v>0.22778017720889454</v>
      </c>
      <c r="L34" s="88">
        <v>7640.7</v>
      </c>
      <c r="M34" s="60"/>
      <c r="N34" s="60"/>
    </row>
    <row r="35" spans="1:14">
      <c r="A35" t="s">
        <v>345</v>
      </c>
      <c r="B35" s="221">
        <f>+buhrésult!R74</f>
        <v>15811</v>
      </c>
      <c r="C35" s="104">
        <f>+(B35-D35)/ABS(D35)</f>
        <v>0.26417206364435913</v>
      </c>
      <c r="D35" s="337">
        <f>+buhrésult!T74</f>
        <v>12507</v>
      </c>
      <c r="E35" s="88" t="s">
        <v>0</v>
      </c>
      <c r="F35" s="337">
        <f>+buhrésult!U74</f>
        <v>59691</v>
      </c>
      <c r="G35" s="104">
        <f>+(F35-H35)/ABS(H35)</f>
        <v>0.40226369351337643</v>
      </c>
      <c r="H35" s="221">
        <v>42567.6</v>
      </c>
      <c r="I35" s="104">
        <f>+(H35-J35)/ABS(J35)</f>
        <v>0.55365843866225273</v>
      </c>
      <c r="J35" s="221">
        <v>27398.3</v>
      </c>
      <c r="K35" s="104">
        <f>+(J35-L35)/ABS(L35)</f>
        <v>0.45734863112430263</v>
      </c>
      <c r="L35" s="221">
        <v>18800.099999999999</v>
      </c>
      <c r="M35" s="60"/>
      <c r="N35" s="60"/>
    </row>
    <row r="36" spans="1:14">
      <c r="B36" s="16">
        <f>SUM(B32:B35)</f>
        <v>41165</v>
      </c>
      <c r="C36" s="104">
        <f>+(B36-D36)/ABS(D36)</f>
        <v>0.26794184685517158</v>
      </c>
      <c r="D36" s="16">
        <f>SUM(D32:D35)</f>
        <v>32466</v>
      </c>
      <c r="E36" s="91" t="s">
        <v>0</v>
      </c>
      <c r="F36" s="16">
        <f>SUM(F32:F35)</f>
        <v>150384</v>
      </c>
      <c r="G36" s="104">
        <f>+(F36-H36)/ABS(H36)</f>
        <v>0.25336920484265391</v>
      </c>
      <c r="H36" s="16">
        <f>SUM(H32:H35)</f>
        <v>119983.79999999999</v>
      </c>
      <c r="I36" s="104">
        <f>+(H36-J36)/ABS(J36)</f>
        <v>0.26402786293559527</v>
      </c>
      <c r="J36" s="16">
        <f>SUM(J32:J35)</f>
        <v>94921.8</v>
      </c>
      <c r="K36" s="104">
        <f>+(J36-L36)/ABS(L36)</f>
        <v>0.34751328039158358</v>
      </c>
      <c r="L36" s="16">
        <f>SUM(L32:L35)</f>
        <v>70442.2</v>
      </c>
      <c r="M36" s="60"/>
      <c r="N36" s="60"/>
    </row>
    <row r="37" spans="1:14">
      <c r="B37" s="288"/>
      <c r="C37" s="106"/>
      <c r="D37" s="288"/>
      <c r="E37" s="91"/>
      <c r="F37" s="288"/>
      <c r="G37" s="106"/>
      <c r="H37" s="288"/>
      <c r="I37" s="106"/>
      <c r="J37" s="288"/>
      <c r="K37" s="106"/>
      <c r="L37" s="288"/>
      <c r="M37" s="60"/>
      <c r="N37" s="60"/>
    </row>
    <row r="38" spans="1:14">
      <c r="A38" t="s">
        <v>346</v>
      </c>
      <c r="B38" s="16">
        <f>+B29-B36</f>
        <v>-2027</v>
      </c>
      <c r="C38" s="104">
        <f>+(B38-D38)/ABS(D38)</f>
        <v>-1.4716147045137273</v>
      </c>
      <c r="D38" s="16">
        <f>+D29-D36</f>
        <v>4298</v>
      </c>
      <c r="E38" s="91" t="s">
        <v>0</v>
      </c>
      <c r="F38" s="16">
        <f>+F29-F36</f>
        <v>-6124</v>
      </c>
      <c r="G38" s="104">
        <f>+(F38-H38)/ABS(H38)</f>
        <v>-1.3243970526694953</v>
      </c>
      <c r="H38" s="16">
        <f>+H29-H36</f>
        <v>18878.100000000006</v>
      </c>
      <c r="I38" s="104">
        <f>+(H38-J38)/ABS(J38)</f>
        <v>19.153837941710954</v>
      </c>
      <c r="J38" s="16">
        <f>+J29-J36</f>
        <v>936.69999999996799</v>
      </c>
      <c r="K38" s="104">
        <f>+(J38-L38)/ABS(L38)</f>
        <v>-0.52157924306656933</v>
      </c>
      <c r="L38" s="16">
        <f>+L29-L36</f>
        <v>1957.9000000000087</v>
      </c>
      <c r="M38" s="60"/>
      <c r="N38" s="60"/>
    </row>
    <row r="39" spans="1:14">
      <c r="B39" s="88"/>
      <c r="C39" s="104"/>
      <c r="D39" s="88"/>
      <c r="E39" s="88" t="s">
        <v>0</v>
      </c>
      <c r="F39" s="88"/>
      <c r="G39" s="104"/>
      <c r="H39" s="88"/>
      <c r="I39" s="104"/>
      <c r="J39" s="88"/>
      <c r="K39" s="104"/>
      <c r="L39" s="88"/>
      <c r="M39" s="60"/>
      <c r="N39" s="60"/>
    </row>
    <row r="40" spans="1:14">
      <c r="A40" t="s">
        <v>347</v>
      </c>
      <c r="B40" s="88">
        <f>+buhrésult!R79</f>
        <v>-710</v>
      </c>
      <c r="C40" s="104">
        <f>+(B40-D40)/ABS(D40)</f>
        <v>-1.4720744680851063</v>
      </c>
      <c r="D40" s="336">
        <f>+buhrésult!T79</f>
        <v>1504</v>
      </c>
      <c r="E40" s="88" t="s">
        <v>0</v>
      </c>
      <c r="F40" s="336">
        <f>+buhrésult!U79</f>
        <v>-2145</v>
      </c>
      <c r="G40" s="104">
        <f>+(F40-H40)/ABS(H40)</f>
        <v>-1.3245672436750997</v>
      </c>
      <c r="H40" s="88">
        <v>6608.8</v>
      </c>
      <c r="I40" s="104">
        <f>+(H40-J40)/ABS(J40)</f>
        <v>58.700090334236677</v>
      </c>
      <c r="J40" s="88">
        <v>110.7</v>
      </c>
      <c r="K40" s="104">
        <f>+(J40-L40)/ABS(L40)</f>
        <v>-0.9259284041485446</v>
      </c>
      <c r="L40" s="88">
        <v>1494.5</v>
      </c>
      <c r="M40" s="60"/>
      <c r="N40" s="60"/>
    </row>
    <row r="41" spans="1:14" ht="16.5" thickBot="1">
      <c r="B41" s="99"/>
      <c r="C41" s="104"/>
      <c r="D41" s="99"/>
      <c r="E41" s="88" t="s">
        <v>0</v>
      </c>
      <c r="F41" s="99"/>
      <c r="G41" s="104"/>
      <c r="H41" s="99"/>
      <c r="I41" s="104"/>
      <c r="J41" s="99"/>
      <c r="K41" s="104"/>
      <c r="L41" s="99"/>
      <c r="M41" s="60"/>
      <c r="N41" s="60"/>
    </row>
    <row r="42" spans="1:14">
      <c r="A42" s="2" t="s">
        <v>427</v>
      </c>
      <c r="B42" s="91">
        <f>+B38-B40</f>
        <v>-1317</v>
      </c>
      <c r="C42" s="112">
        <f>+(B42-D42)/ABS(D42)</f>
        <v>-1.4713672154617037</v>
      </c>
      <c r="D42" s="91">
        <f>+D38-D40</f>
        <v>2794</v>
      </c>
      <c r="E42" s="91" t="s">
        <v>0</v>
      </c>
      <c r="F42" s="91">
        <f>+F38-F40</f>
        <v>-3979</v>
      </c>
      <c r="G42" s="112">
        <f>+(F42-H42)/ABS(H42)</f>
        <v>-1.3243053800950337</v>
      </c>
      <c r="H42" s="91">
        <f>+H38-H40</f>
        <v>12269.300000000007</v>
      </c>
      <c r="I42" s="112">
        <f>+(H42-J42)/ABS(J42)</f>
        <v>13.853874092010271</v>
      </c>
      <c r="J42" s="91">
        <f>+J38-J40</f>
        <v>825.99999999996794</v>
      </c>
      <c r="K42" s="112">
        <f>+(J42-L42)/ABS(L42)</f>
        <v>0.78247734138962532</v>
      </c>
      <c r="L42" s="91">
        <f>+L38-L40</f>
        <v>463.40000000000873</v>
      </c>
      <c r="M42" s="60"/>
      <c r="N42" s="60"/>
    </row>
    <row r="43" spans="1:14">
      <c r="E43" t="s">
        <v>0</v>
      </c>
    </row>
    <row r="44" spans="1:14">
      <c r="E44" t="s">
        <v>0</v>
      </c>
    </row>
  </sheetData>
  <pageMargins left="0.43" right="0.49" top="0.61" bottom="0.75" header="0.36" footer="0.5"/>
  <pageSetup scale="62" orientation="landscape" r:id="rId1"/>
  <headerFooter alignWithMargins="0">
    <oddFooter>&amp;R&amp;P</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7"/>
  <sheetViews>
    <sheetView workbookViewId="0"/>
  </sheetViews>
  <sheetFormatPr defaultRowHeight="15.75"/>
  <cols>
    <col min="1" max="1" width="33.5" customWidth="1"/>
    <col min="2" max="2" width="14.875" customWidth="1"/>
    <col min="3" max="3" width="12.75" customWidth="1"/>
    <col min="4" max="4" width="13.75" customWidth="1"/>
    <col min="5" max="5" width="14.5" customWidth="1"/>
    <col min="6" max="6" width="14.625" customWidth="1"/>
    <col min="7" max="7" width="11" customWidth="1"/>
    <col min="8" max="8" width="14.75" customWidth="1"/>
    <col min="9" max="9" width="12.75" customWidth="1"/>
    <col min="10" max="10" width="13.75" customWidth="1"/>
    <col min="11" max="11" width="13.25" customWidth="1"/>
    <col min="12" max="12" width="14.5" customWidth="1"/>
    <col min="13" max="13" width="11" customWidth="1"/>
    <col min="14" max="14" width="14.25" customWidth="1"/>
    <col min="15" max="15" width="13.25" customWidth="1"/>
    <col min="16" max="16" width="15.125" customWidth="1"/>
    <col min="17" max="17" width="11" customWidth="1"/>
    <col min="18" max="18" width="15.875" customWidth="1"/>
    <col min="19" max="19" width="11" customWidth="1"/>
    <col min="20" max="20" width="15.875" customWidth="1"/>
    <col min="21" max="256" width="11" customWidth="1"/>
  </cols>
  <sheetData>
    <row r="1" spans="1:27">
      <c r="A1" s="114" t="s">
        <v>613</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166</v>
      </c>
      <c r="J4" s="175" t="s">
        <v>167</v>
      </c>
      <c r="K4" s="176"/>
      <c r="L4" s="176"/>
      <c r="M4" s="176"/>
      <c r="N4" s="176"/>
      <c r="O4" s="176"/>
      <c r="P4" s="176"/>
    </row>
    <row r="5" spans="1:27" ht="16.5" thickBot="1">
      <c r="B5" s="174" t="s">
        <v>168</v>
      </c>
      <c r="C5" s="174" t="s">
        <v>169</v>
      </c>
      <c r="D5" s="173" t="s">
        <v>170</v>
      </c>
      <c r="E5" s="174" t="s">
        <v>169</v>
      </c>
      <c r="F5" s="173" t="s">
        <v>171</v>
      </c>
      <c r="G5" s="174" t="s">
        <v>169</v>
      </c>
      <c r="H5" s="174" t="s">
        <v>172</v>
      </c>
      <c r="I5" s="173" t="s">
        <v>173</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+capitalbkvar!B22</f>
        <v>1113063</v>
      </c>
      <c r="C11" s="43">
        <v>0</v>
      </c>
      <c r="D11" s="12">
        <f>+capitalbkvar!D22</f>
        <v>0</v>
      </c>
      <c r="E11" s="43">
        <v>0</v>
      </c>
      <c r="F11" s="12">
        <f>+capitalbkvar!F22</f>
        <v>0</v>
      </c>
      <c r="G11" s="43">
        <v>0</v>
      </c>
      <c r="H11" s="12">
        <f>+capitalbkvar!H22</f>
        <v>0</v>
      </c>
      <c r="I11" s="46">
        <f>+(-J11+B11)/ABS(J11)</f>
        <v>8.076645599548686E-2</v>
      </c>
      <c r="J11" s="12">
        <f>+capitalbkvar!J22</f>
        <v>1029883</v>
      </c>
      <c r="K11" s="46">
        <f>+(-L11+J11)/ABS(L11)</f>
        <v>0.49685116847593064</v>
      </c>
      <c r="L11" s="12">
        <f>+capitalbkvar!L22</f>
        <v>688033</v>
      </c>
      <c r="M11" s="46">
        <f>+(-N11+L11)/ABS(N11)</f>
        <v>0.37439849178825907</v>
      </c>
      <c r="N11" s="12">
        <f>+capitalbkvar!N22</f>
        <v>500606.63199999998</v>
      </c>
      <c r="O11" s="46">
        <f>+(-P11+N11)/ABS(P11)</f>
        <v>0.40277377406705089</v>
      </c>
      <c r="P11" s="12">
        <f>+capitalbkvar!P22</f>
        <v>356869.11264999997</v>
      </c>
      <c r="Q11" s="43"/>
      <c r="R11" s="43"/>
      <c r="S11" s="43"/>
      <c r="T11" s="43"/>
      <c r="U11" s="43"/>
      <c r="V11" s="43"/>
      <c r="W11" s="43"/>
      <c r="X11" s="43"/>
      <c r="Y11" s="43"/>
      <c r="Z11" s="43"/>
      <c r="AA11" s="43"/>
    </row>
    <row r="12" spans="1:27">
      <c r="A12" t="s">
        <v>181</v>
      </c>
      <c r="B12" s="12">
        <f>+capitalbkvar!B17</f>
        <v>80000</v>
      </c>
      <c r="C12" s="43">
        <v>0</v>
      </c>
      <c r="D12" s="12">
        <f>+capitalbkvar!D17</f>
        <v>0</v>
      </c>
      <c r="E12" s="43">
        <v>0</v>
      </c>
      <c r="F12" s="12">
        <f>+capitalbkvar!F17</f>
        <v>0</v>
      </c>
      <c r="G12" s="43">
        <v>0</v>
      </c>
      <c r="H12" s="12">
        <f>+capitalbkvar!H17</f>
        <v>0</v>
      </c>
      <c r="I12" s="46">
        <f>+(-J12+B12)/ABS(J12)</f>
        <v>6.6666666666666666E-2</v>
      </c>
      <c r="J12" s="12">
        <f>+capitalbkvar!J17</f>
        <v>75000</v>
      </c>
      <c r="K12" s="46">
        <f>+(-L12+J12)/ABS(L12)</f>
        <v>2.75</v>
      </c>
      <c r="L12" s="12">
        <f>+capitalbkvar!L17</f>
        <v>20000</v>
      </c>
      <c r="M12" s="43">
        <v>0</v>
      </c>
      <c r="N12" s="12">
        <v>0</v>
      </c>
      <c r="O12" s="43">
        <v>0</v>
      </c>
      <c r="P12" s="12">
        <v>0</v>
      </c>
      <c r="Q12" s="43"/>
      <c r="R12" s="43"/>
      <c r="S12" s="43"/>
      <c r="T12" s="43"/>
      <c r="U12" s="43"/>
      <c r="V12" s="43"/>
      <c r="W12" s="43"/>
      <c r="X12" s="43"/>
      <c r="Y12" s="43"/>
      <c r="Z12" s="43"/>
      <c r="AA12" s="43"/>
    </row>
    <row r="13" spans="1:27">
      <c r="A13" t="s">
        <v>182</v>
      </c>
      <c r="B13" s="12">
        <f>+capitalbkvar!B19</f>
        <v>501800</v>
      </c>
      <c r="C13" s="43">
        <v>0</v>
      </c>
      <c r="D13" s="12">
        <f>+capitalbkvar!D19</f>
        <v>0</v>
      </c>
      <c r="E13" s="43">
        <v>0</v>
      </c>
      <c r="F13" s="12">
        <f>+capitalbkvar!F19</f>
        <v>0</v>
      </c>
      <c r="G13" s="43">
        <v>0</v>
      </c>
      <c r="H13" s="12">
        <f>+capitalbkvar!H19</f>
        <v>0</v>
      </c>
      <c r="I13" s="46">
        <f>+(-J13+B13)/ABS(J13)</f>
        <v>-1.1700847479325089E-2</v>
      </c>
      <c r="J13" s="12">
        <f>+capitalbkvar!J19</f>
        <v>507741</v>
      </c>
      <c r="K13" s="46">
        <f>+(-L13+J13)/ABS(L13)</f>
        <v>0.34907615540357423</v>
      </c>
      <c r="L13" s="12">
        <f>+capitalbkvar!L19</f>
        <v>376362</v>
      </c>
      <c r="M13" s="46">
        <f>+(-N13+L13)/ABS(N13)</f>
        <v>0.3041869181418797</v>
      </c>
      <c r="N13" s="12">
        <f>+capitalbkvar!N19</f>
        <v>288579.8</v>
      </c>
      <c r="O13" s="46">
        <f>+(-P13+N13)/ABS(P13)</f>
        <v>0.33586748005063632</v>
      </c>
      <c r="P13" s="12">
        <f>+capitalbkvar!P19</f>
        <v>216024.2721</v>
      </c>
      <c r="Q13" s="43"/>
      <c r="R13" s="43"/>
      <c r="S13" s="43"/>
      <c r="T13" s="43"/>
      <c r="U13" s="43"/>
      <c r="V13" s="43"/>
      <c r="W13" s="43"/>
      <c r="X13" s="43"/>
      <c r="Y13" s="43"/>
      <c r="Z13" s="43"/>
      <c r="AA13" s="43"/>
    </row>
    <row r="14" spans="1:27">
      <c r="A14" t="s">
        <v>183</v>
      </c>
      <c r="B14" s="12">
        <f>+capitalbkvar!B29</f>
        <v>874223</v>
      </c>
      <c r="C14" s="43">
        <v>0</v>
      </c>
      <c r="D14" s="12">
        <f>+capitalbkvar!D29</f>
        <v>0</v>
      </c>
      <c r="E14" s="43">
        <v>0</v>
      </c>
      <c r="F14" s="12">
        <f>+capitalbkvar!F29</f>
        <v>0</v>
      </c>
      <c r="G14" s="43">
        <v>0</v>
      </c>
      <c r="H14" s="12">
        <f>+capitalbkvar!H29</f>
        <v>0</v>
      </c>
      <c r="I14" s="46">
        <f>+(-J14+B14)/ABS(J14)</f>
        <v>9.0461519271547955E-2</v>
      </c>
      <c r="J14" s="12">
        <f>+capitalbkvar!J29</f>
        <v>801700</v>
      </c>
      <c r="K14" s="46">
        <f>+(-L14+J14)/ABS(L14)</f>
        <v>0.5508389657720536</v>
      </c>
      <c r="L14" s="12">
        <f>+capitalbkvar!L29</f>
        <v>516946</v>
      </c>
      <c r="M14" s="46">
        <f>+(-N14+L14)/ABS(N14)</f>
        <v>0.32245921245339254</v>
      </c>
      <c r="N14" s="12">
        <f>+capitalbkvar!N29</f>
        <v>390897.5</v>
      </c>
      <c r="O14" s="46">
        <f>+(-P14+N14)/ABS(P14)</f>
        <v>0.61729835150618839</v>
      </c>
      <c r="P14" s="12">
        <f>+capitalbkvar!P29</f>
        <v>241697.82874999999</v>
      </c>
      <c r="Q14" s="43"/>
      <c r="R14" s="43"/>
      <c r="S14" s="43"/>
      <c r="T14" s="43"/>
      <c r="U14" s="43"/>
      <c r="V14" s="43"/>
      <c r="W14" s="43"/>
      <c r="X14" s="43"/>
      <c r="Y14" s="43"/>
      <c r="Z14" s="43"/>
      <c r="AA14" s="43"/>
    </row>
    <row r="15" spans="1:27">
      <c r="A15" t="s">
        <v>184</v>
      </c>
      <c r="B15" s="12">
        <f>+capitalbkvar!B51</f>
        <v>119824</v>
      </c>
      <c r="C15" s="43">
        <v>0</v>
      </c>
      <c r="D15" s="12">
        <f>+capitalbkvar!D51</f>
        <v>0</v>
      </c>
      <c r="E15" s="43">
        <v>0</v>
      </c>
      <c r="F15" s="12">
        <f>+capitalbkvar!F51</f>
        <v>0</v>
      </c>
      <c r="G15" s="43">
        <v>0</v>
      </c>
      <c r="H15" s="12">
        <f>+capitalbkvar!H51</f>
        <v>0</v>
      </c>
      <c r="I15" s="46">
        <f>+(-J15+B15)/ABS(J15)</f>
        <v>2.7429796355841373E-2</v>
      </c>
      <c r="J15" s="12">
        <f>+capitalbkvar!J51</f>
        <v>116625</v>
      </c>
      <c r="K15" s="46">
        <f>+(-L15+J15)/ABS(L15)</f>
        <v>0.13750524252148213</v>
      </c>
      <c r="L15" s="12">
        <f>+capitalbkvar!L51</f>
        <v>102527</v>
      </c>
      <c r="M15" s="46">
        <f>+(-N15+L15)/ABS(N15)</f>
        <v>0.29666938579351076</v>
      </c>
      <c r="N15" s="12">
        <f>+capitalbkvar!N51</f>
        <v>79069.5</v>
      </c>
      <c r="O15" s="46">
        <f>+(-P15+N15)/ABS(P15)</f>
        <v>0.89171129170926189</v>
      </c>
      <c r="P15" s="12">
        <f>+capitalbkvar!P51</f>
        <v>41797.868600000002</v>
      </c>
      <c r="Q15" s="43"/>
      <c r="R15" s="43"/>
      <c r="S15" s="43"/>
      <c r="T15" s="43"/>
      <c r="U15" s="43"/>
      <c r="V15" s="43"/>
      <c r="W15" s="43"/>
      <c r="X15" s="43"/>
      <c r="Y15" s="43"/>
      <c r="Z15" s="43"/>
      <c r="AA15" s="43"/>
    </row>
    <row r="16" spans="1:27">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row>
    <row r="17" spans="1:27" ht="16.5" thickBot="1">
      <c r="B17" s="187"/>
      <c r="C17" s="187"/>
      <c r="D17" s="187"/>
      <c r="E17" s="187"/>
      <c r="F17" s="187"/>
      <c r="G17" s="187"/>
      <c r="H17" s="187"/>
      <c r="I17" s="187"/>
      <c r="J17" s="187"/>
      <c r="K17" s="187"/>
      <c r="L17" s="187"/>
      <c r="M17" s="187"/>
      <c r="N17" s="187"/>
      <c r="O17" s="187"/>
      <c r="P17" s="187"/>
      <c r="Q17" s="43"/>
      <c r="R17" s="43"/>
      <c r="S17" s="43"/>
      <c r="T17" s="43"/>
      <c r="U17" s="43"/>
      <c r="V17" s="43"/>
      <c r="W17" s="43"/>
      <c r="X17" s="43"/>
      <c r="Y17" s="43"/>
      <c r="Z17" s="43"/>
      <c r="AA17" s="43"/>
    </row>
    <row r="18" spans="1:27">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row>
    <row r="19" spans="1:27">
      <c r="B19" s="51" t="s">
        <v>185</v>
      </c>
      <c r="C19" s="43"/>
      <c r="D19" s="51" t="s">
        <v>174</v>
      </c>
      <c r="E19" s="43"/>
      <c r="F19" s="51" t="s">
        <v>185</v>
      </c>
      <c r="G19" s="43"/>
      <c r="H19" s="51" t="s">
        <v>174</v>
      </c>
      <c r="I19" s="43"/>
      <c r="J19" s="51" t="s">
        <v>185</v>
      </c>
      <c r="K19" s="43"/>
      <c r="L19" s="51" t="s">
        <v>174</v>
      </c>
      <c r="M19" s="43"/>
      <c r="N19" s="51" t="s">
        <v>185</v>
      </c>
      <c r="O19" s="43"/>
      <c r="P19" s="51" t="s">
        <v>174</v>
      </c>
      <c r="Q19" s="43"/>
      <c r="R19" s="51" t="s">
        <v>185</v>
      </c>
      <c r="S19" s="43"/>
      <c r="T19" s="51" t="s">
        <v>174</v>
      </c>
      <c r="U19" s="43"/>
      <c r="V19" s="43"/>
      <c r="W19" s="43"/>
      <c r="X19" s="43"/>
      <c r="Y19" s="43"/>
      <c r="Z19" s="43"/>
      <c r="AA19" s="43"/>
    </row>
    <row r="20" spans="1:27">
      <c r="B20" s="50" t="s">
        <v>186</v>
      </c>
      <c r="C20" s="50" t="s">
        <v>169</v>
      </c>
      <c r="D20" s="50" t="s">
        <v>186</v>
      </c>
      <c r="E20" s="43"/>
      <c r="F20" s="50" t="s">
        <v>187</v>
      </c>
      <c r="G20" s="50" t="s">
        <v>169</v>
      </c>
      <c r="H20" s="50" t="s">
        <v>187</v>
      </c>
      <c r="I20" s="43"/>
      <c r="J20" s="50" t="s">
        <v>188</v>
      </c>
      <c r="K20" s="50" t="s">
        <v>169</v>
      </c>
      <c r="L20" s="50" t="s">
        <v>188</v>
      </c>
      <c r="M20" s="43"/>
      <c r="N20" s="50" t="s">
        <v>189</v>
      </c>
      <c r="O20" s="50" t="s">
        <v>169</v>
      </c>
      <c r="P20" s="50" t="s">
        <v>189</v>
      </c>
      <c r="Q20" s="43"/>
      <c r="R20" s="50" t="s">
        <v>190</v>
      </c>
      <c r="S20" s="50" t="s">
        <v>169</v>
      </c>
      <c r="T20" s="50" t="s">
        <v>190</v>
      </c>
      <c r="U20" s="43"/>
      <c r="V20" s="43"/>
      <c r="W20" s="43"/>
      <c r="X20" s="43"/>
      <c r="Y20" s="43"/>
      <c r="Z20" s="43"/>
      <c r="AA20" s="43"/>
    </row>
    <row r="21" spans="1:27" ht="16.5" thickBot="1">
      <c r="B21" s="326" t="s">
        <v>191</v>
      </c>
      <c r="C21" s="326"/>
      <c r="D21" s="326" t="s">
        <v>192</v>
      </c>
      <c r="E21" s="208"/>
      <c r="F21" s="326" t="s">
        <v>193</v>
      </c>
      <c r="G21" s="326"/>
      <c r="H21" s="326" t="s">
        <v>194</v>
      </c>
      <c r="I21" s="208"/>
      <c r="J21" s="326" t="s">
        <v>195</v>
      </c>
      <c r="K21" s="326"/>
      <c r="L21" s="326" t="s">
        <v>196</v>
      </c>
      <c r="M21" s="208"/>
      <c r="N21" s="326" t="s">
        <v>197</v>
      </c>
      <c r="O21" s="326"/>
      <c r="P21" s="326" t="s">
        <v>198</v>
      </c>
      <c r="Q21" s="208"/>
      <c r="R21" s="326" t="s">
        <v>199</v>
      </c>
      <c r="S21" s="326"/>
      <c r="T21" s="326" t="s">
        <v>200</v>
      </c>
      <c r="U21" s="43"/>
      <c r="V21" s="43"/>
      <c r="W21" s="43"/>
      <c r="X21" s="43"/>
      <c r="Y21" s="43"/>
      <c r="Z21" s="43"/>
      <c r="AA21" s="43"/>
    </row>
    <row r="22" spans="1:27">
      <c r="A22" s="2" t="s">
        <v>52</v>
      </c>
      <c r="B22" s="43"/>
      <c r="C22" s="43"/>
      <c r="D22" s="43"/>
      <c r="E22" s="43"/>
      <c r="F22" s="43"/>
      <c r="G22" s="43"/>
      <c r="H22" s="43"/>
      <c r="I22" s="43"/>
      <c r="J22" s="43"/>
      <c r="K22" s="43"/>
      <c r="L22" s="43"/>
      <c r="M22" s="43"/>
      <c r="N22" s="43"/>
      <c r="O22" s="43"/>
      <c r="P22" s="43"/>
      <c r="Q22" s="43"/>
      <c r="R22" s="43"/>
      <c r="S22" s="47" t="s">
        <v>0</v>
      </c>
      <c r="T22" s="43"/>
      <c r="U22" s="43"/>
      <c r="V22" s="43"/>
      <c r="W22" s="43"/>
      <c r="X22" s="43"/>
      <c r="Y22" s="43"/>
      <c r="Z22" s="43"/>
      <c r="AA22" s="43"/>
    </row>
    <row r="23" spans="1:27">
      <c r="A23" t="s">
        <v>201</v>
      </c>
      <c r="B23" s="12">
        <f>+'CAPITALBKRÉSULT      '!B15</f>
        <v>18128</v>
      </c>
      <c r="C23" s="46">
        <f>+(-D23+B23)/ABS(D23)</f>
        <v>0.16766505636070853</v>
      </c>
      <c r="D23" s="12">
        <f>+'CAPITALBKRÉSULT      '!D55</f>
        <v>15525</v>
      </c>
      <c r="E23" s="43"/>
      <c r="F23" s="43">
        <f>+'CAPITALBKRÉSULT      '!D15</f>
        <v>0</v>
      </c>
      <c r="G23" s="43">
        <v>0</v>
      </c>
      <c r="H23" s="12">
        <f>+'CAPITALBKRÉSULT      '!H55</f>
        <v>15655</v>
      </c>
      <c r="I23" s="43"/>
      <c r="J23" s="12">
        <f>+'CAPITALBKRÉSULT      '!F15</f>
        <v>0</v>
      </c>
      <c r="K23" s="43">
        <v>0</v>
      </c>
      <c r="L23" s="12">
        <f>+'CAPITALBKRÉSULT      '!L55</f>
        <v>16646</v>
      </c>
      <c r="M23" s="43"/>
      <c r="N23" s="12">
        <f>+'CAPITALBKRÉSULT      '!H15</f>
        <v>0</v>
      </c>
      <c r="O23" s="43">
        <v>0</v>
      </c>
      <c r="P23" s="12">
        <f>+'CAPITALBKRÉSULT      '!P55</f>
        <v>17361</v>
      </c>
      <c r="Q23" s="43"/>
      <c r="R23" s="43">
        <f>+'CAPITALBKRÉSULT      '!R55</f>
        <v>18128</v>
      </c>
      <c r="S23" s="46">
        <f>+(-T23+R23)/ABS(T23)</f>
        <v>0.16766505636070853</v>
      </c>
      <c r="T23" s="43">
        <f>+'CAPITALBKRÉSULT      '!T55</f>
        <v>15525</v>
      </c>
      <c r="U23" s="43"/>
      <c r="V23" s="43"/>
      <c r="W23" s="43"/>
      <c r="X23" s="43"/>
      <c r="Y23" s="43"/>
      <c r="Z23" s="43"/>
      <c r="AA23" s="43"/>
    </row>
    <row r="24" spans="1:27">
      <c r="A24" t="s">
        <v>202</v>
      </c>
      <c r="B24" s="12">
        <f>+'CAPITALBKRÉSULT      '!B21</f>
        <v>6266</v>
      </c>
      <c r="C24" s="46">
        <f>+(-D24+B24)/ABS(D24)</f>
        <v>1.2843601895734598</v>
      </c>
      <c r="D24" s="12">
        <f>+'CAPITALBKRÉSULT      '!D61</f>
        <v>2743</v>
      </c>
      <c r="E24" s="43"/>
      <c r="F24" s="43">
        <f>+'CAPITALBKRÉSULT      '!D21</f>
        <v>0</v>
      </c>
      <c r="G24" s="43">
        <v>0</v>
      </c>
      <c r="H24" s="12">
        <f>+'CAPITALBKRÉSULT      '!H61</f>
        <v>4001</v>
      </c>
      <c r="I24" s="43"/>
      <c r="J24" s="12">
        <f>+'CAPITALBKRÉSULT      '!F21</f>
        <v>0</v>
      </c>
      <c r="K24" s="43">
        <v>0</v>
      </c>
      <c r="L24" s="12">
        <f>+'CAPITALBKRÉSULT      '!L61</f>
        <v>4935</v>
      </c>
      <c r="M24" s="43"/>
      <c r="N24" s="12">
        <f>+'CAPITALBKRÉSULT      '!H21</f>
        <v>0</v>
      </c>
      <c r="O24" s="43">
        <v>0</v>
      </c>
      <c r="P24" s="12">
        <f>+'CAPITALBKRÉSULT      '!P61</f>
        <v>5637</v>
      </c>
      <c r="Q24" s="43"/>
      <c r="R24" s="43">
        <f>+'CAPITALBKRÉSULT      '!R61</f>
        <v>6266</v>
      </c>
      <c r="S24" s="46">
        <f>+(-T24+R24)/ABS(T24)</f>
        <v>1.2843601895734598</v>
      </c>
      <c r="T24" s="43">
        <f>+'CAPITALBKRÉSULT      '!T61</f>
        <v>2743</v>
      </c>
      <c r="U24" s="43"/>
      <c r="V24" s="43"/>
      <c r="W24" s="43"/>
      <c r="X24" s="43"/>
      <c r="Y24" s="43"/>
      <c r="Z24" s="43"/>
      <c r="AA24" s="43"/>
    </row>
    <row r="25" spans="1:27">
      <c r="A25" t="s">
        <v>447</v>
      </c>
      <c r="B25" s="12">
        <f>+'CAPITALBKRÉSULT      '!B25</f>
        <v>750</v>
      </c>
      <c r="C25" s="46">
        <f>+(-D25+B25)/ABS(D25)</f>
        <v>1.5</v>
      </c>
      <c r="D25" s="12">
        <f>+'CAPITALBKRÉSULT      '!D65</f>
        <v>300</v>
      </c>
      <c r="E25" s="43"/>
      <c r="F25" s="43">
        <f>+'CAPITALBKRÉSULT      '!D25</f>
        <v>0</v>
      </c>
      <c r="G25" s="43">
        <v>0</v>
      </c>
      <c r="H25" s="12">
        <f>+'CAPITALBKRÉSULT      '!H65</f>
        <v>300</v>
      </c>
      <c r="I25" s="43"/>
      <c r="J25" s="12">
        <f>+'CAPITALBKRÉSULT      '!F25</f>
        <v>0</v>
      </c>
      <c r="K25" s="43">
        <v>0</v>
      </c>
      <c r="L25" s="12">
        <f>+'CAPITALBKRÉSULT      '!L65</f>
        <v>1400</v>
      </c>
      <c r="M25" s="43"/>
      <c r="N25" s="12">
        <f>+'CAPITALBKRÉSULT      '!H25</f>
        <v>0</v>
      </c>
      <c r="O25" s="43">
        <v>0</v>
      </c>
      <c r="P25" s="12">
        <f>+'CAPITALBKRÉSULT      '!P65</f>
        <v>0</v>
      </c>
      <c r="Q25" s="43"/>
      <c r="R25" s="43">
        <f>+'CAPITALBKRÉSULT      '!R65</f>
        <v>750</v>
      </c>
      <c r="S25" s="46">
        <f>+(-T25+R25)/ABS(T25)</f>
        <v>1.5</v>
      </c>
      <c r="T25" s="43">
        <f>+'CAPITALBKRÉSULT      '!T65</f>
        <v>300</v>
      </c>
      <c r="U25" s="43"/>
      <c r="V25" s="43"/>
      <c r="W25" s="43"/>
      <c r="X25" s="43"/>
      <c r="Y25" s="43"/>
      <c r="Z25" s="43"/>
      <c r="AA25" s="43"/>
    </row>
    <row r="26" spans="1:27">
      <c r="A26" t="s">
        <v>204</v>
      </c>
      <c r="B26" s="12">
        <f>+'CAPITALBKRÉSULT      '!B35</f>
        <v>19332</v>
      </c>
      <c r="C26" s="46">
        <f>+(-D26+B26)/ABS(D26)</f>
        <v>0.39119170984455959</v>
      </c>
      <c r="D26" s="12">
        <f>+'CAPITALBKRÉSULT      '!D75</f>
        <v>13896</v>
      </c>
      <c r="E26" s="43"/>
      <c r="F26" s="43">
        <f>+'CAPITALBKRÉSULT      '!D35</f>
        <v>0</v>
      </c>
      <c r="G26" s="43">
        <v>0</v>
      </c>
      <c r="H26" s="12">
        <f>+'CAPITALBKRÉSULT      '!H75</f>
        <v>16013</v>
      </c>
      <c r="I26" s="43"/>
      <c r="J26" s="12">
        <f>+'CAPITALBKRÉSULT      '!F35</f>
        <v>0</v>
      </c>
      <c r="K26" s="43">
        <v>0</v>
      </c>
      <c r="L26" s="12">
        <f>+'CAPITALBKRÉSULT      '!L75</f>
        <v>16740</v>
      </c>
      <c r="M26" s="43"/>
      <c r="N26" s="12">
        <f>+'CAPITALBKRÉSULT      '!H35</f>
        <v>0</v>
      </c>
      <c r="O26" s="43">
        <v>0</v>
      </c>
      <c r="P26" s="12">
        <f>+'CAPITALBKRÉSULT      '!P75</f>
        <v>20997</v>
      </c>
      <c r="Q26" s="43"/>
      <c r="R26" s="43">
        <f>+'CAPITALBKRÉSULT      '!R75</f>
        <v>19332</v>
      </c>
      <c r="S26" s="46">
        <f>+(-T26+R26)/ABS(T26)</f>
        <v>0.39119170984455959</v>
      </c>
      <c r="T26" s="43">
        <f>+'CAPITALBKRÉSULT      '!T75</f>
        <v>13896</v>
      </c>
      <c r="U26" s="43"/>
      <c r="V26" s="43"/>
      <c r="W26" s="43"/>
      <c r="X26" s="43"/>
      <c r="Y26" s="43"/>
      <c r="Z26" s="43"/>
      <c r="AA26" s="43"/>
    </row>
    <row r="27" spans="1:27">
      <c r="A27" t="s">
        <v>448</v>
      </c>
      <c r="B27" s="12">
        <f>+'CAPITALBKRÉSULT      '!B41</f>
        <v>4312</v>
      </c>
      <c r="C27" s="46">
        <f>+(-D27+B27)/ABS(D27)</f>
        <v>0.40868997059784384</v>
      </c>
      <c r="D27" s="12">
        <f>+'CAPITALBKRÉSULT      '!D81</f>
        <v>3061</v>
      </c>
      <c r="E27" s="43"/>
      <c r="F27" s="43">
        <f>+'CAPITALBKRÉSULT      '!D41</f>
        <v>0</v>
      </c>
      <c r="G27" s="43">
        <v>0</v>
      </c>
      <c r="H27" s="12">
        <f>+'CAPITALBKRÉSULT      '!H81</f>
        <v>3283</v>
      </c>
      <c r="I27" s="43"/>
      <c r="J27" s="12">
        <f>+'CAPITALBKRÉSULT      '!F41</f>
        <v>0</v>
      </c>
      <c r="K27" s="43">
        <v>0</v>
      </c>
      <c r="L27" s="12">
        <f>+'CAPITALBKRÉSULT      '!L81</f>
        <v>2999</v>
      </c>
      <c r="M27" s="43"/>
      <c r="N27" s="12">
        <f>+'CAPITALBKRÉSULT      '!H41</f>
        <v>0</v>
      </c>
      <c r="O27" s="43">
        <v>0</v>
      </c>
      <c r="P27" s="12">
        <f>+'CAPITALBKRÉSULT      '!P81</f>
        <v>1777</v>
      </c>
      <c r="Q27" s="43"/>
      <c r="R27" s="43">
        <f>+'CAPITALBKRÉSULT      '!R81</f>
        <v>4312</v>
      </c>
      <c r="S27" s="46">
        <f>+(-T27+R27)/ABS(T27)</f>
        <v>0.40868997059784384</v>
      </c>
      <c r="T27" s="43">
        <f>+'CAPITALBKRÉSULT      '!T81</f>
        <v>3061</v>
      </c>
      <c r="U27" s="43"/>
      <c r="V27" s="43"/>
      <c r="W27" s="43"/>
      <c r="X27" s="43"/>
      <c r="Y27" s="43"/>
      <c r="Z27" s="43"/>
      <c r="AA27" s="43"/>
    </row>
    <row r="28" spans="1:27">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ht="16.5" thickBot="1">
      <c r="B29" s="187"/>
      <c r="C29" s="187"/>
      <c r="D29" s="187"/>
      <c r="E29" s="187"/>
      <c r="F29" s="187"/>
      <c r="G29" s="187"/>
      <c r="H29" s="187"/>
      <c r="I29" s="187"/>
      <c r="J29" s="187"/>
      <c r="K29" s="187"/>
      <c r="L29" s="187"/>
      <c r="M29" s="187"/>
      <c r="N29" s="187"/>
      <c r="O29" s="187"/>
      <c r="P29" s="187"/>
      <c r="Q29" s="187"/>
      <c r="R29" s="187"/>
      <c r="S29" s="187"/>
      <c r="T29" s="187"/>
      <c r="U29" s="43"/>
      <c r="V29" s="43"/>
      <c r="W29" s="43"/>
      <c r="X29" s="43"/>
      <c r="Y29" s="43"/>
      <c r="Z29" s="43"/>
      <c r="AA29" s="43"/>
    </row>
    <row r="30" spans="1:27">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row>
    <row r="32" spans="1:27">
      <c r="B32" s="51" t="s">
        <v>185</v>
      </c>
      <c r="C32" s="51" t="s">
        <v>174</v>
      </c>
      <c r="D32" s="43"/>
      <c r="E32" s="51" t="s">
        <v>185</v>
      </c>
      <c r="F32" s="51" t="s">
        <v>174</v>
      </c>
      <c r="G32" s="43"/>
      <c r="H32" s="51" t="s">
        <v>185</v>
      </c>
      <c r="I32" s="51" t="s">
        <v>174</v>
      </c>
      <c r="J32" s="43"/>
      <c r="K32" s="51" t="s">
        <v>185</v>
      </c>
      <c r="L32" s="51" t="s">
        <v>174</v>
      </c>
      <c r="M32" s="43"/>
      <c r="N32" s="51" t="s">
        <v>185</v>
      </c>
      <c r="O32" s="51" t="s">
        <v>174</v>
      </c>
      <c r="P32" s="43"/>
      <c r="U32" s="43"/>
      <c r="V32" s="43"/>
      <c r="W32" s="43"/>
      <c r="X32" s="43"/>
      <c r="Y32" s="43"/>
      <c r="Z32" s="43"/>
      <c r="AA32" s="43"/>
    </row>
    <row r="33" spans="1:27" ht="16.5" thickBot="1">
      <c r="B33" s="50" t="s">
        <v>186</v>
      </c>
      <c r="C33" s="50" t="s">
        <v>186</v>
      </c>
      <c r="D33" s="43"/>
      <c r="E33" s="50" t="s">
        <v>187</v>
      </c>
      <c r="F33" s="50" t="s">
        <v>187</v>
      </c>
      <c r="G33" s="43"/>
      <c r="H33" s="50" t="s">
        <v>188</v>
      </c>
      <c r="I33" s="50" t="s">
        <v>188</v>
      </c>
      <c r="J33" s="43"/>
      <c r="K33" s="50" t="s">
        <v>189</v>
      </c>
      <c r="L33" s="50" t="s">
        <v>189</v>
      </c>
      <c r="M33" s="43"/>
      <c r="N33" s="50" t="s">
        <v>190</v>
      </c>
      <c r="O33" s="50" t="s">
        <v>190</v>
      </c>
      <c r="P33" s="43"/>
      <c r="Q33" s="114" t="s">
        <v>206</v>
      </c>
      <c r="R33" s="114"/>
      <c r="S33" s="114"/>
      <c r="T33" s="114"/>
      <c r="U33" s="43"/>
      <c r="V33" s="43"/>
      <c r="W33" s="43"/>
      <c r="X33" s="43"/>
      <c r="Y33" s="43"/>
      <c r="Z33" s="43"/>
      <c r="AA33" s="43"/>
    </row>
    <row r="34" spans="1:27" ht="16.5" thickBot="1">
      <c r="B34" s="326" t="s">
        <v>192</v>
      </c>
      <c r="C34" s="326" t="s">
        <v>574</v>
      </c>
      <c r="D34" s="208"/>
      <c r="E34" s="326" t="s">
        <v>194</v>
      </c>
      <c r="F34" s="326" t="s">
        <v>575</v>
      </c>
      <c r="G34" s="208"/>
      <c r="H34" s="326" t="s">
        <v>196</v>
      </c>
      <c r="I34" s="326" t="s">
        <v>576</v>
      </c>
      <c r="J34" s="208"/>
      <c r="K34" s="326" t="s">
        <v>198</v>
      </c>
      <c r="L34" s="326" t="s">
        <v>577</v>
      </c>
      <c r="M34" s="208"/>
      <c r="N34" s="181" t="s">
        <v>446</v>
      </c>
      <c r="O34" s="181" t="s">
        <v>614</v>
      </c>
      <c r="P34" s="43"/>
      <c r="Q34" s="182" t="s">
        <v>174</v>
      </c>
      <c r="R34" s="182" t="s">
        <v>175</v>
      </c>
      <c r="S34" s="182" t="s">
        <v>176</v>
      </c>
      <c r="T34" s="182" t="s">
        <v>177</v>
      </c>
      <c r="U34" s="43"/>
      <c r="V34" s="43"/>
      <c r="W34" s="43"/>
      <c r="X34" s="43"/>
      <c r="Y34" s="43"/>
      <c r="Z34" s="43"/>
      <c r="AA34" s="43"/>
    </row>
    <row r="35" spans="1:27">
      <c r="B35" s="355"/>
      <c r="C35" s="355"/>
      <c r="D35" s="208"/>
      <c r="E35" s="355"/>
      <c r="F35" s="355"/>
      <c r="G35" s="208"/>
      <c r="H35" s="355"/>
      <c r="I35" s="355"/>
      <c r="J35" s="208"/>
      <c r="K35" s="355"/>
      <c r="L35" s="355"/>
      <c r="M35" s="208"/>
      <c r="N35" s="355"/>
      <c r="O35" s="355"/>
      <c r="P35" s="43"/>
      <c r="Q35" s="356"/>
      <c r="R35" s="356"/>
      <c r="S35" s="356"/>
      <c r="T35" s="356"/>
      <c r="U35" s="43"/>
      <c r="V35" s="43"/>
      <c r="W35" s="43"/>
      <c r="X35" s="43"/>
      <c r="Y35" s="43"/>
      <c r="Z35" s="43"/>
      <c r="AA35" s="43"/>
    </row>
    <row r="36" spans="1:27">
      <c r="A36" s="2" t="s">
        <v>207</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183" t="s">
        <v>208</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A38" s="2" t="s">
        <v>209</v>
      </c>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t="s">
        <v>211</v>
      </c>
      <c r="B40" s="57"/>
      <c r="C40" s="57"/>
      <c r="D40" s="57"/>
      <c r="E40" s="57"/>
      <c r="F40" s="57"/>
      <c r="G40" s="57"/>
      <c r="H40" s="57"/>
      <c r="I40" s="57"/>
      <c r="J40" s="57"/>
      <c r="K40" s="57"/>
      <c r="L40" s="57"/>
      <c r="M40" s="57"/>
      <c r="N40" s="57"/>
      <c r="O40" s="57"/>
      <c r="P40" s="57"/>
      <c r="Q40" s="57"/>
      <c r="R40" s="57"/>
      <c r="S40" s="57"/>
      <c r="T40" s="57"/>
      <c r="U40" s="43"/>
      <c r="V40" s="43"/>
      <c r="W40" s="43"/>
      <c r="X40" s="43"/>
      <c r="Y40" s="43"/>
      <c r="Z40" s="43"/>
      <c r="AA40" s="43"/>
    </row>
    <row r="41" spans="1:27">
      <c r="A41" t="s">
        <v>212</v>
      </c>
      <c r="B41" s="58">
        <f>+capitalbkvar!B51/capitalbkvar!B22</f>
        <v>0.1076524868763044</v>
      </c>
      <c r="C41" s="59">
        <v>0.15509999999999999</v>
      </c>
      <c r="D41" s="59"/>
      <c r="E41" s="364">
        <v>0</v>
      </c>
      <c r="F41" s="59">
        <v>0.1333</v>
      </c>
      <c r="G41" s="59"/>
      <c r="H41" s="364">
        <v>0</v>
      </c>
      <c r="I41" s="59">
        <v>0.1202</v>
      </c>
      <c r="J41" s="59"/>
      <c r="K41" s="364">
        <v>0</v>
      </c>
      <c r="L41" s="59">
        <v>0.1132</v>
      </c>
      <c r="M41" s="57"/>
      <c r="N41" s="59">
        <f>+B41</f>
        <v>0.1076524868763044</v>
      </c>
      <c r="O41" s="59">
        <f>+C41</f>
        <v>0.15509999999999999</v>
      </c>
      <c r="P41" s="59"/>
      <c r="Q41" s="59">
        <f>+capitalbkvar!J51/capitalbkvar!J22</f>
        <v>0.11324101863998144</v>
      </c>
      <c r="R41" s="59">
        <v>0.14899999999999999</v>
      </c>
      <c r="S41" s="59">
        <v>0.15790000000000001</v>
      </c>
      <c r="T41" s="59">
        <v>0.1171</v>
      </c>
      <c r="U41" s="43"/>
      <c r="V41" s="43"/>
      <c r="W41" s="43"/>
      <c r="X41" s="43"/>
      <c r="Y41" s="43"/>
      <c r="Z41" s="43"/>
      <c r="AA41" s="43"/>
    </row>
    <row r="42" spans="1:27">
      <c r="B42" s="58"/>
      <c r="C42" s="59"/>
      <c r="D42" s="59"/>
      <c r="E42" s="57"/>
      <c r="F42" s="59"/>
      <c r="G42" s="59"/>
      <c r="H42" s="57"/>
      <c r="I42" s="59"/>
      <c r="J42" s="59"/>
      <c r="K42" s="57"/>
      <c r="L42" s="59"/>
      <c r="M42" s="57"/>
      <c r="N42" s="58" t="s">
        <v>0</v>
      </c>
      <c r="O42" s="59"/>
      <c r="P42" s="59"/>
      <c r="Q42" s="59"/>
      <c r="R42" s="59"/>
      <c r="S42" s="59"/>
      <c r="T42" s="59"/>
      <c r="U42" s="43"/>
      <c r="V42" s="43"/>
      <c r="W42" s="43"/>
      <c r="X42" s="43"/>
      <c r="Y42" s="43"/>
      <c r="Z42" s="43"/>
      <c r="AA42" s="43"/>
    </row>
    <row r="43" spans="1:27">
      <c r="A43" t="s">
        <v>213</v>
      </c>
      <c r="B43" s="58">
        <f>+capitalbkvar!B29/capitalbkvar!B22</f>
        <v>0.78542095101535137</v>
      </c>
      <c r="C43" s="59">
        <v>0.74870000000000003</v>
      </c>
      <c r="D43" s="59"/>
      <c r="E43" s="364">
        <v>0</v>
      </c>
      <c r="F43" s="59">
        <v>0.77839999999999998</v>
      </c>
      <c r="G43" s="59"/>
      <c r="H43" s="364">
        <v>0</v>
      </c>
      <c r="I43" s="59">
        <v>0.80189999999999995</v>
      </c>
      <c r="J43" s="59"/>
      <c r="K43" s="364">
        <v>0</v>
      </c>
      <c r="L43" s="59">
        <v>0.77839999999999998</v>
      </c>
      <c r="M43" s="57"/>
      <c r="N43" s="59">
        <f>+B43</f>
        <v>0.78542095101535137</v>
      </c>
      <c r="O43" s="59">
        <f>+C43</f>
        <v>0.74870000000000003</v>
      </c>
      <c r="P43" s="59"/>
      <c r="Q43" s="59">
        <f>+capitalbkvar!J29/capitalbkvar!J22</f>
        <v>0.77843793906686487</v>
      </c>
      <c r="R43" s="59">
        <v>0.75129999999999997</v>
      </c>
      <c r="S43" s="59">
        <v>0.78080000000000005</v>
      </c>
      <c r="T43" s="59">
        <v>0.67730000000000001</v>
      </c>
      <c r="U43" s="43"/>
      <c r="V43" s="43"/>
      <c r="W43" s="43"/>
      <c r="X43" s="43"/>
      <c r="Y43" s="43"/>
      <c r="Z43" s="43"/>
      <c r="AA43" s="43"/>
    </row>
    <row r="44" spans="1:27">
      <c r="A44" t="s">
        <v>0</v>
      </c>
      <c r="B44" s="57"/>
      <c r="C44" s="59"/>
      <c r="D44" s="59"/>
      <c r="E44" s="57"/>
      <c r="F44" s="59"/>
      <c r="G44" s="59"/>
      <c r="H44" s="57"/>
      <c r="I44" s="59"/>
      <c r="J44" s="59"/>
      <c r="K44" s="57"/>
      <c r="L44" s="59"/>
      <c r="M44" s="57"/>
      <c r="N44" s="59"/>
      <c r="O44" s="59"/>
      <c r="P44" s="59"/>
      <c r="Q44" s="59"/>
      <c r="R44" s="59"/>
      <c r="S44" s="59"/>
      <c r="T44" s="59"/>
      <c r="U44" s="43"/>
      <c r="V44" s="43"/>
      <c r="W44" s="43"/>
      <c r="X44" s="43"/>
      <c r="Y44" s="43"/>
      <c r="Z44" s="43"/>
      <c r="AA44" s="43"/>
    </row>
    <row r="45" spans="1:27">
      <c r="A45" s="2" t="s">
        <v>214</v>
      </c>
      <c r="B45" s="57"/>
      <c r="C45" s="59"/>
      <c r="D45" s="59"/>
      <c r="E45" s="57"/>
      <c r="F45" s="59"/>
      <c r="G45" s="59"/>
      <c r="H45" s="57"/>
      <c r="I45" s="59"/>
      <c r="J45" s="59"/>
      <c r="K45" s="57"/>
      <c r="L45" s="59"/>
      <c r="M45" s="57"/>
      <c r="N45" s="59"/>
      <c r="O45" s="59"/>
      <c r="P45" s="59"/>
      <c r="Q45" s="59"/>
      <c r="R45" s="59"/>
      <c r="S45" s="59"/>
      <c r="T45" s="59"/>
      <c r="U45" s="43"/>
      <c r="V45" s="43"/>
      <c r="W45" s="43"/>
      <c r="X45" s="43"/>
      <c r="Y45" s="43"/>
      <c r="Z45" s="43"/>
      <c r="AA45" s="43"/>
    </row>
    <row r="46" spans="1:27">
      <c r="A46" s="2"/>
      <c r="B46" s="57"/>
      <c r="C46" s="59"/>
      <c r="D46" s="59"/>
      <c r="E46" s="57"/>
      <c r="F46" s="59"/>
      <c r="G46" s="59"/>
      <c r="H46" s="57"/>
      <c r="I46" s="59"/>
      <c r="J46" s="59"/>
      <c r="K46" s="57"/>
      <c r="L46" s="59"/>
      <c r="M46" s="57"/>
      <c r="N46" s="59"/>
      <c r="O46" s="59"/>
      <c r="P46" s="59"/>
      <c r="Q46" s="59"/>
      <c r="R46" s="59"/>
      <c r="S46" s="59"/>
      <c r="T46" s="59"/>
      <c r="U46" s="43"/>
      <c r="V46" s="43"/>
      <c r="W46" s="43"/>
      <c r="X46" s="43"/>
      <c r="Y46" s="43"/>
      <c r="Z46" s="43"/>
      <c r="AA46" s="43"/>
    </row>
    <row r="47" spans="1:27">
      <c r="A47" t="s">
        <v>215</v>
      </c>
      <c r="B47" s="57"/>
      <c r="C47" s="59"/>
      <c r="D47" s="59"/>
      <c r="E47" s="57"/>
      <c r="F47" s="59"/>
      <c r="G47" s="59"/>
      <c r="H47" s="57"/>
      <c r="I47" s="59"/>
      <c r="J47" s="59"/>
      <c r="K47" s="57"/>
      <c r="L47" s="59"/>
      <c r="M47" s="57"/>
      <c r="N47" s="59"/>
      <c r="O47" s="59"/>
      <c r="P47" s="59"/>
      <c r="Q47" s="59"/>
      <c r="R47" s="59"/>
      <c r="S47" s="59"/>
      <c r="T47" s="59"/>
      <c r="U47" s="43"/>
      <c r="V47" s="43"/>
      <c r="W47" s="43"/>
      <c r="X47" s="43"/>
      <c r="Y47" s="43"/>
      <c r="Z47" s="43"/>
      <c r="AA47" s="43"/>
    </row>
    <row r="48" spans="1:27">
      <c r="A48" t="s">
        <v>216</v>
      </c>
      <c r="B48" s="59">
        <f>+capitalbkvar!B62/capitalbkvar!B60</f>
        <v>1.4593665602749816E-2</v>
      </c>
      <c r="C48" s="59">
        <v>2.2800000000000001E-2</v>
      </c>
      <c r="D48" s="59"/>
      <c r="E48" s="57">
        <v>0</v>
      </c>
      <c r="F48" s="59">
        <v>2.1700000000000001E-2</v>
      </c>
      <c r="G48" s="59"/>
      <c r="H48" s="364">
        <v>0</v>
      </c>
      <c r="I48" s="59">
        <v>1.6199999999999999E-2</v>
      </c>
      <c r="J48" s="59"/>
      <c r="K48" s="57">
        <v>0</v>
      </c>
      <c r="L48" s="59">
        <v>9.2999999999999992E-3</v>
      </c>
      <c r="M48" s="57"/>
      <c r="N48" s="59">
        <f>+B48</f>
        <v>1.4593665602749816E-2</v>
      </c>
      <c r="O48" s="59">
        <f>+C48</f>
        <v>2.2800000000000001E-2</v>
      </c>
      <c r="P48" s="59"/>
      <c r="Q48" s="59">
        <f>+capitalbkvar!J62/capitalbkvar!J60</f>
        <v>9.2977857970586181E-3</v>
      </c>
      <c r="R48" s="59">
        <v>8.3999999999999995E-3</v>
      </c>
      <c r="S48" s="59">
        <v>4.3E-3</v>
      </c>
      <c r="T48" s="58">
        <v>1.01E-2</v>
      </c>
      <c r="U48" s="43"/>
      <c r="V48" s="43"/>
      <c r="W48" s="43"/>
      <c r="X48" s="43"/>
      <c r="Y48" s="43"/>
      <c r="Z48" s="43"/>
      <c r="AA48" s="43"/>
    </row>
    <row r="49" spans="1:27">
      <c r="B49" s="57"/>
      <c r="C49" s="59"/>
      <c r="D49" s="59"/>
      <c r="E49" s="57"/>
      <c r="F49" s="59"/>
      <c r="G49" s="59"/>
      <c r="H49" s="57"/>
      <c r="I49" s="59"/>
      <c r="J49" s="59"/>
      <c r="K49" s="57"/>
      <c r="L49" s="59"/>
      <c r="M49" s="57"/>
      <c r="N49" s="59"/>
      <c r="O49" s="59"/>
      <c r="P49" s="59"/>
      <c r="Q49" s="59"/>
      <c r="R49" s="59"/>
      <c r="S49" s="59"/>
      <c r="T49" s="59"/>
      <c r="U49" s="43"/>
      <c r="V49" s="43"/>
      <c r="W49" s="43"/>
      <c r="X49" s="43"/>
      <c r="Y49" s="43"/>
      <c r="Z49" s="43"/>
      <c r="AA49" s="43"/>
    </row>
    <row r="50" spans="1:27">
      <c r="A50" t="s">
        <v>217</v>
      </c>
      <c r="B50" s="57"/>
      <c r="C50" s="59"/>
      <c r="D50" s="59"/>
      <c r="E50" s="57"/>
      <c r="F50" s="59"/>
      <c r="G50" s="59"/>
      <c r="H50" s="57"/>
      <c r="I50" s="59"/>
      <c r="J50" s="59"/>
      <c r="K50" s="57"/>
      <c r="L50" s="59"/>
      <c r="M50" s="57"/>
      <c r="N50" s="59"/>
      <c r="O50" s="59"/>
      <c r="P50" s="59"/>
      <c r="Q50" s="59"/>
      <c r="R50" s="59"/>
      <c r="S50" s="58" t="s">
        <v>0</v>
      </c>
      <c r="T50" s="59"/>
      <c r="U50" s="43"/>
      <c r="V50" s="43"/>
      <c r="W50" s="43"/>
      <c r="X50" s="43"/>
      <c r="Y50" s="43"/>
      <c r="Z50" s="43"/>
      <c r="AA50" s="43"/>
    </row>
    <row r="51" spans="1:27">
      <c r="A51" t="s">
        <v>218</v>
      </c>
      <c r="B51" s="59">
        <f>+capitalbkvar!B61/capitalbkvar!B62</f>
        <v>0.98586810228802157</v>
      </c>
      <c r="C51" s="59">
        <v>0.53510000000000002</v>
      </c>
      <c r="D51" s="59"/>
      <c r="E51" s="57">
        <v>0</v>
      </c>
      <c r="F51" s="59">
        <v>0.61660000000000004</v>
      </c>
      <c r="G51" s="59"/>
      <c r="H51" s="364">
        <v>0</v>
      </c>
      <c r="I51" s="59">
        <v>0.81510000000000005</v>
      </c>
      <c r="J51" s="59"/>
      <c r="K51" s="57">
        <v>0</v>
      </c>
      <c r="L51" s="59">
        <v>1.3749</v>
      </c>
      <c r="M51" s="57"/>
      <c r="N51" s="59">
        <f>+B51</f>
        <v>0.98586810228802157</v>
      </c>
      <c r="O51" s="59">
        <f>+C51</f>
        <v>0.53510000000000002</v>
      </c>
      <c r="P51" s="59"/>
      <c r="Q51" s="59">
        <f>+capitalbkvar!J61/capitalbkvar!J62</f>
        <v>1.374947720618988</v>
      </c>
      <c r="R51" s="59">
        <v>1.5576000000000001</v>
      </c>
      <c r="S51" s="59">
        <v>3.3477000000000001</v>
      </c>
      <c r="T51" s="59">
        <v>2</v>
      </c>
      <c r="U51" s="43"/>
      <c r="V51" s="43"/>
      <c r="W51" s="43"/>
      <c r="X51" s="43"/>
      <c r="Y51" s="43"/>
      <c r="Z51" s="43"/>
      <c r="AA51" s="43"/>
    </row>
    <row r="52" spans="1:27">
      <c r="B52" s="57"/>
      <c r="C52" s="59"/>
      <c r="D52" s="59"/>
      <c r="E52" s="57"/>
      <c r="F52" s="59"/>
      <c r="G52" s="59"/>
      <c r="H52" s="57"/>
      <c r="I52" s="59"/>
      <c r="J52" s="59"/>
      <c r="K52" s="57"/>
      <c r="L52" s="59"/>
      <c r="M52" s="57"/>
      <c r="N52" s="59"/>
      <c r="O52" s="59"/>
      <c r="P52" s="59"/>
      <c r="Q52" s="59"/>
      <c r="R52" s="59"/>
      <c r="S52" s="59"/>
      <c r="T52" s="59"/>
      <c r="U52" s="43"/>
      <c r="V52" s="43"/>
      <c r="W52" s="43"/>
      <c r="X52" s="43"/>
      <c r="Y52" s="43"/>
      <c r="Z52" s="43"/>
      <c r="AA52" s="43"/>
    </row>
    <row r="53" spans="1:27">
      <c r="A53" t="s">
        <v>219</v>
      </c>
      <c r="B53" s="57"/>
      <c r="C53" s="59"/>
      <c r="D53" s="59"/>
      <c r="E53" s="57"/>
      <c r="F53" s="59"/>
      <c r="G53" s="59"/>
      <c r="H53" s="57"/>
      <c r="I53" s="59"/>
      <c r="J53" s="59"/>
      <c r="K53" s="57"/>
      <c r="L53" s="59"/>
      <c r="M53" s="57"/>
      <c r="N53" s="59"/>
      <c r="O53" s="59"/>
      <c r="P53" s="59"/>
      <c r="Q53" s="59"/>
      <c r="R53" s="59"/>
      <c r="S53" s="59"/>
      <c r="T53" s="59"/>
      <c r="U53" s="43"/>
      <c r="V53" s="43"/>
      <c r="W53" s="43"/>
      <c r="X53" s="43"/>
      <c r="Y53" s="43"/>
      <c r="Z53" s="43"/>
      <c r="AA53" s="43"/>
    </row>
    <row r="54" spans="1:27">
      <c r="A54" t="s">
        <v>220</v>
      </c>
      <c r="B54" s="59">
        <f>+(capitalbkvar!B62-capitalbkvar!B61)/capitalbkvar!B51</f>
        <v>8.7628521832020293E-4</v>
      </c>
      <c r="C54" s="59">
        <v>3.9100000000000003E-2</v>
      </c>
      <c r="D54" s="59"/>
      <c r="E54" s="57">
        <v>0</v>
      </c>
      <c r="F54" s="59">
        <v>3.4700000000000002E-2</v>
      </c>
      <c r="G54" s="59"/>
      <c r="H54" s="364">
        <v>0</v>
      </c>
      <c r="I54" s="59">
        <v>1.3100000000000001E-2</v>
      </c>
      <c r="J54" s="59"/>
      <c r="K54" s="57">
        <v>0</v>
      </c>
      <c r="L54" s="59">
        <v>-1.54E-2</v>
      </c>
      <c r="M54" s="57"/>
      <c r="N54" s="59">
        <f>+B54</f>
        <v>8.7628521832020293E-4</v>
      </c>
      <c r="O54" s="59">
        <f>+C54</f>
        <v>3.9100000000000003E-2</v>
      </c>
      <c r="P54" s="59"/>
      <c r="Q54" s="59">
        <f>+(capitalbkvar!J62-capitalbkvar!J61)/capitalbkvar!J51</f>
        <v>-1.537406216505895E-2</v>
      </c>
      <c r="R54" s="59">
        <v>-1.7500000000000002E-2</v>
      </c>
      <c r="S54" s="59">
        <v>-3.73E-2</v>
      </c>
      <c r="T54" s="59">
        <v>-5.3400000000000003E-2</v>
      </c>
      <c r="U54" s="43"/>
      <c r="V54" s="43"/>
      <c r="W54" s="43"/>
      <c r="X54" s="43"/>
      <c r="Y54" s="43"/>
      <c r="Z54" s="43"/>
      <c r="AA54" s="43"/>
    </row>
    <row r="55" spans="1:27">
      <c r="A55" t="s">
        <v>0</v>
      </c>
      <c r="B55" s="57"/>
      <c r="C55" s="59"/>
      <c r="D55" s="59"/>
      <c r="E55" s="57"/>
      <c r="F55" s="59"/>
      <c r="G55" s="59"/>
      <c r="H55" s="57"/>
      <c r="I55" s="59"/>
      <c r="J55" s="59"/>
      <c r="K55" s="57"/>
      <c r="L55" s="59"/>
      <c r="M55" s="57"/>
      <c r="N55" s="57"/>
      <c r="O55" s="59"/>
      <c r="P55" s="59"/>
      <c r="Q55" s="59"/>
      <c r="R55" s="59"/>
      <c r="S55" s="59"/>
      <c r="T55" s="59"/>
      <c r="U55" s="43"/>
      <c r="V55" s="43"/>
      <c r="W55" s="43"/>
      <c r="X55" s="43"/>
      <c r="Y55" s="43"/>
      <c r="Z55" s="43"/>
      <c r="AA55" s="43"/>
    </row>
    <row r="56" spans="1:27">
      <c r="A56" s="2" t="s">
        <v>221</v>
      </c>
      <c r="B56" s="57"/>
      <c r="C56" s="59"/>
      <c r="D56" s="59"/>
      <c r="E56" s="57"/>
      <c r="F56" s="59"/>
      <c r="G56" s="59"/>
      <c r="H56" s="57"/>
      <c r="I56" s="59"/>
      <c r="J56" s="59"/>
      <c r="K56" s="57"/>
      <c r="L56" s="59"/>
      <c r="M56" s="57"/>
      <c r="N56" s="57"/>
      <c r="O56" s="59"/>
      <c r="P56" s="59"/>
      <c r="Q56" s="59"/>
      <c r="R56" s="59"/>
      <c r="S56" s="59"/>
      <c r="T56" s="59"/>
      <c r="U56" s="43"/>
      <c r="V56" s="43"/>
      <c r="W56" s="43"/>
      <c r="X56" s="43"/>
      <c r="Y56" s="43"/>
      <c r="Z56" s="43"/>
      <c r="AA56" s="43"/>
    </row>
    <row r="57" spans="1:27">
      <c r="A57" s="2"/>
      <c r="B57" s="57"/>
      <c r="C57" s="59"/>
      <c r="D57" s="59"/>
      <c r="E57" s="57"/>
      <c r="F57" s="59"/>
      <c r="G57" s="59"/>
      <c r="H57" s="57"/>
      <c r="I57" s="59"/>
      <c r="J57" s="59"/>
      <c r="K57" s="57"/>
      <c r="L57" s="59"/>
      <c r="M57" s="57"/>
      <c r="N57" s="57"/>
      <c r="O57" s="59"/>
      <c r="P57" s="59"/>
      <c r="Q57" s="59"/>
      <c r="R57" s="59"/>
      <c r="S57" s="59"/>
      <c r="T57" s="59"/>
      <c r="U57" s="43"/>
      <c r="V57" s="43"/>
      <c r="W57" s="43"/>
      <c r="X57" s="43"/>
      <c r="Y57" s="43"/>
      <c r="Z57" s="43"/>
      <c r="AA57" s="43"/>
    </row>
    <row r="58" spans="1:27">
      <c r="A58" t="s">
        <v>222</v>
      </c>
      <c r="B58" s="59">
        <f>+('CAPITALBKRÉSULT      '!B41/((capitalbkvar!B22+capitalbkvar!J22)/2)*4)</f>
        <v>1.6097465825083788E-2</v>
      </c>
      <c r="C58" s="59">
        <v>1.7100000000000001E-2</v>
      </c>
      <c r="D58" s="59"/>
      <c r="E58" s="364">
        <v>0</v>
      </c>
      <c r="F58" s="59">
        <v>1.66E-2</v>
      </c>
      <c r="G58" s="59"/>
      <c r="H58" s="364">
        <v>0</v>
      </c>
      <c r="I58" s="59">
        <v>1.34E-2</v>
      </c>
      <c r="J58" s="59"/>
      <c r="K58" s="57">
        <v>0</v>
      </c>
      <c r="L58" s="59">
        <v>7.1999999999999998E-3</v>
      </c>
      <c r="M58" s="57"/>
      <c r="N58" s="359">
        <f>+'sysratfinclé '!F37</f>
        <v>1.6097465825083788E-2</v>
      </c>
      <c r="O58" s="359">
        <f>+'sysratfinclé '!F38</f>
        <v>1.7100000000000001E-2</v>
      </c>
      <c r="P58" s="59"/>
      <c r="Q58" s="59">
        <f>+'CAPITALBKVARAN        '!F43/((capitalbkvar!J22+capitalbkvar!L22)/2)</f>
        <v>1.2945918193904707E-2</v>
      </c>
      <c r="R58" s="59">
        <v>2.1100000000000001E-2</v>
      </c>
      <c r="S58" s="59">
        <v>3.1800000000000002E-2</v>
      </c>
      <c r="T58" s="59">
        <v>3.0499999999999999E-2</v>
      </c>
      <c r="U58" s="43"/>
      <c r="V58" s="43"/>
      <c r="W58" s="43"/>
      <c r="X58" s="43"/>
      <c r="Y58" s="43"/>
      <c r="Z58" s="43"/>
      <c r="AA58" s="43"/>
    </row>
    <row r="59" spans="1:27" ht="7.15" customHeight="1">
      <c r="B59" s="57"/>
      <c r="C59" s="59"/>
      <c r="D59" s="59"/>
      <c r="E59" s="57"/>
      <c r="F59" s="59"/>
      <c r="G59" s="59"/>
      <c r="H59" s="57"/>
      <c r="I59" s="59"/>
      <c r="J59" s="59"/>
      <c r="K59" s="57"/>
      <c r="L59" s="59"/>
      <c r="M59" s="57"/>
      <c r="N59" s="57"/>
      <c r="O59" s="57"/>
      <c r="P59" s="59"/>
      <c r="Q59" s="59"/>
      <c r="R59" s="59"/>
      <c r="S59" s="59"/>
      <c r="T59" s="59"/>
      <c r="U59" s="43"/>
      <c r="V59" s="43"/>
      <c r="W59" s="43"/>
      <c r="X59" s="43"/>
      <c r="Y59" s="43"/>
      <c r="Z59" s="43"/>
      <c r="AA59" s="43"/>
    </row>
    <row r="60" spans="1:27">
      <c r="A60" t="s">
        <v>547</v>
      </c>
      <c r="B60" s="59">
        <f>+('CAPITALBKRÉSULT      '!B41/((capitalbkvar!B51+capitalbkvar!J51)/2)*4)</f>
        <v>0.14589192595443415</v>
      </c>
      <c r="C60" s="59">
        <v>0.1123</v>
      </c>
      <c r="D60" s="59"/>
      <c r="E60" s="57">
        <v>0</v>
      </c>
      <c r="F60" s="59">
        <v>0.11550000000000001</v>
      </c>
      <c r="G60" s="59"/>
      <c r="H60" s="364">
        <v>0</v>
      </c>
      <c r="I60" s="59">
        <v>0.10580000000000001</v>
      </c>
      <c r="J60" s="59"/>
      <c r="K60" s="57">
        <v>0</v>
      </c>
      <c r="L60" s="59">
        <v>6.1400000000000003E-2</v>
      </c>
      <c r="M60" s="57"/>
      <c r="N60" s="359">
        <f>+'sysratfinclé '!F43</f>
        <v>0.14589192595443415</v>
      </c>
      <c r="O60" s="359">
        <f>+'sysratfinclé '!F44</f>
        <v>0.1123</v>
      </c>
      <c r="P60" s="59"/>
      <c r="Q60" s="59">
        <f>+'CAPITALBKVARAN        '!F43/((capitalbkvar!J51+capitalbkvar!L51)/2)</f>
        <v>0.10148207636708768</v>
      </c>
      <c r="R60" s="59">
        <v>0.1384</v>
      </c>
      <c r="S60" s="59">
        <v>0.22550000000000001</v>
      </c>
      <c r="T60" s="59">
        <v>0.25979999999999998</v>
      </c>
      <c r="U60" s="43"/>
      <c r="V60" s="43"/>
      <c r="W60" s="43"/>
      <c r="X60" s="43"/>
      <c r="Y60" s="43"/>
      <c r="Z60" s="43"/>
      <c r="AA60" s="43"/>
    </row>
    <row r="61" spans="1:27" ht="7.15" customHeight="1">
      <c r="B61" s="57"/>
      <c r="C61" s="59"/>
      <c r="D61" s="59"/>
      <c r="E61" s="57"/>
      <c r="F61" s="59"/>
      <c r="G61" s="59"/>
      <c r="H61" s="57"/>
      <c r="I61" s="59"/>
      <c r="J61" s="59"/>
      <c r="K61" s="57"/>
      <c r="L61" s="59"/>
      <c r="M61" s="57"/>
      <c r="N61" s="57"/>
      <c r="O61" s="57"/>
      <c r="P61" s="59"/>
      <c r="Q61" s="59"/>
      <c r="R61" s="59"/>
      <c r="S61" s="59"/>
      <c r="T61" s="59"/>
      <c r="U61" s="43"/>
      <c r="V61" s="43"/>
      <c r="W61" s="43"/>
      <c r="X61" s="43"/>
      <c r="Y61" s="43"/>
      <c r="Z61" s="43"/>
      <c r="AA61" s="43"/>
    </row>
    <row r="62" spans="1:27">
      <c r="A62" t="s">
        <v>201</v>
      </c>
      <c r="B62" s="57"/>
      <c r="C62" s="59"/>
      <c r="D62" s="59"/>
      <c r="E62" s="57"/>
      <c r="F62" s="59"/>
      <c r="G62" s="59"/>
      <c r="H62" s="57"/>
      <c r="I62" s="59"/>
      <c r="J62" s="59"/>
      <c r="K62" s="57"/>
      <c r="L62" s="59"/>
      <c r="M62" s="57"/>
      <c r="N62" s="57"/>
      <c r="O62" s="57"/>
      <c r="P62" s="59"/>
      <c r="Q62" s="59"/>
      <c r="R62" s="59"/>
      <c r="S62" s="59"/>
      <c r="T62" s="59"/>
      <c r="U62" s="43"/>
      <c r="V62" s="43"/>
      <c r="W62" s="43"/>
      <c r="X62" s="43"/>
      <c r="Y62" s="43"/>
      <c r="Z62" s="43"/>
      <c r="AA62" s="43"/>
    </row>
    <row r="63" spans="1:27">
      <c r="A63" t="s">
        <v>225</v>
      </c>
      <c r="B63" s="59">
        <f>+'CAPITALBKRÉSULT      '!B15/'CAPITALBKRÉSULT      '!B13</f>
        <v>0.66023236333175506</v>
      </c>
      <c r="C63" s="59">
        <v>0.68410000000000004</v>
      </c>
      <c r="D63" s="59"/>
      <c r="E63" s="57">
        <v>0</v>
      </c>
      <c r="F63" s="59">
        <v>0.70399999999999996</v>
      </c>
      <c r="G63" s="59"/>
      <c r="H63" s="364">
        <v>0</v>
      </c>
      <c r="I63" s="59">
        <v>0.68659999999999999</v>
      </c>
      <c r="J63" s="59"/>
      <c r="K63" s="57">
        <v>0</v>
      </c>
      <c r="L63" s="59">
        <v>0.67730000000000001</v>
      </c>
      <c r="M63" s="57"/>
      <c r="N63" s="359">
        <f>+'sysratfinclé '!F50</f>
        <v>0.66023236333175506</v>
      </c>
      <c r="O63" s="359">
        <f>+'sysratfinclé '!F51</f>
        <v>0.68413167055920332</v>
      </c>
      <c r="P63" s="59"/>
      <c r="Q63" s="59">
        <f>+'CAPITALBKVARAN        '!F17/'CAPITALBKVARAN        '!F15</f>
        <v>0.68756855961522234</v>
      </c>
      <c r="R63" s="59">
        <v>0.66210000000000002</v>
      </c>
      <c r="S63" s="59">
        <v>0.69699999999999995</v>
      </c>
      <c r="T63" s="59">
        <v>0.63429999999999997</v>
      </c>
      <c r="U63" s="43"/>
      <c r="V63" s="43"/>
      <c r="W63" s="43"/>
      <c r="X63" s="43"/>
      <c r="Y63" s="43"/>
      <c r="Z63" s="43"/>
      <c r="AA63" s="43"/>
    </row>
    <row r="64" spans="1:27" ht="7.15" customHeight="1">
      <c r="B64" s="57"/>
      <c r="C64" s="59"/>
      <c r="D64" s="59"/>
      <c r="E64" s="57"/>
      <c r="F64" s="59"/>
      <c r="G64" s="59"/>
      <c r="H64" s="57"/>
      <c r="I64" s="59"/>
      <c r="J64" s="59"/>
      <c r="K64" s="57"/>
      <c r="L64" s="59"/>
      <c r="M64" s="57"/>
      <c r="N64" s="362" t="s">
        <v>0</v>
      </c>
      <c r="O64" s="362" t="s">
        <v>0</v>
      </c>
      <c r="P64" s="59"/>
      <c r="Q64" s="59"/>
      <c r="R64" s="59"/>
      <c r="S64" s="59"/>
      <c r="T64" s="59"/>
      <c r="U64" s="43"/>
      <c r="V64" s="43"/>
      <c r="W64" s="43"/>
      <c r="X64" s="43"/>
      <c r="Y64" s="43"/>
      <c r="Z64" s="43"/>
      <c r="AA64" s="43"/>
    </row>
    <row r="65" spans="1:20">
      <c r="A65" t="s">
        <v>226</v>
      </c>
      <c r="B65" s="59">
        <f>+('CAPITALBKRÉSULT      '!B10/((capitalbkvar!J60+capitalbkvar!B60)/2)*4)</f>
        <v>0.17547860599682835</v>
      </c>
      <c r="C65" s="56">
        <v>0.20569999999999999</v>
      </c>
      <c r="D65" s="56"/>
      <c r="E65" s="49">
        <v>0</v>
      </c>
      <c r="F65" s="56">
        <v>0.18240000000000001</v>
      </c>
      <c r="G65" s="56"/>
      <c r="H65" s="364">
        <v>0</v>
      </c>
      <c r="I65" s="56">
        <v>0.18279999999999999</v>
      </c>
      <c r="J65" s="56"/>
      <c r="K65" s="49">
        <v>0</v>
      </c>
      <c r="L65" s="56">
        <v>0.18149999999999999</v>
      </c>
      <c r="M65" s="9"/>
      <c r="N65" s="359">
        <f>+'sysratfinclé '!F56</f>
        <v>0.17547860599682835</v>
      </c>
      <c r="O65" s="359">
        <f>+'sysratfinclé '!F57</f>
        <v>0.2218</v>
      </c>
      <c r="P65" s="56"/>
      <c r="Q65" s="56">
        <f>+'CAPITALBKVARAN        '!F12/((capitalbkvar!J60+capitalbkvar!L60)/2)</f>
        <v>0.19282152737925906</v>
      </c>
      <c r="R65" s="56">
        <v>0.21260000000000001</v>
      </c>
      <c r="S65" s="56">
        <v>0.19989999999999999</v>
      </c>
      <c r="T65" s="56">
        <v>0.19950000000000001</v>
      </c>
    </row>
    <row r="66" spans="1:20" ht="7.15" customHeight="1">
      <c r="B66" s="9"/>
      <c r="C66" s="56"/>
      <c r="D66" s="56"/>
      <c r="E66" s="49"/>
      <c r="F66" s="56"/>
      <c r="G66" s="56"/>
      <c r="H66" s="49"/>
      <c r="I66" s="56"/>
      <c r="J66" s="56"/>
      <c r="K66" s="49"/>
      <c r="L66" s="56"/>
      <c r="M66" s="9"/>
      <c r="N66" s="9"/>
      <c r="O66" s="9"/>
      <c r="P66" s="56"/>
      <c r="Q66" s="56"/>
      <c r="R66" s="56"/>
      <c r="S66" s="56"/>
      <c r="T66" s="56"/>
    </row>
    <row r="67" spans="1:20">
      <c r="A67" t="s">
        <v>227</v>
      </c>
      <c r="B67" s="59">
        <f>+('CAPITALBKRÉSULT      '!B14/((capitalbkvar!B29+capitalbkvar!J29)/2)*4)</f>
        <v>4.4531878851236002E-2</v>
      </c>
      <c r="C67" s="56">
        <v>5.33E-2</v>
      </c>
      <c r="D67" s="56"/>
      <c r="E67" s="49">
        <v>0</v>
      </c>
      <c r="F67" s="56">
        <v>4.3499999999999997E-2</v>
      </c>
      <c r="G67" s="56"/>
      <c r="H67" s="364">
        <v>0</v>
      </c>
      <c r="I67" s="56">
        <v>4.2799999999999998E-2</v>
      </c>
      <c r="J67" s="56"/>
      <c r="K67" s="49">
        <v>0</v>
      </c>
      <c r="L67" s="56">
        <v>4.2200000000000001E-2</v>
      </c>
      <c r="M67" s="9"/>
      <c r="N67" s="359">
        <f>+'sysratfinclé '!F62</f>
        <v>4.4531878851236002E-2</v>
      </c>
      <c r="O67" s="359">
        <f>+'sysratfinclé '!F63</f>
        <v>5.33E-2</v>
      </c>
      <c r="P67" s="56"/>
      <c r="Q67" s="56">
        <f>+'CAPITALBKVARAN        '!F16/((capitalbkvar!J29+capitalbkvar!L29)/2)</f>
        <v>4.4926386611721415E-2</v>
      </c>
      <c r="R67" s="56">
        <v>5.8999999999999997E-2</v>
      </c>
      <c r="S67" s="56">
        <v>5.3800000000000001E-2</v>
      </c>
      <c r="T67" s="56">
        <v>6.6299999999999998E-2</v>
      </c>
    </row>
    <row r="68" spans="1:20" ht="6" customHeight="1">
      <c r="B68" s="9"/>
      <c r="C68" s="56"/>
      <c r="D68" s="56"/>
      <c r="E68" s="49"/>
      <c r="F68" s="56"/>
      <c r="G68" s="56"/>
      <c r="H68" s="49"/>
      <c r="I68" s="56"/>
      <c r="J68" s="56"/>
      <c r="K68" s="49"/>
      <c r="L68" s="56"/>
      <c r="M68" s="9"/>
      <c r="N68" s="9"/>
      <c r="O68" s="9"/>
      <c r="P68" s="56"/>
      <c r="Q68" s="56"/>
      <c r="R68" s="56"/>
      <c r="S68" s="56"/>
      <c r="T68" s="56"/>
    </row>
    <row r="69" spans="1:20">
      <c r="A69" t="s">
        <v>204</v>
      </c>
      <c r="B69" s="9"/>
      <c r="C69" s="56"/>
      <c r="D69" s="56"/>
      <c r="E69" s="49"/>
      <c r="F69" s="56"/>
      <c r="G69" s="56"/>
      <c r="H69" s="49"/>
      <c r="I69" s="56"/>
      <c r="J69" s="56"/>
      <c r="K69" s="49"/>
      <c r="L69" s="56"/>
      <c r="M69" s="9"/>
      <c r="N69" s="9"/>
      <c r="O69" s="9"/>
      <c r="P69" s="56"/>
      <c r="Q69" s="56"/>
      <c r="R69" s="56"/>
      <c r="S69" s="56"/>
      <c r="T69" s="56"/>
    </row>
    <row r="70" spans="1:20">
      <c r="A70" t="s">
        <v>228</v>
      </c>
      <c r="B70" s="59">
        <f>+'CAPITALBKRÉSULT      '!B35/'CAPITALBKRÉSULT      '!B23</f>
        <v>0.79248995654669185</v>
      </c>
      <c r="C70" s="56">
        <v>0.76070000000000004</v>
      </c>
      <c r="D70" s="56"/>
      <c r="E70" s="57">
        <v>0</v>
      </c>
      <c r="F70" s="56">
        <v>0.81469999999999998</v>
      </c>
      <c r="G70" s="56"/>
      <c r="H70" s="364">
        <v>0</v>
      </c>
      <c r="I70" s="56">
        <v>0.77569999999999995</v>
      </c>
      <c r="J70" s="56"/>
      <c r="K70" s="57">
        <v>0</v>
      </c>
      <c r="L70" s="363">
        <v>0.91300000000000003</v>
      </c>
      <c r="M70" s="9"/>
      <c r="N70" s="359">
        <f>+'sysratfinclé '!F70</f>
        <v>0.79248995654669185</v>
      </c>
      <c r="O70" s="359">
        <f>+'sysratfinclé '!F71</f>
        <v>0.76067440332822422</v>
      </c>
      <c r="P70" s="56"/>
      <c r="Q70" s="56">
        <f>+'CAPITALBKVARAN        '!F37/'CAPITALBKVARAN        '!F25</f>
        <v>0.81992169981697638</v>
      </c>
      <c r="R70" s="56">
        <v>0.72089999999999999</v>
      </c>
      <c r="S70" s="56">
        <v>0.60870000000000002</v>
      </c>
      <c r="T70" s="56">
        <v>0.61829999999999996</v>
      </c>
    </row>
    <row r="71" spans="1:20">
      <c r="A71" t="s">
        <v>452</v>
      </c>
      <c r="B71" s="9"/>
      <c r="C71" s="9"/>
      <c r="D71" s="9"/>
      <c r="E71" s="49"/>
      <c r="F71" s="9"/>
      <c r="G71" s="9"/>
      <c r="H71" s="49"/>
      <c r="I71" s="9"/>
      <c r="J71" s="9"/>
      <c r="K71" s="49"/>
      <c r="L71" s="9"/>
      <c r="M71" s="9"/>
      <c r="N71" s="9"/>
      <c r="O71" s="9"/>
      <c r="P71" s="9"/>
      <c r="Q71" s="9"/>
      <c r="R71" s="9"/>
      <c r="S71" s="9"/>
      <c r="T71" s="9"/>
    </row>
    <row r="72" spans="1:20">
      <c r="B72" s="9"/>
      <c r="C72" s="9"/>
      <c r="D72" s="9"/>
      <c r="E72" s="49"/>
      <c r="F72" s="9"/>
      <c r="G72" s="9"/>
      <c r="H72" s="49"/>
      <c r="I72" s="9"/>
      <c r="J72" s="9"/>
      <c r="K72" s="49"/>
      <c r="L72" s="9"/>
      <c r="M72" s="9"/>
      <c r="N72" s="9"/>
      <c r="O72" s="9"/>
      <c r="P72" s="9"/>
      <c r="Q72" s="9"/>
      <c r="R72" s="9"/>
      <c r="S72" s="9"/>
      <c r="T72" s="9"/>
    </row>
    <row r="73" spans="1:20">
      <c r="A73" t="s">
        <v>453</v>
      </c>
      <c r="B73" s="49">
        <f>+('CAPITALBKRÉSULT      '!B23/((157+146)/2)*4)</f>
        <v>644.0660066006601</v>
      </c>
      <c r="C73" s="49">
        <v>765.15</v>
      </c>
      <c r="D73" s="9"/>
      <c r="E73" s="49">
        <v>0</v>
      </c>
      <c r="F73" s="49">
        <v>724.65</v>
      </c>
      <c r="G73" s="9"/>
      <c r="H73" s="364">
        <v>0</v>
      </c>
      <c r="I73" s="49">
        <v>707.57</v>
      </c>
      <c r="J73" s="9"/>
      <c r="K73" s="49">
        <v>0</v>
      </c>
      <c r="L73" s="49">
        <v>654.75</v>
      </c>
      <c r="M73" s="9"/>
      <c r="N73" s="57">
        <f>+'sysratfinclé '!F76</f>
        <v>644.0660066006601</v>
      </c>
      <c r="O73" s="57">
        <f>+'sysratfinclé '!F77</f>
        <v>765.15</v>
      </c>
      <c r="P73" s="9"/>
      <c r="Q73" s="49">
        <v>657.39</v>
      </c>
      <c r="R73" s="49">
        <v>700.95</v>
      </c>
      <c r="S73" s="49">
        <v>541.51</v>
      </c>
      <c r="T73" s="49">
        <v>656.39</v>
      </c>
    </row>
    <row r="74" spans="1:20">
      <c r="B74" s="49"/>
      <c r="C74" s="49"/>
      <c r="D74" s="9"/>
      <c r="E74" s="49"/>
      <c r="F74" s="49"/>
      <c r="G74" s="9"/>
      <c r="H74" s="49"/>
      <c r="I74" s="49"/>
      <c r="J74" s="9"/>
      <c r="K74" s="49"/>
      <c r="L74" s="49"/>
      <c r="M74" s="9"/>
      <c r="N74" s="57"/>
      <c r="O74" s="57"/>
      <c r="P74" s="9"/>
      <c r="Q74" s="49"/>
      <c r="R74" s="49"/>
      <c r="S74" s="49"/>
      <c r="T74" s="49"/>
    </row>
    <row r="75" spans="1:20" ht="16.5" thickBot="1">
      <c r="B75" s="952"/>
      <c r="C75" s="952"/>
      <c r="D75" s="188"/>
      <c r="E75" s="952"/>
      <c r="F75" s="952"/>
      <c r="G75" s="188"/>
      <c r="H75" s="952"/>
      <c r="I75" s="952"/>
      <c r="J75" s="188"/>
      <c r="K75" s="952"/>
      <c r="L75" s="952"/>
      <c r="M75" s="188"/>
      <c r="N75" s="954"/>
      <c r="O75" s="954"/>
      <c r="P75" s="188"/>
      <c r="Q75" s="952"/>
      <c r="R75" s="952"/>
      <c r="S75" s="952"/>
      <c r="T75" s="952"/>
    </row>
    <row r="76" spans="1:20">
      <c r="B76" s="49"/>
      <c r="C76" s="49"/>
      <c r="D76" s="9"/>
      <c r="E76" s="49"/>
      <c r="F76" s="49"/>
      <c r="G76" s="9"/>
      <c r="H76" s="49"/>
      <c r="I76" s="49"/>
      <c r="J76" s="9"/>
      <c r="K76" s="49"/>
      <c r="L76" s="49"/>
      <c r="M76" s="9"/>
      <c r="N76" s="57"/>
      <c r="O76" s="57"/>
      <c r="P76" s="9"/>
      <c r="Q76" s="49"/>
      <c r="R76" s="49"/>
      <c r="S76" s="49"/>
      <c r="T76" s="49"/>
    </row>
    <row r="77" spans="1:20">
      <c r="A77" s="2" t="s">
        <v>615</v>
      </c>
      <c r="B77" s="20"/>
      <c r="C77" s="20"/>
      <c r="D77" s="20"/>
      <c r="E77" s="20"/>
      <c r="F77" s="20"/>
      <c r="G77" s="20"/>
      <c r="H77" s="20"/>
      <c r="I77" s="20"/>
      <c r="J77" s="20"/>
      <c r="K77" s="20"/>
      <c r="L77" s="20"/>
      <c r="M77" s="20"/>
      <c r="N77" s="20"/>
      <c r="O77" s="20"/>
      <c r="P77" s="20"/>
      <c r="Q77" s="20"/>
      <c r="R77" s="20"/>
      <c r="S77" s="20"/>
      <c r="T77" s="20"/>
    </row>
  </sheetData>
  <pageMargins left="0.2" right="0.2" top="0.56999999999999995" bottom="0.48" header="0.32" footer="0.27"/>
  <pageSetup scale="44"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0"/>
  <sheetViews>
    <sheetView workbookViewId="0"/>
  </sheetViews>
  <sheetFormatPr defaultRowHeight="15.75"/>
  <cols>
    <col min="1" max="1" width="33.25" customWidth="1"/>
    <col min="2" max="2" width="17"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11.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6.75" style="12" customWidth="1"/>
    <col min="17" max="18" width="15.75" style="12" customWidth="1"/>
    <col min="19" max="21" width="15.75" customWidth="1"/>
    <col min="22" max="256" width="11" customWidth="1"/>
  </cols>
  <sheetData>
    <row r="1" spans="1:21">
      <c r="A1" s="114" t="s">
        <v>613</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6" spans="1:21" s="2" customFormat="1" ht="16.5" thickBot="1">
      <c r="B6" s="400" t="s">
        <v>0</v>
      </c>
      <c r="C6" s="399"/>
      <c r="D6" s="400"/>
      <c r="E6" s="399"/>
      <c r="F6" s="400"/>
      <c r="G6" s="399"/>
      <c r="H6" s="400"/>
      <c r="I6" s="67" t="s">
        <v>166</v>
      </c>
      <c r="J6" s="123" t="s">
        <v>167</v>
      </c>
      <c r="K6" s="230"/>
      <c r="L6" s="123"/>
      <c r="M6" s="230"/>
      <c r="N6" s="123"/>
      <c r="O6" s="230"/>
      <c r="P6" s="123"/>
      <c r="Q6" s="4"/>
      <c r="R6" s="4"/>
    </row>
    <row r="7" spans="1:21" s="2" customFormat="1" ht="16.5" thickBot="1">
      <c r="B7" s="225" t="s">
        <v>168</v>
      </c>
      <c r="C7" s="224" t="s">
        <v>169</v>
      </c>
      <c r="D7" s="225" t="s">
        <v>170</v>
      </c>
      <c r="E7" s="224" t="s">
        <v>169</v>
      </c>
      <c r="F7" s="225" t="s">
        <v>171</v>
      </c>
      <c r="G7" s="224" t="s">
        <v>169</v>
      </c>
      <c r="H7" s="225" t="s">
        <v>172</v>
      </c>
      <c r="I7" s="445" t="s">
        <v>173</v>
      </c>
      <c r="J7" s="228" t="s">
        <v>174</v>
      </c>
      <c r="K7" s="227" t="s">
        <v>169</v>
      </c>
      <c r="L7" s="228" t="s">
        <v>175</v>
      </c>
      <c r="M7" s="227" t="s">
        <v>169</v>
      </c>
      <c r="N7" s="228" t="s">
        <v>176</v>
      </c>
      <c r="O7" s="227" t="s">
        <v>169</v>
      </c>
      <c r="P7" s="228" t="s">
        <v>177</v>
      </c>
      <c r="Q7" s="80"/>
      <c r="R7" s="80"/>
      <c r="S7" s="18"/>
      <c r="T7" s="18"/>
      <c r="U7" s="18"/>
    </row>
    <row r="8" spans="1:21">
      <c r="A8" s="87" t="s">
        <v>243</v>
      </c>
      <c r="B8" s="125"/>
      <c r="C8" s="124"/>
      <c r="D8" s="125"/>
      <c r="E8" s="124"/>
      <c r="F8" s="125"/>
      <c r="G8" s="124"/>
      <c r="H8" s="125"/>
      <c r="I8" s="124"/>
      <c r="J8" s="219"/>
      <c r="K8" s="124"/>
      <c r="L8" s="219"/>
      <c r="M8" s="124"/>
      <c r="N8" s="219"/>
      <c r="O8" s="124"/>
      <c r="P8" s="219"/>
      <c r="Q8" s="14"/>
      <c r="R8" s="14"/>
      <c r="S8" s="9"/>
      <c r="T8" s="9"/>
      <c r="U8" s="9"/>
    </row>
    <row r="9" spans="1:21">
      <c r="A9" s="1" t="s">
        <v>264</v>
      </c>
      <c r="B9"/>
    </row>
    <row r="10" spans="1:21">
      <c r="A10" s="1" t="s">
        <v>265</v>
      </c>
      <c r="B10" s="12">
        <v>63929</v>
      </c>
      <c r="C10" s="44">
        <v>0</v>
      </c>
      <c r="D10" s="12">
        <v>0</v>
      </c>
      <c r="E10" s="44">
        <v>0</v>
      </c>
      <c r="F10" s="12">
        <v>0</v>
      </c>
      <c r="G10" s="44">
        <v>0</v>
      </c>
      <c r="H10" s="12">
        <v>0</v>
      </c>
      <c r="I10" s="47">
        <f>+(B10-J10)/ABS(J10)</f>
        <v>1.7807307525010874</v>
      </c>
      <c r="J10" s="12">
        <v>22990</v>
      </c>
      <c r="K10" s="47">
        <f t="shared" ref="K10:K15" si="0">+(J10-L10)/ABS(L10)</f>
        <v>-0.44726276056067127</v>
      </c>
      <c r="L10" s="12">
        <v>41593</v>
      </c>
      <c r="M10" s="47">
        <f t="shared" ref="M10:M15" si="1">+(L10-N10)/ABS(N10)</f>
        <v>0.51977316491217807</v>
      </c>
      <c r="N10" s="12">
        <v>27367.9</v>
      </c>
      <c r="O10" s="47">
        <f>+(N10-P10)/ABS(P10)</f>
        <v>1.1962995387461199</v>
      </c>
      <c r="P10" s="12">
        <f>12460914.15/1000</f>
        <v>12460.914150000001</v>
      </c>
    </row>
    <row r="11" spans="1:21">
      <c r="A11" s="1" t="s">
        <v>266</v>
      </c>
      <c r="B11" s="12">
        <v>117712</v>
      </c>
      <c r="C11" s="44">
        <v>0</v>
      </c>
      <c r="D11" s="12">
        <v>0</v>
      </c>
      <c r="E11" s="44">
        <v>0</v>
      </c>
      <c r="F11" s="12">
        <v>0</v>
      </c>
      <c r="G11" s="44">
        <v>0</v>
      </c>
      <c r="H11" s="12">
        <v>0</v>
      </c>
      <c r="I11" s="47">
        <f>+(B11-J11)/ABS(J11)</f>
        <v>-0.19108844893106741</v>
      </c>
      <c r="J11" s="12">
        <v>145519</v>
      </c>
      <c r="K11" s="47">
        <f t="shared" si="0"/>
        <v>2.6895362693643672</v>
      </c>
      <c r="L11" s="12">
        <v>39441</v>
      </c>
      <c r="M11" s="47">
        <f t="shared" si="1"/>
        <v>-2.5105853912948835E-2</v>
      </c>
      <c r="N11" s="12">
        <v>40456.699999999997</v>
      </c>
      <c r="O11" s="47">
        <f>+(N11-P11)/ABS(P11)</f>
        <v>8.1186491314165318E-2</v>
      </c>
      <c r="P11" s="12">
        <f>37418799/1000</f>
        <v>37418.798999999999</v>
      </c>
    </row>
    <row r="12" spans="1:21">
      <c r="A12" s="1" t="s">
        <v>267</v>
      </c>
      <c r="B12" s="12">
        <v>28845</v>
      </c>
      <c r="C12" s="44">
        <v>0</v>
      </c>
      <c r="D12" s="12">
        <v>0</v>
      </c>
      <c r="E12" s="44">
        <v>0</v>
      </c>
      <c r="F12" s="12">
        <v>0</v>
      </c>
      <c r="G12" s="44">
        <v>0</v>
      </c>
      <c r="H12" s="12">
        <v>0</v>
      </c>
      <c r="I12" s="47">
        <f>+(B12-J12)/ABS(J12)</f>
        <v>-0.28206978943700534</v>
      </c>
      <c r="J12" s="12">
        <v>40178</v>
      </c>
      <c r="K12" s="47">
        <f t="shared" si="0"/>
        <v>0.87914503531172539</v>
      </c>
      <c r="L12" s="12">
        <v>21381</v>
      </c>
      <c r="M12" s="47">
        <f t="shared" si="1"/>
        <v>-0.55393615201345225</v>
      </c>
      <c r="N12" s="12">
        <v>47932.6</v>
      </c>
      <c r="O12" s="47">
        <f>+(N12-P12)/ABS(P12)</f>
        <v>0.16693689114625643</v>
      </c>
      <c r="P12" s="12">
        <f>41075571.75/1000</f>
        <v>41075.571750000003</v>
      </c>
    </row>
    <row r="13" spans="1:21">
      <c r="A13" s="1" t="s">
        <v>268</v>
      </c>
      <c r="B13" s="12">
        <v>656</v>
      </c>
      <c r="C13" s="44">
        <v>0</v>
      </c>
      <c r="D13" s="12">
        <v>0</v>
      </c>
      <c r="E13" s="44">
        <v>0</v>
      </c>
      <c r="F13" s="12">
        <f>+F75</f>
        <v>0</v>
      </c>
      <c r="G13" s="44">
        <v>0</v>
      </c>
      <c r="H13" s="12">
        <f>+H75</f>
        <v>0</v>
      </c>
      <c r="I13" s="44">
        <v>0</v>
      </c>
      <c r="J13" s="12">
        <f>+J75</f>
        <v>0</v>
      </c>
      <c r="K13" s="44">
        <v>0</v>
      </c>
      <c r="L13" s="12">
        <f>+L75</f>
        <v>0</v>
      </c>
      <c r="M13" s="47">
        <f t="shared" si="1"/>
        <v>-1</v>
      </c>
      <c r="N13" s="12">
        <v>16082.5</v>
      </c>
      <c r="O13" s="44">
        <v>0</v>
      </c>
      <c r="P13" s="12">
        <f>4513620/1000</f>
        <v>4513.62</v>
      </c>
    </row>
    <row r="14" spans="1:21">
      <c r="A14" s="1" t="s">
        <v>269</v>
      </c>
      <c r="B14" s="221">
        <v>48144</v>
      </c>
      <c r="C14" s="44">
        <v>0</v>
      </c>
      <c r="D14" s="221">
        <v>0</v>
      </c>
      <c r="E14" s="44">
        <v>0</v>
      </c>
      <c r="F14" s="221">
        <v>0</v>
      </c>
      <c r="G14" s="44">
        <v>0</v>
      </c>
      <c r="H14" s="221">
        <v>0</v>
      </c>
      <c r="I14" s="47">
        <f>+(B14-J14)/ABS(J14)</f>
        <v>0.3706086659454535</v>
      </c>
      <c r="J14" s="221">
        <v>35126</v>
      </c>
      <c r="K14" s="47">
        <f t="shared" si="0"/>
        <v>0.47149260609107285</v>
      </c>
      <c r="L14" s="221">
        <f>13526+9763+582</f>
        <v>23871</v>
      </c>
      <c r="M14" s="47">
        <f t="shared" si="1"/>
        <v>1.0636265398746487</v>
      </c>
      <c r="N14" s="221">
        <v>11567.5</v>
      </c>
      <c r="O14" s="47">
        <f>+(N14-P14)/ABS(P14)</f>
        <v>0.51818818981753045</v>
      </c>
      <c r="P14" s="221">
        <f>7619279.4/1000</f>
        <v>7619.2794000000004</v>
      </c>
    </row>
    <row r="15" spans="1:21" ht="15.6" customHeight="1">
      <c r="A15" s="1"/>
      <c r="B15" s="12">
        <f>SUM(B10:B14)</f>
        <v>259286</v>
      </c>
      <c r="C15" s="44">
        <v>0</v>
      </c>
      <c r="D15" s="12">
        <f>SUM(D10:D14)</f>
        <v>0</v>
      </c>
      <c r="E15" s="44">
        <v>0</v>
      </c>
      <c r="F15" s="12">
        <f>SUM(F10:F14)</f>
        <v>0</v>
      </c>
      <c r="G15" s="44">
        <v>0</v>
      </c>
      <c r="H15" s="12">
        <f>SUM(H10:H14)</f>
        <v>0</v>
      </c>
      <c r="I15" s="47">
        <f>+(B15-J15)/ABS(J15)</f>
        <v>6.346257172505157E-2</v>
      </c>
      <c r="J15" s="12">
        <f>SUM(J10:J14)</f>
        <v>243813</v>
      </c>
      <c r="K15" s="47">
        <f t="shared" si="0"/>
        <v>0.93064155963448048</v>
      </c>
      <c r="L15" s="12">
        <f>SUM(L10:L14)</f>
        <v>126286</v>
      </c>
      <c r="M15" s="47">
        <f t="shared" si="1"/>
        <v>-0.11938870572746703</v>
      </c>
      <c r="N15" s="12">
        <f>SUM(N10:N14)</f>
        <v>143407.20000000001</v>
      </c>
      <c r="O15" s="47">
        <f>+(N15-P15)/ABS(P15)</f>
        <v>0.39111190068753615</v>
      </c>
      <c r="P15" s="12">
        <f>SUM(P10:P14)</f>
        <v>103088.18429999999</v>
      </c>
    </row>
    <row r="16" spans="1:21" ht="7.9" customHeight="1">
      <c r="A16" s="1"/>
      <c r="C16" s="44" t="s">
        <v>0</v>
      </c>
      <c r="E16" s="44" t="s">
        <v>0</v>
      </c>
      <c r="G16" s="44" t="s">
        <v>0</v>
      </c>
      <c r="I16" s="47" t="s">
        <v>0</v>
      </c>
      <c r="K16" s="47" t="s">
        <v>0</v>
      </c>
      <c r="M16" s="47" t="s">
        <v>0</v>
      </c>
      <c r="O16" s="47" t="s">
        <v>0</v>
      </c>
    </row>
    <row r="17" spans="1:16" ht="15.6" customHeight="1">
      <c r="A17" s="1" t="s">
        <v>270</v>
      </c>
      <c r="B17" s="12">
        <v>80000</v>
      </c>
      <c r="C17" s="44">
        <v>0</v>
      </c>
      <c r="D17" s="12">
        <v>0</v>
      </c>
      <c r="E17" s="44">
        <v>0</v>
      </c>
      <c r="F17" s="12">
        <v>0</v>
      </c>
      <c r="G17" s="44">
        <v>0</v>
      </c>
      <c r="H17" s="12">
        <v>0</v>
      </c>
      <c r="I17" s="47">
        <f t="shared" ref="I17:I22" si="2">+(B17-J17)/ABS(J17)</f>
        <v>6.6666666666666666E-2</v>
      </c>
      <c r="J17" s="12">
        <v>75000</v>
      </c>
      <c r="K17" s="47">
        <f t="shared" ref="K17:K22" si="3">+(J17-L17)/ABS(L17)</f>
        <v>2.75</v>
      </c>
      <c r="L17" s="12">
        <v>20000</v>
      </c>
      <c r="M17" s="44">
        <v>0</v>
      </c>
      <c r="N17" s="12">
        <v>10000</v>
      </c>
      <c r="O17" s="44">
        <v>0</v>
      </c>
      <c r="P17" s="12">
        <v>0</v>
      </c>
    </row>
    <row r="18" spans="1:16">
      <c r="A18" s="1" t="s">
        <v>271</v>
      </c>
      <c r="B18" s="12">
        <v>81079</v>
      </c>
      <c r="C18" s="44">
        <v>0</v>
      </c>
      <c r="D18" s="12">
        <v>0</v>
      </c>
      <c r="E18" s="44">
        <v>0</v>
      </c>
      <c r="F18" s="12">
        <v>0</v>
      </c>
      <c r="G18" s="44">
        <v>0</v>
      </c>
      <c r="H18" s="12">
        <v>0</v>
      </c>
      <c r="I18" s="47">
        <f t="shared" si="2"/>
        <v>0.26177285318559557</v>
      </c>
      <c r="J18" s="12">
        <v>64258</v>
      </c>
      <c r="K18" s="116">
        <f t="shared" si="3"/>
        <v>0.39730793485115357</v>
      </c>
      <c r="L18" s="12">
        <f>13478+2200+5027+25407-125</f>
        <v>45987</v>
      </c>
      <c r="M18" s="943">
        <f>+(L18-N18)/ABS(N18)</f>
        <v>1719.297770462367</v>
      </c>
      <c r="N18" s="12">
        <v>26.731999999999999</v>
      </c>
      <c r="O18" s="47">
        <f>+(N18-P18)/ABS(P18)</f>
        <v>0</v>
      </c>
      <c r="P18" s="12">
        <v>26.731999999999999</v>
      </c>
    </row>
    <row r="19" spans="1:16">
      <c r="A19" s="1" t="s">
        <v>272</v>
      </c>
      <c r="B19" s="12">
        <v>501800</v>
      </c>
      <c r="C19" s="44">
        <v>0</v>
      </c>
      <c r="D19" s="12">
        <v>0</v>
      </c>
      <c r="E19" s="44">
        <v>0</v>
      </c>
      <c r="F19" s="12">
        <v>0</v>
      </c>
      <c r="G19" s="44">
        <v>0</v>
      </c>
      <c r="H19" s="12">
        <v>0</v>
      </c>
      <c r="I19" s="47">
        <f t="shared" si="2"/>
        <v>-1.1700847479325089E-2</v>
      </c>
      <c r="J19" s="12">
        <v>507741</v>
      </c>
      <c r="K19" s="47">
        <f t="shared" si="3"/>
        <v>0.34907615540357423</v>
      </c>
      <c r="L19" s="12">
        <v>376362</v>
      </c>
      <c r="M19" s="47">
        <f>+(L19-N19)/ABS(N19)</f>
        <v>0.3041869181418797</v>
      </c>
      <c r="N19" s="16">
        <v>288579.8</v>
      </c>
      <c r="O19" s="47">
        <f>+(N19-P19)/ABS(P19)</f>
        <v>0.33586748005063632</v>
      </c>
      <c r="P19" s="16">
        <f>216024272.1/1000</f>
        <v>216024.2721</v>
      </c>
    </row>
    <row r="20" spans="1:16">
      <c r="A20" s="1" t="s">
        <v>273</v>
      </c>
      <c r="B20" s="12">
        <v>73605</v>
      </c>
      <c r="C20" s="44">
        <v>0</v>
      </c>
      <c r="D20" s="12">
        <v>0</v>
      </c>
      <c r="E20" s="44">
        <v>0</v>
      </c>
      <c r="F20" s="12">
        <v>0</v>
      </c>
      <c r="G20" s="44">
        <v>0</v>
      </c>
      <c r="H20" s="12">
        <v>0</v>
      </c>
      <c r="I20" s="47">
        <f t="shared" si="2"/>
        <v>-2.2860328965709508E-2</v>
      </c>
      <c r="J20" s="12">
        <v>75327</v>
      </c>
      <c r="K20" s="47">
        <f t="shared" si="3"/>
        <v>0.25198617159192899</v>
      </c>
      <c r="L20" s="12">
        <v>60166</v>
      </c>
      <c r="M20" s="47">
        <f>+(L20-N20)/ABS(N20)</f>
        <v>0.36049222475731346</v>
      </c>
      <c r="N20" s="12">
        <v>44223.7</v>
      </c>
      <c r="O20" s="47">
        <f>+(N20-P20)/ABS(P20)</f>
        <v>0.66706426077223535</v>
      </c>
      <c r="P20" s="12">
        <f>26527891.6/1000</f>
        <v>26527.891600000003</v>
      </c>
    </row>
    <row r="21" spans="1:16" ht="16.5" thickBot="1">
      <c r="A21" s="1" t="s">
        <v>274</v>
      </c>
      <c r="B21" s="99">
        <v>117293</v>
      </c>
      <c r="C21" s="44">
        <v>0</v>
      </c>
      <c r="D21" s="99">
        <v>0</v>
      </c>
      <c r="E21" s="44">
        <v>0</v>
      </c>
      <c r="F21" s="99">
        <v>0</v>
      </c>
      <c r="G21" s="44">
        <v>0</v>
      </c>
      <c r="H21" s="99">
        <v>0</v>
      </c>
      <c r="I21" s="47">
        <f t="shared" si="2"/>
        <v>0.84006337851405621</v>
      </c>
      <c r="J21" s="99">
        <v>63744</v>
      </c>
      <c r="K21" s="47">
        <f t="shared" si="3"/>
        <v>7.6175040518638576E-2</v>
      </c>
      <c r="L21" s="99">
        <v>59232</v>
      </c>
      <c r="M21" s="47">
        <f>+(L21-N21)/ABS(N21)</f>
        <v>3.1221501544971191</v>
      </c>
      <c r="N21" s="99">
        <v>14369.2</v>
      </c>
      <c r="O21" s="47">
        <f>+(N21-P21)/ABS(P21)</f>
        <v>0.28273148712881135</v>
      </c>
      <c r="P21" s="99">
        <f>11202032.65/1000</f>
        <v>11202.032650000001</v>
      </c>
    </row>
    <row r="22" spans="1:16">
      <c r="A22" s="1" t="s">
        <v>275</v>
      </c>
      <c r="B22" s="4">
        <f>SUM(B15:B21)</f>
        <v>1113063</v>
      </c>
      <c r="C22" s="44">
        <v>0</v>
      </c>
      <c r="D22" s="4">
        <f>SUM(D15:D21)</f>
        <v>0</v>
      </c>
      <c r="E22" s="44">
        <v>0</v>
      </c>
      <c r="F22" s="4">
        <f>SUM(F15:F21)</f>
        <v>0</v>
      </c>
      <c r="G22" s="44">
        <v>0</v>
      </c>
      <c r="H22" s="4">
        <f>SUM(H15:H21)</f>
        <v>0</v>
      </c>
      <c r="I22" s="47">
        <f t="shared" si="2"/>
        <v>8.076645599548686E-2</v>
      </c>
      <c r="J22" s="4">
        <f>SUM(J15:J21)</f>
        <v>1029883</v>
      </c>
      <c r="K22" s="112">
        <f t="shared" si="3"/>
        <v>0.49685116847593064</v>
      </c>
      <c r="L22" s="4">
        <f>SUM(L15:L21)</f>
        <v>688033</v>
      </c>
      <c r="M22" s="112">
        <f>+(L22-N22)/ABS(N22)</f>
        <v>0.37439849178825907</v>
      </c>
      <c r="N22" s="4">
        <f>SUM(N15:N21)</f>
        <v>500606.63199999998</v>
      </c>
      <c r="O22" s="112">
        <f>+(N22-P22)/ABS(P22)</f>
        <v>0.40277377406705089</v>
      </c>
      <c r="P22" s="4">
        <f>SUM(P15:P21)</f>
        <v>356869.11264999997</v>
      </c>
    </row>
    <row r="23" spans="1:16" ht="7.9" customHeight="1">
      <c r="A23" s="1"/>
      <c r="C23" s="44" t="s">
        <v>0</v>
      </c>
      <c r="E23" s="44" t="s">
        <v>0</v>
      </c>
      <c r="G23" s="44" t="s">
        <v>0</v>
      </c>
      <c r="I23" s="47" t="s">
        <v>0</v>
      </c>
      <c r="K23" s="47" t="s">
        <v>0</v>
      </c>
      <c r="M23" s="47" t="s">
        <v>0</v>
      </c>
      <c r="O23" s="47" t="s">
        <v>0</v>
      </c>
    </row>
    <row r="24" spans="1:16">
      <c r="A24" s="87" t="s">
        <v>276</v>
      </c>
      <c r="C24" s="44" t="s">
        <v>0</v>
      </c>
      <c r="E24" s="44" t="s">
        <v>0</v>
      </c>
      <c r="G24" s="44" t="s">
        <v>0</v>
      </c>
      <c r="I24" s="47" t="s">
        <v>0</v>
      </c>
      <c r="K24" s="47" t="s">
        <v>0</v>
      </c>
      <c r="M24" s="47" t="s">
        <v>0</v>
      </c>
      <c r="O24" s="47" t="s">
        <v>0</v>
      </c>
    </row>
    <row r="25" spans="1:16">
      <c r="A25" s="1" t="s">
        <v>277</v>
      </c>
      <c r="C25" s="44" t="s">
        <v>0</v>
      </c>
      <c r="E25" s="44" t="s">
        <v>0</v>
      </c>
      <c r="G25" s="44" t="s">
        <v>0</v>
      </c>
      <c r="I25" s="47" t="s">
        <v>0</v>
      </c>
      <c r="K25" s="47" t="s">
        <v>0</v>
      </c>
      <c r="M25" s="47" t="s">
        <v>0</v>
      </c>
      <c r="O25" s="47" t="s">
        <v>0</v>
      </c>
    </row>
    <row r="26" spans="1:16">
      <c r="A26" s="1" t="s">
        <v>278</v>
      </c>
      <c r="B26" s="12">
        <v>303887</v>
      </c>
      <c r="C26" s="44">
        <v>0</v>
      </c>
      <c r="D26" s="12">
        <v>0</v>
      </c>
      <c r="E26" s="44">
        <v>0</v>
      </c>
      <c r="F26" s="12">
        <v>0</v>
      </c>
      <c r="G26" s="44">
        <v>0</v>
      </c>
      <c r="H26" s="12">
        <v>0</v>
      </c>
      <c r="I26" s="47">
        <f>+(B26-J26)/ABS(J26)</f>
        <v>6.7821326418024783E-2</v>
      </c>
      <c r="J26" s="12">
        <v>284586</v>
      </c>
      <c r="K26" s="47">
        <f>+(J26-L26)/ABS(L26)</f>
        <v>0.50255013146640481</v>
      </c>
      <c r="L26" s="12">
        <v>189402</v>
      </c>
      <c r="M26" s="47">
        <f>+(L26-N26)/ABS(N26)</f>
        <v>1.549835016377199</v>
      </c>
      <c r="N26" s="12">
        <v>74280.100000000006</v>
      </c>
      <c r="O26" s="47">
        <f>+(N26-P26)/ABS(P26)</f>
        <v>1.2341869906300018</v>
      </c>
      <c r="P26" s="12">
        <f>33247038.1/1000</f>
        <v>33247.038099999998</v>
      </c>
    </row>
    <row r="27" spans="1:16">
      <c r="A27" s="1" t="s">
        <v>279</v>
      </c>
      <c r="B27" s="12">
        <v>195472</v>
      </c>
      <c r="C27" s="44">
        <v>0</v>
      </c>
      <c r="D27" s="12">
        <v>0</v>
      </c>
      <c r="E27" s="44">
        <v>0</v>
      </c>
      <c r="F27" s="12">
        <v>0</v>
      </c>
      <c r="G27" s="44">
        <v>0</v>
      </c>
      <c r="H27" s="12">
        <v>0</v>
      </c>
      <c r="I27" s="47">
        <f>+(B27-J27)/ABS(J27)</f>
        <v>9.5093502448206704E-2</v>
      </c>
      <c r="J27" s="12">
        <v>178498</v>
      </c>
      <c r="K27" s="47">
        <f>+(J27-L27)/ABS(L27)</f>
        <v>0.14382201032975764</v>
      </c>
      <c r="L27" s="12">
        <v>156054</v>
      </c>
      <c r="M27" s="47">
        <f>+(L27-N27)/ABS(N27)</f>
        <v>-0.19737901203772043</v>
      </c>
      <c r="N27" s="12">
        <v>194430.5</v>
      </c>
      <c r="O27" s="47">
        <f>+(N27-P27)/ABS(P27)</f>
        <v>0.26061953698109408</v>
      </c>
      <c r="P27" s="12">
        <f>154234084.35/1000</f>
        <v>154234.08434999999</v>
      </c>
    </row>
    <row r="28" spans="1:16">
      <c r="A28" s="1" t="s">
        <v>280</v>
      </c>
      <c r="B28" s="221">
        <v>374864</v>
      </c>
      <c r="C28" s="44">
        <v>0</v>
      </c>
      <c r="D28" s="221">
        <v>0</v>
      </c>
      <c r="E28" s="44">
        <v>0</v>
      </c>
      <c r="F28" s="221">
        <v>0</v>
      </c>
      <c r="G28" s="44">
        <v>0</v>
      </c>
      <c r="H28" s="221">
        <v>0</v>
      </c>
      <c r="I28" s="47">
        <f>+(B28-J28)/ABS(J28)</f>
        <v>0.10704751104495948</v>
      </c>
      <c r="J28" s="221">
        <v>338616</v>
      </c>
      <c r="K28" s="47">
        <f>+(J28-L28)/ABS(L28)</f>
        <v>0.97455245203801966</v>
      </c>
      <c r="L28" s="221">
        <v>171490</v>
      </c>
      <c r="M28" s="47">
        <f>+(L28-N28)/ABS(N28)</f>
        <v>0.40350561312219241</v>
      </c>
      <c r="N28" s="221">
        <v>122186.9</v>
      </c>
      <c r="O28" s="47">
        <f>+(N28-P28)/ABS(P28)</f>
        <v>1.2536761883670533</v>
      </c>
      <c r="P28" s="221">
        <f>54216706.3/1000</f>
        <v>54216.706299999998</v>
      </c>
    </row>
    <row r="29" spans="1:16">
      <c r="A29" s="1"/>
      <c r="B29" s="12">
        <f>SUM(B26:B28)</f>
        <v>874223</v>
      </c>
      <c r="C29" s="44">
        <v>0</v>
      </c>
      <c r="D29" s="12">
        <f>SUM(D26:D28)</f>
        <v>0</v>
      </c>
      <c r="E29" s="44">
        <v>0</v>
      </c>
      <c r="F29" s="12">
        <f>SUM(F26:F28)</f>
        <v>0</v>
      </c>
      <c r="G29" s="44">
        <v>0</v>
      </c>
      <c r="H29" s="12">
        <f>SUM(H26:H28)</f>
        <v>0</v>
      </c>
      <c r="I29" s="47">
        <f>+(B29-J29)/ABS(J29)</f>
        <v>9.0461519271547955E-2</v>
      </c>
      <c r="J29" s="12">
        <f>SUM(J26:J28)</f>
        <v>801700</v>
      </c>
      <c r="K29" s="47">
        <f>+(J29-L29)/ABS(L29)</f>
        <v>0.5508389657720536</v>
      </c>
      <c r="L29" s="12">
        <f>SUM(L26:L28)</f>
        <v>516946</v>
      </c>
      <c r="M29" s="47">
        <f>+(L29-N29)/ABS(N29)</f>
        <v>0.32245921245339254</v>
      </c>
      <c r="N29" s="12">
        <f>SUM(N26:N28)</f>
        <v>390897.5</v>
      </c>
      <c r="O29" s="47">
        <f>+(N29-P29)/ABS(P29)</f>
        <v>0.61729835150618839</v>
      </c>
      <c r="P29" s="12">
        <f>SUM(P26:P28)</f>
        <v>241697.82874999999</v>
      </c>
    </row>
    <row r="30" spans="1:16" ht="7.9" customHeight="1">
      <c r="A30" s="1"/>
      <c r="C30" s="44" t="s">
        <v>0</v>
      </c>
      <c r="E30" s="44" t="s">
        <v>0</v>
      </c>
      <c r="G30" s="44" t="s">
        <v>0</v>
      </c>
      <c r="I30" s="47" t="s">
        <v>0</v>
      </c>
      <c r="K30" s="47" t="s">
        <v>0</v>
      </c>
      <c r="M30" s="47" t="s">
        <v>0</v>
      </c>
      <c r="O30" s="47" t="s">
        <v>0</v>
      </c>
    </row>
    <row r="31" spans="1:16">
      <c r="A31" s="1" t="s">
        <v>281</v>
      </c>
      <c r="C31" s="44" t="s">
        <v>0</v>
      </c>
      <c r="E31" s="44" t="s">
        <v>0</v>
      </c>
      <c r="G31" s="44" t="s">
        <v>0</v>
      </c>
      <c r="I31" s="47" t="s">
        <v>0</v>
      </c>
      <c r="K31" s="47" t="s">
        <v>0</v>
      </c>
      <c r="M31" s="47" t="s">
        <v>0</v>
      </c>
      <c r="O31" s="47" t="s">
        <v>0</v>
      </c>
    </row>
    <row r="32" spans="1:16">
      <c r="A32" s="1" t="s">
        <v>282</v>
      </c>
      <c r="B32" s="12">
        <v>0</v>
      </c>
      <c r="C32" s="44">
        <v>0</v>
      </c>
      <c r="D32" s="12">
        <f>+D139</f>
        <v>0</v>
      </c>
      <c r="E32" s="44">
        <v>0</v>
      </c>
      <c r="F32" s="12">
        <f>+F139</f>
        <v>0</v>
      </c>
      <c r="G32" s="44">
        <v>0</v>
      </c>
      <c r="H32" s="12">
        <v>0</v>
      </c>
      <c r="I32" s="44">
        <v>0</v>
      </c>
      <c r="J32" s="12">
        <v>20000</v>
      </c>
      <c r="K32" s="44">
        <v>0</v>
      </c>
      <c r="L32" s="12">
        <f>+L139</f>
        <v>0</v>
      </c>
      <c r="M32" s="44">
        <v>0</v>
      </c>
      <c r="N32" s="12">
        <v>0</v>
      </c>
      <c r="O32" s="44">
        <v>0</v>
      </c>
      <c r="P32" s="12">
        <v>0</v>
      </c>
    </row>
    <row r="33" spans="1:21">
      <c r="A33" s="1" t="s">
        <v>283</v>
      </c>
      <c r="B33" s="12">
        <f>+B140</f>
        <v>0</v>
      </c>
      <c r="C33" s="44">
        <v>0</v>
      </c>
      <c r="D33" s="12">
        <f>+D140</f>
        <v>0</v>
      </c>
      <c r="E33" s="44">
        <v>0</v>
      </c>
      <c r="F33" s="12">
        <f>+F140</f>
        <v>0</v>
      </c>
      <c r="G33" s="44">
        <v>0</v>
      </c>
      <c r="H33" s="12">
        <v>0</v>
      </c>
      <c r="I33" s="44">
        <v>0</v>
      </c>
      <c r="J33" s="12">
        <v>0</v>
      </c>
      <c r="K33" s="44">
        <v>0</v>
      </c>
      <c r="L33" s="12">
        <v>13805</v>
      </c>
      <c r="M33" s="44">
        <v>0</v>
      </c>
      <c r="N33" s="12">
        <v>0</v>
      </c>
      <c r="O33" s="44">
        <v>0</v>
      </c>
      <c r="P33" s="12">
        <v>0</v>
      </c>
    </row>
    <row r="34" spans="1:21" ht="18">
      <c r="A34" s="1" t="s">
        <v>284</v>
      </c>
      <c r="B34" s="221">
        <v>31418</v>
      </c>
      <c r="C34" s="44">
        <v>0</v>
      </c>
      <c r="D34" s="221">
        <v>0</v>
      </c>
      <c r="E34" s="44">
        <v>0</v>
      </c>
      <c r="F34" s="221">
        <v>0</v>
      </c>
      <c r="G34" s="44">
        <v>0</v>
      </c>
      <c r="H34" s="221">
        <v>0</v>
      </c>
      <c r="I34" s="47">
        <f>+(B34-J34)/ABS(J34)</f>
        <v>0.11565640424700828</v>
      </c>
      <c r="J34" s="221">
        <v>28161</v>
      </c>
      <c r="K34" s="47">
        <f>+(J34-L34)/ABS(L34)</f>
        <v>0.15017970919784349</v>
      </c>
      <c r="L34" s="221">
        <f>38289-13805</f>
        <v>24484</v>
      </c>
      <c r="M34" s="47">
        <f>+(L34-N34)/ABS(N34)</f>
        <v>0.42148837101287717</v>
      </c>
      <c r="N34" s="221">
        <v>17224.2</v>
      </c>
      <c r="O34" s="47">
        <f>+(N34-P34)/ABS(P34)</f>
        <v>-0.27811869085461222</v>
      </c>
      <c r="P34" s="221">
        <f>23860155.1/1000</f>
        <v>23860.1551</v>
      </c>
      <c r="Q34" s="6"/>
      <c r="R34" s="6"/>
      <c r="S34" s="7"/>
      <c r="T34" s="7"/>
      <c r="U34" s="7"/>
    </row>
    <row r="35" spans="1:21">
      <c r="A35" s="1"/>
      <c r="B35" s="12">
        <f>SUM(B32:B34)</f>
        <v>31418</v>
      </c>
      <c r="C35" s="44">
        <v>0</v>
      </c>
      <c r="D35" s="12">
        <f>SUM(D32:D34)</f>
        <v>0</v>
      </c>
      <c r="E35" s="44">
        <v>0</v>
      </c>
      <c r="F35" s="12">
        <f>SUM(F32:F34)</f>
        <v>0</v>
      </c>
      <c r="G35" s="44">
        <v>0</v>
      </c>
      <c r="H35" s="12">
        <f>SUM(H32:H34)</f>
        <v>0</v>
      </c>
      <c r="I35" s="47">
        <f>+(B35-J35)/ABS(J35)</f>
        <v>-0.34764643591287558</v>
      </c>
      <c r="J35" s="12">
        <f>SUM(J32:J34)</f>
        <v>48161</v>
      </c>
      <c r="K35" s="47">
        <f>+(J35-L35)/ABS(L35)</f>
        <v>0.25782861918566691</v>
      </c>
      <c r="L35" s="12">
        <f>SUM(L32:L34)</f>
        <v>38289</v>
      </c>
      <c r="M35" s="47">
        <f>+(L35-N35)/ABS(N35)</f>
        <v>1.2229769742571497</v>
      </c>
      <c r="N35" s="12">
        <f>SUM(N32:N34)</f>
        <v>17224.2</v>
      </c>
      <c r="O35" s="47">
        <f>+(N35-P35)/ABS(P35)</f>
        <v>-0.27811869085461222</v>
      </c>
      <c r="P35" s="12">
        <f>SUM(P32:P34)</f>
        <v>23860.1551</v>
      </c>
    </row>
    <row r="36" spans="1:21" ht="7.15" customHeight="1">
      <c r="A36" s="1"/>
      <c r="C36" s="44" t="s">
        <v>0</v>
      </c>
      <c r="E36" s="44" t="s">
        <v>0</v>
      </c>
      <c r="G36" s="44" t="s">
        <v>0</v>
      </c>
      <c r="I36" s="47" t="s">
        <v>0</v>
      </c>
      <c r="K36" s="47" t="s">
        <v>0</v>
      </c>
      <c r="M36" s="47" t="s">
        <v>0</v>
      </c>
      <c r="O36" s="47" t="s">
        <v>0</v>
      </c>
    </row>
    <row r="37" spans="1:21">
      <c r="A37" s="1" t="s">
        <v>285</v>
      </c>
      <c r="C37" s="44" t="s">
        <v>0</v>
      </c>
      <c r="E37" s="44" t="s">
        <v>0</v>
      </c>
      <c r="G37" s="44" t="s">
        <v>0</v>
      </c>
      <c r="I37" s="47" t="s">
        <v>0</v>
      </c>
      <c r="K37" s="47" t="s">
        <v>0</v>
      </c>
      <c r="M37" s="47" t="s">
        <v>0</v>
      </c>
      <c r="O37" s="47" t="s">
        <v>0</v>
      </c>
    </row>
    <row r="38" spans="1:21">
      <c r="A38" s="1" t="s">
        <v>282</v>
      </c>
      <c r="B38" s="12">
        <f>+B146</f>
        <v>0</v>
      </c>
      <c r="C38" s="44">
        <v>0</v>
      </c>
      <c r="D38" s="12">
        <f>+D146</f>
        <v>0</v>
      </c>
      <c r="E38" s="44">
        <v>0</v>
      </c>
      <c r="F38" s="12">
        <f>+F146</f>
        <v>0</v>
      </c>
      <c r="G38" s="44">
        <v>0</v>
      </c>
      <c r="H38" s="12">
        <f>+H146</f>
        <v>0</v>
      </c>
      <c r="I38" s="44">
        <v>0</v>
      </c>
      <c r="J38" s="12">
        <f>+J146</f>
        <v>0</v>
      </c>
      <c r="K38" s="44">
        <v>0</v>
      </c>
      <c r="L38" s="12">
        <f>+L146</f>
        <v>0</v>
      </c>
      <c r="M38" s="44">
        <v>0</v>
      </c>
      <c r="N38" s="12">
        <v>0</v>
      </c>
      <c r="O38" s="44">
        <v>0</v>
      </c>
      <c r="P38" s="12">
        <v>0</v>
      </c>
    </row>
    <row r="39" spans="1:21">
      <c r="A39" s="1" t="s">
        <v>286</v>
      </c>
      <c r="B39" s="12">
        <f>+B147</f>
        <v>0</v>
      </c>
      <c r="C39" s="44">
        <v>0</v>
      </c>
      <c r="D39" s="12">
        <v>0</v>
      </c>
      <c r="E39" s="44">
        <v>0</v>
      </c>
      <c r="F39" s="12">
        <v>0</v>
      </c>
      <c r="G39" s="44">
        <v>0</v>
      </c>
      <c r="H39" s="12">
        <f>+H147</f>
        <v>0</v>
      </c>
      <c r="I39" s="44">
        <v>0</v>
      </c>
      <c r="J39" s="12">
        <f>+J147</f>
        <v>0</v>
      </c>
      <c r="K39" s="44">
        <v>0</v>
      </c>
      <c r="L39" s="12">
        <f>+L147</f>
        <v>0</v>
      </c>
      <c r="M39" s="44">
        <v>0</v>
      </c>
      <c r="N39" s="12">
        <v>0</v>
      </c>
      <c r="O39" s="44">
        <v>0</v>
      </c>
      <c r="P39" s="12">
        <v>0</v>
      </c>
    </row>
    <row r="40" spans="1:21">
      <c r="A40" s="1" t="s">
        <v>284</v>
      </c>
      <c r="B40" s="221">
        <v>23116</v>
      </c>
      <c r="C40" s="44">
        <v>0</v>
      </c>
      <c r="D40" s="221">
        <v>0</v>
      </c>
      <c r="E40" s="44">
        <v>0</v>
      </c>
      <c r="F40" s="221">
        <v>0</v>
      </c>
      <c r="G40" s="44">
        <v>0</v>
      </c>
      <c r="H40" s="221">
        <v>0</v>
      </c>
      <c r="I40" s="47">
        <f>+(B40-J40)/ABS(J40)</f>
        <v>7.4013845653486968E-2</v>
      </c>
      <c r="J40" s="221">
        <v>21523</v>
      </c>
      <c r="K40" s="47">
        <f>+(J40-L40)/ABS(L40)</f>
        <v>0.22848173515981735</v>
      </c>
      <c r="L40" s="221">
        <v>17520</v>
      </c>
      <c r="M40" s="47">
        <f>+(L40-N40)/ABS(N40)</f>
        <v>0.40735326012740086</v>
      </c>
      <c r="N40" s="221">
        <v>12448.9</v>
      </c>
      <c r="O40" s="47">
        <f>+(N40-P40)/ABS(P40)</f>
        <v>-0.74830660861567744</v>
      </c>
      <c r="P40" s="221">
        <f>49460575.55/1000</f>
        <v>49460.575549999994</v>
      </c>
    </row>
    <row r="41" spans="1:21">
      <c r="A41" s="1"/>
      <c r="B41" s="12">
        <f>SUM(B38:B40)</f>
        <v>23116</v>
      </c>
      <c r="C41" s="44">
        <v>0</v>
      </c>
      <c r="D41" s="12">
        <f>SUM(D38:D40)</f>
        <v>0</v>
      </c>
      <c r="E41" s="44">
        <v>0</v>
      </c>
      <c r="F41" s="12">
        <f>SUM(F38:F40)</f>
        <v>0</v>
      </c>
      <c r="G41" s="44">
        <v>0</v>
      </c>
      <c r="H41" s="12">
        <f>SUM(H38:H40)</f>
        <v>0</v>
      </c>
      <c r="I41" s="47">
        <f>+(B41-J41)/ABS(J41)</f>
        <v>7.4013845653486968E-2</v>
      </c>
      <c r="J41" s="12">
        <f>SUM(J38:J40)</f>
        <v>21523</v>
      </c>
      <c r="K41" s="47">
        <f>+(J41-L41)/ABS(L41)</f>
        <v>0.22848173515981735</v>
      </c>
      <c r="L41" s="12">
        <f>SUM(L38:L40)</f>
        <v>17520</v>
      </c>
      <c r="M41" s="47">
        <f>+(L41-N41)/ABS(N41)</f>
        <v>0.40735326012740086</v>
      </c>
      <c r="N41" s="12">
        <f>SUM(N38:N40)</f>
        <v>12448.9</v>
      </c>
      <c r="O41" s="47">
        <f>+(N41-P41)/ABS(P41)</f>
        <v>-0.74830660861567744</v>
      </c>
      <c r="P41" s="12">
        <f>SUM(P38:P40)</f>
        <v>49460.575549999994</v>
      </c>
    </row>
    <row r="42" spans="1:21" ht="8.4499999999999993" customHeight="1">
      <c r="A42" s="1"/>
      <c r="C42" s="44" t="s">
        <v>0</v>
      </c>
      <c r="E42" s="44" t="s">
        <v>0</v>
      </c>
      <c r="G42" s="44" t="s">
        <v>0</v>
      </c>
      <c r="I42" s="47" t="s">
        <v>0</v>
      </c>
      <c r="K42" s="47" t="s">
        <v>0</v>
      </c>
      <c r="M42" s="47" t="s">
        <v>0</v>
      </c>
      <c r="O42" s="47" t="s">
        <v>0</v>
      </c>
    </row>
    <row r="43" spans="1:21" ht="18">
      <c r="A43" s="1" t="s">
        <v>287</v>
      </c>
      <c r="B43" s="221">
        <v>64482</v>
      </c>
      <c r="C43" s="44">
        <v>0</v>
      </c>
      <c r="D43" s="221">
        <v>0</v>
      </c>
      <c r="E43" s="44">
        <v>0</v>
      </c>
      <c r="F43" s="221">
        <v>0</v>
      </c>
      <c r="G43" s="44">
        <v>0</v>
      </c>
      <c r="H43" s="221">
        <v>0</v>
      </c>
      <c r="I43" s="47">
        <f>+(B43-J43)/ABS(J43)</f>
        <v>0.53990543057744667</v>
      </c>
      <c r="J43" s="221">
        <v>41874</v>
      </c>
      <c r="K43" s="47">
        <f>+(J43-L43)/ABS(L43)</f>
        <v>2.2839777272370796</v>
      </c>
      <c r="L43" s="221">
        <v>12751</v>
      </c>
      <c r="M43" s="47">
        <f>+(L43-N43)/ABS(N43)</f>
        <v>12.192964304190378</v>
      </c>
      <c r="N43" s="221">
        <v>966.5</v>
      </c>
      <c r="O43" s="47">
        <f>+(N43-P43)/ABS(P43)</f>
        <v>17.345001817417405</v>
      </c>
      <c r="P43" s="221">
        <f>52684.65/1000</f>
        <v>52.684650000000005</v>
      </c>
      <c r="Q43" s="6"/>
      <c r="R43" s="6"/>
    </row>
    <row r="44" spans="1:21">
      <c r="A44" s="1"/>
      <c r="B44" s="12">
        <f>+B29+B35+B41+B43</f>
        <v>993239</v>
      </c>
      <c r="C44" s="44">
        <v>0</v>
      </c>
      <c r="D44" s="12">
        <f t="shared" ref="D44:P44" si="4">+D29+D35+D41+D43</f>
        <v>0</v>
      </c>
      <c r="E44" s="44">
        <v>0</v>
      </c>
      <c r="F44" s="12">
        <f t="shared" si="4"/>
        <v>0</v>
      </c>
      <c r="G44" s="44">
        <v>0</v>
      </c>
      <c r="H44" s="12">
        <f t="shared" si="4"/>
        <v>0</v>
      </c>
      <c r="I44" s="47">
        <f>+(B44-J44)/ABS(J44)</f>
        <v>8.7577661515146871E-2</v>
      </c>
      <c r="J44" s="12">
        <f t="shared" si="4"/>
        <v>913258</v>
      </c>
      <c r="K44" s="47">
        <f>+(J44-L44)/ABS(L44)</f>
        <v>0.55977564704716942</v>
      </c>
      <c r="L44" s="12">
        <f t="shared" si="4"/>
        <v>585506</v>
      </c>
      <c r="M44" s="47">
        <f>+(L44-N44)/ABS(N44)</f>
        <v>0.3889785738906491</v>
      </c>
      <c r="N44" s="12">
        <f t="shared" si="4"/>
        <v>421537.10000000003</v>
      </c>
      <c r="O44" s="47">
        <f>+(N44-P44)/ABS(P44)</f>
        <v>0.33791041854998527</v>
      </c>
      <c r="P44" s="12">
        <f t="shared" si="4"/>
        <v>315071.24404999998</v>
      </c>
    </row>
    <row r="45" spans="1:21" ht="8.4499999999999993" customHeight="1">
      <c r="A45" s="1"/>
      <c r="C45" s="44" t="s">
        <v>0</v>
      </c>
      <c r="E45" s="44" t="s">
        <v>0</v>
      </c>
      <c r="G45" s="44" t="s">
        <v>0</v>
      </c>
      <c r="I45" s="47" t="s">
        <v>0</v>
      </c>
      <c r="K45" s="47" t="s">
        <v>0</v>
      </c>
      <c r="M45" s="47" t="s">
        <v>0</v>
      </c>
      <c r="O45" s="47" t="s">
        <v>0</v>
      </c>
    </row>
    <row r="46" spans="1:21">
      <c r="A46" s="87" t="s">
        <v>288</v>
      </c>
      <c r="C46" s="44" t="s">
        <v>0</v>
      </c>
      <c r="E46" s="44" t="s">
        <v>0</v>
      </c>
      <c r="G46" s="44" t="s">
        <v>0</v>
      </c>
      <c r="I46" s="47" t="s">
        <v>0</v>
      </c>
      <c r="K46" s="47" t="s">
        <v>0</v>
      </c>
      <c r="M46" s="47" t="s">
        <v>0</v>
      </c>
      <c r="O46" s="47" t="s">
        <v>0</v>
      </c>
    </row>
    <row r="47" spans="1:21">
      <c r="A47" s="1" t="s">
        <v>289</v>
      </c>
      <c r="B47" s="12">
        <v>90000</v>
      </c>
      <c r="C47" s="44">
        <v>0</v>
      </c>
      <c r="D47" s="12">
        <v>0</v>
      </c>
      <c r="E47" s="44">
        <v>0</v>
      </c>
      <c r="F47" s="12">
        <v>0</v>
      </c>
      <c r="G47" s="44">
        <v>0</v>
      </c>
      <c r="H47" s="12">
        <v>0</v>
      </c>
      <c r="I47" s="47">
        <f t="shared" ref="I47:I52" si="5">+(B47-J47)/ABS(J47)</f>
        <v>3.120820329915292E-3</v>
      </c>
      <c r="J47" s="12">
        <v>89720</v>
      </c>
      <c r="K47" s="47">
        <f t="shared" ref="K47:K52" si="6">+(J47-L47)/ABS(L47)</f>
        <v>0.156632718834601</v>
      </c>
      <c r="L47" s="12">
        <v>77570</v>
      </c>
      <c r="M47" s="47">
        <f>+(L47-N47)/ABS(N47)</f>
        <v>0.1920568474499173</v>
      </c>
      <c r="N47" s="12">
        <v>65072.4</v>
      </c>
      <c r="O47" s="47">
        <f>+(N47-P47)/ABS(P47)</f>
        <v>1.6028960000000001</v>
      </c>
      <c r="P47" s="12">
        <f>25000000/1000</f>
        <v>25000</v>
      </c>
    </row>
    <row r="48" spans="1:21">
      <c r="A48" s="1" t="s">
        <v>290</v>
      </c>
      <c r="B48" s="12">
        <v>3652</v>
      </c>
      <c r="C48" s="44">
        <v>0</v>
      </c>
      <c r="D48" s="12">
        <v>0</v>
      </c>
      <c r="E48" s="44">
        <v>0</v>
      </c>
      <c r="F48" s="12">
        <v>0</v>
      </c>
      <c r="G48" s="44">
        <v>0</v>
      </c>
      <c r="H48" s="12">
        <v>0</v>
      </c>
      <c r="I48" s="47">
        <f t="shared" si="5"/>
        <v>0.33041894353369761</v>
      </c>
      <c r="J48" s="12">
        <v>2745</v>
      </c>
      <c r="K48" s="47">
        <f t="shared" si="6"/>
        <v>2.0398671096345513</v>
      </c>
      <c r="L48" s="12">
        <f>1540-125-512</f>
        <v>903</v>
      </c>
      <c r="M48" s="47">
        <f>+(L48-N48)/ABS(N48)</f>
        <v>1.8060907395898074</v>
      </c>
      <c r="N48" s="12">
        <v>321.8</v>
      </c>
      <c r="O48" s="47">
        <f>+(N48-P48)/ABS(P48)</f>
        <v>-0.89815610810877866</v>
      </c>
      <c r="P48" s="12">
        <f>3159737.85/1000</f>
        <v>3159.73785</v>
      </c>
    </row>
    <row r="49" spans="1:21">
      <c r="A49" s="1" t="s">
        <v>302</v>
      </c>
      <c r="B49" s="12">
        <v>878</v>
      </c>
      <c r="C49" s="44">
        <v>0</v>
      </c>
      <c r="D49" s="12">
        <v>0</v>
      </c>
      <c r="E49" s="44">
        <v>0</v>
      </c>
      <c r="F49" s="12">
        <v>0</v>
      </c>
      <c r="G49" s="44">
        <v>0</v>
      </c>
      <c r="H49" s="12">
        <v>0</v>
      </c>
      <c r="I49" s="47">
        <f t="shared" si="5"/>
        <v>0.16291390728476821</v>
      </c>
      <c r="J49" s="12">
        <v>755</v>
      </c>
      <c r="K49" s="47">
        <f t="shared" si="6"/>
        <v>1.0798898071625345</v>
      </c>
      <c r="L49" s="12">
        <v>363</v>
      </c>
      <c r="M49" s="44">
        <v>0</v>
      </c>
      <c r="N49" s="12">
        <v>366.8</v>
      </c>
      <c r="O49" s="44">
        <v>0</v>
      </c>
      <c r="P49" s="12">
        <v>0</v>
      </c>
    </row>
    <row r="50" spans="1:21" ht="18">
      <c r="A50" s="1" t="s">
        <v>292</v>
      </c>
      <c r="B50" s="221">
        <v>25294</v>
      </c>
      <c r="C50" s="44">
        <v>0</v>
      </c>
      <c r="D50" s="221">
        <v>0</v>
      </c>
      <c r="E50" s="44">
        <v>0</v>
      </c>
      <c r="F50" s="221">
        <v>0</v>
      </c>
      <c r="G50" s="44">
        <v>0</v>
      </c>
      <c r="H50" s="221">
        <v>0</v>
      </c>
      <c r="I50" s="47">
        <f t="shared" si="5"/>
        <v>8.0709250160222179E-2</v>
      </c>
      <c r="J50" s="221">
        <v>23405</v>
      </c>
      <c r="K50" s="47">
        <f t="shared" si="6"/>
        <v>-1.2072094888354227E-2</v>
      </c>
      <c r="L50" s="221">
        <f>11125+12566</f>
        <v>23691</v>
      </c>
      <c r="M50" s="47">
        <f>+(L50-N50)/ABS(N50)</f>
        <v>0.78014051170304688</v>
      </c>
      <c r="N50" s="221">
        <v>13308.5</v>
      </c>
      <c r="O50" s="47">
        <f>+(N50-P50)/ABS(P50)</f>
        <v>-2.4169789543922671E-2</v>
      </c>
      <c r="P50" s="221">
        <f>13638130.75/1000</f>
        <v>13638.13075</v>
      </c>
      <c r="Q50" s="6"/>
      <c r="R50" s="6"/>
      <c r="S50" s="7"/>
      <c r="T50" s="7"/>
      <c r="U50" s="7"/>
    </row>
    <row r="51" spans="1:21" ht="16.5" thickBot="1">
      <c r="A51" s="1" t="s">
        <v>275</v>
      </c>
      <c r="B51" s="76">
        <f>SUM(B47:B50)</f>
        <v>119824</v>
      </c>
      <c r="C51" s="44">
        <v>0</v>
      </c>
      <c r="D51" s="76">
        <f>SUM(D47:D50)</f>
        <v>0</v>
      </c>
      <c r="E51" s="44">
        <v>0</v>
      </c>
      <c r="F51" s="76">
        <f>SUM(F47:F50)</f>
        <v>0</v>
      </c>
      <c r="G51" s="44">
        <v>0</v>
      </c>
      <c r="H51" s="76">
        <f>SUM(H47:H50)</f>
        <v>0</v>
      </c>
      <c r="I51" s="47">
        <f t="shared" si="5"/>
        <v>2.7429796355841373E-2</v>
      </c>
      <c r="J51" s="76">
        <f>SUM(J47:J50)</f>
        <v>116625</v>
      </c>
      <c r="K51" s="47">
        <f t="shared" si="6"/>
        <v>0.13750524252148213</v>
      </c>
      <c r="L51" s="76">
        <f>SUM(L47:L50)</f>
        <v>102527</v>
      </c>
      <c r="M51" s="47">
        <f>+(L51-N51)/ABS(N51)</f>
        <v>0.29666938579351076</v>
      </c>
      <c r="N51" s="76">
        <f>SUM(N47:N50)</f>
        <v>79069.5</v>
      </c>
      <c r="O51" s="47">
        <f>+(N51-P51)/ABS(P51)</f>
        <v>0.89171129170926189</v>
      </c>
      <c r="P51" s="76">
        <f>SUM(P47:P50)</f>
        <v>41797.868600000002</v>
      </c>
    </row>
    <row r="52" spans="1:21">
      <c r="A52" s="1" t="s">
        <v>0</v>
      </c>
      <c r="B52" s="4">
        <f>+B29+B35+B41+B43+B51</f>
        <v>1113063</v>
      </c>
      <c r="C52" s="44">
        <v>0</v>
      </c>
      <c r="D52" s="4">
        <f>+D29+D35+D41+D43+D51</f>
        <v>0</v>
      </c>
      <c r="E52" s="44">
        <v>0</v>
      </c>
      <c r="F52" s="4">
        <f>+F29+F35+F41+F43+F51</f>
        <v>0</v>
      </c>
      <c r="G52" s="44">
        <v>0</v>
      </c>
      <c r="H52" s="4">
        <f>+H29+H35+H41+H43+H51</f>
        <v>0</v>
      </c>
      <c r="I52" s="47">
        <f t="shared" si="5"/>
        <v>8.076645599548686E-2</v>
      </c>
      <c r="J52" s="4">
        <f>+J29+J35+J41+J43+J51</f>
        <v>1029883</v>
      </c>
      <c r="K52" s="112">
        <f t="shared" si="6"/>
        <v>0.49685116847593064</v>
      </c>
      <c r="L52" s="4">
        <f>+L29+L35+L41+L43+L51</f>
        <v>688033</v>
      </c>
      <c r="M52" s="112">
        <f>+(L52-N52)/ABS(N52)</f>
        <v>0.3743985796431768</v>
      </c>
      <c r="N52" s="4">
        <f>+N29+N35+N41+N43+N51</f>
        <v>500606.60000000003</v>
      </c>
      <c r="O52" s="112">
        <f>+(N52-P52)/ABS(P52)</f>
        <v>0.40277368439832134</v>
      </c>
      <c r="P52" s="4">
        <f>+P29+P35+P41+P43+P51</f>
        <v>356869.11264999997</v>
      </c>
    </row>
    <row r="55" spans="1:21">
      <c r="A55" s="185" t="s">
        <v>293</v>
      </c>
    </row>
    <row r="56" spans="1:21">
      <c r="A56" t="s">
        <v>294</v>
      </c>
      <c r="B56" s="12">
        <v>0</v>
      </c>
      <c r="D56" s="43">
        <v>0</v>
      </c>
      <c r="E56" s="43"/>
      <c r="F56" s="43">
        <v>0</v>
      </c>
      <c r="G56" s="43"/>
      <c r="H56" s="12">
        <v>0</v>
      </c>
      <c r="J56" s="12">
        <v>0</v>
      </c>
      <c r="K56" s="12"/>
      <c r="L56" s="43">
        <v>0</v>
      </c>
      <c r="M56" s="12"/>
      <c r="N56" s="12">
        <v>0</v>
      </c>
      <c r="O56" s="12"/>
      <c r="P56" s="12">
        <v>0</v>
      </c>
    </row>
    <row r="57" spans="1:21">
      <c r="A57" t="s">
        <v>295</v>
      </c>
      <c r="B57" s="12">
        <v>0</v>
      </c>
      <c r="D57" s="43">
        <v>0</v>
      </c>
      <c r="E57" s="43"/>
      <c r="F57" s="43">
        <v>0</v>
      </c>
      <c r="G57" s="43"/>
      <c r="H57" s="12">
        <v>0</v>
      </c>
      <c r="J57" s="12">
        <v>0</v>
      </c>
      <c r="K57" s="12"/>
      <c r="L57" s="43">
        <v>0</v>
      </c>
      <c r="M57" s="12"/>
      <c r="N57" s="12">
        <v>0</v>
      </c>
      <c r="O57" s="12"/>
      <c r="P57" s="12">
        <v>0</v>
      </c>
    </row>
    <row r="58" spans="1:21">
      <c r="A58" t="s">
        <v>284</v>
      </c>
      <c r="B58" s="12">
        <v>35956</v>
      </c>
      <c r="D58" s="12">
        <v>0</v>
      </c>
      <c r="E58" s="43"/>
      <c r="F58" s="12">
        <v>0</v>
      </c>
      <c r="G58" s="43"/>
      <c r="H58" s="12">
        <v>0</v>
      </c>
      <c r="J58" s="12">
        <v>28062</v>
      </c>
      <c r="K58" s="12"/>
      <c r="L58" s="12">
        <v>29819</v>
      </c>
      <c r="M58" s="12"/>
      <c r="N58" s="12">
        <v>0</v>
      </c>
      <c r="O58" s="12"/>
      <c r="P58" s="12">
        <v>0</v>
      </c>
    </row>
    <row r="59" spans="1:21">
      <c r="D59" s="43"/>
      <c r="E59" s="43"/>
      <c r="F59" s="43"/>
      <c r="G59" s="43"/>
      <c r="H59" s="43"/>
      <c r="J59" s="43"/>
      <c r="K59" s="12"/>
      <c r="L59" s="43"/>
      <c r="M59" s="12"/>
      <c r="O59" s="12"/>
    </row>
    <row r="60" spans="1:21" ht="18.75">
      <c r="A60" s="122" t="s">
        <v>303</v>
      </c>
      <c r="B60" s="12">
        <v>509125</v>
      </c>
      <c r="D60" s="16">
        <v>0</v>
      </c>
      <c r="E60" s="43"/>
      <c r="F60" s="12">
        <v>0</v>
      </c>
      <c r="G60" s="43"/>
      <c r="H60" s="12">
        <v>0</v>
      </c>
      <c r="J60" s="12">
        <f>497945+16371</f>
        <v>514316</v>
      </c>
      <c r="K60" s="12"/>
      <c r="L60" s="12">
        <f>373037+8325</f>
        <v>381362</v>
      </c>
      <c r="M60" s="12"/>
      <c r="N60" s="16">
        <v>292779.8</v>
      </c>
      <c r="O60" s="12"/>
      <c r="P60" s="16">
        <f>220490.8</f>
        <v>220490.8</v>
      </c>
    </row>
    <row r="61" spans="1:21">
      <c r="A61" t="s">
        <v>217</v>
      </c>
      <c r="B61" s="12">
        <v>7325</v>
      </c>
      <c r="D61" s="12">
        <v>0</v>
      </c>
      <c r="E61" s="43"/>
      <c r="F61" s="12">
        <v>0</v>
      </c>
      <c r="G61" s="43"/>
      <c r="H61" s="12">
        <v>0</v>
      </c>
      <c r="J61" s="12">
        <v>6575</v>
      </c>
      <c r="K61" s="12"/>
      <c r="L61" s="12">
        <v>5000</v>
      </c>
      <c r="M61" s="12"/>
      <c r="N61" s="12">
        <v>4200</v>
      </c>
      <c r="O61" s="12"/>
      <c r="P61" s="12">
        <f>4466.6</f>
        <v>4466.6000000000004</v>
      </c>
    </row>
    <row r="62" spans="1:21">
      <c r="A62" t="s">
        <v>297</v>
      </c>
      <c r="B62" s="12">
        <v>7430</v>
      </c>
      <c r="D62" s="12">
        <v>0</v>
      </c>
      <c r="E62" s="43"/>
      <c r="F62" s="12">
        <v>0</v>
      </c>
      <c r="G62" s="43"/>
      <c r="H62" s="12">
        <v>0</v>
      </c>
      <c r="J62" s="12">
        <f>1016+2079+1687</f>
        <v>4782</v>
      </c>
      <c r="K62" s="12"/>
      <c r="L62" s="12">
        <f>1066+1132+1012</f>
        <v>3210</v>
      </c>
      <c r="M62" s="12"/>
      <c r="N62" s="12">
        <v>1254.5999999999999</v>
      </c>
      <c r="O62" s="12"/>
      <c r="P62" s="12">
        <v>2233.3000000000002</v>
      </c>
    </row>
    <row r="67" spans="1:15">
      <c r="B67" s="17" t="s">
        <v>548</v>
      </c>
      <c r="D67" s="427" t="s">
        <v>616</v>
      </c>
      <c r="F67" s="17" t="s">
        <v>138</v>
      </c>
      <c r="H67" s="17" t="s">
        <v>528</v>
      </c>
    </row>
    <row r="69" spans="1:15">
      <c r="A69" t="s">
        <v>414</v>
      </c>
      <c r="B69" s="4">
        <f t="shared" ref="B69:M69" si="7">SUM(B70:B78)</f>
        <v>165208.9418</v>
      </c>
      <c r="C69" s="11" t="s">
        <v>0</v>
      </c>
      <c r="D69" s="4">
        <f t="shared" si="7"/>
        <v>0</v>
      </c>
      <c r="E69" s="11" t="s">
        <v>0</v>
      </c>
      <c r="F69" s="4">
        <f t="shared" si="7"/>
        <v>0</v>
      </c>
      <c r="G69" s="11">
        <f t="shared" si="7"/>
        <v>0</v>
      </c>
      <c r="H69" s="4">
        <f t="shared" si="7"/>
        <v>0</v>
      </c>
      <c r="I69" s="11">
        <f t="shared" si="7"/>
        <v>0</v>
      </c>
      <c r="J69" s="4">
        <f t="shared" si="7"/>
        <v>0</v>
      </c>
      <c r="K69" s="11">
        <f t="shared" si="7"/>
        <v>0</v>
      </c>
      <c r="L69" s="4">
        <f t="shared" si="7"/>
        <v>0</v>
      </c>
      <c r="M69" s="11">
        <f t="shared" si="7"/>
        <v>0</v>
      </c>
      <c r="O69" s="11">
        <f>SUM(O70:O78)</f>
        <v>0</v>
      </c>
    </row>
    <row r="70" spans="1:15">
      <c r="A70" t="s">
        <v>461</v>
      </c>
      <c r="B70" s="12">
        <f>19612382.4/1000</f>
        <v>19612.382399999999</v>
      </c>
      <c r="D70" s="12">
        <v>0</v>
      </c>
      <c r="F70" s="12">
        <v>0</v>
      </c>
      <c r="H70" s="12">
        <v>0</v>
      </c>
    </row>
    <row r="71" spans="1:15">
      <c r="A71" t="s">
        <v>462</v>
      </c>
      <c r="B71" s="12">
        <f>15975421.5/1000</f>
        <v>15975.4215</v>
      </c>
      <c r="D71" s="12">
        <v>0</v>
      </c>
      <c r="F71" s="12">
        <v>0</v>
      </c>
      <c r="H71" s="12">
        <v>0</v>
      </c>
    </row>
    <row r="72" spans="1:15">
      <c r="A72" t="s">
        <v>463</v>
      </c>
      <c r="B72" s="12">
        <f>5116094.65/1000</f>
        <v>5116.09465</v>
      </c>
      <c r="D72" s="12">
        <v>0</v>
      </c>
      <c r="F72" s="12">
        <v>0</v>
      </c>
      <c r="H72" s="12">
        <v>0</v>
      </c>
    </row>
    <row r="73" spans="1:15">
      <c r="A73" t="s">
        <v>464</v>
      </c>
      <c r="B73" s="12">
        <f>+(10285685.7+42821436.15)/1000</f>
        <v>53107.121849999996</v>
      </c>
      <c r="D73" s="12">
        <v>0</v>
      </c>
      <c r="F73" s="12">
        <v>0</v>
      </c>
      <c r="H73" s="12">
        <v>0</v>
      </c>
    </row>
    <row r="74" spans="1:15">
      <c r="A74" t="s">
        <v>465</v>
      </c>
      <c r="B74" s="12">
        <v>0</v>
      </c>
      <c r="D74" s="12">
        <v>0</v>
      </c>
      <c r="F74" s="12">
        <v>0</v>
      </c>
      <c r="H74" s="12">
        <v>0</v>
      </c>
    </row>
    <row r="75" spans="1:15">
      <c r="A75" t="s">
        <v>466</v>
      </c>
      <c r="B75" s="12">
        <f>10855500/1000</f>
        <v>10855.5</v>
      </c>
      <c r="D75" s="12">
        <v>0</v>
      </c>
      <c r="F75" s="12">
        <v>0</v>
      </c>
      <c r="H75" s="12">
        <v>0</v>
      </c>
    </row>
    <row r="76" spans="1:15">
      <c r="A76" t="s">
        <v>467</v>
      </c>
      <c r="B76" s="12">
        <f>58601465.75/1000</f>
        <v>58601.465750000003</v>
      </c>
      <c r="D76" s="12">
        <v>0</v>
      </c>
      <c r="F76" s="12">
        <v>0</v>
      </c>
      <c r="H76" s="12">
        <v>0</v>
      </c>
    </row>
    <row r="77" spans="1:15">
      <c r="A77" t="s">
        <v>468</v>
      </c>
      <c r="B77" s="12">
        <f>82801.2/1000</f>
        <v>82.801199999999994</v>
      </c>
      <c r="D77" s="12">
        <v>0</v>
      </c>
      <c r="F77" s="12">
        <v>0</v>
      </c>
      <c r="H77" s="12">
        <v>0</v>
      </c>
    </row>
    <row r="78" spans="1:15">
      <c r="A78" t="s">
        <v>469</v>
      </c>
      <c r="B78" s="12">
        <f>1858154.45/1000</f>
        <v>1858.15445</v>
      </c>
      <c r="D78" s="12">
        <v>0</v>
      </c>
      <c r="F78" s="12">
        <v>0</v>
      </c>
      <c r="H78" s="12">
        <v>0</v>
      </c>
    </row>
    <row r="80" spans="1:15">
      <c r="A80" t="s">
        <v>470</v>
      </c>
      <c r="B80" s="4">
        <f t="shared" ref="B80:M80" si="8">SUM(B81:B82)</f>
        <v>26.731999999999999</v>
      </c>
      <c r="C80" s="11" t="s">
        <v>0</v>
      </c>
      <c r="D80" s="4">
        <f t="shared" si="8"/>
        <v>0</v>
      </c>
      <c r="E80" s="11" t="s">
        <v>0</v>
      </c>
      <c r="F80" s="4">
        <f t="shared" si="8"/>
        <v>0</v>
      </c>
      <c r="G80" s="11">
        <f t="shared" si="8"/>
        <v>0</v>
      </c>
      <c r="H80" s="4">
        <f t="shared" si="8"/>
        <v>0</v>
      </c>
      <c r="I80" s="11">
        <f t="shared" si="8"/>
        <v>0</v>
      </c>
      <c r="J80" s="4">
        <f t="shared" si="8"/>
        <v>0</v>
      </c>
      <c r="K80" s="11">
        <f t="shared" si="8"/>
        <v>0</v>
      </c>
      <c r="L80" s="4">
        <f t="shared" si="8"/>
        <v>0</v>
      </c>
      <c r="M80" s="11">
        <f t="shared" si="8"/>
        <v>0</v>
      </c>
      <c r="O80" s="11">
        <f>SUM(O81:O82)</f>
        <v>0</v>
      </c>
    </row>
    <row r="81" spans="1:15">
      <c r="A81" t="s">
        <v>471</v>
      </c>
      <c r="B81" s="12">
        <v>26.731999999999999</v>
      </c>
      <c r="D81" s="12">
        <v>0</v>
      </c>
      <c r="F81" s="12">
        <v>0</v>
      </c>
      <c r="H81" s="12">
        <v>0</v>
      </c>
    </row>
    <row r="82" spans="1:15">
      <c r="A82" t="s">
        <v>472</v>
      </c>
      <c r="B82" s="12">
        <v>0</v>
      </c>
      <c r="D82" s="12">
        <v>0</v>
      </c>
      <c r="F82" s="12">
        <v>0</v>
      </c>
      <c r="H82" s="12">
        <v>0</v>
      </c>
    </row>
    <row r="84" spans="1:15">
      <c r="A84" t="s">
        <v>473</v>
      </c>
      <c r="B84" s="4">
        <f t="shared" ref="B84:M84" si="9">SUM(B85:B95)</f>
        <v>322130.02929999999</v>
      </c>
      <c r="C84" s="11" t="s">
        <v>0</v>
      </c>
      <c r="D84" s="4">
        <f t="shared" si="9"/>
        <v>0</v>
      </c>
      <c r="E84" s="11" t="s">
        <v>0</v>
      </c>
      <c r="F84" s="4">
        <f t="shared" si="9"/>
        <v>0</v>
      </c>
      <c r="G84" s="11">
        <f t="shared" si="9"/>
        <v>0</v>
      </c>
      <c r="H84" s="4">
        <f t="shared" si="9"/>
        <v>0</v>
      </c>
      <c r="I84" s="11">
        <f t="shared" si="9"/>
        <v>0</v>
      </c>
      <c r="J84" s="4">
        <f t="shared" si="9"/>
        <v>0</v>
      </c>
      <c r="K84" s="11">
        <f t="shared" si="9"/>
        <v>0</v>
      </c>
      <c r="L84" s="4">
        <f t="shared" si="9"/>
        <v>0</v>
      </c>
      <c r="M84" s="11">
        <f t="shared" si="9"/>
        <v>0</v>
      </c>
      <c r="O84" s="11">
        <f>SUM(O85:O95)</f>
        <v>0</v>
      </c>
    </row>
    <row r="85" spans="1:15">
      <c r="A85" t="s">
        <v>474</v>
      </c>
      <c r="B85" s="12">
        <v>0</v>
      </c>
      <c r="D85" s="12">
        <v>0</v>
      </c>
      <c r="F85" s="12">
        <v>0</v>
      </c>
      <c r="H85" s="12">
        <v>0</v>
      </c>
    </row>
    <row r="86" spans="1:15">
      <c r="A86" t="s">
        <v>475</v>
      </c>
      <c r="B86" s="12">
        <f>319475811.5/1000</f>
        <v>319475.81150000001</v>
      </c>
      <c r="D86" s="12">
        <v>0</v>
      </c>
      <c r="F86" s="12">
        <v>0</v>
      </c>
      <c r="H86" s="12">
        <v>0</v>
      </c>
    </row>
    <row r="87" spans="1:15">
      <c r="A87" t="s">
        <v>476</v>
      </c>
      <c r="B87" s="12">
        <f>206087.95/1000</f>
        <v>206.08795000000001</v>
      </c>
      <c r="D87" s="12">
        <v>0</v>
      </c>
      <c r="F87" s="12">
        <v>0</v>
      </c>
      <c r="H87" s="12">
        <v>0</v>
      </c>
    </row>
    <row r="88" spans="1:15">
      <c r="A88" t="s">
        <v>477</v>
      </c>
      <c r="B88" s="12">
        <f>4867206.25/1000</f>
        <v>4867.2062500000002</v>
      </c>
      <c r="D88" s="12">
        <v>0</v>
      </c>
      <c r="F88" s="12">
        <v>0</v>
      </c>
      <c r="H88" s="12">
        <v>0</v>
      </c>
    </row>
    <row r="89" spans="1:15">
      <c r="A89" t="s">
        <v>478</v>
      </c>
      <c r="B89" s="12">
        <v>0</v>
      </c>
      <c r="D89" s="12">
        <v>0</v>
      </c>
      <c r="F89" s="12">
        <v>0</v>
      </c>
      <c r="H89" s="12">
        <v>0</v>
      </c>
    </row>
    <row r="90" spans="1:15">
      <c r="A90" t="s">
        <v>479</v>
      </c>
      <c r="B90" s="12">
        <v>0</v>
      </c>
      <c r="D90" s="12">
        <v>0</v>
      </c>
      <c r="F90" s="12">
        <v>0</v>
      </c>
      <c r="H90" s="12">
        <v>0</v>
      </c>
    </row>
    <row r="91" spans="1:15">
      <c r="A91" t="s">
        <v>480</v>
      </c>
      <c r="B91" s="12">
        <v>0</v>
      </c>
      <c r="D91" s="12">
        <v>0</v>
      </c>
      <c r="F91" s="12">
        <v>0</v>
      </c>
      <c r="H91" s="12">
        <v>0</v>
      </c>
    </row>
    <row r="92" spans="1:15">
      <c r="A92" t="s">
        <v>481</v>
      </c>
      <c r="B92" s="12">
        <v>0</v>
      </c>
      <c r="D92" s="12">
        <v>0</v>
      </c>
      <c r="F92" s="12">
        <v>0</v>
      </c>
      <c r="H92" s="12">
        <v>0</v>
      </c>
    </row>
    <row r="93" spans="1:15">
      <c r="A93" t="s">
        <v>482</v>
      </c>
      <c r="B93" s="12">
        <v>0</v>
      </c>
      <c r="D93" s="12">
        <v>0</v>
      </c>
      <c r="F93" s="12">
        <v>0</v>
      </c>
      <c r="H93" s="12">
        <v>0</v>
      </c>
    </row>
    <row r="94" spans="1:15">
      <c r="A94" t="s">
        <v>483</v>
      </c>
      <c r="B94" s="12">
        <f>1780923.7/1000</f>
        <v>1780.9237000000001</v>
      </c>
      <c r="D94" s="12">
        <v>0</v>
      </c>
      <c r="F94" s="12">
        <v>0</v>
      </c>
      <c r="H94" s="12">
        <v>0</v>
      </c>
    </row>
    <row r="95" spans="1:15">
      <c r="A95" t="s">
        <v>484</v>
      </c>
      <c r="B95" s="16">
        <f>-4200000.1/1000</f>
        <v>-4200.0000999999993</v>
      </c>
      <c r="D95" s="16">
        <v>0</v>
      </c>
      <c r="F95" s="16">
        <v>0</v>
      </c>
      <c r="H95" s="16">
        <v>0</v>
      </c>
    </row>
    <row r="97" spans="1:15">
      <c r="A97" t="s">
        <v>485</v>
      </c>
      <c r="B97" s="4">
        <f t="shared" ref="B97:M97" si="10">SUM(B98:B101)</f>
        <v>19839.52045</v>
      </c>
      <c r="C97" s="11" t="s">
        <v>0</v>
      </c>
      <c r="D97" s="4">
        <f t="shared" si="10"/>
        <v>0</v>
      </c>
      <c r="E97" s="11" t="s">
        <v>0</v>
      </c>
      <c r="F97" s="4">
        <f t="shared" si="10"/>
        <v>0</v>
      </c>
      <c r="G97" s="11">
        <f t="shared" si="10"/>
        <v>0</v>
      </c>
      <c r="H97" s="4">
        <f t="shared" si="10"/>
        <v>0</v>
      </c>
      <c r="I97" s="11">
        <f t="shared" si="10"/>
        <v>0</v>
      </c>
      <c r="J97" s="4">
        <f t="shared" si="10"/>
        <v>0</v>
      </c>
      <c r="K97" s="11">
        <f t="shared" si="10"/>
        <v>0</v>
      </c>
      <c r="L97" s="4">
        <f t="shared" si="10"/>
        <v>0</v>
      </c>
      <c r="M97" s="11">
        <f t="shared" si="10"/>
        <v>0</v>
      </c>
      <c r="O97" s="11">
        <f>SUM(O98:O101)</f>
        <v>0</v>
      </c>
    </row>
    <row r="98" spans="1:15">
      <c r="A98" t="s">
        <v>486</v>
      </c>
      <c r="B98" s="12">
        <f>4124084/1000</f>
        <v>4124.0839999999998</v>
      </c>
      <c r="D98" s="12">
        <v>0</v>
      </c>
      <c r="F98" s="12">
        <v>0</v>
      </c>
      <c r="H98" s="12">
        <v>0</v>
      </c>
    </row>
    <row r="99" spans="1:15">
      <c r="A99" t="s">
        <v>487</v>
      </c>
      <c r="B99" s="12">
        <f>7530954.65/1000</f>
        <v>7530.9546500000006</v>
      </c>
      <c r="D99" s="12">
        <v>0</v>
      </c>
      <c r="F99" s="12">
        <v>0</v>
      </c>
      <c r="H99" s="12">
        <v>0</v>
      </c>
    </row>
    <row r="100" spans="1:15">
      <c r="A100" t="s">
        <v>488</v>
      </c>
      <c r="B100" s="16">
        <f>-516149.8/1000</f>
        <v>-516.14980000000003</v>
      </c>
      <c r="D100" s="16">
        <v>0</v>
      </c>
      <c r="F100" s="16">
        <v>0</v>
      </c>
      <c r="H100" s="16">
        <v>0</v>
      </c>
    </row>
    <row r="101" spans="1:15">
      <c r="A101" t="s">
        <v>489</v>
      </c>
      <c r="B101" s="12">
        <f>8700631.6/1000</f>
        <v>8700.6315999999988</v>
      </c>
      <c r="D101" s="12">
        <v>0</v>
      </c>
      <c r="F101" s="12">
        <v>0</v>
      </c>
      <c r="H101" s="12">
        <v>0</v>
      </c>
    </row>
    <row r="103" spans="1:15">
      <c r="A103" t="s">
        <v>490</v>
      </c>
      <c r="B103" s="4">
        <f>3679950.15/1000</f>
        <v>3679.9501500000001</v>
      </c>
      <c r="C103" s="11" t="s">
        <v>0</v>
      </c>
      <c r="D103" s="4">
        <v>0</v>
      </c>
      <c r="E103" s="11" t="s">
        <v>0</v>
      </c>
      <c r="F103" s="4">
        <v>0</v>
      </c>
      <c r="G103" s="11">
        <v>0</v>
      </c>
      <c r="H103" s="4">
        <v>0</v>
      </c>
      <c r="I103" s="11">
        <v>0</v>
      </c>
      <c r="J103" s="4">
        <v>0</v>
      </c>
      <c r="K103" s="11">
        <v>0</v>
      </c>
      <c r="L103" s="4">
        <v>0</v>
      </c>
      <c r="M103" s="11">
        <v>0</v>
      </c>
      <c r="N103" s="12">
        <v>0</v>
      </c>
      <c r="O103" s="11">
        <v>0</v>
      </c>
    </row>
    <row r="104" spans="1:15">
      <c r="B104" s="16" t="s">
        <v>0</v>
      </c>
      <c r="D104" s="16" t="s">
        <v>0</v>
      </c>
      <c r="F104" s="16" t="s">
        <v>0</v>
      </c>
      <c r="H104" s="16" t="s">
        <v>0</v>
      </c>
    </row>
    <row r="105" spans="1:15">
      <c r="A105" t="s">
        <v>491</v>
      </c>
      <c r="B105" s="4">
        <v>0</v>
      </c>
      <c r="D105" s="4">
        <v>0</v>
      </c>
      <c r="F105" s="4">
        <v>0</v>
      </c>
      <c r="H105" s="4">
        <v>0</v>
      </c>
    </row>
    <row r="107" spans="1:15">
      <c r="A107" t="s">
        <v>492</v>
      </c>
      <c r="B107" s="4">
        <f t="shared" ref="B107:M107" si="11">SUM(B108:B111)</f>
        <v>45677.664100000002</v>
      </c>
      <c r="C107" s="11" t="s">
        <v>0</v>
      </c>
      <c r="D107" s="4">
        <f t="shared" si="11"/>
        <v>0</v>
      </c>
      <c r="E107" s="11" t="s">
        <v>0</v>
      </c>
      <c r="F107" s="4">
        <f t="shared" si="11"/>
        <v>0</v>
      </c>
      <c r="G107" s="11">
        <f t="shared" si="11"/>
        <v>0</v>
      </c>
      <c r="H107" s="4">
        <f t="shared" si="11"/>
        <v>0</v>
      </c>
      <c r="I107" s="11">
        <f t="shared" si="11"/>
        <v>0</v>
      </c>
      <c r="J107" s="4">
        <f t="shared" si="11"/>
        <v>0</v>
      </c>
      <c r="K107" s="11">
        <f t="shared" si="11"/>
        <v>0</v>
      </c>
      <c r="L107" s="4">
        <f t="shared" si="11"/>
        <v>0</v>
      </c>
      <c r="M107" s="11">
        <f t="shared" si="11"/>
        <v>0</v>
      </c>
      <c r="O107" s="11">
        <f>SUM(O108:O111)</f>
        <v>0</v>
      </c>
    </row>
    <row r="108" spans="1:15">
      <c r="A108" t="s">
        <v>493</v>
      </c>
      <c r="B108" s="12">
        <f>55187728.95/1000</f>
        <v>55187.728950000004</v>
      </c>
      <c r="D108" s="12">
        <v>0</v>
      </c>
      <c r="F108" s="12">
        <v>0</v>
      </c>
      <c r="H108" s="12">
        <v>0</v>
      </c>
    </row>
    <row r="109" spans="1:15">
      <c r="A109" t="s">
        <v>494</v>
      </c>
      <c r="B109" s="12">
        <f>682440.75/1000</f>
        <v>682.44074999999998</v>
      </c>
      <c r="D109" s="12">
        <v>0</v>
      </c>
      <c r="F109" s="12">
        <v>0</v>
      </c>
      <c r="H109" s="12">
        <v>0</v>
      </c>
    </row>
    <row r="110" spans="1:15">
      <c r="A110" t="s">
        <v>495</v>
      </c>
      <c r="B110" s="16">
        <f>-10766357.9/1000</f>
        <v>-10766.357900000001</v>
      </c>
      <c r="D110" s="16">
        <v>0</v>
      </c>
      <c r="F110" s="16">
        <v>0</v>
      </c>
      <c r="H110" s="16">
        <v>0</v>
      </c>
    </row>
    <row r="111" spans="1:15">
      <c r="A111" t="s">
        <v>496</v>
      </c>
      <c r="B111" s="12">
        <f>573852.3/1000</f>
        <v>573.85230000000001</v>
      </c>
      <c r="D111" s="12">
        <v>0</v>
      </c>
      <c r="F111" s="12">
        <v>0</v>
      </c>
      <c r="H111" s="12">
        <v>0</v>
      </c>
    </row>
    <row r="113" spans="1:15">
      <c r="A113" t="s">
        <v>497</v>
      </c>
      <c r="B113" s="12">
        <f>24599363.8/1000</f>
        <v>24599.363799999999</v>
      </c>
      <c r="D113" s="12">
        <v>0</v>
      </c>
      <c r="F113" s="12">
        <v>0</v>
      </c>
      <c r="H113" s="12">
        <v>0</v>
      </c>
    </row>
    <row r="115" spans="1:15">
      <c r="A115" s="2" t="s">
        <v>498</v>
      </c>
      <c r="B115" s="4">
        <f t="shared" ref="B115:M115" si="12">+B69+B80+B84+B97+B103+B105+B107+B113</f>
        <v>581162.20160000003</v>
      </c>
      <c r="C115" s="11" t="s">
        <v>0</v>
      </c>
      <c r="D115" s="4">
        <f t="shared" si="12"/>
        <v>0</v>
      </c>
      <c r="E115" s="11" t="s">
        <v>0</v>
      </c>
      <c r="F115" s="4">
        <f t="shared" si="12"/>
        <v>0</v>
      </c>
      <c r="G115" s="11">
        <f t="shared" si="12"/>
        <v>0</v>
      </c>
      <c r="H115" s="4">
        <f t="shared" si="12"/>
        <v>0</v>
      </c>
      <c r="I115" s="11">
        <f t="shared" si="12"/>
        <v>0</v>
      </c>
      <c r="J115" s="4">
        <f t="shared" si="12"/>
        <v>0</v>
      </c>
      <c r="K115" s="11">
        <f t="shared" si="12"/>
        <v>0</v>
      </c>
      <c r="L115" s="4">
        <f t="shared" si="12"/>
        <v>0</v>
      </c>
      <c r="M115" s="11">
        <f t="shared" si="12"/>
        <v>0</v>
      </c>
      <c r="O115" s="11">
        <f>+O69+O80+O84+O97+O103+O105+O107+O113</f>
        <v>0</v>
      </c>
    </row>
    <row r="118" spans="1:15">
      <c r="A118" t="s">
        <v>276</v>
      </c>
    </row>
    <row r="120" spans="1:15">
      <c r="A120" t="s">
        <v>499</v>
      </c>
      <c r="B120" s="4">
        <f>SUM(B121:B122)</f>
        <v>92338.842000000004</v>
      </c>
      <c r="C120" s="11"/>
      <c r="D120" s="4">
        <f>SUM(D121:D122)</f>
        <v>0</v>
      </c>
      <c r="E120" s="11"/>
      <c r="F120" s="4">
        <f>SUM(F121:F122)</f>
        <v>0</v>
      </c>
      <c r="G120" s="11"/>
      <c r="H120" s="4">
        <f>SUM(H121:H122)</f>
        <v>0</v>
      </c>
      <c r="I120" s="11"/>
      <c r="J120" s="4"/>
      <c r="K120" s="11"/>
      <c r="L120" s="4"/>
      <c r="M120" s="11"/>
      <c r="O120" s="11"/>
    </row>
    <row r="121" spans="1:15">
      <c r="A121" t="s">
        <v>500</v>
      </c>
      <c r="B121" s="12">
        <f>91884634.8/1000</f>
        <v>91884.6348</v>
      </c>
      <c r="D121" s="12">
        <v>0</v>
      </c>
      <c r="F121" s="12">
        <v>0</v>
      </c>
      <c r="H121" s="12">
        <v>0</v>
      </c>
    </row>
    <row r="122" spans="1:15">
      <c r="A122" t="s">
        <v>501</v>
      </c>
      <c r="B122" s="12">
        <f>454207.2/1000</f>
        <v>454.2072</v>
      </c>
      <c r="D122" s="12">
        <v>0</v>
      </c>
      <c r="F122" s="12">
        <v>0</v>
      </c>
      <c r="H122" s="12">
        <v>0</v>
      </c>
    </row>
    <row r="123" spans="1:15">
      <c r="A123" t="s">
        <v>0</v>
      </c>
    </row>
    <row r="124" spans="1:15">
      <c r="A124" t="s">
        <v>502</v>
      </c>
      <c r="B124" s="4">
        <f>213180008.3/1000</f>
        <v>213180.00830000002</v>
      </c>
      <c r="C124" s="11"/>
      <c r="D124" s="4">
        <v>0</v>
      </c>
      <c r="E124" s="11"/>
      <c r="F124" s="4">
        <v>0</v>
      </c>
      <c r="G124" s="11"/>
      <c r="H124" s="4">
        <v>0</v>
      </c>
      <c r="I124" s="11"/>
      <c r="J124" s="4"/>
      <c r="K124" s="11"/>
      <c r="L124" s="4"/>
      <c r="M124" s="11"/>
      <c r="O124" s="11"/>
    </row>
    <row r="126" spans="1:15">
      <c r="A126" t="s">
        <v>503</v>
      </c>
      <c r="B126" s="4">
        <f>133122428.7/1000</f>
        <v>133122.42869999999</v>
      </c>
      <c r="C126" s="11"/>
      <c r="D126" s="4">
        <v>0</v>
      </c>
      <c r="E126" s="11"/>
      <c r="F126" s="4">
        <v>0</v>
      </c>
      <c r="G126" s="11"/>
      <c r="H126" s="4">
        <v>0</v>
      </c>
      <c r="I126" s="11"/>
      <c r="J126" s="4"/>
      <c r="K126" s="11"/>
      <c r="L126" s="4"/>
      <c r="M126" s="11"/>
      <c r="O126" s="11"/>
    </row>
    <row r="128" spans="1:15">
      <c r="A128" t="s">
        <v>504</v>
      </c>
      <c r="B128" s="4">
        <f>SUM(B129:B141)</f>
        <v>13720.1242</v>
      </c>
      <c r="C128" s="11"/>
      <c r="D128" s="4">
        <f>SUM(D129:D141)</f>
        <v>0</v>
      </c>
      <c r="E128" s="11"/>
      <c r="F128" s="4">
        <f>SUM(F129:F141)</f>
        <v>0</v>
      </c>
      <c r="G128" s="11"/>
      <c r="H128" s="4">
        <f>SUM(H129:H141)</f>
        <v>0</v>
      </c>
      <c r="I128" s="11"/>
      <c r="J128" s="4"/>
      <c r="K128" s="11"/>
      <c r="L128" s="4"/>
      <c r="M128" s="11"/>
      <c r="O128" s="11"/>
    </row>
    <row r="129" spans="1:15">
      <c r="A129" t="s">
        <v>505</v>
      </c>
      <c r="B129" s="12">
        <f>5679463.9/1000</f>
        <v>5679.4639000000006</v>
      </c>
      <c r="D129" s="12">
        <v>0</v>
      </c>
      <c r="F129" s="12">
        <v>0</v>
      </c>
      <c r="H129" s="12">
        <v>0</v>
      </c>
    </row>
    <row r="130" spans="1:15">
      <c r="A130" t="s">
        <v>506</v>
      </c>
      <c r="B130" s="12">
        <v>0</v>
      </c>
      <c r="D130" s="12">
        <v>0</v>
      </c>
      <c r="F130" s="12">
        <v>0</v>
      </c>
      <c r="H130" s="12">
        <v>0</v>
      </c>
    </row>
    <row r="131" spans="1:15">
      <c r="A131" t="s">
        <v>507</v>
      </c>
      <c r="B131" s="12">
        <v>0</v>
      </c>
      <c r="D131" s="12">
        <v>0</v>
      </c>
      <c r="F131" s="12">
        <v>0</v>
      </c>
      <c r="H131" s="12">
        <v>0</v>
      </c>
    </row>
    <row r="132" spans="1:15">
      <c r="A132" t="s">
        <v>508</v>
      </c>
      <c r="B132" s="12">
        <f>2575986.55/1000</f>
        <v>2575.9865499999996</v>
      </c>
      <c r="D132" s="12">
        <v>0</v>
      </c>
      <c r="F132" s="12">
        <v>0</v>
      </c>
      <c r="H132" s="12">
        <v>0</v>
      </c>
    </row>
    <row r="133" spans="1:15">
      <c r="A133" t="s">
        <v>509</v>
      </c>
      <c r="B133" s="12">
        <v>0</v>
      </c>
      <c r="D133" s="12">
        <v>0</v>
      </c>
      <c r="F133" s="12">
        <v>0</v>
      </c>
      <c r="H133" s="12">
        <v>0</v>
      </c>
    </row>
    <row r="134" spans="1:15">
      <c r="A134" t="s">
        <v>510</v>
      </c>
      <c r="B134" s="12">
        <f>3335128.65/1000</f>
        <v>3335.1286500000001</v>
      </c>
      <c r="D134" s="12">
        <v>0</v>
      </c>
      <c r="F134" s="12">
        <v>0</v>
      </c>
      <c r="H134" s="12">
        <v>0</v>
      </c>
    </row>
    <row r="135" spans="1:15">
      <c r="A135" t="s">
        <v>511</v>
      </c>
      <c r="B135" s="12">
        <f>1642.3/1000</f>
        <v>1.6422999999999999</v>
      </c>
      <c r="D135" s="12">
        <v>0</v>
      </c>
      <c r="F135" s="12">
        <v>0</v>
      </c>
      <c r="H135" s="12">
        <v>0</v>
      </c>
    </row>
    <row r="136" spans="1:15">
      <c r="A136" t="s">
        <v>512</v>
      </c>
      <c r="B136" s="12">
        <f>1082583/1000</f>
        <v>1082.5830000000001</v>
      </c>
      <c r="D136" s="12">
        <v>0</v>
      </c>
      <c r="F136" s="12">
        <v>0</v>
      </c>
      <c r="H136" s="12">
        <v>0</v>
      </c>
    </row>
    <row r="137" spans="1:15">
      <c r="A137" t="s">
        <v>513</v>
      </c>
      <c r="B137" s="12">
        <f>1045319.8/1000</f>
        <v>1045.3198</v>
      </c>
      <c r="D137" s="12">
        <v>0</v>
      </c>
      <c r="F137" s="12">
        <v>0</v>
      </c>
      <c r="H137" s="12">
        <v>0</v>
      </c>
    </row>
    <row r="138" spans="1:15">
      <c r="A138" t="s">
        <v>514</v>
      </c>
      <c r="B138" s="12">
        <v>0</v>
      </c>
      <c r="D138" s="12">
        <v>0</v>
      </c>
      <c r="F138" s="12">
        <v>0</v>
      </c>
      <c r="H138" s="12">
        <v>0</v>
      </c>
    </row>
    <row r="139" spans="1:15">
      <c r="A139" t="s">
        <v>515</v>
      </c>
      <c r="B139" s="12">
        <v>0</v>
      </c>
      <c r="D139" s="12">
        <v>0</v>
      </c>
      <c r="F139" s="12">
        <v>0</v>
      </c>
      <c r="H139" s="12">
        <v>0</v>
      </c>
    </row>
    <row r="140" spans="1:15">
      <c r="A140" t="s">
        <v>516</v>
      </c>
      <c r="B140" s="12">
        <v>0</v>
      </c>
      <c r="D140" s="12">
        <v>0</v>
      </c>
      <c r="F140" s="12">
        <v>0</v>
      </c>
      <c r="H140" s="12">
        <v>0</v>
      </c>
    </row>
    <row r="141" spans="1:15">
      <c r="A141" t="s">
        <v>273</v>
      </c>
      <c r="B141" s="12">
        <v>0</v>
      </c>
      <c r="D141" s="12">
        <v>0</v>
      </c>
      <c r="F141" s="12">
        <v>0</v>
      </c>
      <c r="H141" s="12">
        <v>0</v>
      </c>
    </row>
    <row r="143" spans="1:15">
      <c r="A143" t="s">
        <v>517</v>
      </c>
      <c r="B143" s="4">
        <f>SUM(B144:B150)</f>
        <v>10441.3048</v>
      </c>
      <c r="C143" s="11"/>
      <c r="D143" s="4">
        <f>SUM(D144:D150)</f>
        <v>0</v>
      </c>
      <c r="E143" s="11"/>
      <c r="F143" s="4">
        <f>SUM(F144:F150)</f>
        <v>0</v>
      </c>
      <c r="G143" s="11"/>
      <c r="H143" s="4">
        <f>SUM(H144:H150)</f>
        <v>0</v>
      </c>
      <c r="I143" s="11"/>
      <c r="J143" s="4"/>
      <c r="K143" s="11"/>
      <c r="L143" s="4"/>
      <c r="M143" s="11"/>
      <c r="O143" s="11"/>
    </row>
    <row r="144" spans="1:15">
      <c r="A144" t="s">
        <v>518</v>
      </c>
      <c r="B144" s="12">
        <v>0</v>
      </c>
      <c r="D144" s="12">
        <v>0</v>
      </c>
      <c r="F144" s="12">
        <v>0</v>
      </c>
      <c r="H144" s="12">
        <v>0</v>
      </c>
    </row>
    <row r="145" spans="1:15">
      <c r="A145" t="s">
        <v>519</v>
      </c>
      <c r="B145" s="12">
        <f>4868771.15/1000</f>
        <v>4868.7711500000005</v>
      </c>
      <c r="D145" s="12">
        <v>0</v>
      </c>
      <c r="F145" s="12">
        <v>0</v>
      </c>
      <c r="H145" s="12">
        <v>0</v>
      </c>
    </row>
    <row r="146" spans="1:15">
      <c r="A146" t="s">
        <v>520</v>
      </c>
      <c r="B146" s="12">
        <v>0</v>
      </c>
      <c r="D146" s="12">
        <v>0</v>
      </c>
      <c r="F146" s="12">
        <v>0</v>
      </c>
      <c r="H146" s="12">
        <v>0</v>
      </c>
    </row>
    <row r="147" spans="1:15">
      <c r="A147" t="s">
        <v>521</v>
      </c>
      <c r="B147" s="12">
        <v>0</v>
      </c>
      <c r="D147" s="12">
        <v>0</v>
      </c>
      <c r="F147" s="12">
        <v>0</v>
      </c>
      <c r="H147" s="12">
        <v>0</v>
      </c>
    </row>
    <row r="148" spans="1:15">
      <c r="A148" t="s">
        <v>522</v>
      </c>
      <c r="B148" s="12">
        <v>0</v>
      </c>
      <c r="D148" s="12">
        <v>0</v>
      </c>
      <c r="F148" s="12">
        <v>0</v>
      </c>
      <c r="H148" s="12">
        <v>0</v>
      </c>
    </row>
    <row r="149" spans="1:15">
      <c r="A149" t="s">
        <v>523</v>
      </c>
      <c r="B149" s="12">
        <v>0</v>
      </c>
      <c r="D149" s="12">
        <v>0</v>
      </c>
      <c r="F149" s="12">
        <v>0</v>
      </c>
      <c r="H149" s="12">
        <v>0</v>
      </c>
    </row>
    <row r="150" spans="1:15">
      <c r="A150" t="s">
        <v>524</v>
      </c>
      <c r="B150" s="12">
        <f>+(5555505.35+17028.3)/1000</f>
        <v>5572.5336499999994</v>
      </c>
      <c r="D150" s="12">
        <v>0</v>
      </c>
      <c r="F150" s="12">
        <v>0</v>
      </c>
      <c r="H150" s="12">
        <v>0</v>
      </c>
    </row>
    <row r="152" spans="1:15">
      <c r="A152" t="s">
        <v>525</v>
      </c>
      <c r="B152" s="4">
        <v>0</v>
      </c>
      <c r="C152" s="11"/>
      <c r="D152" s="4">
        <v>0</v>
      </c>
      <c r="E152" s="11"/>
      <c r="F152" s="4">
        <v>0</v>
      </c>
      <c r="G152" s="11"/>
      <c r="H152" s="4">
        <v>0</v>
      </c>
      <c r="I152" s="11"/>
      <c r="J152" s="4"/>
      <c r="K152" s="11"/>
      <c r="L152" s="4"/>
      <c r="M152" s="11"/>
      <c r="O152" s="11"/>
    </row>
    <row r="154" spans="1:15">
      <c r="A154" t="s">
        <v>374</v>
      </c>
      <c r="B154" s="4">
        <f>18700.1/1000</f>
        <v>18.700099999999999</v>
      </c>
      <c r="C154" s="11"/>
      <c r="D154" s="4">
        <v>0</v>
      </c>
      <c r="E154" s="11"/>
      <c r="F154" s="4">
        <v>0</v>
      </c>
      <c r="G154" s="11"/>
      <c r="H154" s="4">
        <v>0</v>
      </c>
      <c r="I154" s="11"/>
      <c r="J154" s="4"/>
      <c r="K154" s="11"/>
      <c r="L154" s="4"/>
      <c r="M154" s="11"/>
      <c r="O154" s="11"/>
    </row>
    <row r="156" spans="1:15">
      <c r="A156" t="s">
        <v>375</v>
      </c>
      <c r="B156" s="4">
        <f>24599363.85/1000</f>
        <v>24599.363850000002</v>
      </c>
      <c r="C156" s="11"/>
      <c r="D156" s="4">
        <v>0</v>
      </c>
      <c r="E156" s="11"/>
      <c r="F156" s="4">
        <v>0</v>
      </c>
      <c r="G156" s="11"/>
      <c r="H156" s="4">
        <v>0</v>
      </c>
      <c r="I156" s="11"/>
      <c r="J156" s="4"/>
      <c r="K156" s="11"/>
      <c r="L156" s="4"/>
      <c r="M156" s="11"/>
      <c r="O156" s="11"/>
    </row>
    <row r="158" spans="1:15">
      <c r="A158" t="s">
        <v>376</v>
      </c>
      <c r="B158" s="4">
        <f>+B160+B162+B163+B164</f>
        <v>92975.266749999981</v>
      </c>
      <c r="C158" s="11"/>
      <c r="D158" s="4">
        <f>+D162+D163+D164</f>
        <v>0</v>
      </c>
      <c r="E158" s="11"/>
      <c r="F158" s="4">
        <f>+F162+F163+F164</f>
        <v>0</v>
      </c>
      <c r="G158" s="11"/>
      <c r="H158" s="4">
        <f>+H162+H163+H164</f>
        <v>0</v>
      </c>
      <c r="I158" s="11"/>
      <c r="J158" s="4"/>
      <c r="K158" s="11"/>
      <c r="L158" s="4"/>
      <c r="M158" s="11"/>
      <c r="O158" s="11"/>
    </row>
    <row r="159" spans="1:15">
      <c r="A159" t="s">
        <v>377</v>
      </c>
      <c r="B159" s="12">
        <f>90000000/1000</f>
        <v>90000</v>
      </c>
      <c r="D159" s="12">
        <v>0</v>
      </c>
      <c r="F159" s="12">
        <v>0</v>
      </c>
      <c r="H159" s="12">
        <v>0</v>
      </c>
    </row>
    <row r="160" spans="1:15">
      <c r="A160" t="s">
        <v>302</v>
      </c>
      <c r="B160" s="12">
        <f>460750/1000</f>
        <v>460.75</v>
      </c>
      <c r="D160" s="12">
        <v>0</v>
      </c>
      <c r="F160" s="12">
        <v>0</v>
      </c>
      <c r="H160" s="12">
        <v>0</v>
      </c>
    </row>
    <row r="161" spans="1:15">
      <c r="A161" t="s">
        <v>378</v>
      </c>
      <c r="B161" s="12">
        <f>-12430600/1000</f>
        <v>-12430.6</v>
      </c>
      <c r="D161" s="12">
        <v>0</v>
      </c>
      <c r="F161" s="12">
        <v>0</v>
      </c>
      <c r="H161" s="12">
        <v>0</v>
      </c>
    </row>
    <row r="162" spans="1:15">
      <c r="A162" t="s">
        <v>289</v>
      </c>
      <c r="B162" s="4">
        <f>+B159+B161</f>
        <v>77569.399999999994</v>
      </c>
      <c r="D162" s="4">
        <f>+D159+D161</f>
        <v>0</v>
      </c>
      <c r="F162" s="4">
        <f>+F159+F161</f>
        <v>0</v>
      </c>
      <c r="H162" s="4">
        <f>+H159+H161</f>
        <v>0</v>
      </c>
    </row>
    <row r="163" spans="1:15">
      <c r="A163" t="s">
        <v>379</v>
      </c>
      <c r="B163" s="12">
        <f>11124205.1/1000</f>
        <v>11124.205099999999</v>
      </c>
      <c r="D163" s="12">
        <v>0</v>
      </c>
      <c r="F163" s="12">
        <v>0</v>
      </c>
      <c r="H163" s="12">
        <v>0</v>
      </c>
    </row>
    <row r="164" spans="1:15">
      <c r="A164" t="s">
        <v>380</v>
      </c>
      <c r="B164" s="12">
        <f>3820911.65/1000</f>
        <v>3820.91165</v>
      </c>
      <c r="D164" s="12">
        <v>0</v>
      </c>
      <c r="F164" s="12">
        <v>0</v>
      </c>
      <c r="H164" s="12">
        <v>0</v>
      </c>
    </row>
    <row r="166" spans="1:15">
      <c r="A166" t="s">
        <v>381</v>
      </c>
      <c r="B166" s="4">
        <f>SUM(B167:B168)</f>
        <v>766.16289999999992</v>
      </c>
      <c r="C166" s="11"/>
      <c r="D166" s="4">
        <f>SUM(D167:D168)</f>
        <v>0</v>
      </c>
      <c r="E166" s="11"/>
      <c r="F166" s="4">
        <f>SUM(F167:F168)</f>
        <v>0</v>
      </c>
      <c r="G166" s="11"/>
      <c r="H166" s="4">
        <f>SUM(H167:H168)</f>
        <v>0</v>
      </c>
      <c r="I166" s="11"/>
      <c r="J166" s="4"/>
      <c r="K166" s="11"/>
      <c r="L166" s="4"/>
      <c r="M166" s="11"/>
      <c r="O166" s="11"/>
    </row>
    <row r="167" spans="1:15">
      <c r="A167" t="s">
        <v>382</v>
      </c>
      <c r="B167" s="12">
        <f>1540294.9/1000</f>
        <v>1540.2948999999999</v>
      </c>
      <c r="D167" s="12">
        <v>0</v>
      </c>
      <c r="F167" s="12">
        <v>0</v>
      </c>
      <c r="H167" s="12">
        <v>0</v>
      </c>
    </row>
    <row r="168" spans="1:15">
      <c r="A168" t="s">
        <v>383</v>
      </c>
      <c r="B168" s="12">
        <f>-774132/1000</f>
        <v>-774.13199999999995</v>
      </c>
      <c r="D168" s="12">
        <v>0</v>
      </c>
      <c r="F168" s="12">
        <v>0</v>
      </c>
      <c r="H168" s="12">
        <v>0</v>
      </c>
    </row>
    <row r="170" spans="1:15">
      <c r="A170" t="s">
        <v>384</v>
      </c>
      <c r="B170" s="4">
        <f t="shared" ref="B170:M170" si="13">+B120+B124+B126+B128+B143+B152+B154+B156+B158+B166</f>
        <v>581162.20160000003</v>
      </c>
      <c r="C170" s="11" t="s">
        <v>0</v>
      </c>
      <c r="D170" s="4">
        <f t="shared" si="13"/>
        <v>0</v>
      </c>
      <c r="E170" s="11" t="s">
        <v>0</v>
      </c>
      <c r="F170" s="4">
        <f t="shared" si="13"/>
        <v>0</v>
      </c>
      <c r="G170" s="11">
        <f t="shared" si="13"/>
        <v>0</v>
      </c>
      <c r="H170" s="4">
        <f t="shared" si="13"/>
        <v>0</v>
      </c>
      <c r="I170" s="11">
        <f t="shared" si="13"/>
        <v>0</v>
      </c>
      <c r="J170" s="4">
        <f t="shared" si="13"/>
        <v>0</v>
      </c>
      <c r="K170" s="11">
        <f t="shared" si="13"/>
        <v>0</v>
      </c>
      <c r="L170" s="4">
        <f t="shared" si="13"/>
        <v>0</v>
      </c>
      <c r="M170" s="11">
        <f t="shared" si="13"/>
        <v>0</v>
      </c>
      <c r="O170" s="11">
        <f>+O120+O124+O126+O128+O143+O152+O154+O156+O158+O166</f>
        <v>0</v>
      </c>
    </row>
  </sheetData>
  <pageMargins left="0.25" right="0.23" top="0.52" bottom="0.56999999999999995" header="0.32" footer="0.34"/>
  <pageSetup scale="54" orientation="landscape" r:id="rId1"/>
  <headerFooter alignWithMargins="0">
    <oddFooter>&amp;R&amp;P</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6"/>
  <sheetViews>
    <sheetView workbookViewId="0"/>
  </sheetViews>
  <sheetFormatPr defaultRowHeight="15.75"/>
  <cols>
    <col min="1" max="1" width="33.25" customWidth="1"/>
    <col min="2" max="2" width="17.37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9.75" style="13" customWidth="1"/>
    <col min="18" max="18" width="15.75" style="12" customWidth="1"/>
    <col min="19" max="21" width="15.75" customWidth="1"/>
    <col min="22" max="256" width="11" customWidth="1"/>
  </cols>
  <sheetData>
    <row r="1" spans="1:21">
      <c r="A1" s="114" t="s">
        <v>613</v>
      </c>
      <c r="B1" s="37"/>
      <c r="C1" s="38"/>
      <c r="D1" s="37"/>
      <c r="E1" s="38"/>
      <c r="F1" s="37"/>
      <c r="G1" s="38"/>
      <c r="H1" s="37"/>
      <c r="I1" s="38"/>
      <c r="J1" s="37"/>
      <c r="K1" s="38"/>
      <c r="L1" s="37"/>
      <c r="M1" s="38"/>
      <c r="N1" s="37"/>
      <c r="O1" s="38"/>
      <c r="P1" s="37"/>
      <c r="Q1" s="38"/>
    </row>
    <row r="2" spans="1:21">
      <c r="A2" s="114" t="s">
        <v>305</v>
      </c>
      <c r="B2" s="37"/>
      <c r="C2" s="38"/>
      <c r="D2" s="37"/>
      <c r="E2" s="38"/>
      <c r="F2" s="37"/>
      <c r="G2" s="38"/>
      <c r="H2" s="37"/>
      <c r="I2" s="38"/>
      <c r="J2" s="37"/>
      <c r="K2" s="38"/>
      <c r="L2" s="37"/>
      <c r="M2" s="38"/>
      <c r="N2" s="37"/>
      <c r="O2" s="38"/>
      <c r="P2" s="37"/>
      <c r="Q2" s="38"/>
    </row>
    <row r="3" spans="1:21">
      <c r="A3" s="114" t="s">
        <v>526</v>
      </c>
      <c r="B3" s="37"/>
      <c r="C3" s="38"/>
      <c r="D3" s="37"/>
      <c r="E3" s="38"/>
      <c r="F3" s="37"/>
      <c r="G3" s="38"/>
      <c r="H3" s="37"/>
      <c r="I3" s="38"/>
      <c r="J3" s="37"/>
      <c r="K3" s="38"/>
      <c r="L3" s="37"/>
      <c r="M3" s="38"/>
      <c r="N3" s="37"/>
      <c r="O3" s="38"/>
      <c r="P3" s="37"/>
      <c r="Q3" s="38"/>
    </row>
    <row r="4" spans="1:21">
      <c r="A4" s="114" t="s">
        <v>179</v>
      </c>
      <c r="B4" s="37"/>
      <c r="C4" s="38"/>
      <c r="D4" s="37"/>
      <c r="E4" s="38"/>
      <c r="F4" s="37"/>
      <c r="G4" s="38"/>
      <c r="H4" s="37"/>
      <c r="I4" s="38"/>
      <c r="J4" s="37"/>
      <c r="K4" s="38"/>
      <c r="L4" s="37"/>
      <c r="M4" s="38"/>
      <c r="N4" s="37"/>
      <c r="O4" s="38"/>
      <c r="P4" s="37"/>
      <c r="Q4" s="38"/>
    </row>
    <row r="5" spans="1:21">
      <c r="A5" s="114"/>
      <c r="B5" s="37"/>
      <c r="C5" s="38"/>
      <c r="D5" s="37"/>
      <c r="E5" s="38"/>
      <c r="F5" s="37"/>
      <c r="G5" s="38"/>
      <c r="H5" s="37"/>
      <c r="I5" s="38"/>
      <c r="J5" s="37"/>
      <c r="K5" s="38"/>
      <c r="L5" s="37"/>
      <c r="M5" s="38"/>
      <c r="N5" s="37"/>
      <c r="O5" s="38"/>
      <c r="P5" s="37"/>
      <c r="Q5" s="38"/>
    </row>
    <row r="6" spans="1:21" ht="16.5" thickBot="1">
      <c r="J6" s="123" t="s">
        <v>167</v>
      </c>
      <c r="K6" s="38"/>
      <c r="L6" s="37"/>
      <c r="M6" s="38"/>
      <c r="N6" s="37"/>
      <c r="O6" s="38"/>
      <c r="P6" s="37"/>
      <c r="Q6" s="38"/>
    </row>
    <row r="7" spans="1:21" s="2" customFormat="1" ht="16.5" thickBot="1">
      <c r="B7" s="223" t="s">
        <v>168</v>
      </c>
      <c r="C7" s="224" t="s">
        <v>301</v>
      </c>
      <c r="D7" s="225" t="s">
        <v>170</v>
      </c>
      <c r="E7" s="224" t="s">
        <v>301</v>
      </c>
      <c r="F7" s="225" t="s">
        <v>171</v>
      </c>
      <c r="G7" s="224" t="s">
        <v>301</v>
      </c>
      <c r="H7" s="225" t="s">
        <v>172</v>
      </c>
      <c r="I7" s="224" t="s">
        <v>301</v>
      </c>
      <c r="J7" s="228" t="s">
        <v>174</v>
      </c>
      <c r="K7" s="227" t="s">
        <v>301</v>
      </c>
      <c r="L7" s="228" t="s">
        <v>175</v>
      </c>
      <c r="M7" s="227" t="s">
        <v>301</v>
      </c>
      <c r="N7" s="228" t="s">
        <v>176</v>
      </c>
      <c r="O7" s="227" t="s">
        <v>301</v>
      </c>
      <c r="P7" s="228" t="s">
        <v>177</v>
      </c>
      <c r="Q7" s="227" t="s">
        <v>301</v>
      </c>
      <c r="R7" s="80"/>
      <c r="S7" s="18"/>
      <c r="T7" s="18"/>
      <c r="U7" s="18"/>
    </row>
    <row r="8" spans="1:21">
      <c r="A8" s="87" t="s">
        <v>243</v>
      </c>
      <c r="B8" s="125"/>
      <c r="C8" s="124"/>
      <c r="D8" s="125"/>
      <c r="E8" s="124"/>
      <c r="F8" s="125"/>
      <c r="G8" s="124"/>
      <c r="H8" s="125"/>
      <c r="I8" s="124"/>
      <c r="J8" s="219"/>
      <c r="K8" s="124"/>
      <c r="L8" s="219"/>
      <c r="M8" s="124"/>
      <c r="N8" s="219"/>
      <c r="O8" s="124"/>
      <c r="P8" s="219"/>
      <c r="Q8" s="124"/>
      <c r="R8" s="14"/>
      <c r="S8" s="9"/>
      <c r="T8" s="9"/>
      <c r="U8" s="9"/>
    </row>
    <row r="9" spans="1:21">
      <c r="A9" s="1" t="s">
        <v>264</v>
      </c>
      <c r="B9"/>
    </row>
    <row r="10" spans="1:21">
      <c r="A10" s="1" t="s">
        <v>265</v>
      </c>
      <c r="B10" s="12">
        <f>+capitalbkvar!B10</f>
        <v>63929</v>
      </c>
      <c r="C10" s="47">
        <f t="shared" ref="C10:C15" si="0">+B10/$B$22</f>
        <v>5.7435203577874745E-2</v>
      </c>
      <c r="D10" s="12">
        <f>+capitalbkvar!D10</f>
        <v>0</v>
      </c>
      <c r="E10" s="44">
        <v>0</v>
      </c>
      <c r="F10" s="12">
        <f>+capitalbkvar!F10</f>
        <v>0</v>
      </c>
      <c r="G10" s="44">
        <v>0</v>
      </c>
      <c r="H10" s="12">
        <f>+capitalbkvar!H10</f>
        <v>0</v>
      </c>
      <c r="I10" s="44">
        <v>0</v>
      </c>
      <c r="J10" s="12">
        <f>+capitalbkvar!J10</f>
        <v>22990</v>
      </c>
      <c r="K10" s="47">
        <f t="shared" ref="K10:K15" si="1">+J10/$J$22</f>
        <v>2.2322924060305879E-2</v>
      </c>
      <c r="L10" s="12">
        <f>+capitalbkvar!L10</f>
        <v>41593</v>
      </c>
      <c r="M10" s="47">
        <f t="shared" ref="M10:M15" si="2">+L10/$L$22</f>
        <v>6.0452042271228267E-2</v>
      </c>
      <c r="N10" s="12">
        <f>+capitalbkvar!N10</f>
        <v>27367.9</v>
      </c>
      <c r="O10" s="47">
        <f t="shared" ref="O10:O15" si="3">+N10/$N$22</f>
        <v>5.4669471498332053E-2</v>
      </c>
      <c r="P10" s="12">
        <f>+capitalbkvar!P10</f>
        <v>12460.914150000001</v>
      </c>
      <c r="Q10" s="47">
        <f>+P10/$P$22</f>
        <v>3.4917323209815207E-2</v>
      </c>
    </row>
    <row r="11" spans="1:21">
      <c r="A11" s="1" t="s">
        <v>266</v>
      </c>
      <c r="B11" s="12">
        <f>+capitalbkvar!B11</f>
        <v>117712</v>
      </c>
      <c r="C11" s="47">
        <f t="shared" si="0"/>
        <v>0.1057550201560918</v>
      </c>
      <c r="D11" s="12">
        <f>+capitalbkvar!D11</f>
        <v>0</v>
      </c>
      <c r="E11" s="44">
        <v>0</v>
      </c>
      <c r="F11" s="12">
        <f>+capitalbkvar!F11</f>
        <v>0</v>
      </c>
      <c r="G11" s="44">
        <v>0</v>
      </c>
      <c r="H11" s="12">
        <f>+capitalbkvar!H11</f>
        <v>0</v>
      </c>
      <c r="I11" s="44">
        <v>0</v>
      </c>
      <c r="J11" s="12">
        <f>+capitalbkvar!J11</f>
        <v>145519</v>
      </c>
      <c r="K11" s="47">
        <f t="shared" si="1"/>
        <v>0.14129663272429976</v>
      </c>
      <c r="L11" s="12">
        <f>+capitalbkvar!L11</f>
        <v>39441</v>
      </c>
      <c r="M11" s="47">
        <f t="shared" si="2"/>
        <v>5.7324285317710048E-2</v>
      </c>
      <c r="N11" s="12">
        <f>+capitalbkvar!N11</f>
        <v>40456.699999999997</v>
      </c>
      <c r="O11" s="47">
        <f t="shared" si="3"/>
        <v>8.0815349645627546E-2</v>
      </c>
      <c r="P11" s="12">
        <f>+capitalbkvar!P11</f>
        <v>37418.798999999999</v>
      </c>
      <c r="Q11" s="47">
        <f t="shared" ref="Q11:Q27" si="4">+P11/$P$22</f>
        <v>0.10485300541181482</v>
      </c>
    </row>
    <row r="12" spans="1:21">
      <c r="A12" s="1" t="s">
        <v>267</v>
      </c>
      <c r="B12" s="12">
        <f>+capitalbkvar!B12</f>
        <v>28845</v>
      </c>
      <c r="C12" s="47">
        <f t="shared" si="0"/>
        <v>2.5914975163130929E-2</v>
      </c>
      <c r="D12" s="12">
        <f>+capitalbkvar!D12</f>
        <v>0</v>
      </c>
      <c r="E12" s="44">
        <v>0</v>
      </c>
      <c r="F12" s="12">
        <f>+capitalbkvar!F12</f>
        <v>0</v>
      </c>
      <c r="G12" s="44">
        <v>0</v>
      </c>
      <c r="H12" s="12">
        <f>+capitalbkvar!H12</f>
        <v>0</v>
      </c>
      <c r="I12" s="44">
        <v>0</v>
      </c>
      <c r="J12" s="12">
        <f>+capitalbkvar!J12</f>
        <v>40178</v>
      </c>
      <c r="K12" s="47">
        <f t="shared" si="1"/>
        <v>3.9012198473030432E-2</v>
      </c>
      <c r="L12" s="12">
        <f>+capitalbkvar!L12</f>
        <v>21381</v>
      </c>
      <c r="M12" s="47">
        <f t="shared" si="2"/>
        <v>3.107554434162315E-2</v>
      </c>
      <c r="N12" s="12">
        <f>+capitalbkvar!N12</f>
        <v>47932.6</v>
      </c>
      <c r="O12" s="47">
        <f t="shared" si="3"/>
        <v>9.5749031147473893E-2</v>
      </c>
      <c r="P12" s="12">
        <f>+capitalbkvar!P12</f>
        <v>41075.571750000003</v>
      </c>
      <c r="Q12" s="47">
        <f t="shared" si="4"/>
        <v>0.11509982313959724</v>
      </c>
    </row>
    <row r="13" spans="1:21">
      <c r="A13" s="1" t="s">
        <v>268</v>
      </c>
      <c r="B13" s="12">
        <f>+capitalbkvar!B13</f>
        <v>656</v>
      </c>
      <c r="C13" s="47">
        <f t="shared" si="0"/>
        <v>5.8936466309633868E-4</v>
      </c>
      <c r="D13" s="12">
        <f>+capitalbkvar!D13</f>
        <v>0</v>
      </c>
      <c r="E13" s="44">
        <v>0</v>
      </c>
      <c r="F13" s="12">
        <f>+capitalbkvar!F13</f>
        <v>0</v>
      </c>
      <c r="G13" s="44">
        <v>0</v>
      </c>
      <c r="H13" s="12">
        <f>+capitalbkvar!H13</f>
        <v>0</v>
      </c>
      <c r="I13" s="44">
        <v>0</v>
      </c>
      <c r="J13" s="12">
        <f>+capitalbkvar!J13</f>
        <v>0</v>
      </c>
      <c r="K13" s="47">
        <f t="shared" si="1"/>
        <v>0</v>
      </c>
      <c r="L13" s="12">
        <f>+capitalbkvar!L13</f>
        <v>0</v>
      </c>
      <c r="M13" s="47">
        <f t="shared" si="2"/>
        <v>0</v>
      </c>
      <c r="N13" s="12">
        <f>+capitalbkvar!N13</f>
        <v>16082.5</v>
      </c>
      <c r="O13" s="47">
        <f t="shared" si="3"/>
        <v>3.2126022653251624E-2</v>
      </c>
      <c r="P13" s="12">
        <f>+capitalbkvar!P13</f>
        <v>4513.62</v>
      </c>
      <c r="Q13" s="47">
        <f t="shared" si="4"/>
        <v>1.2647830366946722E-2</v>
      </c>
    </row>
    <row r="14" spans="1:21">
      <c r="A14" s="1" t="s">
        <v>269</v>
      </c>
      <c r="B14" s="221">
        <f>+capitalbkvar!B14</f>
        <v>48144</v>
      </c>
      <c r="C14" s="328">
        <f t="shared" si="0"/>
        <v>4.3253616372119101E-2</v>
      </c>
      <c r="D14" s="221">
        <f>+capitalbkvar!D14</f>
        <v>0</v>
      </c>
      <c r="E14" s="545">
        <v>0</v>
      </c>
      <c r="F14" s="221">
        <f>+capitalbkvar!F14</f>
        <v>0</v>
      </c>
      <c r="G14" s="545">
        <v>0</v>
      </c>
      <c r="H14" s="221">
        <f>+capitalbkvar!H14</f>
        <v>0</v>
      </c>
      <c r="I14" s="545">
        <v>0</v>
      </c>
      <c r="J14" s="221">
        <f>+capitalbkvar!J14</f>
        <v>35126</v>
      </c>
      <c r="K14" s="328">
        <f t="shared" si="1"/>
        <v>3.4106786887442557E-2</v>
      </c>
      <c r="L14" s="221">
        <f>+capitalbkvar!L14</f>
        <v>23871</v>
      </c>
      <c r="M14" s="328">
        <f t="shared" si="2"/>
        <v>3.4694556801781309E-2</v>
      </c>
      <c r="N14" s="221">
        <f>+capitalbkvar!N14</f>
        <v>11567.5</v>
      </c>
      <c r="O14" s="328">
        <f t="shared" si="3"/>
        <v>2.3106965151032999E-2</v>
      </c>
      <c r="P14" s="221">
        <f>+capitalbkvar!P14</f>
        <v>7619.2794000000004</v>
      </c>
      <c r="Q14" s="328">
        <f t="shared" si="4"/>
        <v>2.135034703177751E-2</v>
      </c>
    </row>
    <row r="15" spans="1:21" ht="15.6" customHeight="1">
      <c r="A15" s="1"/>
      <c r="B15" s="12">
        <f>SUM(B10:B14)</f>
        <v>259286</v>
      </c>
      <c r="C15" s="47">
        <f t="shared" si="0"/>
        <v>0.2329481799323129</v>
      </c>
      <c r="D15" s="12">
        <f>SUM(D10:D14)</f>
        <v>0</v>
      </c>
      <c r="E15" s="44">
        <v>0</v>
      </c>
      <c r="F15" s="12">
        <f>SUM(F10:F14)</f>
        <v>0</v>
      </c>
      <c r="G15" s="44">
        <v>0</v>
      </c>
      <c r="H15" s="12">
        <f>SUM(H10:H14)</f>
        <v>0</v>
      </c>
      <c r="I15" s="44">
        <v>0</v>
      </c>
      <c r="J15" s="12">
        <f>SUM(J10:J14)</f>
        <v>243813</v>
      </c>
      <c r="K15" s="47">
        <f t="shared" si="1"/>
        <v>0.23673854214507861</v>
      </c>
      <c r="L15" s="12">
        <f>SUM(L10:L14)</f>
        <v>126286</v>
      </c>
      <c r="M15" s="47">
        <f t="shared" si="2"/>
        <v>0.18354642873234278</v>
      </c>
      <c r="N15" s="12">
        <f>SUM(N10:N14)</f>
        <v>143407.20000000001</v>
      </c>
      <c r="O15" s="47">
        <f t="shared" si="3"/>
        <v>0.28646684009571816</v>
      </c>
      <c r="P15" s="12">
        <f>SUM(P10:P14)</f>
        <v>103088.18429999999</v>
      </c>
      <c r="Q15" s="47">
        <f t="shared" si="4"/>
        <v>0.28886832915995148</v>
      </c>
    </row>
    <row r="16" spans="1:21" ht="7.9" customHeight="1">
      <c r="A16" s="1"/>
      <c r="C16" s="47" t="s">
        <v>0</v>
      </c>
      <c r="E16" s="44" t="s">
        <v>0</v>
      </c>
      <c r="G16" s="44" t="s">
        <v>0</v>
      </c>
      <c r="I16" s="44" t="s">
        <v>0</v>
      </c>
      <c r="K16" s="47" t="s">
        <v>0</v>
      </c>
      <c r="M16" s="47" t="s">
        <v>0</v>
      </c>
      <c r="O16" s="47" t="s">
        <v>0</v>
      </c>
      <c r="Q16" s="47" t="s">
        <v>0</v>
      </c>
    </row>
    <row r="17" spans="1:17" ht="15.6" customHeight="1">
      <c r="A17" s="1" t="s">
        <v>270</v>
      </c>
      <c r="B17" s="12">
        <f>+capitalbkvar!B17</f>
        <v>80000</v>
      </c>
      <c r="C17" s="47">
        <f t="shared" ref="C17:C22" si="5">+B17/$B$22</f>
        <v>7.1873739401992515E-2</v>
      </c>
      <c r="D17" s="12">
        <f>+capitalbkvar!D17</f>
        <v>0</v>
      </c>
      <c r="E17" s="44">
        <v>0</v>
      </c>
      <c r="F17" s="12">
        <f>+capitalbkvar!F17</f>
        <v>0</v>
      </c>
      <c r="G17" s="44">
        <v>0</v>
      </c>
      <c r="H17" s="12">
        <f>+capitalbkvar!H17</f>
        <v>0</v>
      </c>
      <c r="I17" s="44">
        <v>0</v>
      </c>
      <c r="J17" s="12">
        <f>+capitalbkvar!J17</f>
        <v>75000</v>
      </c>
      <c r="K17" s="47">
        <f t="shared" ref="K17:K22" si="6">+J17/$J$22</f>
        <v>7.2823806199344976E-2</v>
      </c>
      <c r="L17" s="12">
        <f>+capitalbkvar!L17</f>
        <v>20000</v>
      </c>
      <c r="M17" s="47">
        <f t="shared" ref="M17:M22" si="7">+L17/$L$22</f>
        <v>2.9068373173961132E-2</v>
      </c>
      <c r="N17" s="12">
        <f>+capitalbkvar!N17</f>
        <v>10000</v>
      </c>
      <c r="O17" s="47">
        <f t="shared" ref="O17:O22" si="8">+N17/$N$22</f>
        <v>1.9975764124515235E-2</v>
      </c>
      <c r="P17" s="12">
        <f>+capitalbkvar!P17</f>
        <v>0</v>
      </c>
      <c r="Q17" s="47">
        <f t="shared" si="4"/>
        <v>0</v>
      </c>
    </row>
    <row r="18" spans="1:17">
      <c r="A18" s="1" t="s">
        <v>271</v>
      </c>
      <c r="B18" s="12">
        <f>+capitalbkvar!B18</f>
        <v>81079</v>
      </c>
      <c r="C18" s="47">
        <f t="shared" si="5"/>
        <v>7.2843136462176897E-2</v>
      </c>
      <c r="D18" s="12">
        <f>+capitalbkvar!D18</f>
        <v>0</v>
      </c>
      <c r="E18" s="44">
        <v>0</v>
      </c>
      <c r="F18" s="12">
        <f>+capitalbkvar!F18</f>
        <v>0</v>
      </c>
      <c r="G18" s="44">
        <v>0</v>
      </c>
      <c r="H18" s="12">
        <f>+capitalbkvar!H18</f>
        <v>0</v>
      </c>
      <c r="I18" s="44">
        <v>0</v>
      </c>
      <c r="J18" s="12">
        <f>+capitalbkvar!J18</f>
        <v>64258</v>
      </c>
      <c r="K18" s="47">
        <f t="shared" si="6"/>
        <v>6.2393495183433456E-2</v>
      </c>
      <c r="L18" s="12">
        <f>+capitalbkvar!L18</f>
        <v>45987</v>
      </c>
      <c r="M18" s="47">
        <f t="shared" si="7"/>
        <v>6.6838363857547531E-2</v>
      </c>
      <c r="N18" s="12">
        <f>+capitalbkvar!N18</f>
        <v>26.731999999999999</v>
      </c>
      <c r="O18" s="47">
        <f t="shared" si="8"/>
        <v>5.3399212657654122E-5</v>
      </c>
      <c r="P18" s="12">
        <f>+capitalbkvar!P18</f>
        <v>26.731999999999999</v>
      </c>
      <c r="Q18" s="47">
        <f t="shared" si="4"/>
        <v>7.4907015071986512E-5</v>
      </c>
    </row>
    <row r="19" spans="1:17">
      <c r="A19" s="1" t="s">
        <v>272</v>
      </c>
      <c r="B19" s="12">
        <f>+capitalbkvar!B19</f>
        <v>501800</v>
      </c>
      <c r="C19" s="47">
        <f t="shared" si="5"/>
        <v>0.4508280303989981</v>
      </c>
      <c r="D19" s="12">
        <f>+capitalbkvar!D19</f>
        <v>0</v>
      </c>
      <c r="E19" s="44">
        <v>0</v>
      </c>
      <c r="F19" s="12">
        <f>+capitalbkvar!F19</f>
        <v>0</v>
      </c>
      <c r="G19" s="44">
        <v>0</v>
      </c>
      <c r="H19" s="12">
        <f>+capitalbkvar!H19</f>
        <v>0</v>
      </c>
      <c r="I19" s="44">
        <v>0</v>
      </c>
      <c r="J19" s="12">
        <f>+capitalbkvar!J19</f>
        <v>507741</v>
      </c>
      <c r="K19" s="47">
        <f t="shared" si="6"/>
        <v>0.49300842911282156</v>
      </c>
      <c r="L19" s="12">
        <f>+capitalbkvar!L19</f>
        <v>376362</v>
      </c>
      <c r="M19" s="47">
        <f t="shared" si="7"/>
        <v>0.54701155322491801</v>
      </c>
      <c r="N19" s="12">
        <f>+capitalbkvar!N19</f>
        <v>288579.8</v>
      </c>
      <c r="O19" s="47">
        <f t="shared" si="8"/>
        <v>0.57646020158997813</v>
      </c>
      <c r="P19" s="12">
        <f>+capitalbkvar!P19</f>
        <v>216024.2721</v>
      </c>
      <c r="Q19" s="47">
        <f t="shared" si="4"/>
        <v>0.60533193947739095</v>
      </c>
    </row>
    <row r="20" spans="1:17">
      <c r="A20" s="1" t="s">
        <v>273</v>
      </c>
      <c r="B20" s="12">
        <f>+capitalbkvar!B20</f>
        <v>73605</v>
      </c>
      <c r="C20" s="47">
        <f t="shared" si="5"/>
        <v>6.6128332358545747E-2</v>
      </c>
      <c r="D20" s="12">
        <f>+capitalbkvar!D20</f>
        <v>0</v>
      </c>
      <c r="E20" s="44">
        <v>0</v>
      </c>
      <c r="F20" s="12">
        <f>+capitalbkvar!F20</f>
        <v>0</v>
      </c>
      <c r="G20" s="44">
        <v>0</v>
      </c>
      <c r="H20" s="12">
        <f>+capitalbkvar!H20</f>
        <v>0</v>
      </c>
      <c r="I20" s="44">
        <v>0</v>
      </c>
      <c r="J20" s="12">
        <f>+capitalbkvar!J20</f>
        <v>75327</v>
      </c>
      <c r="K20" s="47">
        <f t="shared" si="6"/>
        <v>7.3141317994374122E-2</v>
      </c>
      <c r="L20" s="12">
        <f>+capitalbkvar!L20</f>
        <v>60166</v>
      </c>
      <c r="M20" s="47">
        <f t="shared" si="7"/>
        <v>8.7446387019227273E-2</v>
      </c>
      <c r="N20" s="12">
        <f>+capitalbkvar!N20</f>
        <v>44223.7</v>
      </c>
      <c r="O20" s="47">
        <f t="shared" si="8"/>
        <v>8.834021999133243E-2</v>
      </c>
      <c r="P20" s="12">
        <f>+capitalbkvar!P20</f>
        <v>26527.891600000003</v>
      </c>
      <c r="Q20" s="47">
        <f t="shared" si="4"/>
        <v>7.4335073167335952E-2</v>
      </c>
    </row>
    <row r="21" spans="1:17" ht="16.5" thickBot="1">
      <c r="A21" s="1" t="s">
        <v>274</v>
      </c>
      <c r="B21" s="99">
        <f>+capitalbkvar!B21</f>
        <v>117293</v>
      </c>
      <c r="C21" s="329">
        <f t="shared" si="5"/>
        <v>0.10537858144597385</v>
      </c>
      <c r="D21" s="99">
        <f>+capitalbkvar!D21</f>
        <v>0</v>
      </c>
      <c r="E21" s="232">
        <v>0</v>
      </c>
      <c r="F21" s="99">
        <f>+capitalbkvar!F21</f>
        <v>0</v>
      </c>
      <c r="G21" s="232">
        <v>0</v>
      </c>
      <c r="H21" s="99">
        <f>+capitalbkvar!H21</f>
        <v>0</v>
      </c>
      <c r="I21" s="232">
        <v>0</v>
      </c>
      <c r="J21" s="99">
        <f>+capitalbkvar!J21</f>
        <v>63744</v>
      </c>
      <c r="K21" s="329">
        <f t="shared" si="6"/>
        <v>6.1894409364947278E-2</v>
      </c>
      <c r="L21" s="99">
        <f>+capitalbkvar!L21</f>
        <v>59232</v>
      </c>
      <c r="M21" s="329">
        <f t="shared" si="7"/>
        <v>8.6088893992003285E-2</v>
      </c>
      <c r="N21" s="99">
        <f>+capitalbkvar!N21</f>
        <v>14369.2</v>
      </c>
      <c r="O21" s="329">
        <f t="shared" si="8"/>
        <v>2.8703574985798432E-2</v>
      </c>
      <c r="P21" s="99">
        <f>+capitalbkvar!P21</f>
        <v>11202.032650000001</v>
      </c>
      <c r="Q21" s="329">
        <f t="shared" si="4"/>
        <v>3.1389751180249705E-2</v>
      </c>
    </row>
    <row r="22" spans="1:17">
      <c r="A22" s="1" t="s">
        <v>275</v>
      </c>
      <c r="B22" s="4">
        <f>SUM(B15:B21)</f>
        <v>1113063</v>
      </c>
      <c r="C22" s="112">
        <f t="shared" si="5"/>
        <v>1</v>
      </c>
      <c r="D22" s="4">
        <f>SUM(D15:D21)</f>
        <v>0</v>
      </c>
      <c r="E22" s="42">
        <v>0</v>
      </c>
      <c r="F22" s="4">
        <f>SUM(F15:F21)</f>
        <v>0</v>
      </c>
      <c r="G22" s="42">
        <v>0</v>
      </c>
      <c r="H22" s="4">
        <f>SUM(H15:H21)</f>
        <v>0</v>
      </c>
      <c r="I22" s="42">
        <v>0</v>
      </c>
      <c r="J22" s="4">
        <f>SUM(J15:J21)</f>
        <v>1029883</v>
      </c>
      <c r="K22" s="47">
        <f t="shared" si="6"/>
        <v>1</v>
      </c>
      <c r="L22" s="4">
        <f>SUM(L15:L21)</f>
        <v>688033</v>
      </c>
      <c r="M22" s="47">
        <f t="shared" si="7"/>
        <v>1</v>
      </c>
      <c r="N22" s="4">
        <f>SUM(N15:N21)</f>
        <v>500606.63199999998</v>
      </c>
      <c r="O22" s="47">
        <f t="shared" si="8"/>
        <v>1</v>
      </c>
      <c r="P22" s="4">
        <f>SUM(P15:P21)</f>
        <v>356869.11264999997</v>
      </c>
      <c r="Q22" s="47">
        <f t="shared" si="4"/>
        <v>1</v>
      </c>
    </row>
    <row r="23" spans="1:17" ht="7.9" customHeight="1">
      <c r="A23" s="1"/>
      <c r="C23" s="47" t="s">
        <v>0</v>
      </c>
      <c r="E23" s="44" t="s">
        <v>0</v>
      </c>
      <c r="G23" s="44" t="s">
        <v>0</v>
      </c>
      <c r="I23" s="44" t="s">
        <v>0</v>
      </c>
      <c r="K23" s="47" t="s">
        <v>0</v>
      </c>
      <c r="M23" s="47" t="s">
        <v>0</v>
      </c>
      <c r="O23" s="47" t="s">
        <v>0</v>
      </c>
      <c r="Q23" s="47" t="s">
        <v>0</v>
      </c>
    </row>
    <row r="24" spans="1:17">
      <c r="A24" s="87" t="s">
        <v>276</v>
      </c>
      <c r="C24" s="47" t="s">
        <v>0</v>
      </c>
      <c r="E24" s="44" t="s">
        <v>0</v>
      </c>
      <c r="G24" s="44" t="s">
        <v>0</v>
      </c>
      <c r="I24" s="44" t="s">
        <v>0</v>
      </c>
      <c r="K24" s="47" t="s">
        <v>0</v>
      </c>
      <c r="M24" s="47" t="s">
        <v>0</v>
      </c>
      <c r="O24" s="47" t="s">
        <v>0</v>
      </c>
      <c r="Q24" s="47" t="s">
        <v>0</v>
      </c>
    </row>
    <row r="25" spans="1:17">
      <c r="A25" s="1" t="s">
        <v>277</v>
      </c>
      <c r="C25" s="47" t="s">
        <v>0</v>
      </c>
      <c r="E25" s="44" t="s">
        <v>0</v>
      </c>
      <c r="G25" s="44" t="s">
        <v>0</v>
      </c>
      <c r="I25" s="44" t="s">
        <v>0</v>
      </c>
      <c r="K25" s="47" t="s">
        <v>0</v>
      </c>
      <c r="M25" s="47" t="s">
        <v>0</v>
      </c>
      <c r="O25" s="47" t="s">
        <v>0</v>
      </c>
      <c r="Q25" s="47" t="s">
        <v>0</v>
      </c>
    </row>
    <row r="26" spans="1:17">
      <c r="A26" s="1" t="s">
        <v>278</v>
      </c>
      <c r="B26" s="12">
        <f>+capitalbkvar!B26</f>
        <v>303887</v>
      </c>
      <c r="C26" s="47">
        <f>+B26/$B$22</f>
        <v>0.27301868807066626</v>
      </c>
      <c r="D26" s="12">
        <f>+capitalbkvar!D26</f>
        <v>0</v>
      </c>
      <c r="E26" s="44">
        <v>0</v>
      </c>
      <c r="F26" s="12">
        <f>+capitalbkvar!F26</f>
        <v>0</v>
      </c>
      <c r="G26" s="44">
        <v>0</v>
      </c>
      <c r="H26" s="12">
        <f>+capitalbkvar!H26</f>
        <v>0</v>
      </c>
      <c r="I26" s="44">
        <v>0</v>
      </c>
      <c r="J26" s="12">
        <f>+capitalbkvar!J26</f>
        <v>284586</v>
      </c>
      <c r="K26" s="47">
        <f>+J26/$J$22</f>
        <v>0.2763284761472905</v>
      </c>
      <c r="L26" s="12">
        <f>+capitalbkvar!L26</f>
        <v>189402</v>
      </c>
      <c r="M26" s="47">
        <f>+L26/$L$22</f>
        <v>0.27528040079472932</v>
      </c>
      <c r="N26" s="12">
        <f>+capitalbkvar!N26</f>
        <v>74280.100000000006</v>
      </c>
      <c r="O26" s="47">
        <f>+N26/$N$22</f>
        <v>0.14838017567454043</v>
      </c>
      <c r="P26" s="12">
        <f>+capitalbkvar!P26</f>
        <v>33247.038099999998</v>
      </c>
      <c r="Q26" s="47">
        <f t="shared" si="4"/>
        <v>9.3163114770896671E-2</v>
      </c>
    </row>
    <row r="27" spans="1:17">
      <c r="A27" s="1" t="s">
        <v>279</v>
      </c>
      <c r="B27" s="12">
        <f>+capitalbkvar!B27</f>
        <v>195472</v>
      </c>
      <c r="C27" s="47">
        <f>+B27/$B$22</f>
        <v>0.17561629485482852</v>
      </c>
      <c r="D27" s="12">
        <f>+capitalbkvar!D27</f>
        <v>0</v>
      </c>
      <c r="E27" s="44">
        <v>0</v>
      </c>
      <c r="F27" s="12">
        <f>+capitalbkvar!F27</f>
        <v>0</v>
      </c>
      <c r="G27" s="44">
        <v>0</v>
      </c>
      <c r="H27" s="12">
        <f>+capitalbkvar!H27</f>
        <v>0</v>
      </c>
      <c r="I27" s="44">
        <v>0</v>
      </c>
      <c r="J27" s="12">
        <f>+capitalbkvar!J27</f>
        <v>178498</v>
      </c>
      <c r="K27" s="47">
        <f>+J27/$J$22</f>
        <v>0.17331871678627572</v>
      </c>
      <c r="L27" s="12">
        <f>+capitalbkvar!L27</f>
        <v>156054</v>
      </c>
      <c r="M27" s="47">
        <f>+L27/$L$22</f>
        <v>0.22681179536446652</v>
      </c>
      <c r="N27" s="12">
        <f>+capitalbkvar!N27</f>
        <v>194430.5</v>
      </c>
      <c r="O27" s="47">
        <f>+N27/$N$22</f>
        <v>0.38838978066115593</v>
      </c>
      <c r="P27" s="12">
        <f>+capitalbkvar!P27</f>
        <v>154234.08434999999</v>
      </c>
      <c r="Q27" s="47">
        <f t="shared" si="4"/>
        <v>0.43218670062170761</v>
      </c>
    </row>
    <row r="28" spans="1:17">
      <c r="A28" s="1" t="s">
        <v>280</v>
      </c>
      <c r="B28" s="221">
        <f>+capitalbkvar!B28</f>
        <v>374864</v>
      </c>
      <c r="C28" s="328">
        <f>+B28/$B$22</f>
        <v>0.33678596808985656</v>
      </c>
      <c r="D28" s="221">
        <f>+capitalbkvar!D28</f>
        <v>0</v>
      </c>
      <c r="E28" s="545">
        <v>0</v>
      </c>
      <c r="F28" s="221">
        <f>+capitalbkvar!F28</f>
        <v>0</v>
      </c>
      <c r="G28" s="545">
        <v>0</v>
      </c>
      <c r="H28" s="221">
        <f>+capitalbkvar!H28</f>
        <v>0</v>
      </c>
      <c r="I28" s="545">
        <v>0</v>
      </c>
      <c r="J28" s="221">
        <f>+capitalbkvar!J28</f>
        <v>338616</v>
      </c>
      <c r="K28" s="328">
        <f>+J28/$J$22</f>
        <v>0.32879074613329862</v>
      </c>
      <c r="L28" s="221">
        <f>+capitalbkvar!L28</f>
        <v>171490</v>
      </c>
      <c r="M28" s="328">
        <f>+L28/$L$22</f>
        <v>0.24924676578012972</v>
      </c>
      <c r="N28" s="221">
        <f>+capitalbkvar!N28</f>
        <v>122186.9</v>
      </c>
      <c r="O28" s="328">
        <f>+N28/$N$22</f>
        <v>0.24407766935057304</v>
      </c>
      <c r="P28" s="221">
        <f>+capitalbkvar!P28</f>
        <v>54216.706299999998</v>
      </c>
      <c r="Q28" s="328">
        <f t="shared" ref="Q28:Q44" si="9">+P28/$P$22</f>
        <v>0.15192322444888395</v>
      </c>
    </row>
    <row r="29" spans="1:17">
      <c r="A29" s="1"/>
      <c r="B29" s="12">
        <f>SUM(B26:B28)</f>
        <v>874223</v>
      </c>
      <c r="C29" s="47">
        <f>+B29/$B$22</f>
        <v>0.78542095101535137</v>
      </c>
      <c r="D29" s="12">
        <f>SUM(D26:D28)</f>
        <v>0</v>
      </c>
      <c r="E29" s="44">
        <v>0</v>
      </c>
      <c r="F29" s="12">
        <f>SUM(F26:F28)</f>
        <v>0</v>
      </c>
      <c r="G29" s="44">
        <v>0</v>
      </c>
      <c r="H29" s="12">
        <f>SUM(H26:H28)</f>
        <v>0</v>
      </c>
      <c r="I29" s="44">
        <v>0</v>
      </c>
      <c r="J29" s="12">
        <f>SUM(J26:J28)</f>
        <v>801700</v>
      </c>
      <c r="K29" s="47">
        <f>+J29/$J$22</f>
        <v>0.77843793906686487</v>
      </c>
      <c r="L29" s="12">
        <f>SUM(L26:L28)</f>
        <v>516946</v>
      </c>
      <c r="M29" s="47">
        <f>+L29/$L$22</f>
        <v>0.75133896193932559</v>
      </c>
      <c r="N29" s="12">
        <f>SUM(N26:N28)</f>
        <v>390897.5</v>
      </c>
      <c r="O29" s="47">
        <f>+N29/$N$22</f>
        <v>0.78084762568626942</v>
      </c>
      <c r="P29" s="12">
        <f>SUM(P26:P28)</f>
        <v>241697.82874999999</v>
      </c>
      <c r="Q29" s="47">
        <f t="shared" si="9"/>
        <v>0.67727303984148823</v>
      </c>
    </row>
    <row r="30" spans="1:17" ht="7.9" customHeight="1">
      <c r="A30" s="1"/>
      <c r="C30" s="47" t="s">
        <v>0</v>
      </c>
      <c r="E30" s="44" t="s">
        <v>0</v>
      </c>
      <c r="G30" s="44" t="s">
        <v>0</v>
      </c>
      <c r="I30" s="44" t="s">
        <v>0</v>
      </c>
      <c r="K30" s="47" t="s">
        <v>0</v>
      </c>
      <c r="M30" s="47" t="s">
        <v>0</v>
      </c>
      <c r="O30" s="47" t="s">
        <v>0</v>
      </c>
      <c r="Q30" s="47" t="s">
        <v>0</v>
      </c>
    </row>
    <row r="31" spans="1:17">
      <c r="A31" s="1" t="s">
        <v>281</v>
      </c>
      <c r="C31" s="47" t="s">
        <v>0</v>
      </c>
      <c r="E31" s="44" t="s">
        <v>0</v>
      </c>
      <c r="G31" s="44" t="s">
        <v>0</v>
      </c>
      <c r="I31" s="44" t="s">
        <v>0</v>
      </c>
      <c r="K31" s="47" t="s">
        <v>0</v>
      </c>
      <c r="M31" s="47" t="s">
        <v>0</v>
      </c>
      <c r="O31" s="47" t="s">
        <v>0</v>
      </c>
      <c r="Q31" s="47" t="s">
        <v>0</v>
      </c>
    </row>
    <row r="32" spans="1:17">
      <c r="A32" s="1" t="s">
        <v>282</v>
      </c>
      <c r="B32" s="12">
        <f>+capitalbkvar!B32</f>
        <v>0</v>
      </c>
      <c r="C32" s="47">
        <f>+B32/$B$22</f>
        <v>0</v>
      </c>
      <c r="D32" s="12">
        <f>+capitalbkvar!D32</f>
        <v>0</v>
      </c>
      <c r="E32" s="44">
        <v>0</v>
      </c>
      <c r="F32" s="12">
        <f>+capitalbkvar!F32</f>
        <v>0</v>
      </c>
      <c r="G32" s="44">
        <v>0</v>
      </c>
      <c r="H32" s="12">
        <f>+capitalbkvar!H32</f>
        <v>0</v>
      </c>
      <c r="I32" s="44">
        <v>0</v>
      </c>
      <c r="J32" s="12">
        <f>+capitalbkvar!J32</f>
        <v>20000</v>
      </c>
      <c r="K32" s="47">
        <f>+J32/$J$22</f>
        <v>1.941968165315866E-2</v>
      </c>
      <c r="L32" s="12">
        <f>+capitalbkvar!L32</f>
        <v>0</v>
      </c>
      <c r="M32" s="47">
        <f>+L32/$L$22</f>
        <v>0</v>
      </c>
      <c r="N32" s="12">
        <f>+capitalbkvar!N32</f>
        <v>0</v>
      </c>
      <c r="O32" s="47">
        <f>+N32/$N$22</f>
        <v>0</v>
      </c>
      <c r="P32" s="12">
        <f>+capitalbkvar!P32</f>
        <v>0</v>
      </c>
      <c r="Q32" s="47">
        <f t="shared" si="9"/>
        <v>0</v>
      </c>
    </row>
    <row r="33" spans="1:21">
      <c r="A33" s="1" t="s">
        <v>283</v>
      </c>
      <c r="B33" s="12">
        <f>+capitalbkvar!B33</f>
        <v>0</v>
      </c>
      <c r="C33" s="47">
        <f>+B33/$B$22</f>
        <v>0</v>
      </c>
      <c r="D33" s="12">
        <f>+capitalbkvar!D33</f>
        <v>0</v>
      </c>
      <c r="E33" s="44">
        <v>0</v>
      </c>
      <c r="F33" s="12">
        <f>+capitalbkvar!F33</f>
        <v>0</v>
      </c>
      <c r="G33" s="44">
        <v>0</v>
      </c>
      <c r="H33" s="12">
        <f>+capitalbkvar!H33</f>
        <v>0</v>
      </c>
      <c r="I33" s="44">
        <v>0</v>
      </c>
      <c r="J33" s="12">
        <f>+capitalbkvar!J33</f>
        <v>0</v>
      </c>
      <c r="K33" s="47">
        <f>+J33/$J$22</f>
        <v>0</v>
      </c>
      <c r="L33" s="12">
        <f>+capitalbkvar!L33</f>
        <v>13805</v>
      </c>
      <c r="M33" s="47">
        <f>+L33/$L$22</f>
        <v>2.0064444583326672E-2</v>
      </c>
      <c r="N33" s="12">
        <f>+capitalbkvar!N33</f>
        <v>0</v>
      </c>
      <c r="O33" s="47">
        <f>+N33/$N$22</f>
        <v>0</v>
      </c>
      <c r="P33" s="12">
        <f>+capitalbkvar!P33</f>
        <v>0</v>
      </c>
      <c r="Q33" s="47">
        <f t="shared" si="9"/>
        <v>0</v>
      </c>
    </row>
    <row r="34" spans="1:21" ht="18">
      <c r="A34" s="1" t="s">
        <v>284</v>
      </c>
      <c r="B34" s="221">
        <f>+capitalbkvar!B34</f>
        <v>31418</v>
      </c>
      <c r="C34" s="328">
        <f>+B34/$B$22</f>
        <v>2.8226614306647514E-2</v>
      </c>
      <c r="D34" s="221">
        <f>+capitalbkvar!D34</f>
        <v>0</v>
      </c>
      <c r="E34" s="545">
        <v>0</v>
      </c>
      <c r="F34" s="221">
        <f>+capitalbkvar!F34</f>
        <v>0</v>
      </c>
      <c r="G34" s="545">
        <v>0</v>
      </c>
      <c r="H34" s="221">
        <f>+capitalbkvar!H34</f>
        <v>0</v>
      </c>
      <c r="I34" s="545">
        <v>0</v>
      </c>
      <c r="J34" s="221">
        <f>+capitalbkvar!J34</f>
        <v>28161</v>
      </c>
      <c r="K34" s="328">
        <f>+J34/$J$22</f>
        <v>2.734388275173005E-2</v>
      </c>
      <c r="L34" s="221">
        <f>+capitalbkvar!L34</f>
        <v>24484</v>
      </c>
      <c r="M34" s="328">
        <f>+L34/$L$22</f>
        <v>3.5585502439563217E-2</v>
      </c>
      <c r="N34" s="221">
        <f>+capitalbkvar!N34</f>
        <v>17224.2</v>
      </c>
      <c r="O34" s="328">
        <f>+N34/$N$22</f>
        <v>3.4406655643347529E-2</v>
      </c>
      <c r="P34" s="221">
        <f>+capitalbkvar!P34</f>
        <v>23860.1551</v>
      </c>
      <c r="Q34" s="328">
        <f t="shared" si="9"/>
        <v>6.6859681194659432E-2</v>
      </c>
      <c r="R34" s="6"/>
      <c r="S34" s="7"/>
      <c r="T34" s="7"/>
      <c r="U34" s="7"/>
    </row>
    <row r="35" spans="1:21">
      <c r="A35" s="1"/>
      <c r="B35" s="12">
        <f>SUM(B32:B34)</f>
        <v>31418</v>
      </c>
      <c r="C35" s="47">
        <f>+B35/$B$22</f>
        <v>2.8226614306647514E-2</v>
      </c>
      <c r="D35" s="12">
        <f>SUM(D32:D34)</f>
        <v>0</v>
      </c>
      <c r="E35" s="44">
        <v>0</v>
      </c>
      <c r="F35" s="12">
        <f>SUM(F32:F34)</f>
        <v>0</v>
      </c>
      <c r="G35" s="44">
        <v>0</v>
      </c>
      <c r="H35" s="12">
        <f>SUM(H32:H34)</f>
        <v>0</v>
      </c>
      <c r="I35" s="44">
        <v>0</v>
      </c>
      <c r="J35" s="12">
        <f>SUM(J32:J34)</f>
        <v>48161</v>
      </c>
      <c r="K35" s="47">
        <f>+J35/$J$22</f>
        <v>4.6763564404888713E-2</v>
      </c>
      <c r="L35" s="12">
        <f>SUM(L32:L34)</f>
        <v>38289</v>
      </c>
      <c r="M35" s="47">
        <f>+L35/$L$22</f>
        <v>5.564994702288989E-2</v>
      </c>
      <c r="N35" s="12">
        <f>SUM(N32:N34)</f>
        <v>17224.2</v>
      </c>
      <c r="O35" s="47">
        <f>+N35/$N$22</f>
        <v>3.4406655643347529E-2</v>
      </c>
      <c r="P35" s="12">
        <f>SUM(P32:P34)</f>
        <v>23860.1551</v>
      </c>
      <c r="Q35" s="47">
        <f t="shared" si="9"/>
        <v>6.6859681194659432E-2</v>
      </c>
    </row>
    <row r="36" spans="1:21" ht="7.15" customHeight="1">
      <c r="A36" s="1"/>
      <c r="C36" s="47" t="s">
        <v>0</v>
      </c>
      <c r="E36" s="44" t="s">
        <v>0</v>
      </c>
      <c r="G36" s="44" t="s">
        <v>0</v>
      </c>
      <c r="I36" s="44" t="s">
        <v>0</v>
      </c>
      <c r="K36" s="47" t="s">
        <v>0</v>
      </c>
      <c r="M36" s="47" t="s">
        <v>0</v>
      </c>
      <c r="O36" s="47" t="s">
        <v>0</v>
      </c>
      <c r="Q36" s="47" t="s">
        <v>0</v>
      </c>
    </row>
    <row r="37" spans="1:21">
      <c r="A37" s="1" t="s">
        <v>285</v>
      </c>
      <c r="C37" s="47" t="s">
        <v>0</v>
      </c>
      <c r="E37" s="44" t="s">
        <v>0</v>
      </c>
      <c r="G37" s="44" t="s">
        <v>0</v>
      </c>
      <c r="I37" s="44" t="s">
        <v>0</v>
      </c>
      <c r="K37" s="47" t="s">
        <v>0</v>
      </c>
      <c r="M37" s="47" t="s">
        <v>0</v>
      </c>
      <c r="O37" s="47" t="s">
        <v>0</v>
      </c>
      <c r="Q37" s="47" t="s">
        <v>0</v>
      </c>
    </row>
    <row r="38" spans="1:21">
      <c r="A38" s="1" t="s">
        <v>282</v>
      </c>
      <c r="B38" s="12">
        <f>+capitalbkvar!B38</f>
        <v>0</v>
      </c>
      <c r="C38" s="47">
        <f>+B38/$B$22</f>
        <v>0</v>
      </c>
      <c r="D38" s="12">
        <f>+capitalbkvar!D38</f>
        <v>0</v>
      </c>
      <c r="E38" s="44">
        <v>0</v>
      </c>
      <c r="F38" s="12">
        <f>+capitalbkvar!F38</f>
        <v>0</v>
      </c>
      <c r="G38" s="44">
        <v>0</v>
      </c>
      <c r="H38" s="12">
        <f>+capitalbkvar!H38</f>
        <v>0</v>
      </c>
      <c r="I38" s="44">
        <v>0</v>
      </c>
      <c r="J38" s="12">
        <f>+capitalbkvar!J38</f>
        <v>0</v>
      </c>
      <c r="K38" s="47">
        <f>+J38/$J$22</f>
        <v>0</v>
      </c>
      <c r="L38" s="12">
        <f>+capitalbkvar!L38</f>
        <v>0</v>
      </c>
      <c r="M38" s="47">
        <f>+L38/$L$22</f>
        <v>0</v>
      </c>
      <c r="N38" s="12">
        <f>+capitalbkvar!N38</f>
        <v>0</v>
      </c>
      <c r="O38" s="47">
        <f>+N38/$N$22</f>
        <v>0</v>
      </c>
      <c r="P38" s="12">
        <f>+capitalbkvar!P38</f>
        <v>0</v>
      </c>
      <c r="Q38" s="47">
        <f t="shared" si="9"/>
        <v>0</v>
      </c>
    </row>
    <row r="39" spans="1:21">
      <c r="A39" s="1" t="s">
        <v>286</v>
      </c>
      <c r="B39" s="12">
        <f>+capitalbkvar!B39</f>
        <v>0</v>
      </c>
      <c r="C39" s="47">
        <f>+B39/$B$22</f>
        <v>0</v>
      </c>
      <c r="D39" s="12">
        <f>+capitalbkvar!D39</f>
        <v>0</v>
      </c>
      <c r="E39" s="44">
        <v>0</v>
      </c>
      <c r="F39" s="12">
        <f>+capitalbkvar!F39</f>
        <v>0</v>
      </c>
      <c r="G39" s="44">
        <v>0</v>
      </c>
      <c r="H39" s="12">
        <f>+capitalbkvar!H39</f>
        <v>0</v>
      </c>
      <c r="I39" s="44">
        <v>0</v>
      </c>
      <c r="J39" s="12">
        <f>+capitalbkvar!J39</f>
        <v>0</v>
      </c>
      <c r="K39" s="47">
        <f>+J39/$J$22</f>
        <v>0</v>
      </c>
      <c r="L39" s="12">
        <f>+capitalbkvar!L39</f>
        <v>0</v>
      </c>
      <c r="M39" s="47">
        <f>+L39/$L$22</f>
        <v>0</v>
      </c>
      <c r="N39" s="12">
        <f>+capitalbkvar!N39</f>
        <v>0</v>
      </c>
      <c r="O39" s="47">
        <f>+N39/$N$22</f>
        <v>0</v>
      </c>
      <c r="P39" s="12">
        <f>+capitalbkvar!P39</f>
        <v>0</v>
      </c>
      <c r="Q39" s="47">
        <f t="shared" si="9"/>
        <v>0</v>
      </c>
    </row>
    <row r="40" spans="1:21">
      <c r="A40" s="1" t="s">
        <v>284</v>
      </c>
      <c r="B40" s="221">
        <f>+capitalbkvar!B40</f>
        <v>23116</v>
      </c>
      <c r="C40" s="328">
        <f>+B40/$B$22</f>
        <v>2.0767917000205739E-2</v>
      </c>
      <c r="D40" s="221">
        <f>+capitalbkvar!D40</f>
        <v>0</v>
      </c>
      <c r="E40" s="545">
        <v>0</v>
      </c>
      <c r="F40" s="221">
        <f>+capitalbkvar!F40</f>
        <v>0</v>
      </c>
      <c r="G40" s="545">
        <v>0</v>
      </c>
      <c r="H40" s="221">
        <f>+capitalbkvar!H40</f>
        <v>0</v>
      </c>
      <c r="I40" s="545">
        <v>0</v>
      </c>
      <c r="J40" s="221">
        <f>+capitalbkvar!J40</f>
        <v>21523</v>
      </c>
      <c r="K40" s="328">
        <f>+J40/$J$22</f>
        <v>2.0898490411046692E-2</v>
      </c>
      <c r="L40" s="221">
        <f>+capitalbkvar!L40</f>
        <v>17520</v>
      </c>
      <c r="M40" s="328">
        <f>+L40/$L$22</f>
        <v>2.5463894900389951E-2</v>
      </c>
      <c r="N40" s="221">
        <f>+capitalbkvar!N40</f>
        <v>12448.9</v>
      </c>
      <c r="O40" s="328">
        <f>+N40/$N$22</f>
        <v>2.486762900096777E-2</v>
      </c>
      <c r="P40" s="221">
        <f>+capitalbkvar!P40</f>
        <v>49460.575549999994</v>
      </c>
      <c r="Q40" s="328">
        <f t="shared" si="9"/>
        <v>0.13859584311660098</v>
      </c>
    </row>
    <row r="41" spans="1:21">
      <c r="A41" s="1"/>
      <c r="B41" s="12">
        <f>SUM(B38:B40)</f>
        <v>23116</v>
      </c>
      <c r="C41" s="47">
        <f>+B41/$B$22</f>
        <v>2.0767917000205739E-2</v>
      </c>
      <c r="D41" s="12">
        <f>SUM(D38:D40)</f>
        <v>0</v>
      </c>
      <c r="E41" s="44">
        <v>0</v>
      </c>
      <c r="F41" s="12">
        <f>SUM(F38:F40)</f>
        <v>0</v>
      </c>
      <c r="G41" s="44">
        <v>0</v>
      </c>
      <c r="H41" s="12">
        <f>SUM(H38:H40)</f>
        <v>0</v>
      </c>
      <c r="I41" s="44">
        <v>0</v>
      </c>
      <c r="J41" s="12">
        <f>SUM(J38:J40)</f>
        <v>21523</v>
      </c>
      <c r="K41" s="47">
        <f>+J41/$J$22</f>
        <v>2.0898490411046692E-2</v>
      </c>
      <c r="L41" s="12">
        <f>SUM(L38:L40)</f>
        <v>17520</v>
      </c>
      <c r="M41" s="47">
        <f>+L41/$L$22</f>
        <v>2.5463894900389951E-2</v>
      </c>
      <c r="N41" s="12">
        <f>SUM(N38:N40)</f>
        <v>12448.9</v>
      </c>
      <c r="O41" s="47">
        <f>+N41/$N$22</f>
        <v>2.486762900096777E-2</v>
      </c>
      <c r="P41" s="12">
        <f>SUM(P38:P40)</f>
        <v>49460.575549999994</v>
      </c>
      <c r="Q41" s="47">
        <f t="shared" si="9"/>
        <v>0.13859584311660098</v>
      </c>
    </row>
    <row r="42" spans="1:21" ht="8.4499999999999993" customHeight="1">
      <c r="A42" s="1"/>
      <c r="C42" s="47" t="s">
        <v>0</v>
      </c>
      <c r="E42" s="44" t="s">
        <v>0</v>
      </c>
      <c r="G42" s="44" t="s">
        <v>0</v>
      </c>
      <c r="I42" s="44" t="s">
        <v>0</v>
      </c>
      <c r="K42" s="47" t="s">
        <v>0</v>
      </c>
      <c r="M42" s="47" t="s">
        <v>0</v>
      </c>
      <c r="O42" s="47" t="s">
        <v>0</v>
      </c>
      <c r="Q42" s="47" t="s">
        <v>0</v>
      </c>
    </row>
    <row r="43" spans="1:21" ht="18">
      <c r="A43" s="1" t="s">
        <v>287</v>
      </c>
      <c r="B43" s="221">
        <f>+capitalbkvar!B43</f>
        <v>64482</v>
      </c>
      <c r="C43" s="328">
        <f>+B43/$B$22</f>
        <v>5.7932030801491022E-2</v>
      </c>
      <c r="D43" s="221">
        <f>+capitalbkvar!D43</f>
        <v>0</v>
      </c>
      <c r="E43" s="545">
        <v>0</v>
      </c>
      <c r="F43" s="221">
        <f>+capitalbkvar!F43</f>
        <v>0</v>
      </c>
      <c r="G43" s="545">
        <v>0</v>
      </c>
      <c r="H43" s="221">
        <f>+capitalbkvar!H43</f>
        <v>0</v>
      </c>
      <c r="I43" s="545">
        <v>0</v>
      </c>
      <c r="J43" s="221">
        <f>+capitalbkvar!J43</f>
        <v>41874</v>
      </c>
      <c r="K43" s="328">
        <f>+J43/$J$22</f>
        <v>4.0658987477218286E-2</v>
      </c>
      <c r="L43" s="221">
        <f>+capitalbkvar!L43</f>
        <v>12751</v>
      </c>
      <c r="M43" s="328">
        <f>+L43/$L$22</f>
        <v>1.853254131705892E-2</v>
      </c>
      <c r="N43" s="221">
        <f>+capitalbkvar!N43</f>
        <v>966.5</v>
      </c>
      <c r="O43" s="328">
        <f>+N43/$N$22</f>
        <v>1.9306576026343974E-3</v>
      </c>
      <c r="P43" s="221">
        <f>+capitalbkvar!P43</f>
        <v>52.684650000000005</v>
      </c>
      <c r="Q43" s="328">
        <f t="shared" si="9"/>
        <v>1.4763017625364113E-4</v>
      </c>
      <c r="R43" s="6"/>
    </row>
    <row r="44" spans="1:21">
      <c r="A44" s="1"/>
      <c r="B44" s="12">
        <f>+B29+B35+B41+B43</f>
        <v>993239</v>
      </c>
      <c r="C44" s="47">
        <f>+B44/$B$22</f>
        <v>0.89234751312369565</v>
      </c>
      <c r="D44" s="12">
        <f>+D29+D35+D41+D43</f>
        <v>0</v>
      </c>
      <c r="E44" s="44">
        <v>0</v>
      </c>
      <c r="F44" s="12">
        <f>+F29+F35+F41+F43</f>
        <v>0</v>
      </c>
      <c r="G44" s="44">
        <v>0</v>
      </c>
      <c r="H44" s="12">
        <f>+H29+H35+H41+H43</f>
        <v>0</v>
      </c>
      <c r="I44" s="44">
        <v>0</v>
      </c>
      <c r="J44" s="12">
        <f>+J29+J35+J41+J43</f>
        <v>913258</v>
      </c>
      <c r="K44" s="47">
        <f>+J44/$J$22</f>
        <v>0.88675898136001852</v>
      </c>
      <c r="L44" s="12">
        <f>+L29+L35+L41+L43</f>
        <v>585506</v>
      </c>
      <c r="M44" s="47">
        <f>+L44/$L$22</f>
        <v>0.8509853451796644</v>
      </c>
      <c r="N44" s="12">
        <f>+N29+N35+N41+N43</f>
        <v>421537.10000000003</v>
      </c>
      <c r="O44" s="47">
        <f>+N44/$N$22</f>
        <v>0.84205256793321914</v>
      </c>
      <c r="P44" s="12">
        <f>+P29+P35+P41+P43</f>
        <v>315071.24404999998</v>
      </c>
      <c r="Q44" s="47">
        <f t="shared" si="9"/>
        <v>0.88287619432900233</v>
      </c>
    </row>
    <row r="45" spans="1:21" ht="8.4499999999999993" customHeight="1">
      <c r="A45" s="1"/>
      <c r="C45" s="47" t="s">
        <v>0</v>
      </c>
      <c r="E45" s="44" t="s">
        <v>0</v>
      </c>
      <c r="G45" s="44" t="s">
        <v>0</v>
      </c>
      <c r="I45" s="44" t="s">
        <v>0</v>
      </c>
      <c r="K45" s="47" t="s">
        <v>0</v>
      </c>
      <c r="M45" s="47" t="s">
        <v>0</v>
      </c>
      <c r="O45" s="47" t="s">
        <v>0</v>
      </c>
      <c r="Q45" s="47" t="s">
        <v>0</v>
      </c>
    </row>
    <row r="46" spans="1:21">
      <c r="A46" s="87" t="s">
        <v>288</v>
      </c>
      <c r="C46" s="47" t="s">
        <v>0</v>
      </c>
      <c r="E46" s="44" t="s">
        <v>0</v>
      </c>
      <c r="G46" s="44" t="s">
        <v>0</v>
      </c>
      <c r="I46" s="44" t="s">
        <v>0</v>
      </c>
      <c r="K46" s="47" t="s">
        <v>0</v>
      </c>
      <c r="M46" s="47" t="s">
        <v>0</v>
      </c>
      <c r="O46" s="47" t="s">
        <v>0</v>
      </c>
      <c r="Q46" s="47" t="s">
        <v>0</v>
      </c>
    </row>
    <row r="47" spans="1:21">
      <c r="A47" s="1" t="s">
        <v>289</v>
      </c>
      <c r="B47" s="12">
        <f>+capitalbkvar!B47</f>
        <v>90000</v>
      </c>
      <c r="C47" s="47">
        <f t="shared" ref="C47:C52" si="10">+B47/$B$22</f>
        <v>8.0857956827241589E-2</v>
      </c>
      <c r="D47" s="12">
        <f>+capitalbkvar!D47</f>
        <v>0</v>
      </c>
      <c r="E47" s="44">
        <v>0</v>
      </c>
      <c r="F47" s="12">
        <f>+capitalbkvar!F47</f>
        <v>0</v>
      </c>
      <c r="G47" s="44">
        <v>0</v>
      </c>
      <c r="H47" s="12">
        <f>+capitalbkvar!H47</f>
        <v>0</v>
      </c>
      <c r="I47" s="44">
        <v>0</v>
      </c>
      <c r="J47" s="12">
        <f>+capitalbkvar!J47</f>
        <v>89720</v>
      </c>
      <c r="K47" s="47">
        <f t="shared" ref="K47:K52" si="11">+J47/$J$22</f>
        <v>8.7116691896069742E-2</v>
      </c>
      <c r="L47" s="12">
        <f>+capitalbkvar!L47</f>
        <v>77570</v>
      </c>
      <c r="M47" s="47">
        <f>+L47/$L$22</f>
        <v>0.11274168535520826</v>
      </c>
      <c r="N47" s="12">
        <f>+capitalbkvar!N47</f>
        <v>65072.4</v>
      </c>
      <c r="O47" s="47">
        <f>+N47/$N$22</f>
        <v>0.12998709134161052</v>
      </c>
      <c r="P47" s="12">
        <f>+capitalbkvar!P47</f>
        <v>25000</v>
      </c>
      <c r="Q47" s="47">
        <f>+P47/$P$22</f>
        <v>7.0053695077048589E-2</v>
      </c>
    </row>
    <row r="48" spans="1:21">
      <c r="A48" s="1" t="s">
        <v>290</v>
      </c>
      <c r="B48" s="12">
        <f>+capitalbkvar!B48</f>
        <v>3652</v>
      </c>
      <c r="C48" s="47">
        <f t="shared" si="10"/>
        <v>3.2810362037009586E-3</v>
      </c>
      <c r="D48" s="12">
        <f>+capitalbkvar!D48</f>
        <v>0</v>
      </c>
      <c r="E48" s="44">
        <v>0</v>
      </c>
      <c r="F48" s="12">
        <f>+capitalbkvar!F48</f>
        <v>0</v>
      </c>
      <c r="G48" s="44">
        <v>0</v>
      </c>
      <c r="H48" s="12">
        <f>+capitalbkvar!H48</f>
        <v>0</v>
      </c>
      <c r="I48" s="44">
        <v>0</v>
      </c>
      <c r="J48" s="12">
        <f>+capitalbkvar!J48</f>
        <v>2745</v>
      </c>
      <c r="K48" s="47">
        <f t="shared" si="11"/>
        <v>2.6653513068960262E-3</v>
      </c>
      <c r="L48" s="12">
        <f>+capitalbkvar!L48</f>
        <v>903</v>
      </c>
      <c r="M48" s="47">
        <f>+L48/$L$22</f>
        <v>1.3124370488043452E-3</v>
      </c>
      <c r="N48" s="12">
        <f>+capitalbkvar!N48</f>
        <v>321.8</v>
      </c>
      <c r="O48" s="47">
        <f>+N48/$N$22</f>
        <v>6.4282008952690033E-4</v>
      </c>
      <c r="P48" s="12">
        <f>+capitalbkvar!P48</f>
        <v>3159.73785</v>
      </c>
      <c r="Q48" s="47">
        <f>+P48/$P$22</f>
        <v>8.854052474692363E-3</v>
      </c>
    </row>
    <row r="49" spans="1:21">
      <c r="A49" s="1" t="s">
        <v>302</v>
      </c>
      <c r="B49" s="12">
        <f>+capitalbkvar!B49</f>
        <v>878</v>
      </c>
      <c r="C49" s="47">
        <f t="shared" si="10"/>
        <v>7.888142899368679E-4</v>
      </c>
      <c r="D49" s="12">
        <f>+capitalbkvar!D49</f>
        <v>0</v>
      </c>
      <c r="E49" s="44">
        <v>0</v>
      </c>
      <c r="F49" s="12">
        <f>+capitalbkvar!F49</f>
        <v>0</v>
      </c>
      <c r="G49" s="44">
        <v>0</v>
      </c>
      <c r="H49" s="12">
        <f>+capitalbkvar!H49</f>
        <v>0</v>
      </c>
      <c r="I49" s="44">
        <v>0</v>
      </c>
      <c r="J49" s="12">
        <f>+capitalbkvar!J49</f>
        <v>755</v>
      </c>
      <c r="K49" s="47">
        <f t="shared" si="11"/>
        <v>7.3309298240673937E-4</v>
      </c>
      <c r="L49" s="12">
        <f>+capitalbkvar!L49</f>
        <v>363</v>
      </c>
      <c r="M49" s="12">
        <f>+capitalbkvar!M49</f>
        <v>0</v>
      </c>
      <c r="N49" s="12">
        <f>+capitalbkvar!N49</f>
        <v>366.8</v>
      </c>
      <c r="O49" s="12">
        <f>+capitalbkvar!O49</f>
        <v>0</v>
      </c>
      <c r="P49" s="12">
        <f>+capitalbkvar!P49</f>
        <v>0</v>
      </c>
      <c r="Q49" s="12">
        <f>+capitalbkvar!Q49</f>
        <v>0</v>
      </c>
    </row>
    <row r="50" spans="1:21" ht="18">
      <c r="A50" s="1" t="s">
        <v>292</v>
      </c>
      <c r="B50" s="221">
        <f>+capitalbkvar!B50</f>
        <v>25294</v>
      </c>
      <c r="C50" s="328">
        <f t="shared" si="10"/>
        <v>2.2724679555424985E-2</v>
      </c>
      <c r="D50" s="221">
        <f>+capitalbkvar!D50</f>
        <v>0</v>
      </c>
      <c r="E50" s="545">
        <v>0</v>
      </c>
      <c r="F50" s="221">
        <f>+capitalbkvar!F50</f>
        <v>0</v>
      </c>
      <c r="G50" s="545">
        <v>0</v>
      </c>
      <c r="H50" s="221">
        <f>+capitalbkvar!H50</f>
        <v>0</v>
      </c>
      <c r="I50" s="545">
        <v>0</v>
      </c>
      <c r="J50" s="221">
        <f>+capitalbkvar!J50</f>
        <v>23405</v>
      </c>
      <c r="K50" s="328">
        <f t="shared" si="11"/>
        <v>2.2725882454608923E-2</v>
      </c>
      <c r="L50" s="221">
        <f>+capitalbkvar!L50</f>
        <v>23691</v>
      </c>
      <c r="M50" s="328">
        <f>+L50/$L$22</f>
        <v>3.443294144321566E-2</v>
      </c>
      <c r="N50" s="221">
        <f>+capitalbkvar!N50</f>
        <v>13308.5</v>
      </c>
      <c r="O50" s="328">
        <f>+N50/$N$22</f>
        <v>2.65847456851111E-2</v>
      </c>
      <c r="P50" s="221">
        <f>+capitalbkvar!P50</f>
        <v>13638.13075</v>
      </c>
      <c r="Q50" s="328">
        <f>+P50/$P$22</f>
        <v>3.8216058119256796E-2</v>
      </c>
      <c r="R50" s="6"/>
      <c r="S50" s="7"/>
      <c r="T50" s="7"/>
      <c r="U50" s="7"/>
    </row>
    <row r="51" spans="1:21" ht="16.5" thickBot="1">
      <c r="A51" s="1" t="s">
        <v>275</v>
      </c>
      <c r="B51" s="76">
        <f>SUM(B47:B50)</f>
        <v>119824</v>
      </c>
      <c r="C51" s="231">
        <f t="shared" si="10"/>
        <v>0.1076524868763044</v>
      </c>
      <c r="D51" s="76">
        <f>SUM(D47:D50)</f>
        <v>0</v>
      </c>
      <c r="E51" s="232">
        <v>0</v>
      </c>
      <c r="F51" s="76">
        <f>SUM(F47:F50)</f>
        <v>0</v>
      </c>
      <c r="G51" s="232">
        <v>0</v>
      </c>
      <c r="H51" s="76">
        <f>SUM(H47:H50)</f>
        <v>0</v>
      </c>
      <c r="I51" s="232">
        <v>0</v>
      </c>
      <c r="J51" s="76">
        <f>SUM(J47:J50)</f>
        <v>116625</v>
      </c>
      <c r="K51" s="231">
        <f t="shared" si="11"/>
        <v>0.11324101863998144</v>
      </c>
      <c r="L51" s="76">
        <f>SUM(L47:L50)</f>
        <v>102527</v>
      </c>
      <c r="M51" s="231">
        <f>+L51/$L$22</f>
        <v>0.14901465482033566</v>
      </c>
      <c r="N51" s="76">
        <f>SUM(N47:N50)</f>
        <v>79069.5</v>
      </c>
      <c r="O51" s="231">
        <f>+N51/$N$22</f>
        <v>0.15794736814433574</v>
      </c>
      <c r="P51" s="76">
        <f>SUM(P47:P50)</f>
        <v>41797.868600000002</v>
      </c>
      <c r="Q51" s="231">
        <f>+P51/$P$22</f>
        <v>0.11712380567099775</v>
      </c>
    </row>
    <row r="52" spans="1:21">
      <c r="A52" s="1" t="s">
        <v>0</v>
      </c>
      <c r="B52" s="4">
        <f>+B29+B35+B41+B43+B51</f>
        <v>1113063</v>
      </c>
      <c r="C52" s="112">
        <f t="shared" si="10"/>
        <v>1</v>
      </c>
      <c r="D52" s="4">
        <f>+D29+D35+D41+D43+D51</f>
        <v>0</v>
      </c>
      <c r="E52" s="42">
        <v>0</v>
      </c>
      <c r="F52" s="4">
        <f>+F29+F35+F41+F43+F51</f>
        <v>0</v>
      </c>
      <c r="G52" s="42">
        <v>0</v>
      </c>
      <c r="H52" s="4">
        <f>+H29+H35+H41+H43+H51</f>
        <v>0</v>
      </c>
      <c r="I52" s="42">
        <v>0</v>
      </c>
      <c r="J52" s="4">
        <f>+J29+J35+J41+J43+J51</f>
        <v>1029883</v>
      </c>
      <c r="K52" s="47">
        <f t="shared" si="11"/>
        <v>1</v>
      </c>
      <c r="L52" s="4">
        <f>+L29+L35+L41+L43+L51</f>
        <v>688033</v>
      </c>
      <c r="M52" s="47">
        <f>+L52/$L$22</f>
        <v>1</v>
      </c>
      <c r="N52" s="4">
        <f>+N29+N35+N41+N43+N51</f>
        <v>500606.60000000003</v>
      </c>
      <c r="O52" s="47">
        <f>+N52/$N$22</f>
        <v>0.99999993607755489</v>
      </c>
      <c r="P52" s="4">
        <f>+P29+P35+P41+P43+P51</f>
        <v>356869.11264999997</v>
      </c>
      <c r="Q52" s="47">
        <f>+P52/$P$22</f>
        <v>1</v>
      </c>
    </row>
    <row r="53" spans="1:21">
      <c r="A53" t="s">
        <v>0</v>
      </c>
    </row>
    <row r="55" spans="1:21">
      <c r="A55" s="185" t="s">
        <v>293</v>
      </c>
      <c r="B55"/>
      <c r="C55"/>
      <c r="D55"/>
      <c r="E55"/>
      <c r="F55"/>
      <c r="G55"/>
      <c r="H55"/>
      <c r="I55"/>
      <c r="J55"/>
      <c r="K55"/>
      <c r="L55"/>
      <c r="M55"/>
      <c r="N55"/>
      <c r="O55"/>
      <c r="P55"/>
      <c r="Q55"/>
      <c r="R55"/>
    </row>
    <row r="56" spans="1:21">
      <c r="A56" t="s">
        <v>294</v>
      </c>
      <c r="B56" s="3">
        <f>+capitalbkvar!B56</f>
        <v>0</v>
      </c>
      <c r="C56"/>
      <c r="D56" s="3">
        <f>+capitalbkvar!D56</f>
        <v>0</v>
      </c>
      <c r="E56"/>
      <c r="F56" s="3">
        <f>+capitalbkvar!F56</f>
        <v>0</v>
      </c>
      <c r="G56"/>
      <c r="H56" s="3">
        <f>+capitalbkvar!H56</f>
        <v>0</v>
      </c>
      <c r="I56"/>
      <c r="J56" s="3">
        <f>+capitalbkvar!J56</f>
        <v>0</v>
      </c>
      <c r="K56"/>
      <c r="L56" s="3">
        <f>+capitalbkvar!L56</f>
        <v>0</v>
      </c>
      <c r="M56"/>
      <c r="N56" s="3">
        <f>+capitalbkvar!N56</f>
        <v>0</v>
      </c>
      <c r="O56"/>
      <c r="P56" s="3">
        <f>+capitalbkvar!P56</f>
        <v>0</v>
      </c>
      <c r="Q56"/>
      <c r="R56"/>
    </row>
    <row r="57" spans="1:21">
      <c r="A57" t="s">
        <v>295</v>
      </c>
      <c r="B57" s="3">
        <f>+capitalbkvar!B57</f>
        <v>0</v>
      </c>
      <c r="C57"/>
      <c r="D57" s="3">
        <f>+capitalbkvar!D57</f>
        <v>0</v>
      </c>
      <c r="E57"/>
      <c r="F57" s="3">
        <f>+capitalbkvar!F57</f>
        <v>0</v>
      </c>
      <c r="G57"/>
      <c r="H57" s="3">
        <f>+capitalbkvar!H57</f>
        <v>0</v>
      </c>
      <c r="I57"/>
      <c r="J57" s="3">
        <f>+capitalbkvar!J57</f>
        <v>0</v>
      </c>
      <c r="K57"/>
      <c r="L57" s="3">
        <f>+capitalbkvar!L57</f>
        <v>0</v>
      </c>
      <c r="M57"/>
      <c r="N57" s="3">
        <f>+capitalbkvar!N57</f>
        <v>0</v>
      </c>
      <c r="O57"/>
      <c r="P57" s="3">
        <f>+capitalbkvar!P57</f>
        <v>0</v>
      </c>
      <c r="Q57"/>
      <c r="R57"/>
    </row>
    <row r="58" spans="1:21">
      <c r="A58" t="s">
        <v>284</v>
      </c>
      <c r="B58" s="3">
        <f>+capitalbkvar!B58</f>
        <v>35956</v>
      </c>
      <c r="C58"/>
      <c r="D58" s="3">
        <f>+capitalbkvar!D58</f>
        <v>0</v>
      </c>
      <c r="E58"/>
      <c r="F58" s="3">
        <f>+capitalbkvar!F58</f>
        <v>0</v>
      </c>
      <c r="G58"/>
      <c r="H58" s="3">
        <f>+capitalbkvar!H58</f>
        <v>0</v>
      </c>
      <c r="I58"/>
      <c r="J58" s="3">
        <f>+capitalbkvar!J58</f>
        <v>28062</v>
      </c>
      <c r="K58"/>
      <c r="L58" s="3">
        <f>+capitalbkvar!L58</f>
        <v>29819</v>
      </c>
      <c r="M58"/>
      <c r="N58" s="3">
        <f>+capitalbkvar!N58</f>
        <v>0</v>
      </c>
      <c r="O58"/>
      <c r="P58" s="3">
        <f>+capitalbkvar!P58</f>
        <v>0</v>
      </c>
      <c r="Q58"/>
      <c r="R58"/>
    </row>
    <row r="59" spans="1:21">
      <c r="B59" s="3"/>
      <c r="C59"/>
      <c r="D59" s="3"/>
      <c r="E59"/>
      <c r="F59" s="3"/>
      <c r="G59"/>
      <c r="H59" s="3"/>
      <c r="I59"/>
      <c r="J59" s="3"/>
      <c r="K59"/>
      <c r="L59" s="3"/>
      <c r="M59"/>
      <c r="N59" s="3"/>
      <c r="O59"/>
      <c r="P59" s="3"/>
      <c r="Q59"/>
      <c r="R59"/>
    </row>
    <row r="60" spans="1:21" ht="18.75">
      <c r="A60" s="122" t="s">
        <v>303</v>
      </c>
      <c r="B60" s="3">
        <f>+capitalbkvar!B60</f>
        <v>509125</v>
      </c>
      <c r="C60"/>
      <c r="D60" s="3">
        <f>+capitalbkvar!D60</f>
        <v>0</v>
      </c>
      <c r="E60"/>
      <c r="F60" s="3">
        <f>+capitalbkvar!F60</f>
        <v>0</v>
      </c>
      <c r="G60"/>
      <c r="H60" s="3">
        <f>+capitalbkvar!H60</f>
        <v>0</v>
      </c>
      <c r="I60"/>
      <c r="J60" s="3">
        <f>+capitalbkvar!J60</f>
        <v>514316</v>
      </c>
      <c r="K60"/>
      <c r="L60" s="3">
        <f>+capitalbkvar!L60</f>
        <v>381362</v>
      </c>
      <c r="M60"/>
      <c r="N60" s="3">
        <f>+capitalbkvar!N60</f>
        <v>292779.8</v>
      </c>
      <c r="O60"/>
      <c r="P60" s="3">
        <f>+capitalbkvar!P60</f>
        <v>220490.8</v>
      </c>
      <c r="Q60"/>
      <c r="R60"/>
    </row>
    <row r="61" spans="1:21">
      <c r="A61" t="s">
        <v>217</v>
      </c>
      <c r="B61" s="3">
        <f>+capitalbkvar!B61</f>
        <v>7325</v>
      </c>
      <c r="C61"/>
      <c r="D61" s="3">
        <f>+capitalbkvar!D61</f>
        <v>0</v>
      </c>
      <c r="E61"/>
      <c r="F61" s="3">
        <f>+capitalbkvar!F61</f>
        <v>0</v>
      </c>
      <c r="G61"/>
      <c r="H61" s="3">
        <f>+capitalbkvar!H61</f>
        <v>0</v>
      </c>
      <c r="I61"/>
      <c r="J61" s="3">
        <f>+capitalbkvar!J61</f>
        <v>6575</v>
      </c>
      <c r="K61"/>
      <c r="L61" s="3">
        <f>+capitalbkvar!L61</f>
        <v>5000</v>
      </c>
      <c r="M61"/>
      <c r="N61" s="3">
        <f>+capitalbkvar!N61</f>
        <v>4200</v>
      </c>
      <c r="O61"/>
      <c r="P61" s="3">
        <f>+capitalbkvar!P61</f>
        <v>4466.6000000000004</v>
      </c>
      <c r="Q61"/>
      <c r="R61"/>
    </row>
    <row r="62" spans="1:21">
      <c r="A62" t="s">
        <v>297</v>
      </c>
      <c r="B62" s="3">
        <f>+capitalbkvar!B62</f>
        <v>7430</v>
      </c>
      <c r="C62"/>
      <c r="D62" s="3">
        <f>+capitalbkvar!D62</f>
        <v>0</v>
      </c>
      <c r="E62"/>
      <c r="F62" s="3">
        <f>+capitalbkvar!F62</f>
        <v>0</v>
      </c>
      <c r="G62"/>
      <c r="H62" s="3">
        <f>+capitalbkvar!H62</f>
        <v>0</v>
      </c>
      <c r="I62"/>
      <c r="J62" s="3">
        <f>+capitalbkvar!J62</f>
        <v>4782</v>
      </c>
      <c r="K62"/>
      <c r="L62" s="3">
        <f>+capitalbkvar!L62</f>
        <v>3210</v>
      </c>
      <c r="M62"/>
      <c r="N62" s="3">
        <f>+capitalbkvar!N62</f>
        <v>1254.5999999999999</v>
      </c>
      <c r="O62"/>
      <c r="P62" s="3">
        <f>+capitalbkvar!P62</f>
        <v>2233.3000000000002</v>
      </c>
      <c r="Q62"/>
      <c r="R62"/>
    </row>
    <row r="63" spans="1:21">
      <c r="B63"/>
      <c r="C63"/>
      <c r="D63"/>
      <c r="E63"/>
      <c r="F63"/>
      <c r="G63"/>
      <c r="H63"/>
      <c r="I63"/>
      <c r="J63"/>
      <c r="K63"/>
      <c r="L63"/>
      <c r="M63"/>
      <c r="N63"/>
      <c r="O63"/>
      <c r="P63"/>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row r="156" spans="2:18">
      <c r="B156"/>
      <c r="C156"/>
      <c r="D156"/>
      <c r="E156"/>
      <c r="F156"/>
      <c r="G156"/>
      <c r="H156"/>
      <c r="I156"/>
      <c r="J156"/>
      <c r="K156"/>
      <c r="L156"/>
      <c r="M156"/>
      <c r="N156"/>
      <c r="O156"/>
      <c r="P156"/>
      <c r="Q156"/>
      <c r="R156"/>
    </row>
  </sheetData>
  <pageMargins left="0.2" right="0.2" top="0.5" bottom="0.59" header="0.28999999999999998" footer="0.32"/>
  <pageSetup scale="52" orientation="landscape" r:id="rId1"/>
  <headerFooter alignWithMargins="0">
    <oddFooter>&amp;R&amp;P</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1"/>
  <sheetViews>
    <sheetView workbookViewId="0"/>
  </sheetViews>
  <sheetFormatPr defaultRowHeight="15.75"/>
  <cols>
    <col min="1" max="1" width="33.25" customWidth="1"/>
    <col min="2" max="2" width="17.875" style="12" customWidth="1"/>
    <col min="3" max="3" width="15.75" style="13" customWidth="1"/>
    <col min="4" max="4" width="15.75" style="12" customWidth="1"/>
    <col min="5" max="5" width="14.5" style="13" customWidth="1"/>
    <col min="6" max="6" width="10" style="12" customWidth="1"/>
    <col min="7" max="7" width="11" style="13" customWidth="1"/>
    <col min="8" max="8" width="17.875"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613</v>
      </c>
      <c r="B1" s="37"/>
      <c r="C1" s="38"/>
      <c r="D1" s="37"/>
      <c r="E1" s="38"/>
      <c r="F1" s="37"/>
      <c r="G1" s="38"/>
      <c r="H1" s="37"/>
      <c r="I1" s="37"/>
      <c r="J1" s="38"/>
      <c r="K1" s="37"/>
    </row>
    <row r="2" spans="1:15">
      <c r="A2" s="114" t="s">
        <v>305</v>
      </c>
      <c r="B2" s="37"/>
      <c r="C2" s="38"/>
      <c r="D2" s="37"/>
      <c r="E2" s="38"/>
      <c r="F2" s="37"/>
      <c r="G2" s="38"/>
      <c r="H2" s="37"/>
      <c r="I2" s="37"/>
      <c r="J2" s="38"/>
      <c r="K2" s="37"/>
    </row>
    <row r="3" spans="1:15">
      <c r="A3" s="114" t="s">
        <v>306</v>
      </c>
      <c r="B3" s="37"/>
      <c r="C3" s="38"/>
      <c r="D3" s="37"/>
      <c r="E3" s="38"/>
      <c r="F3" s="37"/>
      <c r="G3" s="38"/>
      <c r="H3" s="37"/>
      <c r="I3" s="37"/>
      <c r="J3" s="38"/>
      <c r="K3" s="37"/>
    </row>
    <row r="4" spans="1:15">
      <c r="A4" s="114" t="s">
        <v>179</v>
      </c>
      <c r="B4" s="37"/>
      <c r="C4" s="38"/>
      <c r="D4" s="37"/>
      <c r="E4" s="38"/>
      <c r="F4" s="37"/>
      <c r="G4" s="38"/>
      <c r="H4" s="37"/>
      <c r="I4" s="37"/>
      <c r="J4" s="38"/>
      <c r="K4" s="37"/>
    </row>
    <row r="5" spans="1:15">
      <c r="A5" s="34"/>
      <c r="B5" s="37"/>
      <c r="C5" s="38"/>
      <c r="D5" s="37"/>
      <c r="E5" s="38"/>
      <c r="F5" s="37"/>
      <c r="G5" s="38"/>
      <c r="H5" s="37"/>
      <c r="I5" s="37"/>
      <c r="J5" s="38"/>
    </row>
    <row r="6" spans="1:15">
      <c r="B6" s="238" t="s">
        <v>0</v>
      </c>
      <c r="C6" s="215"/>
      <c r="D6" s="216"/>
    </row>
    <row r="7" spans="1:15" ht="16.5" thickBot="1">
      <c r="B7" s="429" t="s">
        <v>307</v>
      </c>
      <c r="C7" s="38"/>
      <c r="D7" s="37"/>
      <c r="E7" s="38"/>
      <c r="H7" s="377" t="s">
        <v>308</v>
      </c>
      <c r="I7" s="215"/>
      <c r="J7" s="216"/>
      <c r="K7" s="37"/>
    </row>
    <row r="8" spans="1:15" ht="16.5" thickTop="1">
      <c r="A8" s="87" t="s">
        <v>243</v>
      </c>
      <c r="B8" s="402" t="s">
        <v>313</v>
      </c>
      <c r="C8" s="403" t="s">
        <v>310</v>
      </c>
      <c r="D8" s="408" t="s">
        <v>311</v>
      </c>
      <c r="E8" s="407" t="s">
        <v>312</v>
      </c>
      <c r="F8" s="125" t="s">
        <v>0</v>
      </c>
      <c r="G8" s="124" t="s">
        <v>0</v>
      </c>
      <c r="H8" s="402" t="s">
        <v>313</v>
      </c>
      <c r="I8" s="404" t="s">
        <v>310</v>
      </c>
      <c r="J8" s="406" t="s">
        <v>311</v>
      </c>
      <c r="K8" s="407" t="s">
        <v>312</v>
      </c>
      <c r="L8" s="14"/>
      <c r="M8" s="9"/>
      <c r="N8" s="9"/>
      <c r="O8" s="9"/>
    </row>
    <row r="9" spans="1:15">
      <c r="A9" s="1" t="s">
        <v>264</v>
      </c>
      <c r="B9" s="126"/>
      <c r="C9" s="127"/>
      <c r="D9" s="365"/>
      <c r="E9" s="372" t="s">
        <v>0</v>
      </c>
      <c r="H9" s="135"/>
      <c r="I9" s="78"/>
      <c r="J9" s="370" t="s">
        <v>0</v>
      </c>
      <c r="K9" s="372" t="s">
        <v>0</v>
      </c>
    </row>
    <row r="10" spans="1:15">
      <c r="A10" s="1" t="s">
        <v>265</v>
      </c>
      <c r="B10" s="129">
        <v>34513</v>
      </c>
      <c r="C10" s="92">
        <v>29416</v>
      </c>
      <c r="D10" s="366">
        <f t="shared" ref="D10:D15" si="0">SUM(B10:C10)</f>
        <v>63929</v>
      </c>
      <c r="E10" s="373">
        <f>+B10/D10</f>
        <v>0.53986453722097949</v>
      </c>
      <c r="F10" s="88" t="s">
        <v>0</v>
      </c>
      <c r="G10" s="100" t="s">
        <v>0</v>
      </c>
      <c r="H10" s="129">
        <v>12710</v>
      </c>
      <c r="I10" s="92">
        <v>10280</v>
      </c>
      <c r="J10" s="366">
        <f t="shared" ref="J10:J15" si="1">SUM(H10:I10)</f>
        <v>22990</v>
      </c>
      <c r="K10" s="373">
        <f>+H10/J10</f>
        <v>0.55284906481078733</v>
      </c>
    </row>
    <row r="11" spans="1:15">
      <c r="A11" s="1" t="s">
        <v>266</v>
      </c>
      <c r="B11" s="129">
        <v>18888</v>
      </c>
      <c r="C11" s="92">
        <v>98824</v>
      </c>
      <c r="D11" s="366">
        <f t="shared" si="0"/>
        <v>117712</v>
      </c>
      <c r="E11" s="373">
        <f>+B11/D11</f>
        <v>0.16045942639662905</v>
      </c>
      <c r="F11" s="88" t="s">
        <v>0</v>
      </c>
      <c r="G11" s="100" t="s">
        <v>0</v>
      </c>
      <c r="H11" s="129">
        <v>20956</v>
      </c>
      <c r="I11" s="92">
        <v>124563</v>
      </c>
      <c r="J11" s="366">
        <f t="shared" si="1"/>
        <v>145519</v>
      </c>
      <c r="K11" s="373">
        <f>+H11/J11</f>
        <v>0.14400868615094936</v>
      </c>
    </row>
    <row r="12" spans="1:15">
      <c r="A12" s="1" t="s">
        <v>267</v>
      </c>
      <c r="B12" s="129">
        <v>28845</v>
      </c>
      <c r="C12" s="92">
        <v>0</v>
      </c>
      <c r="D12" s="366">
        <f t="shared" si="0"/>
        <v>28845</v>
      </c>
      <c r="E12" s="373">
        <f>+B12/D12</f>
        <v>1</v>
      </c>
      <c r="F12" s="88" t="s">
        <v>0</v>
      </c>
      <c r="G12" s="100" t="s">
        <v>0</v>
      </c>
      <c r="H12" s="129">
        <v>40178</v>
      </c>
      <c r="I12" s="92">
        <v>0</v>
      </c>
      <c r="J12" s="366">
        <f t="shared" si="1"/>
        <v>40178</v>
      </c>
      <c r="K12" s="373">
        <f>+H12/J12</f>
        <v>1</v>
      </c>
    </row>
    <row r="13" spans="1:15">
      <c r="A13" s="1" t="s">
        <v>268</v>
      </c>
      <c r="B13" s="129">
        <v>177</v>
      </c>
      <c r="C13" s="92">
        <v>479</v>
      </c>
      <c r="D13" s="366">
        <f t="shared" si="0"/>
        <v>656</v>
      </c>
      <c r="E13" s="136">
        <v>0</v>
      </c>
      <c r="F13" s="88" t="s">
        <v>0</v>
      </c>
      <c r="G13" s="100" t="s">
        <v>0</v>
      </c>
      <c r="H13" s="129">
        <v>0</v>
      </c>
      <c r="I13" s="92">
        <v>0</v>
      </c>
      <c r="J13" s="366">
        <f t="shared" si="1"/>
        <v>0</v>
      </c>
      <c r="K13" s="136">
        <v>0</v>
      </c>
    </row>
    <row r="14" spans="1:15" ht="18">
      <c r="A14" s="1" t="s">
        <v>269</v>
      </c>
      <c r="B14" s="130">
        <v>3232</v>
      </c>
      <c r="C14" s="137">
        <v>44912</v>
      </c>
      <c r="D14" s="367">
        <f t="shared" si="0"/>
        <v>48144</v>
      </c>
      <c r="E14" s="373">
        <f>+B14/D14</f>
        <v>6.7131937520771026E-2</v>
      </c>
      <c r="F14" s="88" t="s">
        <v>0</v>
      </c>
      <c r="G14" s="100" t="s">
        <v>0</v>
      </c>
      <c r="H14" s="130">
        <f>20714+1842+589</f>
        <v>23145</v>
      </c>
      <c r="I14" s="137">
        <v>11981</v>
      </c>
      <c r="J14" s="367">
        <f t="shared" si="1"/>
        <v>35126</v>
      </c>
      <c r="K14" s="373">
        <f>+H14/J14</f>
        <v>0.65891362523486874</v>
      </c>
    </row>
    <row r="15" spans="1:15" ht="15.6" customHeight="1">
      <c r="A15" s="1"/>
      <c r="B15" s="129">
        <f>SUM(B10:B14)</f>
        <v>85655</v>
      </c>
      <c r="C15" s="92">
        <f>SUM(C10:C14)</f>
        <v>173631</v>
      </c>
      <c r="D15" s="366">
        <f t="shared" si="0"/>
        <v>259286</v>
      </c>
      <c r="E15" s="373">
        <f>+B15/D15</f>
        <v>0.33034949823746751</v>
      </c>
      <c r="F15" s="88" t="s">
        <v>0</v>
      </c>
      <c r="G15" s="100" t="s">
        <v>0</v>
      </c>
      <c r="H15" s="129">
        <f>SUM(H10:H14)</f>
        <v>96989</v>
      </c>
      <c r="I15" s="92">
        <f>SUM(I10:I14)</f>
        <v>146824</v>
      </c>
      <c r="J15" s="366">
        <f t="shared" si="1"/>
        <v>243813</v>
      </c>
      <c r="K15" s="373">
        <f>+H15/J15</f>
        <v>0.39780077354365845</v>
      </c>
    </row>
    <row r="16" spans="1:15" ht="7.9" customHeight="1">
      <c r="A16" s="1"/>
      <c r="B16" s="129"/>
      <c r="C16" s="93" t="s">
        <v>0</v>
      </c>
      <c r="D16" s="366"/>
      <c r="E16" s="373" t="s">
        <v>0</v>
      </c>
      <c r="F16" s="88"/>
      <c r="G16" s="100" t="s">
        <v>0</v>
      </c>
      <c r="H16" s="129"/>
      <c r="I16" s="93" t="s">
        <v>0</v>
      </c>
      <c r="J16" s="371" t="s">
        <v>0</v>
      </c>
      <c r="K16" s="373" t="s">
        <v>0</v>
      </c>
    </row>
    <row r="17" spans="1:11" ht="15.6" customHeight="1">
      <c r="A17" s="1" t="s">
        <v>270</v>
      </c>
      <c r="B17" s="129">
        <v>0</v>
      </c>
      <c r="C17" s="92">
        <v>80000</v>
      </c>
      <c r="D17" s="366">
        <f t="shared" ref="D17:D22" si="2">SUM(B17:C17)</f>
        <v>80000</v>
      </c>
      <c r="E17" s="136">
        <v>0</v>
      </c>
      <c r="F17"/>
      <c r="G17"/>
      <c r="H17" s="129">
        <v>0</v>
      </c>
      <c r="I17" s="92">
        <v>75000</v>
      </c>
      <c r="J17" s="371">
        <f t="shared" ref="J17:J22" si="3">SUM(H17:I17)</f>
        <v>75000</v>
      </c>
      <c r="K17" s="136">
        <v>0</v>
      </c>
    </row>
    <row r="18" spans="1:11">
      <c r="A18" s="1" t="s">
        <v>271</v>
      </c>
      <c r="B18" s="129">
        <v>75889</v>
      </c>
      <c r="C18" s="92">
        <v>5190</v>
      </c>
      <c r="D18" s="366">
        <f t="shared" si="2"/>
        <v>81079</v>
      </c>
      <c r="E18" s="136">
        <v>0</v>
      </c>
      <c r="F18"/>
      <c r="G18"/>
      <c r="H18" s="129">
        <v>59231</v>
      </c>
      <c r="I18" s="92">
        <v>5027</v>
      </c>
      <c r="J18" s="366">
        <f t="shared" si="3"/>
        <v>64258</v>
      </c>
      <c r="K18" s="373">
        <f>+H18/J18</f>
        <v>0.92176849575150177</v>
      </c>
    </row>
    <row r="19" spans="1:11">
      <c r="A19" s="1" t="s">
        <v>314</v>
      </c>
      <c r="B19" s="129">
        <v>166220</v>
      </c>
      <c r="C19" s="92">
        <v>335580</v>
      </c>
      <c r="D19" s="366">
        <f t="shared" si="2"/>
        <v>501800</v>
      </c>
      <c r="E19" s="373">
        <f>+B19/D19</f>
        <v>0.33124750896771621</v>
      </c>
      <c r="F19"/>
      <c r="G19"/>
      <c r="H19" s="129">
        <v>157010</v>
      </c>
      <c r="I19" s="92">
        <v>350731</v>
      </c>
      <c r="J19" s="366">
        <f t="shared" si="3"/>
        <v>507741</v>
      </c>
      <c r="K19" s="373">
        <f>+H19/J19</f>
        <v>0.30923246300771456</v>
      </c>
    </row>
    <row r="20" spans="1:11">
      <c r="A20" s="1" t="s">
        <v>273</v>
      </c>
      <c r="B20" s="129">
        <v>0</v>
      </c>
      <c r="C20" s="92">
        <v>73605</v>
      </c>
      <c r="D20" s="366">
        <f t="shared" si="2"/>
        <v>73605</v>
      </c>
      <c r="E20" s="136">
        <v>0</v>
      </c>
      <c r="F20"/>
      <c r="G20"/>
      <c r="H20" s="129">
        <v>0</v>
      </c>
      <c r="I20" s="92">
        <v>75327</v>
      </c>
      <c r="J20" s="366">
        <f t="shared" si="3"/>
        <v>75327</v>
      </c>
      <c r="K20" s="136">
        <v>0</v>
      </c>
    </row>
    <row r="21" spans="1:11" ht="18">
      <c r="A21" s="1" t="s">
        <v>274</v>
      </c>
      <c r="B21" s="130">
        <v>66663</v>
      </c>
      <c r="C21" s="137">
        <v>50630</v>
      </c>
      <c r="D21" s="367">
        <f t="shared" si="2"/>
        <v>117293</v>
      </c>
      <c r="E21" s="373">
        <f>+B21/D21</f>
        <v>0.56834593709769554</v>
      </c>
      <c r="F21"/>
      <c r="G21"/>
      <c r="H21" s="130">
        <v>47918</v>
      </c>
      <c r="I21" s="137">
        <v>15826</v>
      </c>
      <c r="J21" s="367">
        <f t="shared" si="3"/>
        <v>63744</v>
      </c>
      <c r="K21" s="373">
        <f>+H21/J21</f>
        <v>0.75172565261044177</v>
      </c>
    </row>
    <row r="22" spans="1:11">
      <c r="A22" s="1" t="s">
        <v>275</v>
      </c>
      <c r="B22" s="132">
        <f>SUM(B15:B21)</f>
        <v>394427</v>
      </c>
      <c r="C22" s="95">
        <f>SUM(C15:C21)</f>
        <v>718636</v>
      </c>
      <c r="D22" s="368">
        <f t="shared" si="2"/>
        <v>1113063</v>
      </c>
      <c r="E22" s="431">
        <f>+B22/D22</f>
        <v>0.3543617926388713</v>
      </c>
      <c r="F22"/>
      <c r="G22"/>
      <c r="H22" s="132">
        <f>SUM(H15:H21)</f>
        <v>361148</v>
      </c>
      <c r="I22" s="95">
        <f>SUM(I15:I21)</f>
        <v>668735</v>
      </c>
      <c r="J22" s="368">
        <f t="shared" si="3"/>
        <v>1029883</v>
      </c>
      <c r="K22" s="431">
        <f>+H22/J22</f>
        <v>0.35066895948374716</v>
      </c>
    </row>
    <row r="23" spans="1:11" ht="7.9" customHeight="1">
      <c r="A23" s="1"/>
      <c r="B23" s="129"/>
      <c r="C23" s="93" t="s">
        <v>0</v>
      </c>
      <c r="D23" s="366"/>
      <c r="E23" s="373" t="s">
        <v>0</v>
      </c>
      <c r="F23"/>
      <c r="G23"/>
      <c r="H23" s="129"/>
      <c r="I23" s="93" t="s">
        <v>0</v>
      </c>
      <c r="J23" s="371" t="s">
        <v>0</v>
      </c>
      <c r="K23" s="373" t="s">
        <v>0</v>
      </c>
    </row>
    <row r="24" spans="1:11">
      <c r="A24" s="87" t="s">
        <v>276</v>
      </c>
      <c r="B24" s="129"/>
      <c r="C24" s="93" t="s">
        <v>0</v>
      </c>
      <c r="D24" s="366"/>
      <c r="E24" s="373" t="s">
        <v>0</v>
      </c>
      <c r="F24"/>
      <c r="G24"/>
      <c r="H24" s="129"/>
      <c r="I24" s="93" t="s">
        <v>0</v>
      </c>
      <c r="J24" s="371" t="s">
        <v>0</v>
      </c>
      <c r="K24" s="373" t="s">
        <v>0</v>
      </c>
    </row>
    <row r="25" spans="1:11">
      <c r="A25" s="1" t="s">
        <v>277</v>
      </c>
      <c r="B25" s="129"/>
      <c r="C25" s="93" t="s">
        <v>0</v>
      </c>
      <c r="D25" s="366"/>
      <c r="E25" s="373" t="s">
        <v>0</v>
      </c>
      <c r="F25"/>
      <c r="G25"/>
      <c r="H25" s="129"/>
      <c r="I25" s="93" t="s">
        <v>0</v>
      </c>
      <c r="J25" s="371" t="s">
        <v>0</v>
      </c>
      <c r="K25" s="373" t="s">
        <v>0</v>
      </c>
    </row>
    <row r="26" spans="1:11">
      <c r="A26" s="1" t="s">
        <v>278</v>
      </c>
      <c r="B26" s="129">
        <v>95868</v>
      </c>
      <c r="C26" s="92">
        <v>208019</v>
      </c>
      <c r="D26" s="366">
        <f>SUM(B26:C26)</f>
        <v>303887</v>
      </c>
      <c r="E26" s="373">
        <f>+B26/D26</f>
        <v>0.31547252761717348</v>
      </c>
      <c r="F26"/>
      <c r="G26"/>
      <c r="H26" s="129">
        <v>83675</v>
      </c>
      <c r="I26" s="92">
        <v>200911</v>
      </c>
      <c r="J26" s="366">
        <f>SUM(H26:I26)</f>
        <v>284586</v>
      </c>
      <c r="K26" s="373">
        <f>+H26/J26</f>
        <v>0.29402359919321402</v>
      </c>
    </row>
    <row r="27" spans="1:11">
      <c r="A27" s="1" t="s">
        <v>279</v>
      </c>
      <c r="B27" s="129">
        <v>63884</v>
      </c>
      <c r="C27" s="92">
        <v>131588</v>
      </c>
      <c r="D27" s="366">
        <f>SUM(B27:C27)</f>
        <v>195472</v>
      </c>
      <c r="E27" s="373">
        <f>+B27/D27</f>
        <v>0.32681918637963492</v>
      </c>
      <c r="F27"/>
      <c r="G27"/>
      <c r="H27" s="129">
        <v>51189</v>
      </c>
      <c r="I27" s="92">
        <v>127309</v>
      </c>
      <c r="J27" s="366">
        <f>SUM(H27:I27)</f>
        <v>178498</v>
      </c>
      <c r="K27" s="373">
        <f>+H27/J27</f>
        <v>0.28677632242378065</v>
      </c>
    </row>
    <row r="28" spans="1:11" ht="18">
      <c r="A28" s="1" t="s">
        <v>280</v>
      </c>
      <c r="B28" s="130">
        <v>179952</v>
      </c>
      <c r="C28" s="137">
        <v>194912</v>
      </c>
      <c r="D28" s="367">
        <f>SUM(B28:C28)</f>
        <v>374864</v>
      </c>
      <c r="E28" s="373">
        <f>+B28/D28</f>
        <v>0.48004609671774295</v>
      </c>
      <c r="F28"/>
      <c r="G28"/>
      <c r="H28" s="130">
        <v>160207</v>
      </c>
      <c r="I28" s="137">
        <v>178409</v>
      </c>
      <c r="J28" s="367">
        <f>SUM(H28:I28)</f>
        <v>338616</v>
      </c>
      <c r="K28" s="373">
        <f>+H28/J28</f>
        <v>0.47312294752758288</v>
      </c>
    </row>
    <row r="29" spans="1:11">
      <c r="A29" s="1"/>
      <c r="B29" s="129">
        <f>SUM(B26:B28)</f>
        <v>339704</v>
      </c>
      <c r="C29" s="92">
        <f>SUM(C26:C28)</f>
        <v>534519</v>
      </c>
      <c r="D29" s="366">
        <f>SUM(B29:C29)</f>
        <v>874223</v>
      </c>
      <c r="E29" s="373">
        <f>+B29/D29</f>
        <v>0.38857820029900836</v>
      </c>
      <c r="F29"/>
      <c r="G29"/>
      <c r="H29" s="129">
        <f>SUM(H26:H28)</f>
        <v>295071</v>
      </c>
      <c r="I29" s="92">
        <f>SUM(I26:I28)</f>
        <v>506629</v>
      </c>
      <c r="J29" s="366">
        <f>SUM(H29:I29)</f>
        <v>801700</v>
      </c>
      <c r="K29" s="373">
        <f>+H29/J29</f>
        <v>0.36805662966196834</v>
      </c>
    </row>
    <row r="30" spans="1:11" ht="7.9" customHeight="1">
      <c r="A30" s="1"/>
      <c r="B30" s="129"/>
      <c r="C30" s="93" t="s">
        <v>0</v>
      </c>
      <c r="D30" s="366"/>
      <c r="E30" s="373" t="s">
        <v>0</v>
      </c>
      <c r="F30"/>
      <c r="G30"/>
      <c r="H30" s="129"/>
      <c r="I30" s="93" t="s">
        <v>0</v>
      </c>
      <c r="J30" s="371" t="s">
        <v>0</v>
      </c>
      <c r="K30" s="373" t="s">
        <v>0</v>
      </c>
    </row>
    <row r="31" spans="1:11">
      <c r="A31" s="1" t="s">
        <v>281</v>
      </c>
      <c r="B31" s="129"/>
      <c r="C31" s="93" t="s">
        <v>0</v>
      </c>
      <c r="D31" s="366"/>
      <c r="E31" s="373" t="s">
        <v>0</v>
      </c>
      <c r="F31"/>
      <c r="G31"/>
      <c r="H31" s="129"/>
      <c r="I31" s="93" t="s">
        <v>0</v>
      </c>
      <c r="J31" s="371" t="s">
        <v>0</v>
      </c>
      <c r="K31" s="373" t="s">
        <v>0</v>
      </c>
    </row>
    <row r="32" spans="1:11">
      <c r="A32" s="1" t="s">
        <v>282</v>
      </c>
      <c r="B32" s="129">
        <v>0</v>
      </c>
      <c r="C32" s="92">
        <v>0</v>
      </c>
      <c r="D32" s="366">
        <f>SUM(B32:C32)</f>
        <v>0</v>
      </c>
      <c r="E32" s="136">
        <v>0</v>
      </c>
      <c r="F32"/>
      <c r="G32"/>
      <c r="H32" s="129">
        <v>0</v>
      </c>
      <c r="I32" s="92">
        <v>20000</v>
      </c>
      <c r="J32" s="371">
        <f>SUM(H32:I32)</f>
        <v>20000</v>
      </c>
      <c r="K32" s="136">
        <v>0</v>
      </c>
    </row>
    <row r="33" spans="1:15">
      <c r="A33" s="1" t="s">
        <v>283</v>
      </c>
      <c r="B33" s="129">
        <v>0</v>
      </c>
      <c r="C33" s="93">
        <v>0</v>
      </c>
      <c r="D33" s="366">
        <f>SUM(B33:C33)</f>
        <v>0</v>
      </c>
      <c r="E33" s="136">
        <v>0</v>
      </c>
      <c r="F33"/>
      <c r="G33"/>
      <c r="H33" s="129">
        <v>0</v>
      </c>
      <c r="I33" s="93">
        <v>0</v>
      </c>
      <c r="J33" s="371">
        <f>SUM(H33:I33)</f>
        <v>0</v>
      </c>
      <c r="K33" s="373" t="e">
        <f>+H33/J33</f>
        <v>#DIV/0!</v>
      </c>
    </row>
    <row r="34" spans="1:15" ht="18">
      <c r="A34" s="1" t="s">
        <v>284</v>
      </c>
      <c r="B34" s="130">
        <v>13543</v>
      </c>
      <c r="C34" s="137">
        <v>17875</v>
      </c>
      <c r="D34" s="367">
        <f>SUM(B34:C34)</f>
        <v>31418</v>
      </c>
      <c r="E34" s="373">
        <f>+B34/D34</f>
        <v>0.4310586288115093</v>
      </c>
      <c r="F34"/>
      <c r="G34"/>
      <c r="H34" s="130">
        <v>6009</v>
      </c>
      <c r="I34" s="137">
        <f>42152-20000</f>
        <v>22152</v>
      </c>
      <c r="J34" s="367">
        <f>SUM(H34:I34)</f>
        <v>28161</v>
      </c>
      <c r="K34" s="373">
        <f>+H34/J34</f>
        <v>0.21338020666879728</v>
      </c>
      <c r="L34" s="6"/>
      <c r="M34" s="7"/>
      <c r="N34" s="7"/>
      <c r="O34" s="7"/>
    </row>
    <row r="35" spans="1:15">
      <c r="A35" s="1"/>
      <c r="B35" s="129">
        <f>SUM(B32:B34)</f>
        <v>13543</v>
      </c>
      <c r="C35" s="92">
        <f>SUM(C32:C34)</f>
        <v>17875</v>
      </c>
      <c r="D35" s="366">
        <f>SUM(B35:C35)</f>
        <v>31418</v>
      </c>
      <c r="E35" s="373">
        <f>+B35/D35</f>
        <v>0.4310586288115093</v>
      </c>
      <c r="F35"/>
      <c r="G35"/>
      <c r="H35" s="129">
        <f>SUM(H32:H34)</f>
        <v>6009</v>
      </c>
      <c r="I35" s="92">
        <f>SUM(I32:I34)</f>
        <v>42152</v>
      </c>
      <c r="J35" s="366">
        <f>SUM(H35:I35)</f>
        <v>48161</v>
      </c>
      <c r="K35" s="373">
        <f>+H35/J35</f>
        <v>0.1247690039658645</v>
      </c>
    </row>
    <row r="36" spans="1:15" ht="7.15" customHeight="1">
      <c r="A36" s="1"/>
      <c r="B36" s="129"/>
      <c r="C36" s="93" t="s">
        <v>0</v>
      </c>
      <c r="D36" s="366"/>
      <c r="E36" s="373" t="s">
        <v>275</v>
      </c>
      <c r="F36"/>
      <c r="G36"/>
      <c r="H36" s="129"/>
      <c r="I36" s="93" t="s">
        <v>0</v>
      </c>
      <c r="J36" s="371" t="s">
        <v>0</v>
      </c>
      <c r="K36" s="373" t="s">
        <v>275</v>
      </c>
    </row>
    <row r="37" spans="1:15">
      <c r="A37" s="1" t="s">
        <v>285</v>
      </c>
      <c r="B37" s="129"/>
      <c r="C37" s="93" t="s">
        <v>0</v>
      </c>
      <c r="D37" s="366"/>
      <c r="E37" s="373" t="s">
        <v>0</v>
      </c>
      <c r="F37"/>
      <c r="G37"/>
      <c r="H37" s="129"/>
      <c r="I37" s="93" t="s">
        <v>0</v>
      </c>
      <c r="J37" s="371" t="s">
        <v>0</v>
      </c>
      <c r="K37" s="373" t="s">
        <v>0</v>
      </c>
    </row>
    <row r="38" spans="1:15">
      <c r="A38" s="1" t="s">
        <v>282</v>
      </c>
      <c r="B38" s="129">
        <f>+B148</f>
        <v>0</v>
      </c>
      <c r="C38" s="93">
        <v>0</v>
      </c>
      <c r="D38" s="366">
        <f>SUM(B38:C38)</f>
        <v>0</v>
      </c>
      <c r="E38" s="136">
        <v>0</v>
      </c>
      <c r="F38"/>
      <c r="G38"/>
      <c r="H38" s="129">
        <f>+H148</f>
        <v>0</v>
      </c>
      <c r="I38" s="93">
        <v>0</v>
      </c>
      <c r="J38" s="371">
        <f>SUM(H38:I38)</f>
        <v>0</v>
      </c>
      <c r="K38" s="136">
        <v>0</v>
      </c>
    </row>
    <row r="39" spans="1:15">
      <c r="A39" s="1" t="s">
        <v>286</v>
      </c>
      <c r="B39" s="129">
        <v>0</v>
      </c>
      <c r="C39" s="93">
        <v>0</v>
      </c>
      <c r="D39" s="366">
        <f>SUM(B39:C39)</f>
        <v>0</v>
      </c>
      <c r="E39" s="136">
        <v>0</v>
      </c>
      <c r="F39"/>
      <c r="G39"/>
      <c r="H39" s="129">
        <v>0</v>
      </c>
      <c r="I39" s="93">
        <v>0</v>
      </c>
      <c r="J39" s="371">
        <f>SUM(H39:I39)</f>
        <v>0</v>
      </c>
      <c r="K39" s="136">
        <v>0</v>
      </c>
    </row>
    <row r="40" spans="1:15" ht="18">
      <c r="A40" s="1" t="s">
        <v>284</v>
      </c>
      <c r="B40" s="130">
        <v>0</v>
      </c>
      <c r="C40" s="137">
        <v>23116</v>
      </c>
      <c r="D40" s="940">
        <f>SUM(B40:C40)</f>
        <v>23116</v>
      </c>
      <c r="E40" s="136">
        <f>+B40/D40</f>
        <v>0</v>
      </c>
      <c r="F40"/>
      <c r="G40"/>
      <c r="H40" s="130">
        <v>0</v>
      </c>
      <c r="I40" s="137">
        <v>21523</v>
      </c>
      <c r="J40" s="367">
        <f>SUM(H40:I40)</f>
        <v>21523</v>
      </c>
      <c r="K40" s="136">
        <f>+H40/J40</f>
        <v>0</v>
      </c>
    </row>
    <row r="41" spans="1:15">
      <c r="A41" s="1"/>
      <c r="B41" s="129">
        <f>SUM(B38:B40)</f>
        <v>0</v>
      </c>
      <c r="C41" s="92">
        <f>SUM(C38:C40)</f>
        <v>23116</v>
      </c>
      <c r="D41" s="92">
        <f>SUM(D38:D40)</f>
        <v>23116</v>
      </c>
      <c r="E41" s="136">
        <f>+B41/D41</f>
        <v>0</v>
      </c>
      <c r="F41"/>
      <c r="G41"/>
      <c r="H41" s="129">
        <f>SUM(H38:H40)</f>
        <v>0</v>
      </c>
      <c r="I41" s="92">
        <f>SUM(I38:I40)</f>
        <v>21523</v>
      </c>
      <c r="J41" s="366">
        <f>SUM(H41:I41)</f>
        <v>21523</v>
      </c>
      <c r="K41" s="136">
        <f>+H41/J41</f>
        <v>0</v>
      </c>
    </row>
    <row r="42" spans="1:15" ht="8.4499999999999993" customHeight="1">
      <c r="A42" s="1"/>
      <c r="B42" s="129"/>
      <c r="C42" s="93" t="s">
        <v>0</v>
      </c>
      <c r="D42" s="366"/>
      <c r="E42" s="373" t="s">
        <v>0</v>
      </c>
      <c r="F42"/>
      <c r="G42"/>
      <c r="H42" s="129"/>
      <c r="I42" s="93" t="s">
        <v>0</v>
      </c>
      <c r="J42" s="371" t="s">
        <v>0</v>
      </c>
      <c r="K42" s="373" t="s">
        <v>0</v>
      </c>
    </row>
    <row r="43" spans="1:15" ht="18">
      <c r="A43" s="1" t="s">
        <v>287</v>
      </c>
      <c r="B43" s="130">
        <v>62685</v>
      </c>
      <c r="C43" s="137">
        <v>1797</v>
      </c>
      <c r="D43" s="367">
        <f>SUM(B43:C43)</f>
        <v>64482</v>
      </c>
      <c r="E43" s="373">
        <f>+B43/D43</f>
        <v>0.97213175769982318</v>
      </c>
      <c r="F43"/>
      <c r="G43"/>
      <c r="H43" s="130">
        <v>41751</v>
      </c>
      <c r="I43" s="137">
        <v>123</v>
      </c>
      <c r="J43" s="367">
        <f>SUM(H43:I43)</f>
        <v>41874</v>
      </c>
      <c r="K43" s="373">
        <f>+H43/J43</f>
        <v>0.99706261642069061</v>
      </c>
      <c r="L43" s="6"/>
    </row>
    <row r="44" spans="1:15">
      <c r="A44" s="1"/>
      <c r="B44" s="129">
        <f>+B29+B35+B41+B43</f>
        <v>415932</v>
      </c>
      <c r="C44" s="92">
        <f>+C29+C35+C41+C43</f>
        <v>577307</v>
      </c>
      <c r="D44" s="366">
        <f>+D29+D35+D41+D43</f>
        <v>993239</v>
      </c>
      <c r="E44" s="373">
        <f>+B44/D44</f>
        <v>0.41876325838997464</v>
      </c>
      <c r="F44"/>
      <c r="G44"/>
      <c r="H44" s="129">
        <f>+H29+H35+H41+H43</f>
        <v>342831</v>
      </c>
      <c r="I44" s="92">
        <f>+I29+I35+I41+I43</f>
        <v>570427</v>
      </c>
      <c r="J44" s="92">
        <f>+J29+J35+J41+J43</f>
        <v>913258</v>
      </c>
      <c r="K44" s="373" t="s">
        <v>0</v>
      </c>
    </row>
    <row r="45" spans="1:15" ht="8.4499999999999993" customHeight="1">
      <c r="A45" s="1"/>
      <c r="B45" s="129"/>
      <c r="C45" s="93" t="s">
        <v>0</v>
      </c>
      <c r="D45" s="366"/>
      <c r="E45" s="373" t="s">
        <v>0</v>
      </c>
      <c r="F45"/>
      <c r="G45"/>
      <c r="H45" s="129"/>
      <c r="I45" s="93" t="s">
        <v>0</v>
      </c>
      <c r="J45" s="371" t="s">
        <v>0</v>
      </c>
      <c r="K45" s="373" t="s">
        <v>0</v>
      </c>
    </row>
    <row r="46" spans="1:15">
      <c r="A46" s="87" t="s">
        <v>288</v>
      </c>
      <c r="B46" s="129"/>
      <c r="C46" s="93" t="s">
        <v>0</v>
      </c>
      <c r="D46" s="366"/>
      <c r="E46" s="373" t="s">
        <v>0</v>
      </c>
      <c r="F46"/>
      <c r="G46"/>
      <c r="H46" s="129"/>
      <c r="I46" s="93" t="s">
        <v>0</v>
      </c>
      <c r="J46" s="371" t="s">
        <v>0</v>
      </c>
      <c r="K46" s="373" t="s">
        <v>0</v>
      </c>
    </row>
    <row r="47" spans="1:15">
      <c r="A47" s="1" t="s">
        <v>289</v>
      </c>
      <c r="B47" s="129">
        <v>0</v>
      </c>
      <c r="C47" s="92">
        <v>90000</v>
      </c>
      <c r="D47" s="366">
        <f>SUM(B47:C47)</f>
        <v>90000</v>
      </c>
      <c r="E47" s="136">
        <f>+B47/D47</f>
        <v>0</v>
      </c>
      <c r="F47"/>
      <c r="G47"/>
      <c r="H47" s="129">
        <v>0</v>
      </c>
      <c r="I47" s="92">
        <v>89720</v>
      </c>
      <c r="J47" s="366">
        <f>SUM(H47:I47)</f>
        <v>89720</v>
      </c>
      <c r="K47" s="136">
        <f>+H47/J47</f>
        <v>0</v>
      </c>
    </row>
    <row r="48" spans="1:15">
      <c r="A48" s="1" t="s">
        <v>290</v>
      </c>
      <c r="B48" s="129">
        <v>0</v>
      </c>
      <c r="C48" s="92">
        <v>3652</v>
      </c>
      <c r="D48" s="366">
        <f>SUM(B48:C48)</f>
        <v>3652</v>
      </c>
      <c r="E48" s="136">
        <f>+B48/D48</f>
        <v>0</v>
      </c>
      <c r="F48"/>
      <c r="G48"/>
      <c r="H48" s="129">
        <v>0</v>
      </c>
      <c r="I48" s="92">
        <v>2745</v>
      </c>
      <c r="J48" s="366">
        <f>SUM(H48:I48)</f>
        <v>2745</v>
      </c>
      <c r="K48" s="136">
        <f>+H48/J48</f>
        <v>0</v>
      </c>
    </row>
    <row r="49" spans="1:15">
      <c r="A49" s="1" t="s">
        <v>302</v>
      </c>
      <c r="B49" s="129">
        <v>0</v>
      </c>
      <c r="C49" s="92">
        <v>878</v>
      </c>
      <c r="D49" s="366">
        <f>SUM(B49:C49)</f>
        <v>878</v>
      </c>
      <c r="E49" s="136">
        <f>+B49/D49</f>
        <v>0</v>
      </c>
      <c r="F49"/>
      <c r="G49"/>
      <c r="H49" s="129">
        <v>0</v>
      </c>
      <c r="I49" s="92">
        <v>755</v>
      </c>
      <c r="J49" s="366">
        <f>SUM(H49:I49)</f>
        <v>755</v>
      </c>
      <c r="K49" s="373"/>
    </row>
    <row r="50" spans="1:15" ht="18">
      <c r="A50" s="1" t="s">
        <v>292</v>
      </c>
      <c r="B50" s="130">
        <v>0</v>
      </c>
      <c r="C50" s="137">
        <v>25294</v>
      </c>
      <c r="D50" s="367">
        <f>SUM(B50:C50)</f>
        <v>25294</v>
      </c>
      <c r="E50" s="136">
        <v>0</v>
      </c>
      <c r="F50"/>
      <c r="G50"/>
      <c r="H50" s="130">
        <v>0</v>
      </c>
      <c r="I50" s="137">
        <v>23405</v>
      </c>
      <c r="J50" s="367">
        <f>SUM(H50:I50)</f>
        <v>23405</v>
      </c>
      <c r="K50" s="136">
        <f>+H50/J50</f>
        <v>0</v>
      </c>
      <c r="L50" s="6"/>
      <c r="M50" s="7"/>
      <c r="N50" s="7"/>
      <c r="O50" s="7"/>
    </row>
    <row r="51" spans="1:15">
      <c r="A51" s="1" t="s">
        <v>275</v>
      </c>
      <c r="B51" s="129">
        <f>SUM(B47:B50)</f>
        <v>0</v>
      </c>
      <c r="C51" s="92">
        <f>SUM(C47:C50)</f>
        <v>119824</v>
      </c>
      <c r="D51" s="366">
        <f>SUM(B51:C51)</f>
        <v>119824</v>
      </c>
      <c r="E51" s="136">
        <f>+B51/D51</f>
        <v>0</v>
      </c>
      <c r="F51"/>
      <c r="G51"/>
      <c r="H51" s="129">
        <f>SUM(H47:H50)</f>
        <v>0</v>
      </c>
      <c r="I51" s="92">
        <f>SUM(I47:I50)</f>
        <v>116625</v>
      </c>
      <c r="J51" s="366">
        <f>SUM(H51:I51)</f>
        <v>116625</v>
      </c>
      <c r="K51" s="136">
        <f>+H51/J51</f>
        <v>0</v>
      </c>
    </row>
    <row r="52" spans="1:15">
      <c r="A52" s="1" t="s">
        <v>0</v>
      </c>
      <c r="B52" s="129"/>
      <c r="C52" s="93" t="s">
        <v>0</v>
      </c>
      <c r="D52" s="366"/>
      <c r="E52" s="373" t="s">
        <v>0</v>
      </c>
      <c r="F52"/>
      <c r="G52"/>
      <c r="H52" s="129"/>
      <c r="I52" s="93" t="s">
        <v>0</v>
      </c>
      <c r="J52" s="371" t="s">
        <v>0</v>
      </c>
      <c r="K52" s="373" t="s">
        <v>0</v>
      </c>
    </row>
    <row r="53" spans="1:15" ht="16.5" thickBot="1">
      <c r="A53" s="1" t="s">
        <v>0</v>
      </c>
      <c r="B53" s="133">
        <f>+B29+B35+B41+B43+B51</f>
        <v>415932</v>
      </c>
      <c r="C53" s="134">
        <f>+C29+C35+C41+C43+C51</f>
        <v>697131</v>
      </c>
      <c r="D53" s="369">
        <f>SUM(B53:C53)</f>
        <v>1113063</v>
      </c>
      <c r="E53" s="430">
        <f>+B53/D53</f>
        <v>0.37368235221186941</v>
      </c>
      <c r="F53"/>
      <c r="G53"/>
      <c r="H53" s="133">
        <f>+H29+H35+H41+H43+H51</f>
        <v>342831</v>
      </c>
      <c r="I53" s="134">
        <f>+I29+I35+I41+I43+I51</f>
        <v>687052</v>
      </c>
      <c r="J53" s="369">
        <f>SUM(H53:I53)</f>
        <v>1029883</v>
      </c>
      <c r="K53" s="430">
        <f>+H53/J53</f>
        <v>0.33288344404170184</v>
      </c>
    </row>
    <row r="54" spans="1:15" ht="16.5" thickTop="1">
      <c r="A54" s="1"/>
      <c r="B54" s="95"/>
      <c r="C54" s="95"/>
      <c r="D54" s="384"/>
      <c r="E54" s="261"/>
      <c r="F54"/>
      <c r="G54"/>
      <c r="H54" s="95"/>
      <c r="I54" s="95"/>
      <c r="J54" s="384"/>
      <c r="K54" s="254"/>
    </row>
    <row r="55" spans="1:15">
      <c r="A55" s="1"/>
      <c r="B55" s="91" t="s">
        <v>617</v>
      </c>
      <c r="C55"/>
      <c r="D55" s="91"/>
      <c r="E55" s="100" t="s">
        <v>0</v>
      </c>
      <c r="F55"/>
      <c r="G55"/>
      <c r="H55" s="91" t="s">
        <v>530</v>
      </c>
      <c r="I55"/>
      <c r="J55" s="89" t="s">
        <v>0</v>
      </c>
    </row>
    <row r="56" spans="1:15">
      <c r="C56" s="43"/>
      <c r="E56" s="115" t="s">
        <v>0</v>
      </c>
      <c r="F56"/>
      <c r="G56"/>
      <c r="H56"/>
      <c r="J56" s="43"/>
    </row>
    <row r="57" spans="1:15">
      <c r="A57" s="18" t="s">
        <v>319</v>
      </c>
      <c r="C57" s="43"/>
      <c r="E57" s="115" t="s">
        <v>0</v>
      </c>
      <c r="F57"/>
      <c r="G57"/>
      <c r="H57"/>
      <c r="J57" s="43"/>
    </row>
    <row r="58" spans="1:15">
      <c r="A58" t="s">
        <v>294</v>
      </c>
      <c r="B58" s="12">
        <f>+'capitalbkcomp '!B56</f>
        <v>0</v>
      </c>
      <c r="C58" s="43"/>
      <c r="E58" s="115" t="s">
        <v>0</v>
      </c>
      <c r="F58"/>
      <c r="G58"/>
      <c r="H58"/>
      <c r="J58" s="43"/>
    </row>
    <row r="59" spans="1:15">
      <c r="A59" t="s">
        <v>295</v>
      </c>
      <c r="B59" s="12">
        <f>+'capitalbkcomp '!B57</f>
        <v>0</v>
      </c>
      <c r="C59" s="43"/>
      <c r="E59" s="115" t="s">
        <v>0</v>
      </c>
      <c r="F59"/>
      <c r="G59"/>
      <c r="H59"/>
      <c r="J59" s="43"/>
    </row>
    <row r="60" spans="1:15">
      <c r="A60" t="s">
        <v>284</v>
      </c>
      <c r="B60" s="12">
        <f>+'capitalbkcomp '!B58</f>
        <v>35956</v>
      </c>
      <c r="C60" s="43"/>
      <c r="E60" s="115" t="s">
        <v>0</v>
      </c>
      <c r="F60"/>
      <c r="G60"/>
      <c r="H60"/>
      <c r="J60" s="43"/>
    </row>
    <row r="61" spans="1:15">
      <c r="C61" s="43"/>
      <c r="E61" s="115" t="s">
        <v>0</v>
      </c>
      <c r="F61"/>
      <c r="G61"/>
      <c r="H61"/>
      <c r="J61" s="43"/>
    </row>
    <row r="62" spans="1:15" ht="18.75">
      <c r="A62" s="122" t="s">
        <v>303</v>
      </c>
      <c r="B62" s="12">
        <f>+'capitalbkcomp '!B60</f>
        <v>509125</v>
      </c>
      <c r="C62" s="43"/>
      <c r="E62" s="115" t="s">
        <v>0</v>
      </c>
      <c r="F62"/>
      <c r="G62"/>
      <c r="H62" s="41">
        <v>0</v>
      </c>
      <c r="I62" s="43">
        <v>0</v>
      </c>
      <c r="J62" s="12">
        <f>+J19+J63</f>
        <v>512207.54710000003</v>
      </c>
    </row>
    <row r="63" spans="1:15">
      <c r="A63" t="s">
        <v>217</v>
      </c>
      <c r="B63" s="12">
        <f>+'capitalbkcomp '!B61</f>
        <v>7325</v>
      </c>
      <c r="C63" s="43"/>
      <c r="E63" s="115" t="s">
        <v>0</v>
      </c>
      <c r="F63"/>
      <c r="G63"/>
      <c r="H63" s="41">
        <v>0</v>
      </c>
      <c r="I63" s="43">
        <v>0</v>
      </c>
      <c r="J63" s="12">
        <f>4466547.1/1000</f>
        <v>4466.5470999999998</v>
      </c>
    </row>
    <row r="64" spans="1:15">
      <c r="A64" t="s">
        <v>320</v>
      </c>
      <c r="B64" s="12">
        <f>+'capitalbkcomp '!B62</f>
        <v>7430</v>
      </c>
      <c r="C64" s="43"/>
      <c r="E64" s="115" t="s">
        <v>0</v>
      </c>
      <c r="F64"/>
      <c r="G64"/>
      <c r="H64" s="41">
        <v>0</v>
      </c>
      <c r="I64" s="43">
        <v>0</v>
      </c>
      <c r="J64" s="12">
        <f>2233273.55/1000</f>
        <v>2233.2735499999999</v>
      </c>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sheetData>
  <pageMargins left="0.7" right="0.28999999999999998" top="0.48" bottom="0.52" header="0.28999999999999998" footer="0.28999999999999998"/>
  <pageSetup scale="64" orientation="landscape" r:id="rId1"/>
  <headerFooter alignWithMargins="0">
    <oddFooter>&amp;R&amp;P</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121"/>
  <sheetViews>
    <sheetView workbookViewId="0"/>
  </sheetViews>
  <sheetFormatPr defaultRowHeight="15.75"/>
  <cols>
    <col min="1" max="1" width="50" customWidth="1"/>
    <col min="2" max="2" width="15.75" style="27" customWidth="1"/>
    <col min="3" max="3" width="8.7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 style="27" customWidth="1"/>
    <col min="14" max="14" width="15.75" style="27" customWidth="1"/>
    <col min="15" max="15" width="11" style="27" customWidth="1"/>
    <col min="16" max="16" width="15.75" style="27" customWidth="1"/>
    <col min="17" max="17" width="11" style="27" customWidth="1"/>
    <col min="18" max="18" width="15.75" style="27" customWidth="1"/>
    <col min="19" max="19" width="11" style="27" customWidth="1"/>
    <col min="20" max="20" width="16.375" style="27" customWidth="1"/>
    <col min="21" max="21" width="12.875" style="27" customWidth="1"/>
    <col min="22" max="256" width="11" customWidth="1"/>
  </cols>
  <sheetData>
    <row r="1" spans="1:22">
      <c r="A1" s="114" t="s">
        <v>613</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6" spans="1:22" s="2" customFormat="1" ht="16.5" thickBot="1">
      <c r="B6" s="377" t="s">
        <v>185</v>
      </c>
      <c r="C6" s="399"/>
      <c r="D6" s="400"/>
      <c r="E6" s="399"/>
      <c r="F6" s="400"/>
      <c r="G6" s="399"/>
      <c r="H6" s="400"/>
      <c r="I6" s="401"/>
      <c r="J6" s="377" t="s">
        <v>174</v>
      </c>
      <c r="K6" s="399"/>
      <c r="L6" s="400"/>
      <c r="M6" s="399"/>
      <c r="N6" s="400"/>
      <c r="O6" s="399"/>
      <c r="P6" s="400"/>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7" t="s">
        <v>0</v>
      </c>
      <c r="D9" s="29" t="s">
        <v>0</v>
      </c>
      <c r="E9" s="29" t="s">
        <v>0</v>
      </c>
      <c r="F9" s="29" t="s">
        <v>0</v>
      </c>
      <c r="G9" s="29" t="s">
        <v>0</v>
      </c>
      <c r="H9" s="29" t="s">
        <v>0</v>
      </c>
      <c r="I9" s="29" t="s">
        <v>0</v>
      </c>
      <c r="J9" s="16" t="s">
        <v>0</v>
      </c>
      <c r="K9" s="47" t="s">
        <v>0</v>
      </c>
      <c r="L9" s="16" t="s">
        <v>0</v>
      </c>
      <c r="M9" s="47" t="s">
        <v>0</v>
      </c>
      <c r="N9" s="16" t="s">
        <v>0</v>
      </c>
      <c r="O9" s="47" t="s">
        <v>0</v>
      </c>
      <c r="P9" s="16" t="s">
        <v>0</v>
      </c>
      <c r="Q9" s="29" t="s">
        <v>0</v>
      </c>
      <c r="S9" s="29" t="s">
        <v>0</v>
      </c>
      <c r="T9" s="29" t="s">
        <v>0</v>
      </c>
      <c r="U9" s="29" t="s">
        <v>0</v>
      </c>
    </row>
    <row r="10" spans="1:22">
      <c r="A10" t="s">
        <v>330</v>
      </c>
      <c r="B10" s="12">
        <f>+B50</f>
        <v>22449</v>
      </c>
      <c r="C10" s="43">
        <v>0</v>
      </c>
      <c r="D10" s="12">
        <f>+F50</f>
        <v>0</v>
      </c>
      <c r="E10" s="43">
        <v>0</v>
      </c>
      <c r="F10" s="12">
        <f>+J50</f>
        <v>0</v>
      </c>
      <c r="G10" s="43">
        <v>0</v>
      </c>
      <c r="H10" s="12">
        <f>+N50</f>
        <v>0</v>
      </c>
      <c r="J10" s="12">
        <f>+D50</f>
        <v>20768</v>
      </c>
      <c r="K10" s="46">
        <f t="shared" ref="K10:K15" si="0">+(-J10+L10)/ABS(J10)</f>
        <v>-1.9597457627118644E-2</v>
      </c>
      <c r="L10" s="12">
        <f>+H50</f>
        <v>20361</v>
      </c>
      <c r="M10" s="46">
        <f>+(-L10+N10)/ABS(L10)</f>
        <v>8.806050783360346E-2</v>
      </c>
      <c r="N10" s="12">
        <f>+L50</f>
        <v>22154</v>
      </c>
      <c r="O10" s="46">
        <f t="shared" ref="O10:O15" si="1">+(-N10+P10)/ABS(N10)</f>
        <v>4.1346935090728537E-2</v>
      </c>
      <c r="P10" s="12">
        <f>+P50</f>
        <v>23070</v>
      </c>
    </row>
    <row r="11" spans="1:22">
      <c r="A11" t="s">
        <v>354</v>
      </c>
      <c r="B11" s="12">
        <f>+B51</f>
        <v>2428</v>
      </c>
      <c r="C11" s="43">
        <v>0</v>
      </c>
      <c r="D11" s="12">
        <f>+F51</f>
        <v>0</v>
      </c>
      <c r="E11" s="43">
        <v>0</v>
      </c>
      <c r="F11" s="12">
        <f>+J51</f>
        <v>0</v>
      </c>
      <c r="G11" s="43">
        <v>0</v>
      </c>
      <c r="H11" s="12">
        <f>+N51</f>
        <v>0</v>
      </c>
      <c r="J11" s="12">
        <f>+D51</f>
        <v>906</v>
      </c>
      <c r="K11" s="43">
        <v>0</v>
      </c>
      <c r="L11" s="12">
        <f>+H51</f>
        <v>643</v>
      </c>
      <c r="M11" s="43">
        <v>0</v>
      </c>
      <c r="N11" s="12">
        <f>+L51</f>
        <v>808</v>
      </c>
      <c r="O11" s="46">
        <f t="shared" si="1"/>
        <v>0.31435643564356436</v>
      </c>
      <c r="P11" s="12">
        <f>+P51</f>
        <v>1062</v>
      </c>
    </row>
    <row r="12" spans="1:22">
      <c r="A12" t="s">
        <v>332</v>
      </c>
      <c r="B12" s="240">
        <f>+B52</f>
        <v>2580</v>
      </c>
      <c r="C12" s="43">
        <v>0</v>
      </c>
      <c r="D12" s="240">
        <f>+F52</f>
        <v>0</v>
      </c>
      <c r="E12" s="43">
        <v>0</v>
      </c>
      <c r="F12" s="240">
        <f>+J52</f>
        <v>0</v>
      </c>
      <c r="G12" s="43">
        <v>0</v>
      </c>
      <c r="H12" s="240">
        <f>+N52</f>
        <v>0</v>
      </c>
      <c r="J12" s="221">
        <f>+D52</f>
        <v>1019</v>
      </c>
      <c r="K12" s="46">
        <f t="shared" si="0"/>
        <v>0.21099116781157998</v>
      </c>
      <c r="L12" s="221">
        <f>+H52</f>
        <v>1234</v>
      </c>
      <c r="M12" s="46">
        <f>+(-L12+N12)/ABS(L12)</f>
        <v>3.8897893030794169E-2</v>
      </c>
      <c r="N12" s="221">
        <f>+L52</f>
        <v>1282</v>
      </c>
      <c r="O12" s="46">
        <f t="shared" si="1"/>
        <v>0.17082683307332294</v>
      </c>
      <c r="P12" s="221">
        <f>+P52</f>
        <v>1501</v>
      </c>
    </row>
    <row r="13" spans="1:22">
      <c r="B13" s="12">
        <f>SUM(B10:B12)</f>
        <v>27457</v>
      </c>
      <c r="C13" s="43">
        <v>0</v>
      </c>
      <c r="D13" s="12">
        <f>SUM(D10:D12)</f>
        <v>0</v>
      </c>
      <c r="E13" s="43">
        <v>0</v>
      </c>
      <c r="F13" s="12">
        <f>SUM(F10:F12)</f>
        <v>0</v>
      </c>
      <c r="G13" s="43">
        <v>0</v>
      </c>
      <c r="H13" s="12">
        <f>SUM(H10:H12)</f>
        <v>0</v>
      </c>
      <c r="J13" s="12">
        <f>SUM(J10:J12)</f>
        <v>22693</v>
      </c>
      <c r="K13" s="46">
        <f t="shared" si="0"/>
        <v>-2.0050235755519324E-2</v>
      </c>
      <c r="L13" s="12">
        <f>SUM(L10:L12)</f>
        <v>22238</v>
      </c>
      <c r="M13" s="46">
        <f>+(-L13+N13)/ABS(L13)</f>
        <v>9.0205953772821298E-2</v>
      </c>
      <c r="N13" s="12">
        <f>SUM(N10:N12)</f>
        <v>24244</v>
      </c>
      <c r="O13" s="46">
        <f t="shared" si="1"/>
        <v>5.7292525985810923E-2</v>
      </c>
      <c r="P13" s="12">
        <f>SUM(P10:P12)</f>
        <v>25633</v>
      </c>
    </row>
    <row r="14" spans="1:22">
      <c r="A14" t="s">
        <v>333</v>
      </c>
      <c r="B14" s="240">
        <f>+B54</f>
        <v>9329</v>
      </c>
      <c r="C14" s="43">
        <v>0</v>
      </c>
      <c r="D14" s="240">
        <f>+F54</f>
        <v>0</v>
      </c>
      <c r="E14" s="43">
        <v>0</v>
      </c>
      <c r="F14" s="240">
        <f>+J54</f>
        <v>0</v>
      </c>
      <c r="G14" s="43">
        <v>0</v>
      </c>
      <c r="H14" s="240">
        <f>+N54</f>
        <v>0</v>
      </c>
      <c r="J14" s="240">
        <f>+D54</f>
        <v>7168</v>
      </c>
      <c r="K14" s="46">
        <f t="shared" si="0"/>
        <v>-8.1612723214285712E-2</v>
      </c>
      <c r="L14" s="240">
        <f>+H54</f>
        <v>6583</v>
      </c>
      <c r="M14" s="46">
        <f>+(-L14+N14)/ABS(L14)</f>
        <v>0.15418502202643172</v>
      </c>
      <c r="N14" s="240">
        <f>+L54</f>
        <v>7598</v>
      </c>
      <c r="O14" s="46">
        <f t="shared" si="1"/>
        <v>8.8707554619636753E-2</v>
      </c>
      <c r="P14" s="240">
        <f>+P54</f>
        <v>8272</v>
      </c>
    </row>
    <row r="15" spans="1:22">
      <c r="B15" s="12">
        <f>+B13-B14</f>
        <v>18128</v>
      </c>
      <c r="C15" s="43">
        <v>0</v>
      </c>
      <c r="D15" s="12">
        <f>+D13-D14</f>
        <v>0</v>
      </c>
      <c r="E15" s="43">
        <v>0</v>
      </c>
      <c r="F15" s="12">
        <f>+F13-F14</f>
        <v>0</v>
      </c>
      <c r="G15" s="43">
        <v>0</v>
      </c>
      <c r="H15" s="12">
        <f>+H13-H14</f>
        <v>0</v>
      </c>
      <c r="J15" s="12">
        <f>+J13-J14</f>
        <v>15525</v>
      </c>
      <c r="K15" s="46">
        <f t="shared" si="0"/>
        <v>8.3735909822866342E-3</v>
      </c>
      <c r="L15" s="12">
        <f>+L13-L14</f>
        <v>15655</v>
      </c>
      <c r="M15" s="46">
        <f>+(-L15+N15)/ABS(L15)</f>
        <v>6.3302459278185882E-2</v>
      </c>
      <c r="N15" s="12">
        <f>+N13-N14</f>
        <v>16646</v>
      </c>
      <c r="O15" s="46">
        <f t="shared" si="1"/>
        <v>4.2953262044935721E-2</v>
      </c>
      <c r="P15" s="12">
        <f>+P13-P14</f>
        <v>17361</v>
      </c>
    </row>
    <row r="16" spans="1:22" ht="9" customHeight="1">
      <c r="B16" s="12"/>
      <c r="C16" s="44" t="s">
        <v>0</v>
      </c>
      <c r="E16" s="44" t="s">
        <v>0</v>
      </c>
      <c r="G16" s="44" t="s">
        <v>0</v>
      </c>
      <c r="J16" s="12"/>
      <c r="K16" s="46"/>
      <c r="L16" s="12"/>
      <c r="M16" s="46"/>
      <c r="N16" s="12"/>
      <c r="O16" s="46"/>
      <c r="P16" s="12"/>
    </row>
    <row r="17" spans="1:16">
      <c r="A17" t="s">
        <v>334</v>
      </c>
      <c r="B17" s="12"/>
      <c r="C17" s="44" t="s">
        <v>0</v>
      </c>
      <c r="E17" s="44" t="s">
        <v>0</v>
      </c>
      <c r="G17" s="44" t="s">
        <v>0</v>
      </c>
      <c r="J17" s="12"/>
      <c r="K17" s="46"/>
      <c r="L17" s="12"/>
      <c r="M17" s="46"/>
      <c r="N17" s="12"/>
      <c r="O17" s="47" t="s">
        <v>0</v>
      </c>
      <c r="P17" s="12"/>
    </row>
    <row r="18" spans="1:16">
      <c r="A18" t="s">
        <v>335</v>
      </c>
      <c r="B18" s="12">
        <f>+B58</f>
        <v>2592</v>
      </c>
      <c r="C18" s="43">
        <v>0</v>
      </c>
      <c r="D18" s="12">
        <f>+F58</f>
        <v>0</v>
      </c>
      <c r="E18" s="43">
        <v>0</v>
      </c>
      <c r="F18" s="12">
        <f>+J58</f>
        <v>0</v>
      </c>
      <c r="G18" s="43">
        <v>0</v>
      </c>
      <c r="H18" s="12">
        <f>+N58</f>
        <v>0</v>
      </c>
      <c r="J18" s="12">
        <f>+D58</f>
        <v>1026</v>
      </c>
      <c r="K18" s="46">
        <f>+(-J18+L18)/ABS(J18)</f>
        <v>-0.48830409356725146</v>
      </c>
      <c r="L18" s="12">
        <f>+H58</f>
        <v>525</v>
      </c>
      <c r="M18" s="46">
        <f>+(-L18+N18)/ABS(L18)</f>
        <v>3.657142857142857</v>
      </c>
      <c r="N18" s="12">
        <f>+L58</f>
        <v>2445</v>
      </c>
      <c r="O18" s="46">
        <f>+(-N18+P18)/ABS(N18)</f>
        <v>-9.979550102249489E-2</v>
      </c>
      <c r="P18" s="12">
        <f>+P58</f>
        <v>2201</v>
      </c>
    </row>
    <row r="19" spans="1:16">
      <c r="A19" t="s">
        <v>336</v>
      </c>
      <c r="B19" s="12">
        <f>+B59</f>
        <v>704</v>
      </c>
      <c r="C19" s="43">
        <v>0</v>
      </c>
      <c r="D19" s="12">
        <f>+F59</f>
        <v>0</v>
      </c>
      <c r="E19" s="43">
        <v>0</v>
      </c>
      <c r="F19" s="12">
        <f>+J59</f>
        <v>0</v>
      </c>
      <c r="G19" s="43">
        <v>0</v>
      </c>
      <c r="H19" s="12">
        <f>+N59</f>
        <v>0</v>
      </c>
      <c r="J19" s="12">
        <f>+D59</f>
        <v>1861</v>
      </c>
      <c r="K19" s="46">
        <f>+(-J19+L19)/ABS(J19)</f>
        <v>-0.3401397098334229</v>
      </c>
      <c r="L19" s="12">
        <f>+H59</f>
        <v>1228</v>
      </c>
      <c r="M19" s="46">
        <f>+(-L19+N19)/ABS(L19)</f>
        <v>0.3973941368078176</v>
      </c>
      <c r="N19" s="12">
        <f>+L59</f>
        <v>1716</v>
      </c>
      <c r="O19" s="46">
        <f>+(-N19+P19)/ABS(N19)</f>
        <v>0.53321678321678323</v>
      </c>
      <c r="P19" s="12">
        <f>+P59</f>
        <v>2631</v>
      </c>
    </row>
    <row r="20" spans="1:16">
      <c r="A20" t="s">
        <v>284</v>
      </c>
      <c r="B20" s="240">
        <f>+B60</f>
        <v>2970</v>
      </c>
      <c r="C20" s="43">
        <v>0</v>
      </c>
      <c r="D20" s="240">
        <f>+F60</f>
        <v>0</v>
      </c>
      <c r="E20" s="43">
        <v>0</v>
      </c>
      <c r="F20" s="240">
        <f>+J60</f>
        <v>0</v>
      </c>
      <c r="G20" s="43">
        <v>0</v>
      </c>
      <c r="H20" s="240">
        <f>+N60</f>
        <v>0</v>
      </c>
      <c r="J20" s="240">
        <f>+D60</f>
        <v>-144</v>
      </c>
      <c r="K20" s="46">
        <f>+(-J20+L20)/ABS(J20)</f>
        <v>16.611111111111111</v>
      </c>
      <c r="L20" s="240">
        <f>+H60</f>
        <v>2248</v>
      </c>
      <c r="M20" s="46">
        <f>+(-L20+N20)/ABS(L20)</f>
        <v>-0.65569395017793597</v>
      </c>
      <c r="N20" s="240">
        <f>+L60</f>
        <v>774</v>
      </c>
      <c r="O20" s="46">
        <f>+(-N20+P20)/ABS(N20)</f>
        <v>4.0051679586563305E-2</v>
      </c>
      <c r="P20" s="240">
        <f>+P60</f>
        <v>805</v>
      </c>
    </row>
    <row r="21" spans="1:16">
      <c r="B21" s="12">
        <f>SUM(B18:B20)</f>
        <v>6266</v>
      </c>
      <c r="C21" s="43">
        <v>0</v>
      </c>
      <c r="D21" s="12">
        <f>SUM(D18:D20)</f>
        <v>0</v>
      </c>
      <c r="E21" s="43">
        <v>0</v>
      </c>
      <c r="F21" s="12">
        <f>SUM(F18:F20)</f>
        <v>0</v>
      </c>
      <c r="G21" s="43">
        <v>0</v>
      </c>
      <c r="H21" s="12">
        <f>SUM(H18:H20)</f>
        <v>0</v>
      </c>
      <c r="J21" s="12">
        <f>SUM(J18:J20)</f>
        <v>2743</v>
      </c>
      <c r="K21" s="46">
        <f>+(-J21+L21)/ABS(J21)</f>
        <v>0.45862194677360552</v>
      </c>
      <c r="L21" s="12">
        <f>SUM(L18:L20)</f>
        <v>4001</v>
      </c>
      <c r="M21" s="46">
        <f>+(-L21+N21)/ABS(L21)</f>
        <v>0.23344163959010247</v>
      </c>
      <c r="N21" s="12">
        <f>SUM(N18:N20)</f>
        <v>4935</v>
      </c>
      <c r="O21" s="46">
        <f>+(-N21+P21)/ABS(N21)</f>
        <v>0.14224924012158055</v>
      </c>
      <c r="P21" s="12">
        <f>SUM(P18:P20)</f>
        <v>5637</v>
      </c>
    </row>
    <row r="22" spans="1:16">
      <c r="B22" s="240"/>
      <c r="C22" s="44" t="s">
        <v>0</v>
      </c>
      <c r="D22" s="240"/>
      <c r="E22" s="44" t="s">
        <v>0</v>
      </c>
      <c r="F22" s="379"/>
      <c r="G22" s="44" t="s">
        <v>0</v>
      </c>
      <c r="H22" s="379"/>
      <c r="J22" s="240"/>
      <c r="K22" s="46"/>
      <c r="L22" s="240"/>
      <c r="M22" s="46"/>
      <c r="N22" s="240"/>
      <c r="O22" s="46"/>
      <c r="P22" s="240"/>
    </row>
    <row r="23" spans="1:16">
      <c r="A23" t="s">
        <v>337</v>
      </c>
      <c r="B23" s="12">
        <f>+B15+B21</f>
        <v>24394</v>
      </c>
      <c r="C23" s="43">
        <v>0</v>
      </c>
      <c r="D23" s="12">
        <f>+D15+D21</f>
        <v>0</v>
      </c>
      <c r="E23" s="43">
        <v>0</v>
      </c>
      <c r="F23" s="12">
        <f>+F15+F21</f>
        <v>0</v>
      </c>
      <c r="G23" s="43">
        <v>0</v>
      </c>
      <c r="H23" s="12">
        <f>+H15+H21</f>
        <v>0</v>
      </c>
      <c r="J23" s="12">
        <f>+J15+J21</f>
        <v>18268</v>
      </c>
      <c r="K23" s="46">
        <f>+(-J23+L23)/ABS(J23)</f>
        <v>7.5979855485001094E-2</v>
      </c>
      <c r="L23" s="12">
        <f>+L15+L21</f>
        <v>19656</v>
      </c>
      <c r="M23" s="46">
        <f>+(-L23+N23)/ABS(L23)</f>
        <v>9.7934472934472938E-2</v>
      </c>
      <c r="N23" s="12">
        <f>+N15+N21</f>
        <v>21581</v>
      </c>
      <c r="O23" s="46">
        <f>+(-N23+P23)/ABS(N23)</f>
        <v>6.5659607988508409E-2</v>
      </c>
      <c r="P23" s="12">
        <f>+P15+P21</f>
        <v>22998</v>
      </c>
    </row>
    <row r="24" spans="1:16">
      <c r="B24" s="12"/>
      <c r="C24" s="44" t="s">
        <v>0</v>
      </c>
      <c r="D24" s="12"/>
      <c r="E24" s="44" t="s">
        <v>0</v>
      </c>
      <c r="G24" s="44" t="s">
        <v>0</v>
      </c>
      <c r="J24" s="12"/>
      <c r="K24" s="46"/>
      <c r="L24" s="12"/>
      <c r="M24" s="46"/>
      <c r="N24" s="12"/>
      <c r="O24" s="46"/>
      <c r="P24" s="12"/>
    </row>
    <row r="25" spans="1:16">
      <c r="A25" t="s">
        <v>618</v>
      </c>
      <c r="B25" s="12">
        <f>+B65</f>
        <v>750</v>
      </c>
      <c r="C25" s="43">
        <v>0</v>
      </c>
      <c r="D25" s="12">
        <f>+F65</f>
        <v>0</v>
      </c>
      <c r="E25" s="43">
        <v>0</v>
      </c>
      <c r="F25" s="12">
        <f>+J65</f>
        <v>0</v>
      </c>
      <c r="G25" s="43">
        <v>0</v>
      </c>
      <c r="H25" s="12">
        <f>+N65</f>
        <v>0</v>
      </c>
      <c r="J25" s="12">
        <f>+D65</f>
        <v>300</v>
      </c>
      <c r="K25" s="43">
        <v>0</v>
      </c>
      <c r="L25" s="12">
        <f>+H65</f>
        <v>300</v>
      </c>
      <c r="M25" s="46">
        <f>+(-L25+N25)/ABS(L25)</f>
        <v>3.6666666666666665</v>
      </c>
      <c r="N25" s="12">
        <f>+L65</f>
        <v>1400</v>
      </c>
      <c r="O25" s="46">
        <f>+(-N25+P25)/ABS(N25)</f>
        <v>-1</v>
      </c>
      <c r="P25" s="12">
        <f>+P65</f>
        <v>0</v>
      </c>
    </row>
    <row r="26" spans="1:16">
      <c r="B26" s="12"/>
      <c r="C26" s="44" t="s">
        <v>0</v>
      </c>
      <c r="D26" s="12"/>
      <c r="E26" s="44" t="s">
        <v>0</v>
      </c>
      <c r="G26" s="44" t="s">
        <v>0</v>
      </c>
      <c r="J26" s="12"/>
      <c r="K26" s="46"/>
      <c r="L26" s="12"/>
      <c r="M26" s="46"/>
      <c r="N26" s="12"/>
      <c r="O26" s="46"/>
      <c r="P26" s="12"/>
    </row>
    <row r="27" spans="1:16">
      <c r="A27" t="s">
        <v>339</v>
      </c>
      <c r="B27" s="240"/>
      <c r="C27" s="44" t="s">
        <v>0</v>
      </c>
      <c r="D27" s="240"/>
      <c r="E27" s="44" t="s">
        <v>0</v>
      </c>
      <c r="F27" s="379"/>
      <c r="G27" s="44" t="s">
        <v>0</v>
      </c>
      <c r="H27" s="379"/>
      <c r="J27" s="240"/>
      <c r="K27" s="46"/>
      <c r="L27" s="240"/>
      <c r="M27" s="46"/>
      <c r="N27" s="240"/>
      <c r="O27" s="46"/>
      <c r="P27" s="240"/>
    </row>
    <row r="28" spans="1:16">
      <c r="A28" t="s">
        <v>340</v>
      </c>
      <c r="B28" s="12">
        <f>+B23-B25</f>
        <v>23644</v>
      </c>
      <c r="C28" s="43">
        <v>0</v>
      </c>
      <c r="D28" s="12">
        <f>+D23-D25</f>
        <v>0</v>
      </c>
      <c r="E28" s="43">
        <v>0</v>
      </c>
      <c r="F28" s="12">
        <f>+F23-F25</f>
        <v>0</v>
      </c>
      <c r="G28" s="43">
        <v>0</v>
      </c>
      <c r="H28" s="12">
        <f>+H23-H25</f>
        <v>0</v>
      </c>
      <c r="J28" s="12">
        <f>+J23-J25</f>
        <v>17968</v>
      </c>
      <c r="K28" s="46">
        <f>+(-J28+L28)/ABS(J28)</f>
        <v>7.7248441674087273E-2</v>
      </c>
      <c r="L28" s="12">
        <f>+L23-L25</f>
        <v>19356</v>
      </c>
      <c r="M28" s="46">
        <f>+(-L28+N28)/ABS(L28)</f>
        <v>4.2622442653440791E-2</v>
      </c>
      <c r="N28" s="12">
        <f>+N23-N25</f>
        <v>20181</v>
      </c>
      <c r="O28" s="46">
        <f>+(-N28+P28)/ABS(N28)</f>
        <v>0.13958674000297308</v>
      </c>
      <c r="P28" s="12">
        <f>+P23-P25</f>
        <v>22998</v>
      </c>
    </row>
    <row r="29" spans="1:16">
      <c r="B29" s="12"/>
      <c r="C29" s="44" t="s">
        <v>0</v>
      </c>
      <c r="D29" s="12"/>
      <c r="E29" s="44" t="s">
        <v>0</v>
      </c>
      <c r="G29" s="44" t="s">
        <v>0</v>
      </c>
      <c r="J29" s="12"/>
      <c r="K29" s="46"/>
      <c r="L29" s="12"/>
      <c r="M29" s="46"/>
      <c r="N29" s="12"/>
      <c r="O29" s="46"/>
      <c r="P29" s="12"/>
    </row>
    <row r="30" spans="1:16">
      <c r="A30" t="s">
        <v>341</v>
      </c>
      <c r="B30" s="12"/>
      <c r="C30" s="44" t="s">
        <v>0</v>
      </c>
      <c r="D30" s="12"/>
      <c r="E30" s="44" t="s">
        <v>0</v>
      </c>
      <c r="G30" s="44" t="s">
        <v>0</v>
      </c>
      <c r="J30" s="12"/>
      <c r="K30" s="46"/>
      <c r="L30" s="12"/>
      <c r="M30" s="46"/>
      <c r="N30" s="12"/>
      <c r="O30" s="46"/>
      <c r="P30" s="12"/>
    </row>
    <row r="31" spans="1:16">
      <c r="A31" t="s">
        <v>342</v>
      </c>
      <c r="B31" s="12">
        <f>+B71</f>
        <v>7604</v>
      </c>
      <c r="C31" s="43">
        <v>0</v>
      </c>
      <c r="D31" s="12">
        <f>+F71</f>
        <v>0</v>
      </c>
      <c r="E31" s="43">
        <v>0</v>
      </c>
      <c r="F31" s="12">
        <f>+J71</f>
        <v>0</v>
      </c>
      <c r="G31" s="43">
        <v>0</v>
      </c>
      <c r="H31" s="12">
        <f>+N71</f>
        <v>0</v>
      </c>
      <c r="J31" s="12">
        <f>+D71</f>
        <v>5497</v>
      </c>
      <c r="K31" s="46">
        <f>+(-J31+L31)/ABS(J31)</f>
        <v>3.3836638166272512E-2</v>
      </c>
      <c r="L31" s="12">
        <f>+H71</f>
        <v>5683</v>
      </c>
      <c r="M31" s="46">
        <f>+(-L31+N31)/ABS(L31)</f>
        <v>9.3260601794826675E-2</v>
      </c>
      <c r="N31" s="12">
        <f>+L71</f>
        <v>6213</v>
      </c>
      <c r="O31" s="46">
        <f>+(-N31+P31)/ABS(N31)</f>
        <v>0.16755190729116368</v>
      </c>
      <c r="P31" s="12">
        <f>+P71</f>
        <v>7254</v>
      </c>
    </row>
    <row r="32" spans="1:16">
      <c r="A32" t="s">
        <v>343</v>
      </c>
      <c r="B32" s="12">
        <f>+B72</f>
        <v>1083</v>
      </c>
      <c r="C32" s="43">
        <v>0</v>
      </c>
      <c r="D32" s="12">
        <f>+F72</f>
        <v>0</v>
      </c>
      <c r="E32" s="43">
        <v>0</v>
      </c>
      <c r="F32" s="12">
        <f>+J72</f>
        <v>0</v>
      </c>
      <c r="G32" s="43">
        <v>0</v>
      </c>
      <c r="H32" s="12">
        <f>+N72</f>
        <v>0</v>
      </c>
      <c r="J32" s="12">
        <f>+D72</f>
        <v>607</v>
      </c>
      <c r="K32" s="46">
        <f>+(-J32+L32)/ABS(J32)</f>
        <v>1.5584843492586491</v>
      </c>
      <c r="L32" s="12">
        <f>+H72</f>
        <v>1553</v>
      </c>
      <c r="M32" s="46">
        <f>+(-L32+N32)/ABS(L32)</f>
        <v>-0.41596909207984545</v>
      </c>
      <c r="N32" s="12">
        <f>+L72</f>
        <v>907</v>
      </c>
      <c r="O32" s="46">
        <f>+(-N32+P32)/ABS(N32)</f>
        <v>0.45644983461962513</v>
      </c>
      <c r="P32" s="12">
        <f>+P72</f>
        <v>1321</v>
      </c>
    </row>
    <row r="33" spans="1:22">
      <c r="A33" t="s">
        <v>344</v>
      </c>
      <c r="B33" s="12">
        <f>+B73</f>
        <v>3071</v>
      </c>
      <c r="C33" s="43">
        <v>0</v>
      </c>
      <c r="D33" s="12">
        <f>+F73</f>
        <v>0</v>
      </c>
      <c r="E33" s="43">
        <v>0</v>
      </c>
      <c r="F33" s="12">
        <f>+J73</f>
        <v>0</v>
      </c>
      <c r="G33" s="43">
        <v>0</v>
      </c>
      <c r="H33" s="12">
        <f>+N73</f>
        <v>0</v>
      </c>
      <c r="J33" s="12">
        <f>+D73</f>
        <v>2454</v>
      </c>
      <c r="K33" s="46">
        <f>+(-J33+L33)/ABS(J33)</f>
        <v>-2.0782396088019559E-2</v>
      </c>
      <c r="L33" s="12">
        <f>+H73</f>
        <v>2403</v>
      </c>
      <c r="M33" s="46">
        <f>+(-L33+N33)/ABS(L33)</f>
        <v>6.2421972534332085E-2</v>
      </c>
      <c r="N33" s="12">
        <f>+L73</f>
        <v>2553</v>
      </c>
      <c r="O33" s="46">
        <f>+(-N33+P33)/ABS(N33)</f>
        <v>0.36936936936936937</v>
      </c>
      <c r="P33" s="12">
        <f>+P73</f>
        <v>3496</v>
      </c>
    </row>
    <row r="34" spans="1:22">
      <c r="A34" t="s">
        <v>345</v>
      </c>
      <c r="B34" s="240">
        <f>+B74</f>
        <v>7574</v>
      </c>
      <c r="C34" s="43">
        <v>0</v>
      </c>
      <c r="D34" s="240">
        <f>+F74</f>
        <v>0</v>
      </c>
      <c r="E34" s="43">
        <v>0</v>
      </c>
      <c r="F34" s="240">
        <f>+J74</f>
        <v>0</v>
      </c>
      <c r="G34" s="43">
        <v>0</v>
      </c>
      <c r="H34" s="240">
        <f>+N74</f>
        <v>0</v>
      </c>
      <c r="J34" s="240">
        <f>+D74</f>
        <v>5338</v>
      </c>
      <c r="K34" s="46">
        <f>+(-J34+L34)/ABS(J34)</f>
        <v>0.1940801798426377</v>
      </c>
      <c r="L34" s="240">
        <f>+H74</f>
        <v>6374</v>
      </c>
      <c r="M34" s="46">
        <f>+(-L34+N34)/ABS(L34)</f>
        <v>0.10872293693128333</v>
      </c>
      <c r="N34" s="240">
        <f>+L74</f>
        <v>7067</v>
      </c>
      <c r="O34" s="46">
        <f>+(-N34+P34)/ABS(N34)</f>
        <v>0.26305362954577616</v>
      </c>
      <c r="P34" s="240">
        <f>+P74</f>
        <v>8926</v>
      </c>
    </row>
    <row r="35" spans="1:22">
      <c r="B35" s="12">
        <f>SUM(B31:B34)</f>
        <v>19332</v>
      </c>
      <c r="C35" s="43">
        <v>0</v>
      </c>
      <c r="D35" s="12">
        <f>SUM(D31:D34)</f>
        <v>0</v>
      </c>
      <c r="E35" s="43">
        <v>0</v>
      </c>
      <c r="F35" s="12">
        <f>SUM(F31:F34)</f>
        <v>0</v>
      </c>
      <c r="G35" s="43">
        <v>0</v>
      </c>
      <c r="H35" s="12">
        <f>SUM(H31:H34)</f>
        <v>0</v>
      </c>
      <c r="J35" s="12">
        <f>SUM(J31:J34)</f>
        <v>13896</v>
      </c>
      <c r="K35" s="46">
        <f>+(-J35+L35)/ABS(J35)</f>
        <v>0.15234599884858951</v>
      </c>
      <c r="L35" s="12">
        <f>SUM(L31:L34)</f>
        <v>16013</v>
      </c>
      <c r="M35" s="46">
        <f>+(-L35+N35)/ABS(L35)</f>
        <v>4.5400612002747767E-2</v>
      </c>
      <c r="N35" s="12">
        <f>SUM(N31:N34)</f>
        <v>16740</v>
      </c>
      <c r="O35" s="46">
        <f>+(-N35+P35)/ABS(N35)</f>
        <v>0.25430107526881718</v>
      </c>
      <c r="P35" s="12">
        <f>SUM(P31:P34)</f>
        <v>20997</v>
      </c>
    </row>
    <row r="36" spans="1:22">
      <c r="B36" s="240"/>
      <c r="C36" s="43"/>
      <c r="D36" s="240"/>
      <c r="E36" s="43"/>
      <c r="F36" s="379"/>
      <c r="G36" s="43"/>
      <c r="H36" s="379"/>
      <c r="J36" s="240"/>
      <c r="K36" s="46"/>
      <c r="L36" s="240"/>
      <c r="M36" s="46"/>
      <c r="N36" s="240"/>
      <c r="O36" s="46"/>
      <c r="P36" s="240"/>
    </row>
    <row r="37" spans="1:22">
      <c r="A37" t="s">
        <v>346</v>
      </c>
      <c r="B37" s="12">
        <f>+B28-B35</f>
        <v>4312</v>
      </c>
      <c r="C37" s="43">
        <v>0</v>
      </c>
      <c r="D37" s="12">
        <f>+D28-D35</f>
        <v>0</v>
      </c>
      <c r="E37" s="43">
        <v>0</v>
      </c>
      <c r="F37" s="12">
        <f>+F28-F35</f>
        <v>0</v>
      </c>
      <c r="G37" s="43">
        <v>0</v>
      </c>
      <c r="H37" s="12">
        <f>+H28-H35</f>
        <v>0</v>
      </c>
      <c r="J37" s="12">
        <f>+J28-J35</f>
        <v>4072</v>
      </c>
      <c r="K37" s="46">
        <f>+(-J37+L37)/ABS(J37)</f>
        <v>-0.17902750491159136</v>
      </c>
      <c r="L37" s="12">
        <f>+L28-L35</f>
        <v>3343</v>
      </c>
      <c r="M37" s="46">
        <f>+(-L37+N37)/ABS(L37)</f>
        <v>2.9314986539036792E-2</v>
      </c>
      <c r="N37" s="12">
        <f>+N28-N35</f>
        <v>3441</v>
      </c>
      <c r="O37" s="46">
        <f>+(-N37+P37)/ABS(N37)</f>
        <v>-0.41848299912816039</v>
      </c>
      <c r="P37" s="12">
        <f>+P28-P35</f>
        <v>2001</v>
      </c>
    </row>
    <row r="38" spans="1:22">
      <c r="B38" s="12"/>
      <c r="C38" s="44" t="s">
        <v>0</v>
      </c>
      <c r="D38" s="12"/>
      <c r="E38" s="44" t="s">
        <v>0</v>
      </c>
      <c r="G38" s="44" t="s">
        <v>0</v>
      </c>
      <c r="J38" s="12"/>
      <c r="K38" s="46"/>
      <c r="L38" s="12"/>
      <c r="M38" s="46"/>
      <c r="N38" s="12"/>
      <c r="O38" s="46"/>
      <c r="P38" s="12"/>
    </row>
    <row r="39" spans="1:22">
      <c r="A39" t="s">
        <v>347</v>
      </c>
      <c r="B39" s="12">
        <f>+B79</f>
        <v>0</v>
      </c>
      <c r="C39" s="43">
        <v>0</v>
      </c>
      <c r="D39" s="12">
        <f>+F79</f>
        <v>0</v>
      </c>
      <c r="E39" s="43">
        <v>0</v>
      </c>
      <c r="F39" s="12">
        <f>+J79</f>
        <v>0</v>
      </c>
      <c r="G39" s="43">
        <v>0</v>
      </c>
      <c r="H39" s="12">
        <f>+N79</f>
        <v>0</v>
      </c>
      <c r="J39" s="12">
        <f>+D79</f>
        <v>1011</v>
      </c>
      <c r="K39" s="46">
        <f>+(-J39+L39)/ABS(J39)</f>
        <v>-0.94065281899109787</v>
      </c>
      <c r="L39" s="12">
        <f>+H79</f>
        <v>60</v>
      </c>
      <c r="M39" s="46">
        <f>+(-L39+N39)/ABS(L39)</f>
        <v>6.3666666666666663</v>
      </c>
      <c r="N39" s="12">
        <f>+L79</f>
        <v>442</v>
      </c>
      <c r="O39" s="46">
        <f>+(-N39+P39)/ABS(N39)</f>
        <v>-0.49321266968325794</v>
      </c>
      <c r="P39" s="12">
        <f>+P79</f>
        <v>224</v>
      </c>
    </row>
    <row r="40" spans="1:22" ht="16.5" thickBot="1">
      <c r="B40" s="76"/>
      <c r="C40" s="44" t="s">
        <v>0</v>
      </c>
      <c r="D40" s="76"/>
      <c r="E40" s="44" t="s">
        <v>0</v>
      </c>
      <c r="F40" s="30"/>
      <c r="G40" s="44" t="s">
        <v>0</v>
      </c>
      <c r="H40" s="30"/>
      <c r="J40" s="76"/>
      <c r="K40" s="46"/>
      <c r="L40" s="76"/>
      <c r="M40" s="46"/>
      <c r="N40" s="76"/>
      <c r="O40" s="46"/>
      <c r="P40" s="76"/>
    </row>
    <row r="41" spans="1:22" s="2" customFormat="1">
      <c r="A41" s="2" t="s">
        <v>359</v>
      </c>
      <c r="B41" s="4">
        <f>+B37-B39</f>
        <v>4312</v>
      </c>
      <c r="C41" s="42">
        <v>0</v>
      </c>
      <c r="D41" s="4">
        <f>+D37-D39</f>
        <v>0</v>
      </c>
      <c r="E41" s="42">
        <v>0</v>
      </c>
      <c r="F41" s="4">
        <f>+F37-F39</f>
        <v>0</v>
      </c>
      <c r="G41" s="42">
        <v>0</v>
      </c>
      <c r="H41" s="4">
        <f>+H37-H39</f>
        <v>0</v>
      </c>
      <c r="I41" s="146"/>
      <c r="J41" s="4">
        <f>+J37-J39</f>
        <v>3061</v>
      </c>
      <c r="K41" s="112">
        <f>+(-J41+L41)/ABS(J41)</f>
        <v>7.2525318523358376E-2</v>
      </c>
      <c r="L41" s="4">
        <f>+L37-L39</f>
        <v>3283</v>
      </c>
      <c r="M41" s="112">
        <f>+(-L41+N41)/ABS(L41)</f>
        <v>-8.6506244288760276E-2</v>
      </c>
      <c r="N41" s="4">
        <f>+N37-N39</f>
        <v>2999</v>
      </c>
      <c r="O41" s="112">
        <f>+(-N41+P41)/ABS(N41)</f>
        <v>-0.40746915638546183</v>
      </c>
      <c r="P41" s="4">
        <f>+P37-P39</f>
        <v>1777</v>
      </c>
      <c r="Q41" s="146"/>
      <c r="R41" s="146"/>
      <c r="S41" s="146"/>
      <c r="T41" s="146"/>
      <c r="U41" s="146"/>
    </row>
    <row r="42" spans="1:22" ht="5.45" customHeight="1">
      <c r="C42" s="29"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s="2" customFormat="1">
      <c r="B46" s="241" t="s">
        <v>349</v>
      </c>
      <c r="C46" s="146" t="s">
        <v>0</v>
      </c>
      <c r="D46" s="241" t="s">
        <v>350</v>
      </c>
      <c r="E46" s="146"/>
      <c r="F46" s="241" t="s">
        <v>349</v>
      </c>
      <c r="G46" s="146" t="s">
        <v>0</v>
      </c>
      <c r="H46" s="241" t="s">
        <v>350</v>
      </c>
      <c r="I46" s="146"/>
      <c r="J46" s="241" t="s">
        <v>349</v>
      </c>
      <c r="K46" s="146" t="s">
        <v>0</v>
      </c>
      <c r="L46" s="241" t="s">
        <v>350</v>
      </c>
      <c r="M46" s="146"/>
      <c r="N46" s="241" t="s">
        <v>349</v>
      </c>
      <c r="O46" s="146" t="s">
        <v>0</v>
      </c>
      <c r="P46" s="241" t="s">
        <v>350</v>
      </c>
      <c r="Q46" s="146"/>
      <c r="R46" s="993" t="s">
        <v>351</v>
      </c>
      <c r="S46" s="146"/>
      <c r="T46" s="993" t="s">
        <v>532</v>
      </c>
      <c r="U46" s="241" t="s">
        <v>263</v>
      </c>
    </row>
    <row r="47" spans="1:22" ht="16.5" thickBot="1">
      <c r="B47" s="243" t="s">
        <v>353</v>
      </c>
      <c r="C47" s="245"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190</v>
      </c>
      <c r="V47" s="18"/>
    </row>
    <row r="48" spans="1:22">
      <c r="A48" t="s">
        <v>328</v>
      </c>
      <c r="B48" s="29" t="s">
        <v>0</v>
      </c>
    </row>
    <row r="49" spans="1:24">
      <c r="A49" t="s">
        <v>329</v>
      </c>
      <c r="B49" s="16" t="s">
        <v>0</v>
      </c>
      <c r="C49" s="47" t="s">
        <v>0</v>
      </c>
      <c r="D49" s="16" t="s">
        <v>0</v>
      </c>
      <c r="E49" s="29" t="s">
        <v>0</v>
      </c>
      <c r="F49" s="29" t="s">
        <v>0</v>
      </c>
      <c r="G49" s="47" t="s">
        <v>0</v>
      </c>
      <c r="H49" s="16" t="s">
        <v>0</v>
      </c>
      <c r="I49" s="29" t="s">
        <v>0</v>
      </c>
      <c r="J49" s="29" t="s">
        <v>0</v>
      </c>
      <c r="K49" s="47" t="s">
        <v>0</v>
      </c>
      <c r="L49" s="16" t="s">
        <v>0</v>
      </c>
      <c r="M49" s="29" t="s">
        <v>0</v>
      </c>
      <c r="N49" s="29" t="s">
        <v>0</v>
      </c>
      <c r="O49" s="47" t="s">
        <v>0</v>
      </c>
      <c r="P49" s="16" t="s">
        <v>0</v>
      </c>
      <c r="Q49" s="29" t="s">
        <v>0</v>
      </c>
      <c r="R49" s="16" t="s">
        <v>0</v>
      </c>
      <c r="S49" s="47" t="s">
        <v>0</v>
      </c>
      <c r="T49" s="16" t="s">
        <v>0</v>
      </c>
      <c r="U49" s="16" t="s">
        <v>0</v>
      </c>
      <c r="V49" t="s">
        <v>0</v>
      </c>
      <c r="W49" t="s">
        <v>0</v>
      </c>
      <c r="X49" t="s">
        <v>0</v>
      </c>
    </row>
    <row r="50" spans="1:24">
      <c r="A50" t="s">
        <v>330</v>
      </c>
      <c r="B50" s="12">
        <v>22449</v>
      </c>
      <c r="C50" s="46">
        <f t="shared" ref="C50:C55" si="2">+(B50-D50)/ABS(D50)</f>
        <v>8.0941833590138679E-2</v>
      </c>
      <c r="D50" s="12">
        <f>7328+6523+6917</f>
        <v>20768</v>
      </c>
      <c r="E50" s="29"/>
      <c r="F50" s="12">
        <v>0</v>
      </c>
      <c r="G50" s="43">
        <v>0</v>
      </c>
      <c r="H50" s="12">
        <f>7027+6547+6787</f>
        <v>20361</v>
      </c>
      <c r="J50" s="12">
        <v>0</v>
      </c>
      <c r="K50" s="43">
        <v>0</v>
      </c>
      <c r="L50" s="12">
        <f>14504+7650</f>
        <v>22154</v>
      </c>
      <c r="M50" s="29"/>
      <c r="N50" s="12">
        <v>0</v>
      </c>
      <c r="O50" s="43">
        <v>0</v>
      </c>
      <c r="P50" s="12">
        <f>7846+7523+7701</f>
        <v>23070</v>
      </c>
      <c r="R50" s="12">
        <f>+B50</f>
        <v>22449</v>
      </c>
      <c r="S50" s="46">
        <f t="shared" ref="S50:S55" si="3">+(R50-T50)/ABS(T50)</f>
        <v>8.0941833590138679E-2</v>
      </c>
      <c r="T50" s="12">
        <f>+D50</f>
        <v>20768</v>
      </c>
      <c r="U50" s="12">
        <f>+D50+H50+L50+P50</f>
        <v>86353</v>
      </c>
    </row>
    <row r="51" spans="1:24">
      <c r="A51" t="s">
        <v>354</v>
      </c>
      <c r="B51" s="12">
        <v>2428</v>
      </c>
      <c r="C51" s="46">
        <f t="shared" si="2"/>
        <v>1.6799116997792494</v>
      </c>
      <c r="D51" s="12">
        <f>237+255+414</f>
        <v>906</v>
      </c>
      <c r="E51" s="29"/>
      <c r="F51" s="12">
        <v>0</v>
      </c>
      <c r="G51" s="43">
        <v>0</v>
      </c>
      <c r="H51" s="12">
        <f>239+229+175</f>
        <v>643</v>
      </c>
      <c r="J51" s="12">
        <v>0</v>
      </c>
      <c r="K51" s="43">
        <v>0</v>
      </c>
      <c r="L51" s="12">
        <f>542+266</f>
        <v>808</v>
      </c>
      <c r="M51" s="29"/>
      <c r="N51" s="12">
        <v>0</v>
      </c>
      <c r="O51" s="43">
        <v>0</v>
      </c>
      <c r="P51" s="12">
        <f>398+365+299</f>
        <v>1062</v>
      </c>
      <c r="R51" s="12">
        <f>+B51</f>
        <v>2428</v>
      </c>
      <c r="S51" s="46">
        <f t="shared" si="3"/>
        <v>1.6799116997792494</v>
      </c>
      <c r="T51" s="12">
        <f>+D51</f>
        <v>906</v>
      </c>
      <c r="U51" s="12">
        <f>+D51+H51+L51+P51</f>
        <v>3419</v>
      </c>
    </row>
    <row r="52" spans="1:24">
      <c r="A52" t="s">
        <v>332</v>
      </c>
      <c r="B52" s="221">
        <v>2580</v>
      </c>
      <c r="C52" s="46">
        <f t="shared" si="2"/>
        <v>1.5318940137389598</v>
      </c>
      <c r="D52" s="221">
        <f>371+333+315</f>
        <v>1019</v>
      </c>
      <c r="E52" s="29"/>
      <c r="F52" s="221">
        <v>0</v>
      </c>
      <c r="G52" s="43">
        <v>0</v>
      </c>
      <c r="H52" s="221">
        <f>532+406+296</f>
        <v>1234</v>
      </c>
      <c r="J52" s="221">
        <v>0</v>
      </c>
      <c r="K52" s="43">
        <v>0</v>
      </c>
      <c r="L52" s="221">
        <f>752+530</f>
        <v>1282</v>
      </c>
      <c r="M52" s="29"/>
      <c r="N52" s="221">
        <v>0</v>
      </c>
      <c r="O52" s="43">
        <v>0</v>
      </c>
      <c r="P52" s="221">
        <f>322+667+512</f>
        <v>1501</v>
      </c>
      <c r="R52" s="240">
        <f>+B52</f>
        <v>2580</v>
      </c>
      <c r="S52" s="46">
        <f t="shared" si="3"/>
        <v>1.5318940137389598</v>
      </c>
      <c r="T52" s="240">
        <f>+D52</f>
        <v>1019</v>
      </c>
      <c r="U52" s="240">
        <f>+D52+H52+L52+P52</f>
        <v>5036</v>
      </c>
    </row>
    <row r="53" spans="1:24">
      <c r="B53" s="12">
        <f>SUM(B50:B52)</f>
        <v>27457</v>
      </c>
      <c r="C53" s="46">
        <f t="shared" si="2"/>
        <v>0.20993257832811879</v>
      </c>
      <c r="D53" s="12">
        <f>SUM(D50:D52)</f>
        <v>22693</v>
      </c>
      <c r="E53" s="29"/>
      <c r="F53" s="12">
        <f>SUM(F50:F52)</f>
        <v>0</v>
      </c>
      <c r="G53" s="43">
        <v>0</v>
      </c>
      <c r="H53" s="12">
        <f>SUM(H50:H52)</f>
        <v>22238</v>
      </c>
      <c r="J53" s="12">
        <f>SUM(J50:J52)</f>
        <v>0</v>
      </c>
      <c r="K53" s="43">
        <v>0</v>
      </c>
      <c r="L53" s="12">
        <f>SUM(L50:L52)</f>
        <v>24244</v>
      </c>
      <c r="M53" s="29"/>
      <c r="N53" s="12">
        <f>SUM(N50:N52)</f>
        <v>0</v>
      </c>
      <c r="O53" s="43">
        <v>0</v>
      </c>
      <c r="P53" s="12">
        <f>SUM(P50:P52)</f>
        <v>25633</v>
      </c>
      <c r="R53" s="12">
        <f>SUM(R50:R52)</f>
        <v>27457</v>
      </c>
      <c r="S53" s="46">
        <f t="shared" si="3"/>
        <v>0.20993257832811879</v>
      </c>
      <c r="T53" s="12">
        <f>SUM(T50:T52)</f>
        <v>22693</v>
      </c>
      <c r="U53" s="12">
        <f>SUM(U50:U52)</f>
        <v>94808</v>
      </c>
    </row>
    <row r="54" spans="1:24">
      <c r="A54" t="s">
        <v>333</v>
      </c>
      <c r="B54" s="240">
        <v>9329</v>
      </c>
      <c r="C54" s="46">
        <f t="shared" si="2"/>
        <v>0.30147879464285715</v>
      </c>
      <c r="D54" s="240">
        <f>2589+2258+2321</f>
        <v>7168</v>
      </c>
      <c r="E54" s="29" t="s">
        <v>0</v>
      </c>
      <c r="F54" s="240">
        <v>0</v>
      </c>
      <c r="G54" s="43">
        <v>0</v>
      </c>
      <c r="H54" s="240">
        <f>2125+2000+2458</f>
        <v>6583</v>
      </c>
      <c r="J54" s="240">
        <v>0</v>
      </c>
      <c r="K54" s="43">
        <v>0</v>
      </c>
      <c r="L54" s="240">
        <f>4966+2632</f>
        <v>7598</v>
      </c>
      <c r="M54" s="29" t="s">
        <v>0</v>
      </c>
      <c r="N54" s="240">
        <v>0</v>
      </c>
      <c r="O54" s="43">
        <v>0</v>
      </c>
      <c r="P54" s="240">
        <f>2892+2670+2710</f>
        <v>8272</v>
      </c>
      <c r="R54" s="240">
        <f>+B54</f>
        <v>9329</v>
      </c>
      <c r="S54" s="46">
        <f t="shared" si="3"/>
        <v>0.30147879464285715</v>
      </c>
      <c r="T54" s="240">
        <f>+D54</f>
        <v>7168</v>
      </c>
      <c r="U54" s="240">
        <f>+D54+H54+L54+P54</f>
        <v>29621</v>
      </c>
    </row>
    <row r="55" spans="1:24">
      <c r="B55" s="12">
        <f>+B53-B54</f>
        <v>18128</v>
      </c>
      <c r="C55" s="46">
        <f t="shared" si="2"/>
        <v>0.16766505636070853</v>
      </c>
      <c r="D55" s="12">
        <f>+D53-D54</f>
        <v>15525</v>
      </c>
      <c r="E55" s="29" t="s">
        <v>0</v>
      </c>
      <c r="F55" s="12">
        <f>+F53-F54</f>
        <v>0</v>
      </c>
      <c r="G55" s="43">
        <v>0</v>
      </c>
      <c r="H55" s="12">
        <f>+H53-H54</f>
        <v>15655</v>
      </c>
      <c r="J55" s="12">
        <f>+J53-J54</f>
        <v>0</v>
      </c>
      <c r="K55" s="43">
        <v>0</v>
      </c>
      <c r="L55" s="12">
        <f>+L53-L54</f>
        <v>16646</v>
      </c>
      <c r="M55" s="29" t="s">
        <v>0</v>
      </c>
      <c r="N55" s="12">
        <f>+N53-N54</f>
        <v>0</v>
      </c>
      <c r="O55" s="43">
        <v>0</v>
      </c>
      <c r="P55" s="12">
        <f>+P53-P54</f>
        <v>17361</v>
      </c>
      <c r="R55" s="12">
        <f>+R53-R54</f>
        <v>18128</v>
      </c>
      <c r="S55" s="46">
        <f t="shared" si="3"/>
        <v>0.16766505636070853</v>
      </c>
      <c r="T55" s="12">
        <f>+T53-T54</f>
        <v>15525</v>
      </c>
      <c r="U55" s="12">
        <f>+U53-U54</f>
        <v>65187</v>
      </c>
    </row>
    <row r="56" spans="1:24">
      <c r="B56" s="12"/>
      <c r="C56" s="47" t="s">
        <v>0</v>
      </c>
      <c r="D56" s="12"/>
      <c r="E56" s="29" t="s">
        <v>0</v>
      </c>
      <c r="G56" s="44" t="s">
        <v>0</v>
      </c>
      <c r="K56" s="44" t="s">
        <v>0</v>
      </c>
      <c r="M56" s="29" t="s">
        <v>0</v>
      </c>
      <c r="O56" s="44" t="s">
        <v>0</v>
      </c>
      <c r="R56" s="12"/>
      <c r="S56" s="46"/>
      <c r="T56" s="12"/>
      <c r="U56" s="12"/>
    </row>
    <row r="57" spans="1:24">
      <c r="A57" t="s">
        <v>334</v>
      </c>
      <c r="B57" s="12"/>
      <c r="C57" s="47" t="s">
        <v>0</v>
      </c>
      <c r="D57" s="12"/>
      <c r="E57" s="29" t="s">
        <v>0</v>
      </c>
      <c r="G57" s="44" t="s">
        <v>0</v>
      </c>
      <c r="K57" s="44" t="s">
        <v>0</v>
      </c>
      <c r="M57" s="29" t="s">
        <v>0</v>
      </c>
      <c r="O57" s="44" t="s">
        <v>0</v>
      </c>
      <c r="R57" s="12"/>
      <c r="S57" s="47" t="s">
        <v>0</v>
      </c>
      <c r="T57" s="12"/>
      <c r="U57" s="12"/>
    </row>
    <row r="58" spans="1:24">
      <c r="A58" t="s">
        <v>335</v>
      </c>
      <c r="B58" s="12">
        <v>2592</v>
      </c>
      <c r="C58" s="46">
        <f>+(B58-D58)/ABS(D58)</f>
        <v>1.5263157894736843</v>
      </c>
      <c r="D58" s="12">
        <f>352+386+288</f>
        <v>1026</v>
      </c>
      <c r="E58" s="29" t="s">
        <v>0</v>
      </c>
      <c r="F58" s="12">
        <v>0</v>
      </c>
      <c r="G58" s="43">
        <v>0</v>
      </c>
      <c r="H58" s="12">
        <f>143+73+309</f>
        <v>525</v>
      </c>
      <c r="J58" s="12">
        <v>0</v>
      </c>
      <c r="K58" s="43">
        <v>0</v>
      </c>
      <c r="L58" s="12">
        <f>971+1474</f>
        <v>2445</v>
      </c>
      <c r="M58" s="29" t="s">
        <v>0</v>
      </c>
      <c r="N58" s="12">
        <v>0</v>
      </c>
      <c r="O58" s="43">
        <v>0</v>
      </c>
      <c r="P58" s="12">
        <f>633+592+976</f>
        <v>2201</v>
      </c>
      <c r="R58" s="12">
        <f>+B58</f>
        <v>2592</v>
      </c>
      <c r="S58" s="46">
        <f>+(R58-T58)/ABS(T58)</f>
        <v>1.5263157894736843</v>
      </c>
      <c r="T58" s="12">
        <f>+D58</f>
        <v>1026</v>
      </c>
      <c r="U58" s="12">
        <f>+D58+H58+L58+P58</f>
        <v>6197</v>
      </c>
    </row>
    <row r="59" spans="1:24">
      <c r="A59" t="s">
        <v>336</v>
      </c>
      <c r="B59" s="12">
        <v>704</v>
      </c>
      <c r="C59" s="46">
        <f>+(B59-D59)/ABS(D59)</f>
        <v>-0.6217087587318646</v>
      </c>
      <c r="D59" s="12">
        <f>535+566+760</f>
        <v>1861</v>
      </c>
      <c r="E59" s="29" t="s">
        <v>0</v>
      </c>
      <c r="F59" s="12">
        <v>0</v>
      </c>
      <c r="G59" s="43">
        <v>0</v>
      </c>
      <c r="H59" s="12">
        <f>478+247+503</f>
        <v>1228</v>
      </c>
      <c r="J59" s="12">
        <v>0</v>
      </c>
      <c r="K59" s="43">
        <v>0</v>
      </c>
      <c r="L59" s="12">
        <f>1002+714</f>
        <v>1716</v>
      </c>
      <c r="M59" s="29" t="s">
        <v>0</v>
      </c>
      <c r="N59" s="12">
        <v>0</v>
      </c>
      <c r="O59" s="43">
        <v>0</v>
      </c>
      <c r="P59" s="12">
        <f>880+805+946</f>
        <v>2631</v>
      </c>
      <c r="R59" s="12">
        <f>+B59</f>
        <v>704</v>
      </c>
      <c r="S59" s="46">
        <f>+(R59-T59)/ABS(T59)</f>
        <v>-0.6217087587318646</v>
      </c>
      <c r="T59" s="12">
        <f>+D59</f>
        <v>1861</v>
      </c>
      <c r="U59" s="12">
        <f>+D59+H59+L59+P59</f>
        <v>7436</v>
      </c>
    </row>
    <row r="60" spans="1:24">
      <c r="A60" t="s">
        <v>284</v>
      </c>
      <c r="B60" s="240">
        <v>2970</v>
      </c>
      <c r="C60" s="46">
        <f>+(B60-D60)/ABS(D60)</f>
        <v>21.625</v>
      </c>
      <c r="D60" s="240">
        <f>-76-56-12</f>
        <v>-144</v>
      </c>
      <c r="E60" s="29" t="s">
        <v>0</v>
      </c>
      <c r="F60" s="240">
        <v>0</v>
      </c>
      <c r="G60" s="43">
        <v>0</v>
      </c>
      <c r="H60" s="240">
        <f>29+255+1964</f>
        <v>2248</v>
      </c>
      <c r="J60" s="240">
        <v>0</v>
      </c>
      <c r="K60" s="43">
        <v>0</v>
      </c>
      <c r="L60" s="240">
        <f>1007-233</f>
        <v>774</v>
      </c>
      <c r="M60" s="29" t="s">
        <v>0</v>
      </c>
      <c r="N60" s="240">
        <v>0</v>
      </c>
      <c r="O60" s="43">
        <v>0</v>
      </c>
      <c r="P60" s="240">
        <f>131+605+69</f>
        <v>805</v>
      </c>
      <c r="R60" s="240">
        <f>+B60</f>
        <v>2970</v>
      </c>
      <c r="S60" s="46">
        <f>+(R60-T60)/ABS(T60)</f>
        <v>21.625</v>
      </c>
      <c r="T60" s="240">
        <f>+D60</f>
        <v>-144</v>
      </c>
      <c r="U60" s="240">
        <f>+D60+H60+L60+P60</f>
        <v>3683</v>
      </c>
    </row>
    <row r="61" spans="1:24">
      <c r="B61" s="12">
        <f>SUM(B58:B60)</f>
        <v>6266</v>
      </c>
      <c r="C61" s="46">
        <f>+(B61-D61)/ABS(D61)</f>
        <v>1.2843601895734598</v>
      </c>
      <c r="D61" s="12">
        <f>SUM(D58:D60)</f>
        <v>2743</v>
      </c>
      <c r="E61" s="29" t="s">
        <v>0</v>
      </c>
      <c r="F61" s="12">
        <f>SUM(F58:F60)</f>
        <v>0</v>
      </c>
      <c r="G61" s="43">
        <v>0</v>
      </c>
      <c r="H61" s="12">
        <f>SUM(H58:H60)</f>
        <v>4001</v>
      </c>
      <c r="J61" s="12">
        <f>SUM(J58:J60)</f>
        <v>0</v>
      </c>
      <c r="K61" s="43">
        <v>0</v>
      </c>
      <c r="L61" s="12">
        <f>SUM(L58:L60)</f>
        <v>4935</v>
      </c>
      <c r="M61" s="29" t="s">
        <v>0</v>
      </c>
      <c r="N61" s="12">
        <f>SUM(N58:N60)</f>
        <v>0</v>
      </c>
      <c r="O61" s="43">
        <v>0</v>
      </c>
      <c r="P61" s="12">
        <f>SUM(P58:P60)</f>
        <v>5637</v>
      </c>
      <c r="R61" s="12">
        <f>SUM(R58:R60)</f>
        <v>6266</v>
      </c>
      <c r="S61" s="46">
        <f>+(R61-T61)/ABS(T61)</f>
        <v>1.2843601895734598</v>
      </c>
      <c r="T61" s="12">
        <f>SUM(T58:T60)</f>
        <v>2743</v>
      </c>
      <c r="U61" s="12">
        <f>SUM(U58:U60)</f>
        <v>17316</v>
      </c>
    </row>
    <row r="62" spans="1:24">
      <c r="B62" s="240"/>
      <c r="C62" s="47" t="s">
        <v>0</v>
      </c>
      <c r="D62" s="240"/>
      <c r="E62" s="29" t="s">
        <v>0</v>
      </c>
      <c r="F62" s="240"/>
      <c r="G62" s="44" t="s">
        <v>0</v>
      </c>
      <c r="H62" s="240"/>
      <c r="J62" s="379"/>
      <c r="K62" s="44" t="s">
        <v>0</v>
      </c>
      <c r="L62" s="379"/>
      <c r="M62" s="29" t="s">
        <v>0</v>
      </c>
      <c r="N62" s="379"/>
      <c r="O62" s="44" t="s">
        <v>0</v>
      </c>
      <c r="P62" s="379"/>
      <c r="R62" s="240"/>
      <c r="S62" s="46"/>
      <c r="T62" s="240"/>
      <c r="U62" s="240"/>
    </row>
    <row r="63" spans="1:24">
      <c r="A63" t="s">
        <v>337</v>
      </c>
      <c r="B63" s="12">
        <f>+B55+B61</f>
        <v>24394</v>
      </c>
      <c r="C63" s="46">
        <f>+(B63-D63)/ABS(D63)</f>
        <v>0.33534048609590539</v>
      </c>
      <c r="D63" s="12">
        <f>+D55+D61</f>
        <v>18268</v>
      </c>
      <c r="E63" s="29" t="s">
        <v>0</v>
      </c>
      <c r="F63" s="12">
        <f>+F55+F61</f>
        <v>0</v>
      </c>
      <c r="G63" s="43">
        <v>0</v>
      </c>
      <c r="H63" s="12">
        <f>+H55+H61</f>
        <v>19656</v>
      </c>
      <c r="J63" s="12">
        <f>+J55+J61</f>
        <v>0</v>
      </c>
      <c r="K63" s="43">
        <v>0</v>
      </c>
      <c r="L63" s="12">
        <f>+L55+L61</f>
        <v>21581</v>
      </c>
      <c r="M63" s="29" t="s">
        <v>0</v>
      </c>
      <c r="N63" s="12">
        <f>+N55+N61</f>
        <v>0</v>
      </c>
      <c r="O63" s="43">
        <v>0</v>
      </c>
      <c r="P63" s="12">
        <f>+P55+P61</f>
        <v>22998</v>
      </c>
      <c r="R63" s="12">
        <f>+R55+R61</f>
        <v>24394</v>
      </c>
      <c r="S63" s="46">
        <f>+(R63-T63)/ABS(T63)</f>
        <v>0.33534048609590539</v>
      </c>
      <c r="T63" s="12">
        <f>+T55+T61</f>
        <v>18268</v>
      </c>
      <c r="U63" s="12">
        <f>+U55+U61</f>
        <v>82503</v>
      </c>
    </row>
    <row r="64" spans="1:24">
      <c r="B64" s="12"/>
      <c r="C64" s="47" t="s">
        <v>0</v>
      </c>
      <c r="D64" s="12"/>
      <c r="E64" s="29" t="s">
        <v>0</v>
      </c>
      <c r="F64" s="12"/>
      <c r="G64" s="44" t="s">
        <v>0</v>
      </c>
      <c r="H64" s="12"/>
      <c r="K64" s="44" t="s">
        <v>0</v>
      </c>
      <c r="M64" s="29" t="s">
        <v>0</v>
      </c>
      <c r="O64" s="44" t="s">
        <v>0</v>
      </c>
      <c r="R64" s="12"/>
      <c r="S64" s="46"/>
      <c r="T64" s="12"/>
      <c r="U64" s="12"/>
    </row>
    <row r="65" spans="1:21">
      <c r="A65" t="s">
        <v>618</v>
      </c>
      <c r="B65" s="12">
        <v>750</v>
      </c>
      <c r="C65" s="46">
        <f>+(B65-D65)/ABS(D65)</f>
        <v>1.5</v>
      </c>
      <c r="D65" s="12">
        <f>83+117+100</f>
        <v>300</v>
      </c>
      <c r="E65" s="29" t="s">
        <v>0</v>
      </c>
      <c r="F65" s="12">
        <v>0</v>
      </c>
      <c r="G65" s="43">
        <v>0</v>
      </c>
      <c r="H65" s="12">
        <f>100+100+100</f>
        <v>300</v>
      </c>
      <c r="J65" s="12">
        <v>0</v>
      </c>
      <c r="K65" s="43">
        <v>0</v>
      </c>
      <c r="L65" s="12">
        <f>1000+400</f>
        <v>1400</v>
      </c>
      <c r="M65" s="29" t="s">
        <v>0</v>
      </c>
      <c r="N65" s="12">
        <v>0</v>
      </c>
      <c r="O65" s="43">
        <v>0</v>
      </c>
      <c r="P65" s="12">
        <v>0</v>
      </c>
      <c r="R65" s="12">
        <f>+B65</f>
        <v>750</v>
      </c>
      <c r="S65" s="43">
        <v>0</v>
      </c>
      <c r="T65" s="12">
        <f>+D65</f>
        <v>300</v>
      </c>
      <c r="U65" s="12">
        <f>+D65+H65+L65+P65</f>
        <v>2000</v>
      </c>
    </row>
    <row r="66" spans="1:21">
      <c r="B66" s="12"/>
      <c r="C66" s="47" t="s">
        <v>0</v>
      </c>
      <c r="D66" s="12"/>
      <c r="E66" s="29" t="s">
        <v>0</v>
      </c>
      <c r="F66" s="12"/>
      <c r="G66" s="44" t="s">
        <v>0</v>
      </c>
      <c r="H66" s="12"/>
      <c r="K66" s="44" t="s">
        <v>0</v>
      </c>
      <c r="M66" s="29" t="s">
        <v>0</v>
      </c>
      <c r="O66" s="44" t="s">
        <v>0</v>
      </c>
      <c r="R66" s="12"/>
      <c r="S66" s="46"/>
      <c r="T66" s="12"/>
      <c r="U66" s="12"/>
    </row>
    <row r="67" spans="1:21">
      <c r="A67" t="s">
        <v>339</v>
      </c>
      <c r="B67" s="240"/>
      <c r="C67" s="47" t="s">
        <v>0</v>
      </c>
      <c r="D67" s="240"/>
      <c r="E67" s="29" t="s">
        <v>0</v>
      </c>
      <c r="F67" s="240"/>
      <c r="G67" s="44" t="s">
        <v>0</v>
      </c>
      <c r="H67" s="240"/>
      <c r="J67" s="379"/>
      <c r="K67" s="44" t="s">
        <v>0</v>
      </c>
      <c r="L67" s="379"/>
      <c r="M67" s="29" t="s">
        <v>0</v>
      </c>
      <c r="N67" s="379"/>
      <c r="O67" s="44" t="s">
        <v>0</v>
      </c>
      <c r="P67" s="379"/>
      <c r="R67" s="240"/>
      <c r="S67" s="46"/>
      <c r="T67" s="240"/>
      <c r="U67" s="240"/>
    </row>
    <row r="68" spans="1:21">
      <c r="A68" t="s">
        <v>340</v>
      </c>
      <c r="B68" s="12">
        <f>+B63-B65</f>
        <v>23644</v>
      </c>
      <c r="C68" s="46">
        <f>+(B68-D68)/ABS(D68)</f>
        <v>0.31589492430988425</v>
      </c>
      <c r="D68" s="12">
        <f>+D63-D65</f>
        <v>17968</v>
      </c>
      <c r="E68" s="29" t="s">
        <v>0</v>
      </c>
      <c r="F68" s="12">
        <f>+F63-F65</f>
        <v>0</v>
      </c>
      <c r="G68" s="43">
        <v>0</v>
      </c>
      <c r="H68" s="12">
        <f>+H63-H65</f>
        <v>19356</v>
      </c>
      <c r="J68" s="12">
        <f>+J63-J65</f>
        <v>0</v>
      </c>
      <c r="K68" s="43">
        <v>0</v>
      </c>
      <c r="L68" s="12">
        <f>+L63-L65</f>
        <v>20181</v>
      </c>
      <c r="M68" s="29" t="s">
        <v>0</v>
      </c>
      <c r="N68" s="12">
        <f>+N63-N65</f>
        <v>0</v>
      </c>
      <c r="O68" s="43">
        <v>0</v>
      </c>
      <c r="P68" s="12">
        <f>+P63-P65</f>
        <v>22998</v>
      </c>
      <c r="R68" s="12">
        <f>+R63-R65</f>
        <v>23644</v>
      </c>
      <c r="S68" s="46">
        <f>+(R68-T68)/ABS(T68)</f>
        <v>0.31589492430988425</v>
      </c>
      <c r="T68" s="12">
        <f>+T63-T65</f>
        <v>17968</v>
      </c>
      <c r="U68" s="12">
        <f>+U63-U65</f>
        <v>80503</v>
      </c>
    </row>
    <row r="69" spans="1:21">
      <c r="B69" s="12"/>
      <c r="C69" s="47" t="s">
        <v>0</v>
      </c>
      <c r="D69" s="12"/>
      <c r="E69" s="29" t="s">
        <v>0</v>
      </c>
      <c r="F69" s="12"/>
      <c r="G69" s="44" t="s">
        <v>0</v>
      </c>
      <c r="H69" s="12"/>
      <c r="K69" s="44" t="s">
        <v>0</v>
      </c>
      <c r="M69" s="29" t="s">
        <v>0</v>
      </c>
      <c r="O69" s="44" t="s">
        <v>0</v>
      </c>
      <c r="R69" s="12"/>
      <c r="S69" s="46"/>
      <c r="T69" s="12"/>
      <c r="U69" s="12"/>
    </row>
    <row r="70" spans="1:21">
      <c r="A70" t="s">
        <v>341</v>
      </c>
      <c r="B70" s="12"/>
      <c r="C70" s="47" t="s">
        <v>0</v>
      </c>
      <c r="D70" s="12"/>
      <c r="E70" s="29" t="s">
        <v>0</v>
      </c>
      <c r="F70" s="12"/>
      <c r="G70" s="44" t="s">
        <v>0</v>
      </c>
      <c r="H70" s="12"/>
      <c r="K70" s="44" t="s">
        <v>0</v>
      </c>
      <c r="M70" s="29" t="s">
        <v>0</v>
      </c>
      <c r="O70" s="44" t="s">
        <v>0</v>
      </c>
      <c r="R70" s="12"/>
      <c r="S70" s="46"/>
      <c r="T70" s="12"/>
      <c r="U70" s="12"/>
    </row>
    <row r="71" spans="1:21">
      <c r="A71" t="s">
        <v>342</v>
      </c>
      <c r="B71" s="12">
        <v>7604</v>
      </c>
      <c r="C71" s="46">
        <f>+(B71-D71)/ABS(D71)</f>
        <v>0.38329998180825903</v>
      </c>
      <c r="D71" s="12">
        <f>1559+1804+2134</f>
        <v>5497</v>
      </c>
      <c r="E71" s="29" t="s">
        <v>0</v>
      </c>
      <c r="F71" s="12">
        <v>0</v>
      </c>
      <c r="G71" s="43">
        <v>0</v>
      </c>
      <c r="H71" s="12">
        <f>1807+1949+1927</f>
        <v>5683</v>
      </c>
      <c r="J71" s="12">
        <v>0</v>
      </c>
      <c r="K71" s="43">
        <v>0</v>
      </c>
      <c r="L71" s="12">
        <f>4361+1852</f>
        <v>6213</v>
      </c>
      <c r="M71" s="29" t="s">
        <v>0</v>
      </c>
      <c r="N71" s="12">
        <v>0</v>
      </c>
      <c r="O71" s="43">
        <v>0</v>
      </c>
      <c r="P71" s="12">
        <f>2442+2510+2302</f>
        <v>7254</v>
      </c>
      <c r="R71" s="12">
        <f>+B71</f>
        <v>7604</v>
      </c>
      <c r="S71" s="46">
        <f>+(R71-T71)/ABS(T71)</f>
        <v>0.38329998180825903</v>
      </c>
      <c r="T71" s="12">
        <f>+D71</f>
        <v>5497</v>
      </c>
      <c r="U71" s="12">
        <f>+D71+H71+L71+P71</f>
        <v>24647</v>
      </c>
    </row>
    <row r="72" spans="1:21">
      <c r="A72" t="s">
        <v>343</v>
      </c>
      <c r="B72" s="12">
        <v>1083</v>
      </c>
      <c r="C72" s="46">
        <f>+(B72-D72)/ABS(D72)</f>
        <v>0.78418451400329492</v>
      </c>
      <c r="D72" s="12">
        <f>182+174+251</f>
        <v>607</v>
      </c>
      <c r="E72" s="29" t="s">
        <v>0</v>
      </c>
      <c r="F72" s="12">
        <v>0</v>
      </c>
      <c r="G72" s="43">
        <v>0</v>
      </c>
      <c r="H72" s="12">
        <f>556+670+327</f>
        <v>1553</v>
      </c>
      <c r="J72" s="12">
        <v>0</v>
      </c>
      <c r="K72" s="43">
        <v>0</v>
      </c>
      <c r="L72" s="12">
        <f>640+267</f>
        <v>907</v>
      </c>
      <c r="M72" s="29" t="s">
        <v>0</v>
      </c>
      <c r="N72" s="12">
        <v>0</v>
      </c>
      <c r="O72" s="43">
        <v>0</v>
      </c>
      <c r="P72" s="12">
        <f>344+310+667</f>
        <v>1321</v>
      </c>
      <c r="R72" s="12">
        <f>+B72</f>
        <v>1083</v>
      </c>
      <c r="S72" s="46">
        <f>+(R72-T72)/ABS(T72)</f>
        <v>0.78418451400329492</v>
      </c>
      <c r="T72" s="12">
        <f>+D72</f>
        <v>607</v>
      </c>
      <c r="U72" s="12">
        <f>+D72+H72+L72+P72</f>
        <v>4388</v>
      </c>
    </row>
    <row r="73" spans="1:21">
      <c r="A73" t="s">
        <v>344</v>
      </c>
      <c r="B73" s="12">
        <v>3071</v>
      </c>
      <c r="C73" s="46">
        <f>+(B73-D73)/ABS(D73)</f>
        <v>0.25142624286878568</v>
      </c>
      <c r="D73" s="12">
        <f>767+771+916</f>
        <v>2454</v>
      </c>
      <c r="E73" s="29" t="s">
        <v>0</v>
      </c>
      <c r="F73" s="12">
        <v>0</v>
      </c>
      <c r="G73" s="43">
        <v>0</v>
      </c>
      <c r="H73" s="12">
        <f>799+775+829</f>
        <v>2403</v>
      </c>
      <c r="J73" s="12">
        <v>0</v>
      </c>
      <c r="K73" s="43">
        <v>0</v>
      </c>
      <c r="L73" s="12">
        <f>1693+860</f>
        <v>2553</v>
      </c>
      <c r="M73" s="29" t="s">
        <v>0</v>
      </c>
      <c r="N73" s="12">
        <v>0</v>
      </c>
      <c r="O73" s="43">
        <v>0</v>
      </c>
      <c r="P73" s="12">
        <f>858+1615+1023</f>
        <v>3496</v>
      </c>
      <c r="R73" s="12">
        <f>+B73</f>
        <v>3071</v>
      </c>
      <c r="S73" s="46">
        <f>+(R73-T73)/ABS(T73)</f>
        <v>0.25142624286878568</v>
      </c>
      <c r="T73" s="12">
        <f>+D73</f>
        <v>2454</v>
      </c>
      <c r="U73" s="12">
        <f>+D73+H73+L73+P73</f>
        <v>10906</v>
      </c>
    </row>
    <row r="74" spans="1:21">
      <c r="A74" t="s">
        <v>345</v>
      </c>
      <c r="B74" s="240">
        <v>7574</v>
      </c>
      <c r="C74" s="46">
        <f>+(B74-D74)/ABS(D74)</f>
        <v>0.41888347695766204</v>
      </c>
      <c r="D74" s="240">
        <f>1501+1991+1846</f>
        <v>5338</v>
      </c>
      <c r="E74" s="29" t="s">
        <v>0</v>
      </c>
      <c r="F74" s="240">
        <v>0</v>
      </c>
      <c r="G74" s="43">
        <v>0</v>
      </c>
      <c r="H74" s="240">
        <f>1795+1948+2631</f>
        <v>6374</v>
      </c>
      <c r="J74" s="240">
        <v>0</v>
      </c>
      <c r="K74" s="43">
        <v>0</v>
      </c>
      <c r="L74" s="240">
        <f>4444+2623</f>
        <v>7067</v>
      </c>
      <c r="M74" s="29" t="s">
        <v>0</v>
      </c>
      <c r="N74" s="240">
        <v>0</v>
      </c>
      <c r="O74" s="43">
        <v>0</v>
      </c>
      <c r="P74" s="240">
        <f>2732+2761+3433</f>
        <v>8926</v>
      </c>
      <c r="R74" s="240">
        <f>+B74</f>
        <v>7574</v>
      </c>
      <c r="S74" s="46">
        <f>+(R74-T74)/ABS(T74)</f>
        <v>0.41888347695766204</v>
      </c>
      <c r="T74" s="240">
        <f>+D74</f>
        <v>5338</v>
      </c>
      <c r="U74" s="240">
        <f>+D74+H74+L74+P74</f>
        <v>27705</v>
      </c>
    </row>
    <row r="75" spans="1:21">
      <c r="B75" s="12">
        <f>SUM(B71:B74)</f>
        <v>19332</v>
      </c>
      <c r="C75" s="46">
        <f>+(B75-D75)/ABS(D75)</f>
        <v>0.39119170984455959</v>
      </c>
      <c r="D75" s="12">
        <f>SUM(D71:D74)</f>
        <v>13896</v>
      </c>
      <c r="E75" s="29" t="s">
        <v>0</v>
      </c>
      <c r="F75" s="12">
        <f>SUM(F71:F74)</f>
        <v>0</v>
      </c>
      <c r="G75" s="43">
        <v>0</v>
      </c>
      <c r="H75" s="12">
        <f>SUM(H71:H74)</f>
        <v>16013</v>
      </c>
      <c r="J75" s="12">
        <f>SUM(J71:J74)</f>
        <v>0</v>
      </c>
      <c r="K75" s="43">
        <v>0</v>
      </c>
      <c r="L75" s="12">
        <f>SUM(L71:L74)</f>
        <v>16740</v>
      </c>
      <c r="M75" s="29" t="s">
        <v>0</v>
      </c>
      <c r="N75" s="12">
        <f>SUM(N71:N74)</f>
        <v>0</v>
      </c>
      <c r="O75" s="43">
        <v>0</v>
      </c>
      <c r="P75" s="12">
        <f>SUM(P71:P74)</f>
        <v>20997</v>
      </c>
      <c r="R75" s="12">
        <f>SUM(R71:R74)</f>
        <v>19332</v>
      </c>
      <c r="S75" s="46">
        <f>+(R75-T75)/ABS(T75)</f>
        <v>0.39119170984455959</v>
      </c>
      <c r="T75" s="12">
        <f>SUM(T71:T74)</f>
        <v>13896</v>
      </c>
      <c r="U75" s="12">
        <f>SUM(U71:U74)</f>
        <v>67646</v>
      </c>
    </row>
    <row r="76" spans="1:21">
      <c r="B76" s="240"/>
      <c r="C76" s="46"/>
      <c r="D76" s="240"/>
      <c r="E76" s="29"/>
      <c r="F76" s="240"/>
      <c r="G76" s="43"/>
      <c r="H76" s="240"/>
      <c r="J76" s="379"/>
      <c r="K76" s="43"/>
      <c r="L76" s="379"/>
      <c r="M76" s="29"/>
      <c r="N76" s="379"/>
      <c r="O76" s="43"/>
      <c r="P76" s="379"/>
      <c r="R76" s="240"/>
      <c r="S76" s="46"/>
      <c r="T76" s="240"/>
      <c r="U76" s="240"/>
    </row>
    <row r="77" spans="1:21">
      <c r="A77" t="s">
        <v>346</v>
      </c>
      <c r="B77" s="12">
        <f>+B68-B75</f>
        <v>4312</v>
      </c>
      <c r="C77" s="46">
        <f>+(B77-D77)/ABS(D77)</f>
        <v>5.8939096267190572E-2</v>
      </c>
      <c r="D77" s="12">
        <f>+D68-D75</f>
        <v>4072</v>
      </c>
      <c r="E77" s="29" t="s">
        <v>0</v>
      </c>
      <c r="F77" s="12">
        <f>+F68-F75</f>
        <v>0</v>
      </c>
      <c r="G77" s="43">
        <v>0</v>
      </c>
      <c r="H77" s="12">
        <f>+H68-H75</f>
        <v>3343</v>
      </c>
      <c r="J77" s="12">
        <f>+J68-J75</f>
        <v>0</v>
      </c>
      <c r="K77" s="43">
        <v>0</v>
      </c>
      <c r="L77" s="12">
        <f>+L68-L75</f>
        <v>3441</v>
      </c>
      <c r="M77" s="29" t="s">
        <v>0</v>
      </c>
      <c r="N77" s="12">
        <f>+N68-N75</f>
        <v>0</v>
      </c>
      <c r="O77" s="43">
        <v>0</v>
      </c>
      <c r="P77" s="12">
        <f>+P68-P75</f>
        <v>2001</v>
      </c>
      <c r="R77" s="12">
        <f>+R68-R75</f>
        <v>4312</v>
      </c>
      <c r="S77" s="46">
        <f>+(R77-T77)/ABS(T77)</f>
        <v>5.8939096267190572E-2</v>
      </c>
      <c r="T77" s="12">
        <f>+T68-T75</f>
        <v>4072</v>
      </c>
      <c r="U77" s="12">
        <f>+U68-U75</f>
        <v>12857</v>
      </c>
    </row>
    <row r="78" spans="1:21">
      <c r="B78" s="12"/>
      <c r="C78" s="47" t="s">
        <v>0</v>
      </c>
      <c r="D78" s="12"/>
      <c r="E78" s="29" t="s">
        <v>0</v>
      </c>
      <c r="F78" s="12"/>
      <c r="G78" s="44" t="s">
        <v>0</v>
      </c>
      <c r="H78" s="12"/>
      <c r="K78" s="44" t="s">
        <v>0</v>
      </c>
      <c r="M78" s="29" t="s">
        <v>0</v>
      </c>
      <c r="O78" s="44" t="s">
        <v>0</v>
      </c>
      <c r="R78" s="12"/>
      <c r="S78" s="46"/>
      <c r="T78" s="12"/>
      <c r="U78" s="12"/>
    </row>
    <row r="79" spans="1:21">
      <c r="A79" t="s">
        <v>347</v>
      </c>
      <c r="B79" s="12">
        <v>0</v>
      </c>
      <c r="C79" s="43">
        <v>0</v>
      </c>
      <c r="D79" s="12">
        <f>655+312+44</f>
        <v>1011</v>
      </c>
      <c r="E79" s="29" t="s">
        <v>0</v>
      </c>
      <c r="F79" s="12">
        <v>0</v>
      </c>
      <c r="G79" s="43">
        <v>0</v>
      </c>
      <c r="H79" s="12">
        <f>-501+190+371</f>
        <v>60</v>
      </c>
      <c r="J79" s="12">
        <v>0</v>
      </c>
      <c r="K79" s="43">
        <v>0</v>
      </c>
      <c r="L79" s="12">
        <f>270+172</f>
        <v>442</v>
      </c>
      <c r="M79" s="29" t="s">
        <v>0</v>
      </c>
      <c r="N79" s="12">
        <v>0</v>
      </c>
      <c r="O79" s="43">
        <v>0</v>
      </c>
      <c r="P79" s="12">
        <f>18+153+53</f>
        <v>224</v>
      </c>
      <c r="R79" s="12">
        <f>+B79</f>
        <v>0</v>
      </c>
      <c r="S79" s="43">
        <v>0</v>
      </c>
      <c r="T79" s="12">
        <f>+D79</f>
        <v>1011</v>
      </c>
      <c r="U79" s="12">
        <f>+D79+H79+L79+P79</f>
        <v>1737</v>
      </c>
    </row>
    <row r="80" spans="1:21" ht="16.5" thickBot="1">
      <c r="B80" s="76"/>
      <c r="C80" s="47" t="s">
        <v>0</v>
      </c>
      <c r="D80" s="76"/>
      <c r="E80" s="29" t="s">
        <v>0</v>
      </c>
      <c r="F80" s="76"/>
      <c r="G80" s="44" t="s">
        <v>0</v>
      </c>
      <c r="H80" s="76"/>
      <c r="J80" s="30"/>
      <c r="K80" s="44" t="s">
        <v>0</v>
      </c>
      <c r="L80" s="30"/>
      <c r="M80" s="29" t="s">
        <v>0</v>
      </c>
      <c r="N80" s="30"/>
      <c r="O80" s="44" t="s">
        <v>0</v>
      </c>
      <c r="P80" s="30"/>
      <c r="R80" s="76"/>
      <c r="S80" s="46"/>
      <c r="T80" s="76"/>
      <c r="U80" s="76"/>
    </row>
    <row r="81" spans="1:21" s="2" customFormat="1">
      <c r="A81" s="2" t="s">
        <v>359</v>
      </c>
      <c r="B81" s="4">
        <f>+B77-B79</f>
        <v>4312</v>
      </c>
      <c r="C81" s="112">
        <f>+(B81-D81)/ABS(D81)</f>
        <v>0.40868997059784384</v>
      </c>
      <c r="D81" s="4">
        <f>+D77-D79</f>
        <v>3061</v>
      </c>
      <c r="E81" s="146" t="s">
        <v>0</v>
      </c>
      <c r="F81" s="4">
        <f>+F77-F79</f>
        <v>0</v>
      </c>
      <c r="G81" s="42">
        <v>0</v>
      </c>
      <c r="H81" s="4">
        <f>+H77-H79</f>
        <v>3283</v>
      </c>
      <c r="I81" s="146"/>
      <c r="J81" s="4">
        <f>+J77-J79</f>
        <v>0</v>
      </c>
      <c r="K81" s="42">
        <v>0</v>
      </c>
      <c r="L81" s="4">
        <f>+L77-L79</f>
        <v>2999</v>
      </c>
      <c r="M81" s="146" t="s">
        <v>0</v>
      </c>
      <c r="N81" s="4">
        <f>+N77-N79</f>
        <v>0</v>
      </c>
      <c r="O81" s="42">
        <v>0</v>
      </c>
      <c r="P81" s="4">
        <f>+P77-P79</f>
        <v>1777</v>
      </c>
      <c r="Q81" s="146"/>
      <c r="R81" s="4">
        <f>+R77-R79</f>
        <v>4312</v>
      </c>
      <c r="S81" s="112">
        <f>+(R81-T81)/ABS(T81)</f>
        <v>0.40868997059784384</v>
      </c>
      <c r="T81" s="4">
        <f>+T77-T79</f>
        <v>3061</v>
      </c>
      <c r="U81" s="4">
        <f>+U77-U79</f>
        <v>11120</v>
      </c>
    </row>
    <row r="82" spans="1:21">
      <c r="E82" s="29"/>
      <c r="M82" s="29"/>
    </row>
    <row r="83" spans="1:21">
      <c r="E83" s="29"/>
      <c r="F83" s="29" t="s">
        <v>0</v>
      </c>
      <c r="M83" s="29"/>
      <c r="N83" s="29" t="s">
        <v>0</v>
      </c>
    </row>
    <row r="84" spans="1:21">
      <c r="B84" s="565" t="s">
        <v>261</v>
      </c>
      <c r="D84" s="565" t="s">
        <v>261</v>
      </c>
      <c r="E84" s="29" t="s">
        <v>0</v>
      </c>
      <c r="F84" s="565" t="s">
        <v>261</v>
      </c>
      <c r="H84" s="565" t="s">
        <v>261</v>
      </c>
      <c r="M84" s="29" t="s">
        <v>0</v>
      </c>
    </row>
    <row r="85" spans="1:21">
      <c r="B85" s="26" t="s">
        <v>353</v>
      </c>
      <c r="D85" s="26" t="s">
        <v>533</v>
      </c>
      <c r="F85" s="26" t="s">
        <v>534</v>
      </c>
      <c r="H85" s="26" t="s">
        <v>535</v>
      </c>
      <c r="M85" s="29" t="s">
        <v>0</v>
      </c>
    </row>
    <row r="86" spans="1:21">
      <c r="A86" t="s">
        <v>536</v>
      </c>
      <c r="B86" s="29" t="s">
        <v>0</v>
      </c>
      <c r="D86" s="29" t="s">
        <v>0</v>
      </c>
      <c r="F86" s="29" t="s">
        <v>0</v>
      </c>
      <c r="H86" s="29" t="s">
        <v>0</v>
      </c>
      <c r="M86" s="29" t="s">
        <v>0</v>
      </c>
    </row>
    <row r="87" spans="1:21">
      <c r="A87" t="s">
        <v>329</v>
      </c>
      <c r="B87" s="16" t="s">
        <v>0</v>
      </c>
    </row>
    <row r="88" spans="1:21">
      <c r="A88" t="s">
        <v>330</v>
      </c>
      <c r="B88" s="16">
        <f>+(4795838+4709887.1+5553536.85)/1000</f>
        <v>15059.26195</v>
      </c>
      <c r="D88" s="12">
        <v>0</v>
      </c>
      <c r="F88" s="12">
        <v>0</v>
      </c>
      <c r="H88" s="12">
        <v>0</v>
      </c>
    </row>
    <row r="89" spans="1:21" ht="18">
      <c r="A89" t="s">
        <v>537</v>
      </c>
      <c r="B89" s="6">
        <f>+(533557.45+764275.8+463761)/1000</f>
        <v>1761.5942500000001</v>
      </c>
      <c r="D89" s="6">
        <v>0</v>
      </c>
      <c r="F89" s="6">
        <v>0</v>
      </c>
      <c r="H89" s="6">
        <v>0</v>
      </c>
    </row>
    <row r="90" spans="1:21">
      <c r="B90" s="12">
        <f>SUM(B88:B89)</f>
        <v>16820.856200000002</v>
      </c>
      <c r="D90" s="12">
        <f>SUM(D88:D89)</f>
        <v>0</v>
      </c>
      <c r="F90" s="12">
        <f>SUM(F88:F89)</f>
        <v>0</v>
      </c>
      <c r="H90" s="12">
        <f>SUM(H88:H89)</f>
        <v>0</v>
      </c>
    </row>
    <row r="91" spans="1:21">
      <c r="A91" t="s">
        <v>333</v>
      </c>
      <c r="B91" s="12">
        <f>+(1821497.65+1597276.4+1647186)/1000</f>
        <v>5065.9600499999997</v>
      </c>
      <c r="D91" s="12">
        <v>0</v>
      </c>
      <c r="F91" s="12">
        <v>0</v>
      </c>
      <c r="H91" s="12">
        <v>0</v>
      </c>
    </row>
    <row r="92" spans="1:21">
      <c r="B92" s="12">
        <f>+B90-B91</f>
        <v>11754.896150000002</v>
      </c>
      <c r="D92" s="12">
        <f>+D90-D91</f>
        <v>0</v>
      </c>
      <c r="F92" s="12">
        <f>+F90-F91</f>
        <v>0</v>
      </c>
      <c r="H92" s="12">
        <f>+H90-H91</f>
        <v>0</v>
      </c>
    </row>
    <row r="93" spans="1:21">
      <c r="B93" s="12"/>
      <c r="D93" s="12"/>
      <c r="F93" s="12"/>
      <c r="H93" s="12"/>
    </row>
    <row r="94" spans="1:21">
      <c r="A94" t="s">
        <v>334</v>
      </c>
      <c r="B94" s="12"/>
      <c r="D94" s="12"/>
      <c r="F94" s="12"/>
      <c r="H94" s="12"/>
    </row>
    <row r="95" spans="1:21">
      <c r="A95" t="s">
        <v>335</v>
      </c>
      <c r="B95" s="16">
        <f>+(248489.45+560048+157006)/1000</f>
        <v>965.54345000000001</v>
      </c>
      <c r="D95" s="16">
        <v>0</v>
      </c>
      <c r="F95" s="16">
        <v>0</v>
      </c>
      <c r="H95" s="16">
        <v>0</v>
      </c>
    </row>
    <row r="96" spans="1:21">
      <c r="A96" t="s">
        <v>336</v>
      </c>
      <c r="B96" s="12">
        <f>+(537072.9+336980.75+322738)/1000</f>
        <v>1196.7916499999999</v>
      </c>
      <c r="D96" s="12">
        <v>0</v>
      </c>
      <c r="F96" s="12">
        <v>0</v>
      </c>
      <c r="H96" s="12">
        <v>0</v>
      </c>
    </row>
    <row r="97" spans="1:8">
      <c r="A97" t="s">
        <v>284</v>
      </c>
      <c r="B97" s="12">
        <f>+(15156.95+371.05+76366)/1000</f>
        <v>91.894000000000005</v>
      </c>
      <c r="D97" s="12">
        <v>0</v>
      </c>
      <c r="F97" s="12">
        <v>0</v>
      </c>
      <c r="H97" s="12">
        <v>0</v>
      </c>
    </row>
    <row r="98" spans="1:8">
      <c r="B98" s="12">
        <f>SUM(B95:B97)</f>
        <v>2254.2290999999996</v>
      </c>
      <c r="D98" s="12">
        <f>SUM(D95:D97)</f>
        <v>0</v>
      </c>
      <c r="F98" s="12">
        <f>SUM(F95:F97)</f>
        <v>0</v>
      </c>
      <c r="H98" s="12">
        <f>SUM(H95:H97)</f>
        <v>0</v>
      </c>
    </row>
    <row r="99" spans="1:8">
      <c r="B99" s="12"/>
      <c r="D99" s="12"/>
      <c r="F99" s="12"/>
      <c r="H99" s="12"/>
    </row>
    <row r="100" spans="1:8">
      <c r="A100" t="s">
        <v>337</v>
      </c>
      <c r="B100" s="12">
        <f>+B92+B98</f>
        <v>14009.125250000001</v>
      </c>
      <c r="D100" s="12">
        <f>+D92+D98</f>
        <v>0</v>
      </c>
      <c r="F100" s="12">
        <f>+F92+F98</f>
        <v>0</v>
      </c>
      <c r="H100" s="12">
        <f>+H92+H98</f>
        <v>0</v>
      </c>
    </row>
    <row r="101" spans="1:8">
      <c r="B101" s="12"/>
      <c r="D101" s="12"/>
      <c r="F101" s="12"/>
      <c r="H101" s="12"/>
    </row>
    <row r="102" spans="1:8">
      <c r="A102" t="s">
        <v>538</v>
      </c>
      <c r="B102" s="12">
        <v>0</v>
      </c>
      <c r="D102" s="12">
        <v>0</v>
      </c>
      <c r="F102" s="12">
        <v>0</v>
      </c>
      <c r="H102" s="12">
        <v>0</v>
      </c>
    </row>
    <row r="103" spans="1:8">
      <c r="B103" s="12"/>
      <c r="D103" s="12"/>
      <c r="F103" s="12"/>
      <c r="H103" s="12"/>
    </row>
    <row r="104" spans="1:8">
      <c r="A104" t="s">
        <v>339</v>
      </c>
      <c r="B104" s="12"/>
      <c r="D104" s="12"/>
      <c r="F104" s="12"/>
      <c r="H104" s="12"/>
    </row>
    <row r="105" spans="1:8">
      <c r="A105" t="s">
        <v>340</v>
      </c>
      <c r="B105" s="12">
        <f>+B100-B102</f>
        <v>14009.125250000001</v>
      </c>
      <c r="D105" s="12">
        <f>+D100-D102</f>
        <v>0</v>
      </c>
      <c r="F105" s="12">
        <f>+F100-F102</f>
        <v>0</v>
      </c>
      <c r="H105" s="12">
        <f>+H100-H102</f>
        <v>0</v>
      </c>
    </row>
    <row r="106" spans="1:8">
      <c r="B106" s="12"/>
      <c r="D106" s="12"/>
      <c r="F106" s="12"/>
      <c r="H106" s="12"/>
    </row>
    <row r="107" spans="1:8">
      <c r="A107" t="s">
        <v>341</v>
      </c>
      <c r="B107" s="12"/>
      <c r="D107" s="12"/>
      <c r="F107" s="12"/>
      <c r="H107" s="12"/>
    </row>
    <row r="108" spans="1:8">
      <c r="A108" t="s">
        <v>342</v>
      </c>
      <c r="B108" s="12">
        <f>+(1405459.05+1072437.45+1035416)/1000</f>
        <v>3513.3125</v>
      </c>
      <c r="D108" s="12">
        <v>0</v>
      </c>
      <c r="F108" s="12">
        <v>0</v>
      </c>
      <c r="H108" s="12">
        <v>0</v>
      </c>
    </row>
    <row r="109" spans="1:8">
      <c r="A109" t="s">
        <v>343</v>
      </c>
      <c r="B109" s="12">
        <f>+(240577.45+183679.85+156758)/1000</f>
        <v>581.01530000000002</v>
      </c>
      <c r="D109" s="12">
        <v>0</v>
      </c>
      <c r="F109" s="12">
        <v>0</v>
      </c>
      <c r="H109" s="12">
        <v>0</v>
      </c>
    </row>
    <row r="110" spans="1:8">
      <c r="A110" t="s">
        <v>344</v>
      </c>
      <c r="B110" s="12">
        <f>+(425926.8+412211.1+396221)/1000</f>
        <v>1234.3588999999999</v>
      </c>
      <c r="D110" s="12">
        <v>0</v>
      </c>
      <c r="F110" s="12">
        <v>0</v>
      </c>
      <c r="H110" s="12">
        <v>0</v>
      </c>
    </row>
    <row r="111" spans="1:8">
      <c r="A111" t="s">
        <v>345</v>
      </c>
      <c r="B111" s="12">
        <f>+(1402476.8+1138969.3+1015160)/1000</f>
        <v>3556.6061</v>
      </c>
      <c r="D111" s="12">
        <v>0</v>
      </c>
      <c r="F111" s="12">
        <v>0</v>
      </c>
      <c r="H111" s="12">
        <v>0</v>
      </c>
    </row>
    <row r="112" spans="1:8">
      <c r="B112" s="12">
        <f>SUM(B108:B111)</f>
        <v>8885.2927999999993</v>
      </c>
      <c r="D112" s="12">
        <f>SUM(D108:D111)</f>
        <v>0</v>
      </c>
      <c r="F112" s="12">
        <f>SUM(F108:F111)</f>
        <v>0</v>
      </c>
      <c r="H112" s="12">
        <f>SUM(H108:H111)</f>
        <v>0</v>
      </c>
    </row>
    <row r="113" spans="1:8">
      <c r="B113" s="16" t="s">
        <v>0</v>
      </c>
      <c r="D113" s="12"/>
      <c r="F113" s="12"/>
      <c r="H113" s="12"/>
    </row>
    <row r="114" spans="1:8">
      <c r="A114" t="s">
        <v>346</v>
      </c>
      <c r="B114" s="12">
        <f>+B105-B112</f>
        <v>5123.8324500000017</v>
      </c>
      <c r="D114" s="12">
        <f>+D105-D112</f>
        <v>0</v>
      </c>
      <c r="F114" s="12">
        <f>+F105-F112</f>
        <v>0</v>
      </c>
      <c r="H114" s="12">
        <f>+H105-H112</f>
        <v>0</v>
      </c>
    </row>
    <row r="115" spans="1:8">
      <c r="B115" s="12"/>
      <c r="D115" s="12"/>
      <c r="F115" s="12"/>
      <c r="H115" s="12"/>
    </row>
    <row r="116" spans="1:8">
      <c r="A116" t="s">
        <v>347</v>
      </c>
      <c r="B116" s="12">
        <f>+(411407.05+412275.85+479238)/1000</f>
        <v>1302.9208999999998</v>
      </c>
      <c r="D116" s="12">
        <v>0</v>
      </c>
      <c r="F116" s="12">
        <v>0</v>
      </c>
      <c r="H116" s="12">
        <v>0</v>
      </c>
    </row>
    <row r="117" spans="1:8">
      <c r="B117" s="12"/>
      <c r="D117" s="12"/>
      <c r="F117" s="12"/>
      <c r="H117" s="12"/>
    </row>
    <row r="118" spans="1:8">
      <c r="A118" t="s">
        <v>539</v>
      </c>
      <c r="B118" s="12">
        <f>+B114-B116</f>
        <v>3820.9115500000016</v>
      </c>
      <c r="D118" s="12">
        <f>+D114-D116</f>
        <v>0</v>
      </c>
      <c r="F118" s="12">
        <f>+F114-F116</f>
        <v>0</v>
      </c>
      <c r="H118" s="12">
        <f>+H114-H116</f>
        <v>0</v>
      </c>
    </row>
    <row r="121" spans="1:8">
      <c r="B121" s="29" t="s">
        <v>0</v>
      </c>
    </row>
  </sheetData>
  <pageMargins left="0.22" right="0.23" top="0.48" bottom="0.41" header="0.31" footer="0.2"/>
  <pageSetup scale="44" orientation="landscape" r:id="rId1"/>
  <headerFooter alignWithMargins="0">
    <oddFooter>&amp;R&amp;16&amp;P</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sheetViews>
  <sheetFormatPr defaultRowHeight="15.75"/>
  <cols>
    <col min="1" max="1" width="50" customWidth="1"/>
    <col min="2" max="2" width="15.75" customWidth="1"/>
    <col min="3" max="3" width="11" customWidth="1"/>
    <col min="4" max="4" width="15.75" customWidth="1"/>
    <col min="5" max="5" width="6.125" customWidth="1"/>
    <col min="6" max="6" width="16" customWidth="1"/>
    <col min="7" max="7" width="11"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613</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556</v>
      </c>
      <c r="C8" s="114"/>
      <c r="D8" s="34"/>
      <c r="E8" s="2"/>
      <c r="F8" s="114" t="s">
        <v>206</v>
      </c>
      <c r="G8" s="114"/>
      <c r="H8" s="114"/>
      <c r="I8" s="114"/>
      <c r="J8" s="114"/>
      <c r="K8" s="114"/>
      <c r="L8" s="114"/>
    </row>
    <row r="9" spans="1:14" ht="16.5" thickBot="1">
      <c r="B9" s="247" t="s">
        <v>185</v>
      </c>
      <c r="C9" s="226" t="s">
        <v>169</v>
      </c>
      <c r="D9" s="226">
        <v>1999</v>
      </c>
      <c r="E9" s="2"/>
      <c r="F9" s="226">
        <v>1999</v>
      </c>
      <c r="G9" s="226" t="s">
        <v>169</v>
      </c>
      <c r="H9" s="226">
        <v>1998</v>
      </c>
      <c r="I9" s="226" t="s">
        <v>169</v>
      </c>
      <c r="J9" s="226">
        <v>1997</v>
      </c>
      <c r="K9" s="226" t="s">
        <v>169</v>
      </c>
      <c r="L9" s="226">
        <v>1996</v>
      </c>
    </row>
    <row r="10" spans="1:14">
      <c r="A10" t="s">
        <v>328</v>
      </c>
    </row>
    <row r="11" spans="1:14">
      <c r="A11" t="s">
        <v>329</v>
      </c>
      <c r="B11" s="16" t="s">
        <v>0</v>
      </c>
      <c r="C11" s="47" t="s">
        <v>0</v>
      </c>
      <c r="D11" s="16" t="s">
        <v>0</v>
      </c>
      <c r="E11" s="44" t="s">
        <v>0</v>
      </c>
      <c r="F11" s="16" t="s">
        <v>0</v>
      </c>
      <c r="G11" s="47" t="s">
        <v>0</v>
      </c>
      <c r="M11" s="43"/>
      <c r="N11" s="43"/>
    </row>
    <row r="12" spans="1:14">
      <c r="A12" t="s">
        <v>330</v>
      </c>
      <c r="B12" s="12">
        <f>+'CAPITALBKRÉSULT      '!R50</f>
        <v>22449</v>
      </c>
      <c r="C12" s="46">
        <f t="shared" ref="C12:C17" si="0">+(B12-D12)/ABS(D12)</f>
        <v>8.0941833590138679E-2</v>
      </c>
      <c r="D12" s="12">
        <f>+'CAPITALBKRÉSULT      '!T50</f>
        <v>20768</v>
      </c>
      <c r="E12" s="44"/>
      <c r="F12" s="12">
        <f>+'CAPITALBKRÉSULT      '!U50</f>
        <v>86353</v>
      </c>
      <c r="G12" s="46">
        <f t="shared" ref="G12:G17" si="1">+(F12-H12)/ABS(H12)</f>
        <v>0.20476363874809381</v>
      </c>
      <c r="H12" s="12">
        <v>71676.3</v>
      </c>
      <c r="I12" s="46">
        <f>+(H12-J12)/ABS(J12)</f>
        <v>0.4066560560179453</v>
      </c>
      <c r="J12" s="12">
        <v>50955.1</v>
      </c>
      <c r="K12" s="46">
        <f>+(J12-L12)/ABS(L12)</f>
        <v>0.24055616150205472</v>
      </c>
      <c r="L12" s="12">
        <v>41074.400000000001</v>
      </c>
      <c r="M12" s="43"/>
      <c r="N12" s="43"/>
    </row>
    <row r="13" spans="1:14">
      <c r="A13" t="s">
        <v>354</v>
      </c>
      <c r="B13" s="12">
        <f>+'CAPITALBKRÉSULT      '!R51</f>
        <v>2428</v>
      </c>
      <c r="C13" s="46">
        <f t="shared" si="0"/>
        <v>1.6799116997792494</v>
      </c>
      <c r="D13" s="12">
        <f>+'CAPITALBKRÉSULT      '!T51</f>
        <v>906</v>
      </c>
      <c r="E13" s="44"/>
      <c r="F13" s="12">
        <f>+'CAPITALBKRÉSULT      '!U51</f>
        <v>3419</v>
      </c>
      <c r="G13" s="43">
        <v>0</v>
      </c>
      <c r="H13" s="12">
        <v>746</v>
      </c>
      <c r="I13" s="43">
        <v>0</v>
      </c>
      <c r="J13" s="12">
        <v>0</v>
      </c>
      <c r="K13" s="43">
        <v>0</v>
      </c>
      <c r="L13" s="12">
        <v>0</v>
      </c>
      <c r="M13" s="43"/>
      <c r="N13" s="43"/>
    </row>
    <row r="14" spans="1:14">
      <c r="A14" t="s">
        <v>332</v>
      </c>
      <c r="B14" s="221">
        <f>+'CAPITALBKRÉSULT      '!R52</f>
        <v>2580</v>
      </c>
      <c r="C14" s="46">
        <f t="shared" si="0"/>
        <v>1.5318940137389598</v>
      </c>
      <c r="D14" s="240">
        <f>+'CAPITALBKRÉSULT      '!T52</f>
        <v>1019</v>
      </c>
      <c r="E14" s="44"/>
      <c r="F14" s="240">
        <f>+'CAPITALBKRÉSULT      '!U52</f>
        <v>5036</v>
      </c>
      <c r="G14" s="46">
        <f t="shared" si="1"/>
        <v>-0.25805881312982504</v>
      </c>
      <c r="H14" s="240">
        <v>6787.6</v>
      </c>
      <c r="I14" s="46">
        <f>+(H14-J14)/ABS(J14)</f>
        <v>0.29816776957502961</v>
      </c>
      <c r="J14" s="240">
        <v>5228.6000000000004</v>
      </c>
      <c r="K14" s="43">
        <v>0</v>
      </c>
      <c r="L14" s="240">
        <v>412</v>
      </c>
      <c r="M14" s="43"/>
      <c r="N14" s="43"/>
    </row>
    <row r="15" spans="1:14">
      <c r="B15" s="12">
        <f>SUM(B12:B14)</f>
        <v>27457</v>
      </c>
      <c r="C15" s="46">
        <f t="shared" si="0"/>
        <v>0.20993257832811879</v>
      </c>
      <c r="D15" s="12">
        <f>SUM(D12:D14)</f>
        <v>22693</v>
      </c>
      <c r="E15" s="44"/>
      <c r="F15" s="12">
        <f>SUM(F12:F14)</f>
        <v>94808</v>
      </c>
      <c r="G15" s="46">
        <f t="shared" si="1"/>
        <v>0.19692109193421517</v>
      </c>
      <c r="H15" s="12">
        <f>SUM(H12:H14)</f>
        <v>79209.900000000009</v>
      </c>
      <c r="I15" s="46">
        <f>+(H15-J15)/ABS(J15)</f>
        <v>0.40983772873627072</v>
      </c>
      <c r="J15" s="12">
        <f>SUM(J12:J14)</f>
        <v>56183.7</v>
      </c>
      <c r="K15" s="46">
        <f>+(J15-L15)/ABS(L15)</f>
        <v>0.35426790466273272</v>
      </c>
      <c r="L15" s="12">
        <f>SUM(L12:L14)</f>
        <v>41486.400000000001</v>
      </c>
      <c r="M15" s="43"/>
      <c r="N15" s="43"/>
    </row>
    <row r="16" spans="1:14">
      <c r="A16" t="s">
        <v>333</v>
      </c>
      <c r="B16" s="240">
        <f>+'CAPITALBKRÉSULT      '!R54</f>
        <v>9329</v>
      </c>
      <c r="C16" s="46">
        <f t="shared" si="0"/>
        <v>0.30147879464285715</v>
      </c>
      <c r="D16" s="240">
        <f>+'CAPITALBKRÉSULT      '!T54</f>
        <v>7168</v>
      </c>
      <c r="E16" s="44" t="s">
        <v>0</v>
      </c>
      <c r="F16" s="240">
        <f>+'CAPITALBKRÉSULT      '!U54</f>
        <v>29621</v>
      </c>
      <c r="G16" s="46">
        <f t="shared" si="1"/>
        <v>0.10670651970857463</v>
      </c>
      <c r="H16" s="240">
        <v>26765</v>
      </c>
      <c r="I16" s="46">
        <f>+(H16-J16)/ABS(J16)</f>
        <v>0.57236768671315541</v>
      </c>
      <c r="J16" s="240">
        <v>17022.099999999999</v>
      </c>
      <c r="K16" s="46">
        <f>+(J16-L16)/ABS(L16)</f>
        <v>0.12206746076214704</v>
      </c>
      <c r="L16" s="240">
        <v>15170.3</v>
      </c>
      <c r="M16" s="43"/>
      <c r="N16" s="43"/>
    </row>
    <row r="17" spans="1:14" s="209" customFormat="1">
      <c r="B17" s="16">
        <f>+B15-B16</f>
        <v>18128</v>
      </c>
      <c r="C17" s="46">
        <f t="shared" si="0"/>
        <v>0.16766505636070853</v>
      </c>
      <c r="D17" s="16">
        <f>+D15-D16</f>
        <v>15525</v>
      </c>
      <c r="E17" s="44" t="s">
        <v>0</v>
      </c>
      <c r="F17" s="16">
        <f>+F15-F16</f>
        <v>65187</v>
      </c>
      <c r="G17" s="46">
        <f t="shared" si="1"/>
        <v>0.24296166071438766</v>
      </c>
      <c r="H17" s="16">
        <f>+H15-H16</f>
        <v>52444.900000000009</v>
      </c>
      <c r="I17" s="46">
        <f>+(H17-J17)/ABS(J17)</f>
        <v>0.3391919635561369</v>
      </c>
      <c r="J17" s="16">
        <f>+J15-J16</f>
        <v>39161.599999999999</v>
      </c>
      <c r="K17" s="46">
        <f>+(J17-L17)/ABS(L17)</f>
        <v>0.48812324014576608</v>
      </c>
      <c r="L17" s="16">
        <f>+L15-L16</f>
        <v>26316.100000000002</v>
      </c>
      <c r="M17" s="44"/>
      <c r="N17" s="44"/>
    </row>
    <row r="18" spans="1:14">
      <c r="B18" s="12"/>
      <c r="C18" s="46"/>
      <c r="D18" s="12"/>
      <c r="E18" s="44"/>
      <c r="F18" s="12"/>
      <c r="G18" s="46"/>
      <c r="H18" s="12"/>
      <c r="I18" s="46"/>
      <c r="J18" s="12"/>
      <c r="K18" s="46"/>
      <c r="L18" s="12"/>
      <c r="M18" s="43"/>
      <c r="N18" s="43"/>
    </row>
    <row r="19" spans="1:14">
      <c r="A19" t="s">
        <v>334</v>
      </c>
      <c r="B19" s="12"/>
      <c r="C19" s="46"/>
      <c r="D19" s="12"/>
      <c r="E19" s="44" t="s">
        <v>0</v>
      </c>
      <c r="F19" s="12"/>
      <c r="G19" s="46"/>
      <c r="H19" s="12"/>
      <c r="I19" s="46"/>
      <c r="J19" s="12"/>
      <c r="K19" s="46"/>
      <c r="L19" s="12"/>
      <c r="M19" s="43"/>
      <c r="N19" s="43"/>
    </row>
    <row r="20" spans="1:14">
      <c r="A20" t="s">
        <v>335</v>
      </c>
      <c r="B20" s="12">
        <f>+'CAPITALBKRÉSULT      '!R58</f>
        <v>2592</v>
      </c>
      <c r="C20" s="46">
        <f>+(B20-D20)/ABS(D20)</f>
        <v>1.5263157894736843</v>
      </c>
      <c r="D20" s="12">
        <f>+'CAPITALBKRÉSULT      '!T58</f>
        <v>1026</v>
      </c>
      <c r="E20" s="44" t="s">
        <v>0</v>
      </c>
      <c r="F20" s="12">
        <f>+'CAPITALBKRÉSULT      '!U58</f>
        <v>6197</v>
      </c>
      <c r="G20" s="46">
        <f>+(F20-H20)/ABS(H20)</f>
        <v>0.37512481970487072</v>
      </c>
      <c r="H20" s="12">
        <v>4506.5</v>
      </c>
      <c r="I20" s="46">
        <f>+(H20-J20)/ABS(J20)</f>
        <v>0.70881996056423491</v>
      </c>
      <c r="J20" s="12">
        <v>2637.2</v>
      </c>
      <c r="K20" s="46">
        <f>+(J20-L20)/ABS(L20)</f>
        <v>0.48700310121229196</v>
      </c>
      <c r="L20" s="12">
        <v>1773.5</v>
      </c>
      <c r="M20" s="43"/>
      <c r="N20" s="43"/>
    </row>
    <row r="21" spans="1:14">
      <c r="A21" t="s">
        <v>336</v>
      </c>
      <c r="B21" s="12">
        <f>+'CAPITALBKRÉSULT      '!R59</f>
        <v>704</v>
      </c>
      <c r="C21" s="46">
        <f>+(B21-D21)/ABS(D21)</f>
        <v>-0.6217087587318646</v>
      </c>
      <c r="D21" s="12">
        <f>+'CAPITALBKRÉSULT      '!T59</f>
        <v>1861</v>
      </c>
      <c r="E21" s="44" t="s">
        <v>0</v>
      </c>
      <c r="F21" s="12">
        <f>+'CAPITALBKRÉSULT      '!U59</f>
        <v>7436</v>
      </c>
      <c r="G21" s="46">
        <f>+(F21-H21)/ABS(H21)</f>
        <v>0.49053880692751761</v>
      </c>
      <c r="H21" s="12">
        <v>4988.8</v>
      </c>
      <c r="I21" s="46">
        <f>+(H21-J21)/ABS(J21)</f>
        <v>0.96703729989748466</v>
      </c>
      <c r="J21" s="12">
        <v>2536.1999999999998</v>
      </c>
      <c r="K21" s="43">
        <v>0</v>
      </c>
      <c r="L21" s="12">
        <v>1916.1</v>
      </c>
      <c r="M21" s="43"/>
      <c r="N21" s="43"/>
    </row>
    <row r="22" spans="1:14">
      <c r="A22" t="s">
        <v>284</v>
      </c>
      <c r="B22" s="240">
        <f>+'CAPITALBKRÉSULT      '!R60</f>
        <v>2970</v>
      </c>
      <c r="C22" s="46">
        <f>+(B22-D22)/ABS(D22)</f>
        <v>21.625</v>
      </c>
      <c r="D22" s="240">
        <f>+'CAPITALBKRÉSULT      '!T60</f>
        <v>-144</v>
      </c>
      <c r="E22" s="44" t="s">
        <v>0</v>
      </c>
      <c r="F22" s="240">
        <f>+'CAPITALBKRÉSULT      '!U60</f>
        <v>3683</v>
      </c>
      <c r="G22" s="46">
        <f>+(F22-H22)/ABS(H22)</f>
        <v>7.2969137193061506</v>
      </c>
      <c r="H22" s="240">
        <v>443.9</v>
      </c>
      <c r="I22" s="46">
        <f>+(H22-J22)/ABS(J22)</f>
        <v>-0.6146366872124317</v>
      </c>
      <c r="J22" s="240">
        <v>1151.9000000000001</v>
      </c>
      <c r="K22" s="46">
        <f>+(J22-L22)/ABS(L22)</f>
        <v>-0.66806904302221715</v>
      </c>
      <c r="L22" s="240">
        <v>3470.3</v>
      </c>
      <c r="M22" s="43"/>
      <c r="N22" s="43"/>
    </row>
    <row r="23" spans="1:14" s="209" customFormat="1">
      <c r="B23" s="16">
        <f>SUM(B20:B22)</f>
        <v>6266</v>
      </c>
      <c r="C23" s="46">
        <f>+(B23-D23)/ABS(D23)</f>
        <v>1.2843601895734598</v>
      </c>
      <c r="D23" s="16">
        <f>SUM(D20:D22)</f>
        <v>2743</v>
      </c>
      <c r="E23" s="44" t="s">
        <v>0</v>
      </c>
      <c r="F23" s="16">
        <f>SUM(F20:F22)</f>
        <v>17316</v>
      </c>
      <c r="G23" s="46">
        <f>+(F23-H23)/ABS(H23)</f>
        <v>0.7421925305859628</v>
      </c>
      <c r="H23" s="16">
        <f>SUM(H20:H22)</f>
        <v>9939.1999999999989</v>
      </c>
      <c r="I23" s="46">
        <f>+(H23-J23)/ABS(J23)</f>
        <v>0.57134048977914087</v>
      </c>
      <c r="J23" s="16">
        <f>SUM(J20:J22)</f>
        <v>6325.2999999999993</v>
      </c>
      <c r="K23" s="46">
        <f>+(J23-L23)/ABS(L23)</f>
        <v>-0.11656587382505348</v>
      </c>
      <c r="L23" s="16">
        <f>SUM(L20:L22)</f>
        <v>7159.9</v>
      </c>
      <c r="M23" s="44"/>
      <c r="N23" s="44"/>
    </row>
    <row r="24" spans="1:14">
      <c r="B24" s="240"/>
      <c r="C24" s="46"/>
      <c r="D24" s="240"/>
      <c r="E24" s="44"/>
      <c r="F24" s="240"/>
      <c r="G24" s="46"/>
      <c r="H24" s="240"/>
      <c r="I24" s="46"/>
      <c r="J24" s="240"/>
      <c r="K24" s="46"/>
      <c r="L24" s="240"/>
      <c r="M24" s="43"/>
      <c r="N24" s="43"/>
    </row>
    <row r="25" spans="1:14" s="209" customFormat="1">
      <c r="A25" s="209" t="s">
        <v>337</v>
      </c>
      <c r="B25" s="16">
        <f>+B17+B23</f>
        <v>24394</v>
      </c>
      <c r="C25" s="46">
        <f>+(B25-D25)/ABS(D25)</f>
        <v>0.33534048609590539</v>
      </c>
      <c r="D25" s="16">
        <f>+D17+D23</f>
        <v>18268</v>
      </c>
      <c r="E25" s="44" t="s">
        <v>0</v>
      </c>
      <c r="F25" s="16">
        <f>+F17+F23</f>
        <v>82503</v>
      </c>
      <c r="G25" s="46">
        <f>+(F25-H25)/ABS(H25)</f>
        <v>0.32250044482488316</v>
      </c>
      <c r="H25" s="16">
        <f>+H17+H23</f>
        <v>62384.100000000006</v>
      </c>
      <c r="I25" s="46">
        <f>+(H25-J25)/ABS(J25)</f>
        <v>0.37147398481760713</v>
      </c>
      <c r="J25" s="16">
        <f>+J17+J23</f>
        <v>45486.899999999994</v>
      </c>
      <c r="K25" s="46">
        <f>+(J25-L25)/ABS(L25)</f>
        <v>0.35879137292388558</v>
      </c>
      <c r="L25" s="16">
        <f>+L17+L23</f>
        <v>33476</v>
      </c>
      <c r="M25" s="44"/>
      <c r="N25" s="44"/>
    </row>
    <row r="26" spans="1:14">
      <c r="B26" s="12"/>
      <c r="C26" s="46"/>
      <c r="D26" s="12"/>
      <c r="E26" s="44" t="s">
        <v>0</v>
      </c>
      <c r="F26" s="12"/>
      <c r="G26" s="46"/>
      <c r="H26" s="12"/>
      <c r="I26" s="46"/>
      <c r="J26" s="12"/>
      <c r="K26" s="46"/>
      <c r="L26" s="12"/>
      <c r="M26" s="43"/>
      <c r="N26" s="43"/>
    </row>
    <row r="27" spans="1:14">
      <c r="A27" t="s">
        <v>618</v>
      </c>
      <c r="B27" s="12">
        <f>+'CAPITALBKRÉSULT      '!R65</f>
        <v>750</v>
      </c>
      <c r="C27" s="46">
        <f>+(B27-D27)/ABS(D27)</f>
        <v>1.5</v>
      </c>
      <c r="D27" s="12">
        <f>+'CAPITALBKRÉSULT      '!T65</f>
        <v>300</v>
      </c>
      <c r="E27" s="44" t="s">
        <v>0</v>
      </c>
      <c r="F27" s="12">
        <f>+'CAPITALBKRÉSULT      '!U65</f>
        <v>2000</v>
      </c>
      <c r="G27" s="43">
        <v>0</v>
      </c>
      <c r="H27" s="12">
        <v>798</v>
      </c>
      <c r="I27" s="43">
        <v>0</v>
      </c>
      <c r="J27" s="12">
        <v>0</v>
      </c>
      <c r="K27" s="43">
        <v>0</v>
      </c>
      <c r="L27" s="12">
        <v>0</v>
      </c>
      <c r="M27" s="43"/>
      <c r="N27" s="43"/>
    </row>
    <row r="28" spans="1:14">
      <c r="B28" s="12"/>
      <c r="C28" s="46"/>
      <c r="D28" s="12"/>
      <c r="E28" s="44" t="s">
        <v>0</v>
      </c>
      <c r="F28" s="12"/>
      <c r="G28" s="46"/>
      <c r="H28" s="12"/>
      <c r="I28" s="46"/>
      <c r="J28" s="12"/>
      <c r="K28" s="46"/>
      <c r="L28" s="12"/>
      <c r="M28" s="43"/>
      <c r="N28" s="43"/>
    </row>
    <row r="29" spans="1:14">
      <c r="A29" t="s">
        <v>339</v>
      </c>
      <c r="B29" s="240"/>
      <c r="C29" s="46"/>
      <c r="D29" s="240"/>
      <c r="E29" s="44" t="s">
        <v>0</v>
      </c>
      <c r="F29" s="240"/>
      <c r="G29" s="46"/>
      <c r="H29" s="240"/>
      <c r="I29" s="46"/>
      <c r="J29" s="240"/>
      <c r="K29" s="46"/>
      <c r="L29" s="240"/>
      <c r="M29" s="43"/>
      <c r="N29" s="43"/>
    </row>
    <row r="30" spans="1:14" s="209" customFormat="1">
      <c r="A30" s="209" t="s">
        <v>340</v>
      </c>
      <c r="B30" s="16">
        <f>+B25-B27</f>
        <v>23644</v>
      </c>
      <c r="C30" s="46">
        <f>+(B30-D30)/ABS(D30)</f>
        <v>0.31589492430988425</v>
      </c>
      <c r="D30" s="16">
        <f>+D25-D27</f>
        <v>17968</v>
      </c>
      <c r="E30" s="44" t="s">
        <v>0</v>
      </c>
      <c r="F30" s="16">
        <f>+F25-F27</f>
        <v>80503</v>
      </c>
      <c r="G30" s="46">
        <f>+(F30-H30)/ABS(H30)</f>
        <v>0.30716184333802582</v>
      </c>
      <c r="H30" s="16">
        <f>+H25-H27</f>
        <v>61586.100000000006</v>
      </c>
      <c r="I30" s="46">
        <f>+(H30-J30)/ABS(J30)</f>
        <v>0.35393047228982438</v>
      </c>
      <c r="J30" s="16">
        <f>+J25-J27</f>
        <v>45486.899999999994</v>
      </c>
      <c r="K30" s="46">
        <f>+(J30-L30)/ABS(L30)</f>
        <v>0.35879137292388558</v>
      </c>
      <c r="L30" s="16">
        <f>+L25-L27</f>
        <v>33476</v>
      </c>
      <c r="M30" s="44"/>
      <c r="N30" s="44"/>
    </row>
    <row r="31" spans="1:14">
      <c r="B31" s="12"/>
      <c r="C31" s="46"/>
      <c r="D31" s="12"/>
      <c r="E31" s="44" t="s">
        <v>0</v>
      </c>
      <c r="F31" s="12"/>
      <c r="G31" s="46"/>
      <c r="H31" s="12"/>
      <c r="I31" s="46"/>
      <c r="J31" s="12"/>
      <c r="K31" s="46"/>
      <c r="L31" s="12"/>
      <c r="M31" s="43"/>
      <c r="N31" s="43"/>
    </row>
    <row r="32" spans="1:14">
      <c r="A32" t="s">
        <v>341</v>
      </c>
      <c r="B32" s="12"/>
      <c r="C32" s="46"/>
      <c r="D32" s="12"/>
      <c r="E32" s="44" t="s">
        <v>0</v>
      </c>
      <c r="F32" s="12"/>
      <c r="G32" s="46"/>
      <c r="H32" s="12"/>
      <c r="I32" s="46"/>
      <c r="J32" s="12"/>
      <c r="K32" s="46"/>
      <c r="L32" s="12"/>
      <c r="M32" s="43"/>
      <c r="N32" s="43"/>
    </row>
    <row r="33" spans="1:14">
      <c r="A33" t="s">
        <v>342</v>
      </c>
      <c r="B33" s="12">
        <f>+'CAPITALBKRÉSULT      '!R71</f>
        <v>7604</v>
      </c>
      <c r="C33" s="46">
        <f>+(B33-D33)/ABS(D33)</f>
        <v>0.38329998180825903</v>
      </c>
      <c r="D33" s="12">
        <f>+'CAPITALBKRÉSULT      '!T71</f>
        <v>5497</v>
      </c>
      <c r="E33" s="44" t="s">
        <v>0</v>
      </c>
      <c r="F33" s="12">
        <f>+'CAPITALBKRÉSULT      '!U71</f>
        <v>24647</v>
      </c>
      <c r="G33" s="46">
        <f>+(F33-H33)/ABS(H33)</f>
        <v>0.58610748231902343</v>
      </c>
      <c r="H33" s="12">
        <v>15539.3</v>
      </c>
      <c r="I33" s="46">
        <f>+(H33-J33)/ABS(J33)</f>
        <v>0.50009170857909624</v>
      </c>
      <c r="J33" s="12">
        <v>10358.9</v>
      </c>
      <c r="K33" s="46">
        <f>+(J33-L33)/ABS(L33)</f>
        <v>0.28421953063982242</v>
      </c>
      <c r="L33" s="12">
        <v>8066.3</v>
      </c>
      <c r="M33" s="43"/>
      <c r="N33" s="43"/>
    </row>
    <row r="34" spans="1:14">
      <c r="A34" t="s">
        <v>343</v>
      </c>
      <c r="B34" s="12">
        <f>+'CAPITALBKRÉSULT      '!R72</f>
        <v>1083</v>
      </c>
      <c r="C34" s="46">
        <f>+(B34-D34)/ABS(D34)</f>
        <v>0.78418451400329492</v>
      </c>
      <c r="D34" s="12">
        <f>+'CAPITALBKRÉSULT      '!T72</f>
        <v>607</v>
      </c>
      <c r="E34" s="44" t="s">
        <v>0</v>
      </c>
      <c r="F34" s="12">
        <f>+'CAPITALBKRÉSULT      '!U72</f>
        <v>4388</v>
      </c>
      <c r="G34" s="46">
        <f>+(F34-H34)/ABS(H34)</f>
        <v>0.80131362889983582</v>
      </c>
      <c r="H34" s="12">
        <v>2436</v>
      </c>
      <c r="I34" s="46">
        <f>+(H34-J34)/ABS(J34)</f>
        <v>0.27419186107333404</v>
      </c>
      <c r="J34" s="12">
        <v>1911.8</v>
      </c>
      <c r="K34" s="46">
        <f>+(J34-L34)/ABS(L34)</f>
        <v>0.19884617796450738</v>
      </c>
      <c r="L34" s="12">
        <v>1594.7</v>
      </c>
      <c r="M34" s="43"/>
      <c r="N34" s="43"/>
    </row>
    <row r="35" spans="1:14">
      <c r="A35" t="s">
        <v>344</v>
      </c>
      <c r="B35" s="12">
        <f>+'CAPITALBKRÉSULT      '!R73</f>
        <v>3071</v>
      </c>
      <c r="C35" s="46">
        <f>+(B35-D35)/ABS(D35)</f>
        <v>0.25142624286878568</v>
      </c>
      <c r="D35" s="12">
        <f>+'CAPITALBKRÉSULT      '!T73</f>
        <v>2454</v>
      </c>
      <c r="E35" s="44" t="s">
        <v>0</v>
      </c>
      <c r="F35" s="12">
        <f>+'CAPITALBKRÉSULT      '!U73</f>
        <v>10906</v>
      </c>
      <c r="G35" s="46">
        <f>+(F35-H35)/ABS(H35)</f>
        <v>0.97129636324199276</v>
      </c>
      <c r="H35" s="12">
        <v>5532.4</v>
      </c>
      <c r="I35" s="46">
        <f>+(H35-J35)/ABS(J35)</f>
        <v>0.3573443901960302</v>
      </c>
      <c r="J35" s="12">
        <v>4075.9</v>
      </c>
      <c r="K35" s="46">
        <f>+(J35-L35)/ABS(L35)</f>
        <v>0.54735962947496308</v>
      </c>
      <c r="L35" s="12">
        <v>2634.1</v>
      </c>
      <c r="M35" s="43"/>
      <c r="N35" s="43"/>
    </row>
    <row r="36" spans="1:14">
      <c r="A36" t="s">
        <v>345</v>
      </c>
      <c r="B36" s="240">
        <f>+'CAPITALBKRÉSULT      '!R74</f>
        <v>7574</v>
      </c>
      <c r="C36" s="46">
        <f>+(B36-D36)/ABS(D36)</f>
        <v>0.41888347695766204</v>
      </c>
      <c r="D36" s="240">
        <f>+'CAPITALBKRÉSULT      '!T74</f>
        <v>5338</v>
      </c>
      <c r="E36" s="44" t="s">
        <v>0</v>
      </c>
      <c r="F36" s="240">
        <f>+'CAPITALBKRÉSULT      '!U74</f>
        <v>27705</v>
      </c>
      <c r="G36" s="46">
        <f>+(F36-H36)/ABS(H36)</f>
        <v>0.29066972271914143</v>
      </c>
      <c r="H36" s="240">
        <v>21465.599999999999</v>
      </c>
      <c r="I36" s="46">
        <f>+(H36-J36)/ABS(J36)</f>
        <v>0.89306029579067103</v>
      </c>
      <c r="J36" s="240">
        <v>11339.1</v>
      </c>
      <c r="K36" s="46">
        <f>+(J36-L36)/ABS(L36)</f>
        <v>0.34957153058795531</v>
      </c>
      <c r="L36" s="240">
        <v>8402</v>
      </c>
      <c r="M36" s="43"/>
      <c r="N36" s="43"/>
    </row>
    <row r="37" spans="1:14" s="209" customFormat="1">
      <c r="B37" s="16">
        <f>SUM(B33:B36)</f>
        <v>19332</v>
      </c>
      <c r="C37" s="46">
        <f>+(B37-D37)/ABS(D37)</f>
        <v>0.39119170984455959</v>
      </c>
      <c r="D37" s="16">
        <f>SUM(D33:D36)</f>
        <v>13896</v>
      </c>
      <c r="E37" s="44" t="s">
        <v>0</v>
      </c>
      <c r="F37" s="16">
        <f>SUM(F33:F36)</f>
        <v>67646</v>
      </c>
      <c r="G37" s="46">
        <f>+(F37-H37)/ABS(H37)</f>
        <v>0.50413689900452063</v>
      </c>
      <c r="H37" s="16">
        <f>SUM(H33:H36)</f>
        <v>44973.299999999996</v>
      </c>
      <c r="I37" s="46">
        <f>+(H37-J37)/ABS(J37)</f>
        <v>0.62442343881498397</v>
      </c>
      <c r="J37" s="16">
        <f>SUM(J33:J36)</f>
        <v>27685.699999999997</v>
      </c>
      <c r="K37" s="46">
        <f>+(J37-L37)/ABS(L37)</f>
        <v>0.3376608317107227</v>
      </c>
      <c r="L37" s="16">
        <f>SUM(L33:L36)</f>
        <v>20697.099999999999</v>
      </c>
      <c r="M37" s="44"/>
      <c r="N37" s="44"/>
    </row>
    <row r="38" spans="1:14">
      <c r="B38" s="249"/>
      <c r="C38" s="112"/>
      <c r="D38" s="249"/>
      <c r="E38" s="42"/>
      <c r="F38" s="249"/>
      <c r="G38" s="112"/>
      <c r="H38" s="249"/>
      <c r="I38" s="112"/>
      <c r="J38" s="249"/>
      <c r="K38" s="112"/>
      <c r="L38" s="249"/>
      <c r="M38" s="43"/>
      <c r="N38" s="43"/>
    </row>
    <row r="39" spans="1:14" s="209" customFormat="1">
      <c r="A39" s="209" t="s">
        <v>346</v>
      </c>
      <c r="B39" s="16">
        <f>+B30-B37</f>
        <v>4312</v>
      </c>
      <c r="C39" s="46">
        <f>+(B39-D39)/ABS(D39)</f>
        <v>5.8939096267190572E-2</v>
      </c>
      <c r="D39" s="16">
        <f>+D30-D37</f>
        <v>4072</v>
      </c>
      <c r="E39" s="44" t="s">
        <v>0</v>
      </c>
      <c r="F39" s="16">
        <f>+F30-F37</f>
        <v>12857</v>
      </c>
      <c r="G39" s="46">
        <f>+(F39-H39)/ABS(H39)</f>
        <v>-0.22607868631416786</v>
      </c>
      <c r="H39" s="16">
        <f>+H30-H37</f>
        <v>16612.80000000001</v>
      </c>
      <c r="I39" s="46">
        <f>+(H39-J39)/ABS(J39)</f>
        <v>-6.6759544300383514E-2</v>
      </c>
      <c r="J39" s="16">
        <f>+J30-J37</f>
        <v>17801.199999999997</v>
      </c>
      <c r="K39" s="46">
        <f>+(J39-L39)/ABS(L39)</f>
        <v>0.39301504824358863</v>
      </c>
      <c r="L39" s="16">
        <f>+L30-L37</f>
        <v>12778.900000000001</v>
      </c>
      <c r="M39" s="44"/>
      <c r="N39" s="44"/>
    </row>
    <row r="40" spans="1:14">
      <c r="B40" s="12"/>
      <c r="C40" s="46"/>
      <c r="D40" s="12"/>
      <c r="E40" s="44" t="s">
        <v>0</v>
      </c>
      <c r="F40" s="12"/>
      <c r="G40" s="46"/>
      <c r="H40" s="12"/>
      <c r="I40" s="46"/>
      <c r="J40" s="12"/>
      <c r="K40" s="46"/>
      <c r="L40" s="12"/>
      <c r="M40" s="43"/>
      <c r="N40" s="43"/>
    </row>
    <row r="41" spans="1:14">
      <c r="A41" t="s">
        <v>347</v>
      </c>
      <c r="B41" s="12">
        <f>+'CAPITALBKRÉSULT      '!R79</f>
        <v>0</v>
      </c>
      <c r="C41" s="43">
        <v>0</v>
      </c>
      <c r="D41" s="12">
        <f>+'CAPITALBKRÉSULT      '!T79</f>
        <v>1011</v>
      </c>
      <c r="E41" s="44" t="s">
        <v>0</v>
      </c>
      <c r="F41" s="12">
        <f>+'CAPITALBKRÉSULT      '!U79</f>
        <v>1737</v>
      </c>
      <c r="G41" s="46">
        <f>+(F41-H41)/ABS(H41)</f>
        <v>-0.57110052100051856</v>
      </c>
      <c r="H41" s="12">
        <v>4049.9</v>
      </c>
      <c r="I41" s="46">
        <f>+(H41-J41)/ABS(J41)</f>
        <v>-2.8987244653303944E-2</v>
      </c>
      <c r="J41" s="12">
        <v>4170.8</v>
      </c>
      <c r="K41" s="46">
        <f>+(J41-L41)/ABS(L41)</f>
        <v>0.48612150365223594</v>
      </c>
      <c r="L41" s="12">
        <v>2806.5</v>
      </c>
      <c r="M41" s="43"/>
      <c r="N41" s="43"/>
    </row>
    <row r="42" spans="1:14" ht="16.5" thickBot="1">
      <c r="B42" s="76"/>
      <c r="C42" s="46"/>
      <c r="D42" s="76"/>
      <c r="E42" s="44" t="s">
        <v>0</v>
      </c>
      <c r="F42" s="76"/>
      <c r="G42" s="46"/>
      <c r="H42" s="76"/>
      <c r="I42" s="46"/>
      <c r="J42" s="76"/>
      <c r="K42" s="46"/>
      <c r="L42" s="76"/>
      <c r="M42" s="43"/>
      <c r="N42" s="43"/>
    </row>
    <row r="43" spans="1:14">
      <c r="A43" s="2" t="s">
        <v>359</v>
      </c>
      <c r="B43" s="4">
        <f>+B39-B41</f>
        <v>4312</v>
      </c>
      <c r="C43" s="112">
        <f>+(B43-D43)/ABS(D43)</f>
        <v>0.40868997059784384</v>
      </c>
      <c r="D43" s="4">
        <f>+D39-D41</f>
        <v>3061</v>
      </c>
      <c r="E43" s="42" t="s">
        <v>0</v>
      </c>
      <c r="F43" s="4">
        <f>+F39-F41</f>
        <v>11120</v>
      </c>
      <c r="G43" s="112">
        <f>+(F43-H43)/ABS(H43)</f>
        <v>-0.11485405439826867</v>
      </c>
      <c r="H43" s="4">
        <f>+H39-H41</f>
        <v>12562.900000000011</v>
      </c>
      <c r="I43" s="112">
        <f>+(H43-J43)/ABS(J43)</f>
        <v>-7.8317584223499492E-2</v>
      </c>
      <c r="J43" s="4">
        <f>+J39-J41</f>
        <v>13630.399999999998</v>
      </c>
      <c r="K43" s="112">
        <f>+(J43-L43)/ABS(L43)</f>
        <v>0.36681240223015482</v>
      </c>
      <c r="L43" s="4">
        <f>+L39-L41</f>
        <v>9972.4000000000015</v>
      </c>
      <c r="M43" s="43"/>
      <c r="N43" s="43"/>
    </row>
    <row r="44" spans="1:14">
      <c r="E44" t="s">
        <v>0</v>
      </c>
    </row>
    <row r="45" spans="1:14">
      <c r="E45" t="s">
        <v>0</v>
      </c>
    </row>
  </sheetData>
  <pageMargins left="0.28999999999999998" right="0.25" top="0.5" bottom="0.75" header="0.34" footer="0.5"/>
  <pageSetup scale="62" orientation="landscape" r:id="rId1"/>
  <headerFooter alignWithMargins="0">
    <oddFooter>&amp;R&amp;P</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4"/>
  <sheetViews>
    <sheetView workbookViewId="0"/>
  </sheetViews>
  <sheetFormatPr defaultRowHeight="15.75"/>
  <cols>
    <col min="1" max="1" width="33.5" customWidth="1"/>
    <col min="2" max="2" width="14.875" customWidth="1"/>
    <col min="3" max="3" width="12.75" customWidth="1"/>
    <col min="4" max="4" width="14" customWidth="1"/>
    <col min="5" max="5" width="14.625" customWidth="1"/>
    <col min="6" max="6" width="14.75" customWidth="1"/>
    <col min="7" max="7" width="11" customWidth="1"/>
    <col min="8" max="8" width="14.75" customWidth="1"/>
    <col min="9" max="9" width="12.75" customWidth="1"/>
    <col min="10" max="10" width="13.75" customWidth="1"/>
    <col min="11" max="11" width="13.25" customWidth="1"/>
    <col min="12" max="12" width="14.5" customWidth="1"/>
    <col min="13" max="13" width="11" customWidth="1"/>
    <col min="14" max="14" width="14.25" customWidth="1"/>
    <col min="15" max="15" width="14" customWidth="1"/>
    <col min="16" max="16" width="13.75" customWidth="1"/>
    <col min="17" max="17" width="10.5" customWidth="1"/>
    <col min="18" max="18" width="15.125" customWidth="1"/>
    <col min="19" max="19" width="9.75" customWidth="1"/>
    <col min="20" max="20" width="15.875" customWidth="1"/>
    <col min="21" max="256" width="11" customWidth="1"/>
  </cols>
  <sheetData>
    <row r="1" spans="1:27">
      <c r="A1" s="114" t="s">
        <v>619</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166</v>
      </c>
      <c r="J4" s="175" t="s">
        <v>167</v>
      </c>
      <c r="K4" s="176"/>
      <c r="L4" s="176"/>
      <c r="M4" s="176"/>
      <c r="N4" s="176"/>
      <c r="O4" s="176"/>
      <c r="P4" s="176"/>
    </row>
    <row r="5" spans="1:27" ht="16.5" thickBot="1">
      <c r="B5" s="174" t="s">
        <v>168</v>
      </c>
      <c r="C5" s="174" t="s">
        <v>169</v>
      </c>
      <c r="D5" s="173" t="s">
        <v>170</v>
      </c>
      <c r="E5" s="174" t="s">
        <v>169</v>
      </c>
      <c r="F5" s="173" t="s">
        <v>171</v>
      </c>
      <c r="G5" s="174" t="s">
        <v>169</v>
      </c>
      <c r="H5" s="174" t="s">
        <v>172</v>
      </c>
      <c r="I5" s="173" t="s">
        <v>173</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+cbnavar!B22</f>
        <v>1606782</v>
      </c>
      <c r="C11" s="43">
        <v>0</v>
      </c>
      <c r="D11" s="12">
        <f>+cbnavar!D22</f>
        <v>0</v>
      </c>
      <c r="E11" s="43">
        <v>0</v>
      </c>
      <c r="F11" s="43">
        <f>+cbnavar!F22</f>
        <v>0</v>
      </c>
      <c r="G11" s="43">
        <v>0</v>
      </c>
      <c r="H11" s="43">
        <f>+cbnavar!H22</f>
        <v>0</v>
      </c>
      <c r="I11" s="46">
        <f>+(-J11+B11)/ABS(J11)</f>
        <v>0.10523513680086284</v>
      </c>
      <c r="J11" s="12">
        <f>+cbnavar!J22</f>
        <v>1453792</v>
      </c>
      <c r="K11" s="46">
        <f>+(-L11+J11)/ABS(L11)</f>
        <v>0.31611933677649479</v>
      </c>
      <c r="L11" s="12">
        <f>+cbnavar!L22</f>
        <v>1104605</v>
      </c>
      <c r="M11" s="46">
        <f>+(-N11+L11)/ABS(N11)</f>
        <v>0.14965611428816469</v>
      </c>
      <c r="N11" s="12">
        <f>+cbnavar!N22</f>
        <v>960813.39999999991</v>
      </c>
      <c r="O11" s="46">
        <f>+(-P11+N11)/ABS(P11)</f>
        <v>0.33286170552022942</v>
      </c>
      <c r="P11" s="12">
        <f>+cbnavar!P22</f>
        <v>720865.03500000003</v>
      </c>
      <c r="Q11" s="43"/>
      <c r="R11" s="43"/>
      <c r="S11" s="43"/>
      <c r="T11" s="43"/>
      <c r="U11" s="43"/>
      <c r="V11" s="43"/>
      <c r="W11" s="43"/>
      <c r="X11" s="43"/>
      <c r="Y11" s="43"/>
      <c r="Z11" s="43"/>
      <c r="AA11" s="43"/>
    </row>
    <row r="12" spans="1:27">
      <c r="A12" t="s">
        <v>181</v>
      </c>
      <c r="B12" s="12">
        <f>+cbnavar!B17</f>
        <v>116970</v>
      </c>
      <c r="C12" s="43">
        <v>0</v>
      </c>
      <c r="D12" s="12">
        <f>+cbnavar!D17</f>
        <v>0</v>
      </c>
      <c r="E12" s="43">
        <v>0</v>
      </c>
      <c r="F12" s="12">
        <f>+cbnavar!F17</f>
        <v>0</v>
      </c>
      <c r="G12" s="43">
        <v>0</v>
      </c>
      <c r="H12" s="12">
        <f>+cbnavar!H17</f>
        <v>0</v>
      </c>
      <c r="I12" s="46">
        <f>+(-J12+B12)/ABS(J12)</f>
        <v>-0.34147041768239472</v>
      </c>
      <c r="J12" s="12">
        <f>+cbnavar!J17</f>
        <v>177623</v>
      </c>
      <c r="K12" s="43">
        <v>0</v>
      </c>
      <c r="L12" s="12">
        <v>0</v>
      </c>
      <c r="M12" s="43">
        <v>0</v>
      </c>
      <c r="N12" s="12">
        <v>0</v>
      </c>
      <c r="O12" s="43">
        <v>0</v>
      </c>
      <c r="P12" s="12">
        <v>0</v>
      </c>
      <c r="Q12" s="43"/>
      <c r="R12" s="43"/>
      <c r="S12" s="43"/>
      <c r="T12" s="43"/>
      <c r="U12" s="43"/>
      <c r="V12" s="43"/>
      <c r="W12" s="43"/>
      <c r="X12" s="43"/>
      <c r="Y12" s="43"/>
      <c r="Z12" s="43"/>
      <c r="AA12" s="43"/>
    </row>
    <row r="13" spans="1:27">
      <c r="A13" t="s">
        <v>182</v>
      </c>
      <c r="B13" s="12">
        <f>+cbnavar!B19</f>
        <v>729160</v>
      </c>
      <c r="C13" s="43">
        <v>0</v>
      </c>
      <c r="D13" s="12">
        <f>+cbnavar!D19</f>
        <v>0</v>
      </c>
      <c r="E13" s="43">
        <v>0</v>
      </c>
      <c r="F13" s="43">
        <f>+cbnavar!F19</f>
        <v>0</v>
      </c>
      <c r="G13" s="43">
        <v>0</v>
      </c>
      <c r="H13" s="43">
        <f>+cbnavar!H19</f>
        <v>0</v>
      </c>
      <c r="I13" s="46">
        <f>+(-J13+B13)/ABS(J13)</f>
        <v>-1.6557059543912084E-2</v>
      </c>
      <c r="J13" s="12">
        <f>+cbnavar!J19</f>
        <v>741436</v>
      </c>
      <c r="K13" s="46">
        <f>+(-L13+J13)/ABS(L13)</f>
        <v>0.13584604472387291</v>
      </c>
      <c r="L13" s="12">
        <f>+cbnavar!L19</f>
        <v>652761</v>
      </c>
      <c r="M13" s="46">
        <f>+(-N13+L13)/ABS(N13)</f>
        <v>0.43752566966866446</v>
      </c>
      <c r="N13" s="12">
        <f>+cbnavar!N19</f>
        <v>454086.5</v>
      </c>
      <c r="O13" s="46">
        <f>+(-P13+N13)/ABS(P13)</f>
        <v>0.1306720338689992</v>
      </c>
      <c r="P13" s="12">
        <f>+cbnavar!P19</f>
        <v>401607.61599999998</v>
      </c>
      <c r="Q13" s="43"/>
      <c r="R13" s="43"/>
      <c r="S13" s="43"/>
      <c r="T13" s="43"/>
      <c r="U13" s="43"/>
      <c r="V13" s="43"/>
      <c r="W13" s="43"/>
      <c r="X13" s="43"/>
      <c r="Y13" s="43"/>
      <c r="Z13" s="43"/>
      <c r="AA13" s="43"/>
    </row>
    <row r="14" spans="1:27">
      <c r="A14" t="s">
        <v>183</v>
      </c>
      <c r="B14" s="12">
        <f>+cbnavar!B29</f>
        <v>1360488</v>
      </c>
      <c r="C14" s="43">
        <v>0</v>
      </c>
      <c r="D14" s="12">
        <f>+cbnavar!D29</f>
        <v>0</v>
      </c>
      <c r="E14" s="43">
        <v>0</v>
      </c>
      <c r="F14" s="43">
        <f>+cbnavar!F29</f>
        <v>0</v>
      </c>
      <c r="G14" s="43">
        <v>0</v>
      </c>
      <c r="H14" s="43">
        <f>+cbnavar!H29</f>
        <v>0</v>
      </c>
      <c r="I14" s="46">
        <f>+(-J14+B14)/ABS(J14)</f>
        <v>0.12898696487786418</v>
      </c>
      <c r="J14" s="12">
        <f>+cbnavar!J29</f>
        <v>1205052</v>
      </c>
      <c r="K14" s="46">
        <f>+(-L14+J14)/ABS(L14)</f>
        <v>0.37785420759079152</v>
      </c>
      <c r="L14" s="12">
        <f>+cbnavar!L29</f>
        <v>874586</v>
      </c>
      <c r="M14" s="46">
        <f>+(-N14+L14)/ABS(N14)</f>
        <v>0.22236684814245772</v>
      </c>
      <c r="N14" s="12">
        <f>+cbnavar!N29</f>
        <v>715485.7</v>
      </c>
      <c r="O14" s="46">
        <f>+(-P14+N14)/ABS(P14)</f>
        <v>0.32427993671114697</v>
      </c>
      <c r="P14" s="12">
        <f>+cbnavar!P29</f>
        <v>540282.821</v>
      </c>
      <c r="Q14" s="43"/>
      <c r="R14" s="43"/>
      <c r="S14" s="43"/>
      <c r="T14" s="43"/>
      <c r="U14" s="43"/>
      <c r="V14" s="43"/>
      <c r="W14" s="43"/>
      <c r="X14" s="43"/>
      <c r="Y14" s="43"/>
      <c r="Z14" s="43"/>
      <c r="AA14" s="43"/>
    </row>
    <row r="15" spans="1:27">
      <c r="A15" t="s">
        <v>184</v>
      </c>
      <c r="B15" s="12">
        <f>+cbnavar!B51</f>
        <v>47353</v>
      </c>
      <c r="C15" s="43">
        <v>0</v>
      </c>
      <c r="D15" s="12">
        <f>+cbnavar!D51</f>
        <v>0</v>
      </c>
      <c r="E15" s="43">
        <v>0</v>
      </c>
      <c r="F15" s="43">
        <f>+cbnavar!F51</f>
        <v>0</v>
      </c>
      <c r="G15" s="43">
        <v>0</v>
      </c>
      <c r="H15" s="43">
        <f>+cbnavar!H51</f>
        <v>0</v>
      </c>
      <c r="I15" s="46">
        <f>+(-J15+B15)/ABS(J15)</f>
        <v>0.76551955557212636</v>
      </c>
      <c r="J15" s="12">
        <f>+cbnavar!J51</f>
        <v>26821</v>
      </c>
      <c r="K15" s="46">
        <f>+(-L15+J15)/ABS(L15)</f>
        <v>1.4786064134553183</v>
      </c>
      <c r="L15" s="12">
        <f>+cbnavar!L51</f>
        <v>10821</v>
      </c>
      <c r="M15" s="46">
        <f>+(-N15+L15)/ABS(N15)</f>
        <v>-2.4097689435616305E-2</v>
      </c>
      <c r="N15" s="12">
        <f>+cbnavar!N51</f>
        <v>11088.2</v>
      </c>
      <c r="O15" s="46">
        <f>+(-P15+N15)/ABS(P15)</f>
        <v>0.32615141845290635</v>
      </c>
      <c r="P15" s="12">
        <f>+cbnavar!P51</f>
        <v>8361.1869999999999</v>
      </c>
      <c r="Q15" s="43"/>
      <c r="R15" s="43"/>
      <c r="S15" s="43"/>
      <c r="T15" s="43"/>
      <c r="U15" s="43"/>
      <c r="V15" s="43"/>
      <c r="W15" s="43"/>
      <c r="X15" s="43"/>
      <c r="Y15" s="43"/>
      <c r="Z15" s="43"/>
      <c r="AA15" s="43"/>
    </row>
    <row r="16" spans="1:27">
      <c r="B16" s="12"/>
      <c r="C16" s="46"/>
      <c r="D16" s="43"/>
      <c r="E16" s="46"/>
      <c r="F16" s="43"/>
      <c r="G16" s="46"/>
      <c r="H16" s="43"/>
      <c r="I16" s="46"/>
      <c r="J16" s="12"/>
      <c r="K16" s="46"/>
      <c r="L16" s="12"/>
      <c r="M16" s="46"/>
      <c r="N16" s="12"/>
      <c r="O16" s="46"/>
      <c r="P16" s="12"/>
      <c r="Q16" s="43"/>
      <c r="R16" s="43"/>
      <c r="S16" s="43"/>
      <c r="T16" s="43"/>
      <c r="U16" s="43"/>
      <c r="V16" s="43"/>
      <c r="W16" s="43"/>
      <c r="X16" s="43"/>
      <c r="Y16" s="43"/>
      <c r="Z16" s="43"/>
      <c r="AA16" s="43"/>
    </row>
    <row r="17" spans="1:27" ht="16.5" thickBot="1">
      <c r="B17" s="76"/>
      <c r="C17" s="361"/>
      <c r="D17" s="187"/>
      <c r="E17" s="361"/>
      <c r="F17" s="187"/>
      <c r="G17" s="361"/>
      <c r="H17" s="187"/>
      <c r="I17" s="361"/>
      <c r="J17" s="76"/>
      <c r="K17" s="361"/>
      <c r="L17" s="76"/>
      <c r="M17" s="361"/>
      <c r="N17" s="76"/>
      <c r="O17" s="361"/>
      <c r="P17" s="76"/>
      <c r="Q17" s="43"/>
      <c r="R17" s="43"/>
      <c r="S17" s="43"/>
      <c r="T17" s="43"/>
      <c r="U17" s="43"/>
      <c r="V17" s="43"/>
      <c r="W17" s="43"/>
      <c r="X17" s="43"/>
      <c r="Y17" s="43"/>
      <c r="Z17" s="43"/>
      <c r="AA17" s="43"/>
    </row>
    <row r="18" spans="1:27">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row>
    <row r="19" spans="1:27">
      <c r="B19" s="51" t="s">
        <v>185</v>
      </c>
      <c r="C19" s="43"/>
      <c r="D19" s="51" t="s">
        <v>174</v>
      </c>
      <c r="E19" s="43"/>
      <c r="F19" s="51" t="s">
        <v>185</v>
      </c>
      <c r="G19" s="43"/>
      <c r="H19" s="51" t="s">
        <v>174</v>
      </c>
      <c r="I19" s="43"/>
      <c r="J19" s="51" t="s">
        <v>185</v>
      </c>
      <c r="K19" s="43"/>
      <c r="L19" s="51" t="s">
        <v>174</v>
      </c>
      <c r="M19" s="43"/>
      <c r="N19" s="51" t="s">
        <v>185</v>
      </c>
      <c r="O19" s="43"/>
      <c r="P19" s="51" t="s">
        <v>174</v>
      </c>
      <c r="Q19" s="43"/>
      <c r="R19" s="51" t="s">
        <v>185</v>
      </c>
      <c r="S19" s="43"/>
      <c r="T19" s="51" t="s">
        <v>174</v>
      </c>
      <c r="U19" s="43"/>
      <c r="V19" s="43"/>
      <c r="W19" s="43"/>
      <c r="X19" s="43"/>
      <c r="Y19" s="43"/>
      <c r="Z19" s="43"/>
      <c r="AA19" s="43"/>
    </row>
    <row r="20" spans="1:27">
      <c r="B20" s="50" t="s">
        <v>186</v>
      </c>
      <c r="C20" s="50" t="s">
        <v>169</v>
      </c>
      <c r="D20" s="50" t="s">
        <v>186</v>
      </c>
      <c r="E20" s="43"/>
      <c r="F20" s="50" t="s">
        <v>187</v>
      </c>
      <c r="G20" s="50" t="s">
        <v>169</v>
      </c>
      <c r="H20" s="50" t="s">
        <v>187</v>
      </c>
      <c r="I20" s="43"/>
      <c r="J20" s="50" t="s">
        <v>188</v>
      </c>
      <c r="K20" s="50" t="s">
        <v>169</v>
      </c>
      <c r="L20" s="50" t="s">
        <v>188</v>
      </c>
      <c r="M20" s="43"/>
      <c r="N20" s="50" t="s">
        <v>189</v>
      </c>
      <c r="O20" s="50" t="s">
        <v>169</v>
      </c>
      <c r="P20" s="50" t="s">
        <v>189</v>
      </c>
      <c r="Q20" s="43"/>
      <c r="R20" s="50" t="s">
        <v>190</v>
      </c>
      <c r="S20" s="50" t="s">
        <v>169</v>
      </c>
      <c r="T20" s="50" t="s">
        <v>190</v>
      </c>
      <c r="U20" s="43"/>
      <c r="V20" s="43"/>
      <c r="W20" s="43"/>
      <c r="X20" s="43"/>
      <c r="Y20" s="43"/>
      <c r="Z20" s="43"/>
      <c r="AA20" s="43"/>
    </row>
    <row r="21" spans="1:27" ht="16.5" thickBot="1">
      <c r="B21" s="326" t="s">
        <v>191</v>
      </c>
      <c r="C21" s="326"/>
      <c r="D21" s="326" t="s">
        <v>192</v>
      </c>
      <c r="E21" s="208"/>
      <c r="F21" s="326" t="s">
        <v>193</v>
      </c>
      <c r="G21" s="326"/>
      <c r="H21" s="326" t="s">
        <v>194</v>
      </c>
      <c r="I21" s="208"/>
      <c r="J21" s="326" t="s">
        <v>195</v>
      </c>
      <c r="K21" s="326"/>
      <c r="L21" s="326" t="s">
        <v>196</v>
      </c>
      <c r="M21" s="208"/>
      <c r="N21" s="326" t="s">
        <v>197</v>
      </c>
      <c r="O21" s="326"/>
      <c r="P21" s="326" t="s">
        <v>198</v>
      </c>
      <c r="Q21" s="208"/>
      <c r="R21" s="181" t="s">
        <v>199</v>
      </c>
      <c r="S21" s="326"/>
      <c r="T21" s="181" t="s">
        <v>200</v>
      </c>
      <c r="U21" s="43"/>
      <c r="V21" s="43"/>
      <c r="W21" s="43"/>
      <c r="X21" s="43"/>
      <c r="Y21" s="43"/>
      <c r="Z21" s="43"/>
      <c r="AA21" s="43"/>
    </row>
    <row r="22" spans="1:27">
      <c r="A22" s="2" t="s">
        <v>52</v>
      </c>
      <c r="B22" s="43"/>
      <c r="C22" s="43"/>
      <c r="D22" s="43"/>
      <c r="E22" s="43"/>
      <c r="F22" s="43"/>
      <c r="G22" s="43"/>
      <c r="H22" s="43"/>
      <c r="I22" s="43"/>
      <c r="J22" s="43"/>
      <c r="K22" s="43"/>
      <c r="L22" s="43"/>
      <c r="M22" s="43"/>
      <c r="N22" s="43"/>
      <c r="O22" s="43"/>
      <c r="P22" s="43"/>
      <c r="Q22" s="43"/>
      <c r="R22" s="43"/>
      <c r="S22" s="47" t="s">
        <v>0</v>
      </c>
      <c r="T22" s="43"/>
      <c r="U22" s="43"/>
      <c r="V22" s="43"/>
      <c r="W22" s="43"/>
      <c r="X22" s="43"/>
      <c r="Y22" s="43"/>
      <c r="Z22" s="43"/>
      <c r="AA22" s="43"/>
    </row>
    <row r="23" spans="1:27">
      <c r="A23" t="s">
        <v>201</v>
      </c>
      <c r="B23" s="12">
        <f>+'CBNARÉSULT         '!B15</f>
        <v>20032</v>
      </c>
      <c r="C23" s="46">
        <f>+(-D23+B23)/ABS(D23)</f>
        <v>0.25971575902402211</v>
      </c>
      <c r="D23" s="12">
        <f>+'CBNARÉSULT         '!D55</f>
        <v>15902</v>
      </c>
      <c r="E23" s="43"/>
      <c r="F23" s="43">
        <f>+'CBNARÉSULT         '!D15</f>
        <v>0</v>
      </c>
      <c r="G23" s="43">
        <v>0</v>
      </c>
      <c r="H23" s="12">
        <f>+'CBNARÉSULT         '!H55</f>
        <v>15114</v>
      </c>
      <c r="I23" s="43"/>
      <c r="J23" s="12">
        <f>+'CBNARÉSULT         '!F15</f>
        <v>0</v>
      </c>
      <c r="K23" s="43">
        <v>0</v>
      </c>
      <c r="L23" s="12">
        <f>+'CBNARÉSULT         '!L55</f>
        <v>16458</v>
      </c>
      <c r="M23" s="43"/>
      <c r="N23" s="43">
        <f>+'CBNARÉSULT         '!H15</f>
        <v>0</v>
      </c>
      <c r="O23" s="57">
        <v>0</v>
      </c>
      <c r="P23" s="12">
        <f>+'CBNARÉSULT         '!P55</f>
        <v>16050</v>
      </c>
      <c r="Q23" s="43"/>
      <c r="R23" s="12">
        <f>+'CBNARÉSULT         '!R55</f>
        <v>20032</v>
      </c>
      <c r="S23" s="46">
        <f>+(-T23+R23)/ABS(T23)</f>
        <v>0.25971575902402211</v>
      </c>
      <c r="T23" s="12">
        <f>+'CBNARÉSULT         '!T55</f>
        <v>15902</v>
      </c>
      <c r="U23" s="43"/>
      <c r="V23" s="43"/>
      <c r="W23" s="43"/>
      <c r="X23" s="43"/>
      <c r="Y23" s="43"/>
      <c r="Z23" s="43"/>
      <c r="AA23" s="43"/>
    </row>
    <row r="24" spans="1:27">
      <c r="A24" t="s">
        <v>202</v>
      </c>
      <c r="B24" s="12">
        <f>+'CBNARÉSULT         '!B21</f>
        <v>12101</v>
      </c>
      <c r="C24" s="46">
        <f>+(-D24+B24)/ABS(D24)</f>
        <v>0.6232059020791415</v>
      </c>
      <c r="D24" s="12">
        <f>+'CBNARÉSULT         '!D61</f>
        <v>7455</v>
      </c>
      <c r="E24" s="43"/>
      <c r="F24" s="43">
        <f>+'CBNARÉSULT         '!D21</f>
        <v>0</v>
      </c>
      <c r="G24" s="43">
        <v>0</v>
      </c>
      <c r="H24" s="12">
        <f>+'CBNARÉSULT         '!H61</f>
        <v>7716</v>
      </c>
      <c r="I24" s="43"/>
      <c r="J24" s="12">
        <f>+'CBNARÉSULT         '!F21</f>
        <v>0</v>
      </c>
      <c r="K24" s="43">
        <v>0</v>
      </c>
      <c r="L24" s="12">
        <f>+'CBNARÉSULT         '!L61</f>
        <v>6253</v>
      </c>
      <c r="M24" s="43"/>
      <c r="N24" s="43">
        <f>+'CBNARÉSULT         '!H21</f>
        <v>0</v>
      </c>
      <c r="O24" s="57">
        <v>0</v>
      </c>
      <c r="P24" s="12">
        <f>+'CBNARÉSULT         '!P61</f>
        <v>8075</v>
      </c>
      <c r="Q24" s="43"/>
      <c r="R24" s="12">
        <f>+'CBNARÉSULT         '!R61</f>
        <v>12101</v>
      </c>
      <c r="S24" s="46">
        <f>+(-T24+R24)/ABS(T24)</f>
        <v>0.6232059020791415</v>
      </c>
      <c r="T24" s="12">
        <f>+'CBNARÉSULT         '!T61</f>
        <v>7455</v>
      </c>
      <c r="U24" s="43"/>
      <c r="V24" s="43"/>
      <c r="W24" s="43"/>
      <c r="X24" s="43"/>
      <c r="Y24" s="43"/>
      <c r="Z24" s="43"/>
      <c r="AA24" s="43"/>
    </row>
    <row r="25" spans="1:27">
      <c r="A25" t="s">
        <v>447</v>
      </c>
      <c r="B25" s="12">
        <f>+'CBNARÉSULT         '!B25</f>
        <v>0</v>
      </c>
      <c r="C25" s="43">
        <v>0</v>
      </c>
      <c r="D25" s="12">
        <f>+'CBNARÉSULT         '!D65</f>
        <v>1743</v>
      </c>
      <c r="E25" s="43"/>
      <c r="F25" s="43">
        <f>+'CBNARÉSULT         '!D25</f>
        <v>0</v>
      </c>
      <c r="G25" s="43">
        <v>0</v>
      </c>
      <c r="H25" s="12">
        <f>+'CBNARÉSULT         '!H65</f>
        <v>0</v>
      </c>
      <c r="I25" s="43"/>
      <c r="J25" s="12">
        <f>+'CBNARÉSULT         '!F25</f>
        <v>0</v>
      </c>
      <c r="K25" s="43">
        <v>0</v>
      </c>
      <c r="L25" s="12">
        <f>+'CBNARÉSULT         '!L65</f>
        <v>0</v>
      </c>
      <c r="M25" s="43"/>
      <c r="N25" s="43">
        <f>+'CBNARÉSULT         '!H25</f>
        <v>0</v>
      </c>
      <c r="O25" s="57">
        <v>0</v>
      </c>
      <c r="P25" s="12">
        <f>+'CBNARÉSULT         '!P65</f>
        <v>0</v>
      </c>
      <c r="Q25" s="43"/>
      <c r="R25" s="12">
        <f>+'CBNARÉSULT         '!R65</f>
        <v>0</v>
      </c>
      <c r="S25" s="43">
        <v>0</v>
      </c>
      <c r="T25" s="12">
        <f>+'CBNARÉSULT         '!T65</f>
        <v>1743</v>
      </c>
      <c r="U25" s="43"/>
      <c r="V25" s="43"/>
      <c r="W25" s="43"/>
      <c r="X25" s="43"/>
      <c r="Y25" s="43"/>
      <c r="Z25" s="43"/>
      <c r="AA25" s="43"/>
    </row>
    <row r="26" spans="1:27">
      <c r="A26" t="s">
        <v>204</v>
      </c>
      <c r="B26" s="12">
        <f>+'CBNARÉSULT         '!B35</f>
        <v>15043</v>
      </c>
      <c r="C26" s="46">
        <f>+(-D26+B26)/ABS(D26)</f>
        <v>4.953603572176097E-2</v>
      </c>
      <c r="D26" s="12">
        <f>+'CBNARÉSULT         '!D75</f>
        <v>14333</v>
      </c>
      <c r="E26" s="43"/>
      <c r="F26" s="43">
        <f>+'CBNARÉSULT         '!D35</f>
        <v>0</v>
      </c>
      <c r="G26" s="43">
        <v>0</v>
      </c>
      <c r="H26" s="12">
        <f>+'CBNARÉSULT         '!H75</f>
        <v>14135</v>
      </c>
      <c r="I26" s="43"/>
      <c r="J26" s="12">
        <f>+'CBNARÉSULT         '!F35</f>
        <v>0</v>
      </c>
      <c r="K26" s="43">
        <v>0</v>
      </c>
      <c r="L26" s="12">
        <f>+'CBNARÉSULT         '!L75</f>
        <v>13227</v>
      </c>
      <c r="M26" s="43"/>
      <c r="N26" s="43">
        <f>+'CBNARÉSULT         '!H35</f>
        <v>0</v>
      </c>
      <c r="O26" s="57">
        <v>0</v>
      </c>
      <c r="P26" s="12">
        <f>+'CBNARÉSULT         '!P75</f>
        <v>14248</v>
      </c>
      <c r="Q26" s="43"/>
      <c r="R26" s="12">
        <f>+'CBNARÉSULT         '!R75</f>
        <v>15043</v>
      </c>
      <c r="S26" s="46">
        <f>+(-T26+R26)/ABS(T26)</f>
        <v>4.953603572176097E-2</v>
      </c>
      <c r="T26" s="12">
        <f>+'CBNARÉSULT         '!T75</f>
        <v>14333</v>
      </c>
      <c r="U26" s="43"/>
      <c r="V26" s="43"/>
      <c r="W26" s="43"/>
      <c r="X26" s="43"/>
      <c r="Y26" s="43"/>
      <c r="Z26" s="43"/>
      <c r="AA26" s="43"/>
    </row>
    <row r="27" spans="1:27">
      <c r="A27" t="s">
        <v>448</v>
      </c>
      <c r="B27" s="12">
        <f>+'CBNARÉSULT         '!B41</f>
        <v>11317</v>
      </c>
      <c r="C27" s="46">
        <f>+(-D27+B27)/ABS(D27)</f>
        <v>1.3941188914745082</v>
      </c>
      <c r="D27" s="12">
        <f>+'CBNARÉSULT         '!D81</f>
        <v>4727</v>
      </c>
      <c r="E27" s="43"/>
      <c r="F27" s="43">
        <f>+'CBNARÉSULT         '!D41</f>
        <v>0</v>
      </c>
      <c r="G27" s="43">
        <v>0</v>
      </c>
      <c r="H27" s="12">
        <f>+'CBNARÉSULT         '!H81</f>
        <v>5720</v>
      </c>
      <c r="I27" s="43"/>
      <c r="J27" s="12">
        <f>+'CBNARÉSULT         '!F41</f>
        <v>0</v>
      </c>
      <c r="K27" s="43">
        <v>0</v>
      </c>
      <c r="L27" s="12">
        <f>+'CBNARÉSULT         '!L81</f>
        <v>6165</v>
      </c>
      <c r="M27" s="43"/>
      <c r="N27" s="43">
        <f>+'CBNARÉSULT         '!H41</f>
        <v>0</v>
      </c>
      <c r="O27" s="57">
        <v>0</v>
      </c>
      <c r="P27" s="12">
        <f>+'CBNARÉSULT         '!P81</f>
        <v>6421</v>
      </c>
      <c r="Q27" s="43"/>
      <c r="R27" s="12">
        <f>+'CBNARÉSULT         '!R81</f>
        <v>11317</v>
      </c>
      <c r="S27" s="46">
        <f>+(-T27+R27)/ABS(T27)</f>
        <v>1.3941188914745082</v>
      </c>
      <c r="T27" s="12">
        <f>+'CBNARÉSULT         '!T81</f>
        <v>4727</v>
      </c>
      <c r="U27" s="43"/>
      <c r="V27" s="43"/>
      <c r="W27" s="43"/>
      <c r="X27" s="43"/>
      <c r="Y27" s="43"/>
      <c r="Z27" s="43"/>
      <c r="AA27" s="43"/>
    </row>
    <row r="28" spans="1:27">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ht="16.5" thickBot="1">
      <c r="B29" s="187"/>
      <c r="C29" s="187"/>
      <c r="D29" s="187"/>
      <c r="E29" s="187"/>
      <c r="F29" s="187"/>
      <c r="G29" s="187"/>
      <c r="H29" s="187"/>
      <c r="I29" s="187"/>
      <c r="J29" s="187"/>
      <c r="K29" s="187"/>
      <c r="L29" s="187"/>
      <c r="M29" s="187"/>
      <c r="N29" s="187"/>
      <c r="O29" s="187"/>
      <c r="P29" s="187"/>
      <c r="Q29" s="187"/>
      <c r="R29" s="187"/>
      <c r="S29" s="187"/>
      <c r="T29" s="187"/>
      <c r="U29" s="43"/>
      <c r="V29" s="43"/>
      <c r="W29" s="43"/>
      <c r="X29" s="43"/>
      <c r="Y29" s="43"/>
      <c r="Z29" s="43"/>
      <c r="AA29" s="43"/>
    </row>
    <row r="30" spans="1:27">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row>
    <row r="32" spans="1:27">
      <c r="B32" s="51" t="s">
        <v>185</v>
      </c>
      <c r="C32" s="51" t="s">
        <v>174</v>
      </c>
      <c r="D32" s="43"/>
      <c r="E32" s="51" t="s">
        <v>185</v>
      </c>
      <c r="F32" s="51" t="s">
        <v>174</v>
      </c>
      <c r="G32" s="43"/>
      <c r="H32" s="51" t="s">
        <v>185</v>
      </c>
      <c r="I32" s="51" t="s">
        <v>174</v>
      </c>
      <c r="J32" s="43"/>
      <c r="K32" s="51" t="s">
        <v>185</v>
      </c>
      <c r="L32" s="51" t="s">
        <v>174</v>
      </c>
      <c r="M32" s="43"/>
      <c r="N32" s="51" t="s">
        <v>185</v>
      </c>
      <c r="O32" s="51" t="s">
        <v>174</v>
      </c>
      <c r="P32" s="43"/>
      <c r="U32" s="43"/>
      <c r="V32" s="43"/>
      <c r="W32" s="43"/>
      <c r="X32" s="43"/>
      <c r="Y32" s="43"/>
      <c r="Z32" s="43"/>
      <c r="AA32" s="43"/>
    </row>
    <row r="33" spans="1:27" ht="16.5" thickBot="1">
      <c r="B33" s="50" t="s">
        <v>186</v>
      </c>
      <c r="C33" s="50" t="s">
        <v>186</v>
      </c>
      <c r="D33" s="43"/>
      <c r="E33" s="50" t="s">
        <v>187</v>
      </c>
      <c r="F33" s="50" t="s">
        <v>187</v>
      </c>
      <c r="G33" s="43"/>
      <c r="H33" s="50" t="s">
        <v>188</v>
      </c>
      <c r="I33" s="50" t="s">
        <v>188</v>
      </c>
      <c r="J33" s="43"/>
      <c r="K33" s="50" t="s">
        <v>189</v>
      </c>
      <c r="L33" s="50" t="s">
        <v>189</v>
      </c>
      <c r="M33" s="43"/>
      <c r="N33" s="50" t="s">
        <v>190</v>
      </c>
      <c r="O33" s="50" t="s">
        <v>190</v>
      </c>
      <c r="P33" s="43"/>
      <c r="Q33" s="114" t="s">
        <v>206</v>
      </c>
      <c r="R33" s="114"/>
      <c r="S33" s="114"/>
      <c r="T33" s="114"/>
      <c r="U33" s="43"/>
      <c r="V33" s="43"/>
      <c r="W33" s="43"/>
      <c r="X33" s="43"/>
      <c r="Y33" s="43"/>
      <c r="Z33" s="43"/>
      <c r="AA33" s="43"/>
    </row>
    <row r="34" spans="1:27" ht="16.5" thickBot="1">
      <c r="B34" s="326" t="s">
        <v>192</v>
      </c>
      <c r="C34" s="326" t="s">
        <v>574</v>
      </c>
      <c r="D34" s="208"/>
      <c r="E34" s="326" t="s">
        <v>194</v>
      </c>
      <c r="F34" s="326" t="s">
        <v>575</v>
      </c>
      <c r="G34" s="208"/>
      <c r="H34" s="326" t="s">
        <v>196</v>
      </c>
      <c r="I34" s="326" t="s">
        <v>576</v>
      </c>
      <c r="J34" s="208"/>
      <c r="K34" s="326" t="s">
        <v>198</v>
      </c>
      <c r="L34" s="326" t="s">
        <v>577</v>
      </c>
      <c r="M34" s="208"/>
      <c r="N34" s="181" t="s">
        <v>446</v>
      </c>
      <c r="O34" s="181" t="s">
        <v>614</v>
      </c>
      <c r="P34" s="43"/>
      <c r="Q34" s="182" t="s">
        <v>174</v>
      </c>
      <c r="R34" s="182" t="s">
        <v>175</v>
      </c>
      <c r="S34" s="182" t="s">
        <v>176</v>
      </c>
      <c r="T34" s="182" t="s">
        <v>177</v>
      </c>
      <c r="U34" s="43"/>
      <c r="V34" s="43"/>
      <c r="W34" s="43"/>
      <c r="X34" s="43"/>
      <c r="Y34" s="43"/>
      <c r="Z34" s="43"/>
      <c r="AA34" s="43"/>
    </row>
    <row r="35" spans="1:27">
      <c r="B35" s="355"/>
      <c r="C35" s="355"/>
      <c r="D35" s="208"/>
      <c r="E35" s="355"/>
      <c r="F35" s="355"/>
      <c r="G35" s="208"/>
      <c r="H35" s="355"/>
      <c r="I35" s="355"/>
      <c r="J35" s="208"/>
      <c r="K35" s="355"/>
      <c r="L35" s="355"/>
      <c r="M35" s="208"/>
      <c r="N35" s="355"/>
      <c r="O35" s="355"/>
      <c r="P35" s="43"/>
      <c r="Q35" s="356"/>
      <c r="R35" s="356"/>
      <c r="S35" s="356"/>
      <c r="T35" s="356"/>
      <c r="U35" s="43"/>
      <c r="V35" s="43"/>
      <c r="W35" s="43"/>
      <c r="X35" s="43"/>
      <c r="Y35" s="43"/>
      <c r="Z35" s="43"/>
      <c r="AA35" s="43"/>
    </row>
    <row r="36" spans="1:27">
      <c r="A36" s="2" t="s">
        <v>207</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183" t="s">
        <v>208</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A38" s="2" t="s">
        <v>209</v>
      </c>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t="s">
        <v>211</v>
      </c>
      <c r="B40" s="57"/>
      <c r="C40" s="57"/>
      <c r="D40" s="57"/>
      <c r="E40" s="57"/>
      <c r="F40" s="57"/>
      <c r="G40" s="57"/>
      <c r="H40" s="57"/>
      <c r="I40" s="57"/>
      <c r="J40" s="57"/>
      <c r="K40" s="57"/>
      <c r="M40" s="57"/>
      <c r="N40" s="57"/>
      <c r="O40" s="57"/>
      <c r="P40" s="57"/>
      <c r="Q40" s="57"/>
      <c r="R40" s="57"/>
      <c r="S40" s="57"/>
      <c r="T40" s="364" t="s">
        <v>0</v>
      </c>
      <c r="U40" s="43"/>
      <c r="V40" s="43"/>
      <c r="W40" s="43"/>
      <c r="X40" s="43"/>
      <c r="Y40" s="43"/>
      <c r="Z40" s="43"/>
      <c r="AA40" s="43"/>
    </row>
    <row r="41" spans="1:27">
      <c r="A41" t="s">
        <v>212</v>
      </c>
      <c r="B41" s="58">
        <f>+cbnavar!B51/cbnavar!B22</f>
        <v>2.9470706044752805E-2</v>
      </c>
      <c r="C41" s="59">
        <v>7.6E-3</v>
      </c>
      <c r="D41" s="59"/>
      <c r="E41" s="364">
        <v>0</v>
      </c>
      <c r="F41" s="59">
        <v>1.06E-2</v>
      </c>
      <c r="G41" s="59"/>
      <c r="H41" s="364">
        <v>0</v>
      </c>
      <c r="I41" s="59">
        <v>1.47E-2</v>
      </c>
      <c r="J41" s="59"/>
      <c r="K41" s="364">
        <v>0</v>
      </c>
      <c r="L41" s="59">
        <v>1.84E-2</v>
      </c>
      <c r="M41" s="59"/>
      <c r="N41" s="59">
        <f>+B41</f>
        <v>2.9470706044752805E-2</v>
      </c>
      <c r="O41" s="59">
        <f>+C41</f>
        <v>7.6E-3</v>
      </c>
      <c r="P41" s="59"/>
      <c r="Q41" s="59">
        <f>+cbnavar!J51/cbnavar!J22</f>
        <v>1.8448994078932888E-2</v>
      </c>
      <c r="R41" s="59">
        <v>9.7999999999999997E-3</v>
      </c>
      <c r="S41" s="59">
        <v>1.15E-2</v>
      </c>
      <c r="T41" s="59">
        <v>1.1599999999999999E-2</v>
      </c>
      <c r="U41" s="43"/>
      <c r="V41" s="43"/>
      <c r="W41" s="43"/>
      <c r="X41" s="43"/>
      <c r="Y41" s="43"/>
      <c r="Z41" s="43"/>
      <c r="AA41" s="43"/>
    </row>
    <row r="42" spans="1:27">
      <c r="B42" s="58"/>
      <c r="C42" s="59"/>
      <c r="D42" s="59"/>
      <c r="E42" s="57"/>
      <c r="F42" s="59"/>
      <c r="G42" s="59"/>
      <c r="H42" s="57"/>
      <c r="I42" s="59"/>
      <c r="J42" s="59"/>
      <c r="K42" s="57"/>
      <c r="L42" s="59"/>
      <c r="M42" s="59"/>
      <c r="N42" s="59"/>
      <c r="O42" s="59"/>
      <c r="P42" s="59"/>
      <c r="Q42" s="59"/>
      <c r="R42" s="59"/>
      <c r="S42" s="59"/>
      <c r="T42" s="59"/>
      <c r="U42" s="43"/>
      <c r="V42" s="43"/>
      <c r="W42" s="43"/>
      <c r="X42" s="43"/>
      <c r="Y42" s="43"/>
      <c r="Z42" s="43"/>
      <c r="AA42" s="43"/>
    </row>
    <row r="43" spans="1:27">
      <c r="A43" t="s">
        <v>213</v>
      </c>
      <c r="B43" s="58">
        <f>+cbnavar!B29/cbnavar!B22</f>
        <v>0.8467159826286329</v>
      </c>
      <c r="C43" s="59">
        <v>0.85370000000000001</v>
      </c>
      <c r="D43" s="59"/>
      <c r="E43" s="364">
        <v>0</v>
      </c>
      <c r="F43" s="59">
        <v>0.81379999999999997</v>
      </c>
      <c r="G43" s="59"/>
      <c r="H43" s="364">
        <v>0</v>
      </c>
      <c r="I43" s="59">
        <v>0.82579999999999998</v>
      </c>
      <c r="J43" s="59"/>
      <c r="K43" s="364">
        <v>0</v>
      </c>
      <c r="L43" s="59">
        <v>0.82889999999999997</v>
      </c>
      <c r="M43" s="59"/>
      <c r="N43" s="59">
        <f>+B43</f>
        <v>0.8467159826286329</v>
      </c>
      <c r="O43" s="59">
        <f>+C43</f>
        <v>0.85370000000000001</v>
      </c>
      <c r="P43" s="59"/>
      <c r="Q43" s="59">
        <f>+cbnavar!J29/cbnavar!J22</f>
        <v>0.82890262155796701</v>
      </c>
      <c r="R43" s="59">
        <v>0.79179999999999995</v>
      </c>
      <c r="S43" s="59">
        <v>0.74470000000000003</v>
      </c>
      <c r="T43" s="59">
        <v>0.74950000000000006</v>
      </c>
      <c r="U43" s="43"/>
      <c r="V43" s="43"/>
      <c r="W43" s="43"/>
      <c r="X43" s="43"/>
      <c r="Y43" s="43"/>
      <c r="Z43" s="43"/>
      <c r="AA43" s="43"/>
    </row>
    <row r="44" spans="1:27">
      <c r="A44" t="s">
        <v>0</v>
      </c>
      <c r="B44" s="57"/>
      <c r="C44" s="59"/>
      <c r="D44" s="59"/>
      <c r="E44" s="57"/>
      <c r="F44" s="59"/>
      <c r="G44" s="59"/>
      <c r="H44" s="57"/>
      <c r="I44" s="59"/>
      <c r="J44" s="59"/>
      <c r="K44" s="364" t="s">
        <v>0</v>
      </c>
      <c r="L44" s="59"/>
      <c r="M44" s="59"/>
      <c r="N44" s="59"/>
      <c r="O44" s="59"/>
      <c r="P44" s="59"/>
      <c r="Q44" s="59"/>
      <c r="R44" s="59"/>
      <c r="S44" s="59"/>
      <c r="T44" s="59"/>
      <c r="U44" s="43"/>
      <c r="V44" s="43"/>
      <c r="W44" s="43"/>
      <c r="X44" s="43"/>
      <c r="Y44" s="43"/>
      <c r="Z44" s="43"/>
      <c r="AA44" s="43"/>
    </row>
    <row r="45" spans="1:27">
      <c r="A45" s="2" t="s">
        <v>214</v>
      </c>
      <c r="B45" s="57"/>
      <c r="C45" s="59"/>
      <c r="D45" s="59"/>
      <c r="E45" s="57"/>
      <c r="F45" s="59"/>
      <c r="G45" s="59"/>
      <c r="H45" s="57"/>
      <c r="I45" s="59"/>
      <c r="J45" s="59"/>
      <c r="K45" s="57"/>
      <c r="L45" s="59"/>
      <c r="M45" s="59"/>
      <c r="N45" s="59"/>
      <c r="O45" s="59"/>
      <c r="P45" s="59"/>
      <c r="Q45" s="59"/>
      <c r="R45" s="59"/>
      <c r="S45" s="59"/>
      <c r="T45" s="59"/>
      <c r="U45" s="43"/>
      <c r="V45" s="43"/>
      <c r="W45" s="43"/>
      <c r="X45" s="43"/>
      <c r="Y45" s="43"/>
      <c r="Z45" s="43"/>
      <c r="AA45" s="43"/>
    </row>
    <row r="46" spans="1:27">
      <c r="A46" s="2"/>
      <c r="B46" s="57"/>
      <c r="C46" s="59"/>
      <c r="D46" s="59"/>
      <c r="E46" s="57"/>
      <c r="F46" s="59"/>
      <c r="G46" s="59"/>
      <c r="H46" s="57"/>
      <c r="I46" s="59"/>
      <c r="J46" s="59"/>
      <c r="K46" s="57"/>
      <c r="L46" s="59"/>
      <c r="M46" s="59"/>
      <c r="N46" s="59"/>
      <c r="O46" s="59"/>
      <c r="P46" s="59"/>
      <c r="Q46" s="59"/>
      <c r="R46" s="59"/>
      <c r="S46" s="59"/>
      <c r="T46" s="59"/>
      <c r="U46" s="43"/>
      <c r="V46" s="43"/>
      <c r="W46" s="43"/>
      <c r="X46" s="43"/>
      <c r="Y46" s="43"/>
      <c r="Z46" s="43"/>
      <c r="AA46" s="43"/>
    </row>
    <row r="47" spans="1:27">
      <c r="A47" t="s">
        <v>215</v>
      </c>
      <c r="B47" s="57"/>
      <c r="C47" s="59"/>
      <c r="D47" s="59"/>
      <c r="E47" s="57"/>
      <c r="F47" s="59"/>
      <c r="G47" s="59"/>
      <c r="H47" s="57"/>
      <c r="I47" s="59"/>
      <c r="J47" s="59"/>
      <c r="K47" s="57"/>
      <c r="L47" s="59"/>
      <c r="M47" s="59"/>
      <c r="N47" s="59"/>
      <c r="O47" s="59"/>
      <c r="P47" s="59"/>
      <c r="Q47" s="59"/>
      <c r="R47" s="59"/>
      <c r="S47" s="59"/>
      <c r="T47" s="59"/>
      <c r="U47" s="43"/>
      <c r="V47" s="43"/>
      <c r="W47" s="43"/>
      <c r="X47" s="43"/>
      <c r="Y47" s="43"/>
      <c r="Z47" s="43"/>
      <c r="AA47" s="43"/>
    </row>
    <row r="48" spans="1:27">
      <c r="A48" t="s">
        <v>216</v>
      </c>
      <c r="B48" s="59">
        <f>+cbnavar!B62/cbnavar!B60</f>
        <v>4.6734635016312934E-2</v>
      </c>
      <c r="C48" s="59">
        <v>5.6599999999999998E-2</v>
      </c>
      <c r="D48" s="59"/>
      <c r="E48" s="57">
        <v>0</v>
      </c>
      <c r="F48" s="59">
        <v>6.25E-2</v>
      </c>
      <c r="G48" s="59"/>
      <c r="H48" s="364">
        <v>0</v>
      </c>
      <c r="I48" s="59">
        <v>6.88E-2</v>
      </c>
      <c r="J48" s="59"/>
      <c r="K48" s="57">
        <v>0</v>
      </c>
      <c r="L48" s="59">
        <v>4.8599999999999997E-2</v>
      </c>
      <c r="M48" s="59"/>
      <c r="N48" s="59">
        <f>+B48</f>
        <v>4.6734635016312934E-2</v>
      </c>
      <c r="O48" s="59">
        <f>+C48</f>
        <v>5.6599999999999998E-2</v>
      </c>
      <c r="P48" s="59"/>
      <c r="Q48" s="59">
        <f>+cbnavar!J62/cbnavar!J60</f>
        <v>4.8588888686373712E-2</v>
      </c>
      <c r="R48" s="59">
        <v>3.7900000000000003E-2</v>
      </c>
      <c r="S48" s="57">
        <v>0</v>
      </c>
      <c r="T48" s="59">
        <v>1.0500000000000001E-2</v>
      </c>
      <c r="U48" s="43"/>
      <c r="V48" s="43"/>
      <c r="W48" s="43"/>
      <c r="X48" s="43"/>
      <c r="Y48" s="43"/>
      <c r="Z48" s="43"/>
      <c r="AA48" s="43"/>
    </row>
    <row r="49" spans="1:27">
      <c r="B49" s="57"/>
      <c r="C49" s="59"/>
      <c r="D49" s="59"/>
      <c r="E49" s="57"/>
      <c r="F49" s="59"/>
      <c r="G49" s="59"/>
      <c r="H49" s="57"/>
      <c r="I49" s="59"/>
      <c r="J49" s="59"/>
      <c r="K49" s="57"/>
      <c r="L49" s="59"/>
      <c r="M49" s="59"/>
      <c r="N49" s="59"/>
      <c r="O49" s="59"/>
      <c r="P49" s="59"/>
      <c r="Q49" s="59"/>
      <c r="R49" s="59"/>
      <c r="S49" s="57"/>
      <c r="T49" s="59"/>
      <c r="U49" s="43"/>
      <c r="V49" s="43"/>
      <c r="W49" s="43"/>
      <c r="X49" s="43"/>
      <c r="Y49" s="43"/>
      <c r="Z49" s="43"/>
      <c r="AA49" s="43"/>
    </row>
    <row r="50" spans="1:27">
      <c r="A50" t="s">
        <v>217</v>
      </c>
      <c r="B50" s="57"/>
      <c r="C50" s="59"/>
      <c r="D50" s="59"/>
      <c r="E50" s="57"/>
      <c r="F50" s="59"/>
      <c r="G50" s="59"/>
      <c r="H50" s="57"/>
      <c r="I50" s="59"/>
      <c r="J50" s="59"/>
      <c r="K50" s="57"/>
      <c r="L50" s="59"/>
      <c r="M50" s="59"/>
      <c r="N50" s="59"/>
      <c r="O50" s="59"/>
      <c r="P50" s="59"/>
      <c r="Q50" s="59"/>
      <c r="R50" s="59"/>
      <c r="S50" s="57"/>
      <c r="T50" s="59"/>
      <c r="U50" s="43"/>
      <c r="V50" s="43"/>
      <c r="W50" s="43"/>
      <c r="X50" s="43"/>
      <c r="Y50" s="43"/>
      <c r="Z50" s="43"/>
      <c r="AA50" s="43"/>
    </row>
    <row r="51" spans="1:27">
      <c r="A51" t="s">
        <v>218</v>
      </c>
      <c r="B51" s="59">
        <f>+cbnavar!B61/cbnavar!B62</f>
        <v>0.75535046993545463</v>
      </c>
      <c r="C51" s="59">
        <v>0.64229999999999998</v>
      </c>
      <c r="D51" s="59"/>
      <c r="E51" s="57">
        <v>0</v>
      </c>
      <c r="F51" s="59">
        <v>0.56359999999999999</v>
      </c>
      <c r="G51" s="59"/>
      <c r="H51" s="364">
        <v>0</v>
      </c>
      <c r="I51" s="59">
        <v>0.49159999999999998</v>
      </c>
      <c r="J51" s="59"/>
      <c r="K51" s="57">
        <v>0</v>
      </c>
      <c r="L51" s="59">
        <v>0.71489999999999998</v>
      </c>
      <c r="M51" s="59"/>
      <c r="N51" s="59">
        <f>+B51</f>
        <v>0.75535046993545463</v>
      </c>
      <c r="O51" s="59">
        <f>+C51</f>
        <v>0.64229999999999998</v>
      </c>
      <c r="P51" s="59"/>
      <c r="Q51" s="59">
        <f>+cbnavar!J61/cbnavar!J62</f>
        <v>0.71491345587053212</v>
      </c>
      <c r="R51" s="59">
        <v>0.98629999999999995</v>
      </c>
      <c r="S51" s="57">
        <v>0</v>
      </c>
      <c r="T51" s="360">
        <v>3.7555000000000001</v>
      </c>
      <c r="U51" s="43"/>
      <c r="V51" s="43"/>
      <c r="W51" s="43"/>
      <c r="X51" s="43"/>
      <c r="Y51" s="43"/>
      <c r="Z51" s="43"/>
      <c r="AA51" s="43"/>
    </row>
    <row r="52" spans="1:27">
      <c r="B52" s="57"/>
      <c r="C52" s="59"/>
      <c r="D52" s="59"/>
      <c r="E52" s="57"/>
      <c r="F52" s="59"/>
      <c r="G52" s="59"/>
      <c r="H52" s="57"/>
      <c r="I52" s="59"/>
      <c r="J52" s="59"/>
      <c r="K52" s="57"/>
      <c r="L52" s="59"/>
      <c r="M52" s="59"/>
      <c r="N52" s="59"/>
      <c r="O52" s="59"/>
      <c r="P52" s="59"/>
      <c r="Q52" s="59"/>
      <c r="R52" s="59"/>
      <c r="S52" s="57"/>
      <c r="T52" s="59"/>
      <c r="U52" s="43"/>
      <c r="V52" s="43"/>
      <c r="W52" s="43"/>
      <c r="X52" s="43"/>
      <c r="Y52" s="43"/>
      <c r="Z52" s="43"/>
      <c r="AA52" s="43"/>
    </row>
    <row r="53" spans="1:27">
      <c r="A53" t="s">
        <v>219</v>
      </c>
      <c r="B53" s="57"/>
      <c r="C53" s="59"/>
      <c r="D53" s="59"/>
      <c r="E53" s="57"/>
      <c r="F53" s="59"/>
      <c r="G53" s="59"/>
      <c r="H53" s="57"/>
      <c r="I53" s="59"/>
      <c r="J53" s="59"/>
      <c r="K53" s="57"/>
      <c r="L53" s="59"/>
      <c r="M53" s="59"/>
      <c r="N53" s="59"/>
      <c r="O53" s="59"/>
      <c r="P53" s="59"/>
      <c r="Q53" s="59"/>
      <c r="R53" s="59"/>
      <c r="S53" s="57"/>
      <c r="T53" s="59"/>
      <c r="U53" s="43"/>
      <c r="V53" s="43"/>
      <c r="W53" s="43"/>
      <c r="X53" s="43"/>
      <c r="Y53" s="43"/>
      <c r="Z53" s="43"/>
      <c r="AA53" s="43"/>
    </row>
    <row r="54" spans="1:27">
      <c r="A54" t="s">
        <v>220</v>
      </c>
      <c r="B54" s="59">
        <f>+(cbnavar!B62-cbnavar!B61)/cbnavar!B51</f>
        <v>0.18250163664392963</v>
      </c>
      <c r="C54" s="59">
        <v>1.7455000000000001</v>
      </c>
      <c r="D54" s="59"/>
      <c r="E54" s="57">
        <v>0</v>
      </c>
      <c r="F54" s="59">
        <v>1.4518</v>
      </c>
      <c r="G54" s="59"/>
      <c r="H54" s="364">
        <v>0</v>
      </c>
      <c r="I54" s="59">
        <v>1.3531</v>
      </c>
      <c r="J54" s="59"/>
      <c r="K54" s="57">
        <v>0</v>
      </c>
      <c r="L54" s="59">
        <v>0.3967</v>
      </c>
      <c r="M54" s="59"/>
      <c r="N54" s="59">
        <f>+B54</f>
        <v>0.18250163664392963</v>
      </c>
      <c r="O54" s="59">
        <f>+C54</f>
        <v>1.7455000000000001</v>
      </c>
      <c r="P54" s="59"/>
      <c r="Q54" s="59">
        <f>+(cbnavar!J62-cbnavar!J61)/cbnavar!J51</f>
        <v>0.39670407516498268</v>
      </c>
      <c r="R54" s="59">
        <v>3.2500000000000001E-2</v>
      </c>
      <c r="S54" s="59">
        <v>-1.6719999999999999</v>
      </c>
      <c r="T54" s="59">
        <v>-1.4411</v>
      </c>
      <c r="U54" s="43"/>
      <c r="V54" s="43"/>
      <c r="W54" s="43"/>
      <c r="X54" s="43"/>
      <c r="Y54" s="43"/>
      <c r="Z54" s="43"/>
      <c r="AA54" s="43"/>
    </row>
    <row r="55" spans="1:27">
      <c r="A55" t="s">
        <v>0</v>
      </c>
      <c r="B55" s="57"/>
      <c r="C55" s="59"/>
      <c r="D55" s="59"/>
      <c r="E55" s="57"/>
      <c r="F55" s="59"/>
      <c r="G55" s="59"/>
      <c r="H55" s="57"/>
      <c r="I55" s="59"/>
      <c r="J55" s="59"/>
      <c r="K55" s="57"/>
      <c r="L55" s="59"/>
      <c r="M55" s="59"/>
      <c r="N55" s="59"/>
      <c r="O55" s="59"/>
      <c r="P55" s="59"/>
      <c r="Q55" s="59"/>
      <c r="R55" s="59"/>
      <c r="S55" s="59"/>
      <c r="T55" s="59"/>
      <c r="U55" s="43"/>
      <c r="V55" s="43"/>
      <c r="W55" s="43"/>
      <c r="X55" s="43"/>
      <c r="Y55" s="43"/>
      <c r="Z55" s="43"/>
      <c r="AA55" s="43"/>
    </row>
    <row r="56" spans="1:27">
      <c r="A56" s="2" t="s">
        <v>221</v>
      </c>
      <c r="B56" s="57"/>
      <c r="C56" s="59"/>
      <c r="D56" s="59"/>
      <c r="E56" s="57"/>
      <c r="F56" s="59"/>
      <c r="G56" s="59"/>
      <c r="H56" s="57"/>
      <c r="I56" s="59"/>
      <c r="J56" s="59"/>
      <c r="K56" s="57"/>
      <c r="L56" s="59"/>
      <c r="M56" s="59"/>
      <c r="N56" s="59"/>
      <c r="O56" s="59"/>
      <c r="P56" s="59"/>
      <c r="Q56" s="59"/>
      <c r="R56" s="59"/>
      <c r="S56" s="59"/>
      <c r="T56" s="59"/>
      <c r="U56" s="43"/>
      <c r="V56" s="43"/>
      <c r="W56" s="43"/>
      <c r="X56" s="43"/>
      <c r="Y56" s="43"/>
      <c r="Z56" s="43"/>
      <c r="AA56" s="43"/>
    </row>
    <row r="57" spans="1:27">
      <c r="A57" s="2"/>
      <c r="B57" s="57"/>
      <c r="C57" s="59"/>
      <c r="D57" s="59"/>
      <c r="E57" s="57"/>
      <c r="F57" s="59"/>
      <c r="G57" s="59"/>
      <c r="H57" s="57"/>
      <c r="I57" s="59"/>
      <c r="J57" s="59"/>
      <c r="K57" s="57"/>
      <c r="L57" s="59"/>
      <c r="M57" s="59"/>
      <c r="N57" s="59"/>
      <c r="O57" s="59"/>
      <c r="P57" s="59"/>
      <c r="Q57" s="59"/>
      <c r="R57" s="59"/>
      <c r="S57" s="59"/>
      <c r="T57" s="59"/>
      <c r="U57" s="43"/>
      <c r="V57" s="43"/>
      <c r="W57" s="43"/>
      <c r="X57" s="43"/>
      <c r="Y57" s="43"/>
      <c r="Z57" s="43"/>
      <c r="AA57" s="43"/>
    </row>
    <row r="58" spans="1:27">
      <c r="A58" t="s">
        <v>222</v>
      </c>
      <c r="B58" s="59">
        <f>+('CBNARÉSULT         '!B41/((cbnavar!B22+cbnavar!J22)/2)*4)</f>
        <v>2.9581379179199719E-2</v>
      </c>
      <c r="C58" s="59">
        <v>1.7000000000000001E-2</v>
      </c>
      <c r="D58" s="59"/>
      <c r="E58" s="57">
        <v>0</v>
      </c>
      <c r="F58" s="59">
        <v>1.8599999999999998E-2</v>
      </c>
      <c r="G58" s="59"/>
      <c r="H58" s="364">
        <v>0</v>
      </c>
      <c r="I58" s="59">
        <v>1.8100000000000002E-2</v>
      </c>
      <c r="J58" s="59"/>
      <c r="K58" s="57">
        <v>0</v>
      </c>
      <c r="L58" s="59">
        <v>1.8100000000000002E-2</v>
      </c>
      <c r="M58" s="59"/>
      <c r="N58" s="59">
        <f>+'sysratfinclé '!O37</f>
        <v>2.9581379179199719E-2</v>
      </c>
      <c r="O58" s="59">
        <f>+'sysratfinclé '!O38</f>
        <v>1.7000000000000001E-2</v>
      </c>
      <c r="P58" s="59"/>
      <c r="Q58" s="59">
        <f>+'CBNAVARAN           '!F44/((cbnavar!J22+cbnavar!L22)/2)</f>
        <v>1.800580597929094E-2</v>
      </c>
      <c r="R58" s="59">
        <v>1.55E-2</v>
      </c>
      <c r="S58" s="59">
        <v>2.3099999999999999E-2</v>
      </c>
      <c r="T58" s="59">
        <v>2.2499999999999999E-2</v>
      </c>
      <c r="U58" s="43"/>
      <c r="V58" s="43"/>
      <c r="W58" s="43"/>
      <c r="X58" s="43"/>
      <c r="Y58" s="43"/>
      <c r="Z58" s="43"/>
      <c r="AA58" s="43"/>
    </row>
    <row r="59" spans="1:27" ht="7.15" customHeight="1">
      <c r="B59" s="57"/>
      <c r="C59" s="59"/>
      <c r="D59" s="59"/>
      <c r="E59" s="57"/>
      <c r="F59" s="59"/>
      <c r="G59" s="59"/>
      <c r="H59" s="57"/>
      <c r="I59" s="59"/>
      <c r="J59" s="59"/>
      <c r="K59" s="57"/>
      <c r="L59" s="59"/>
      <c r="M59" s="59"/>
      <c r="N59" s="58" t="s">
        <v>0</v>
      </c>
      <c r="O59" s="58" t="s">
        <v>0</v>
      </c>
      <c r="P59" s="59"/>
      <c r="Q59" s="59"/>
      <c r="R59" s="59"/>
      <c r="S59" s="59"/>
      <c r="T59" s="59"/>
      <c r="U59" s="43"/>
      <c r="V59" s="43"/>
      <c r="W59" s="43"/>
      <c r="X59" s="43"/>
      <c r="Y59" s="43"/>
      <c r="Z59" s="43"/>
      <c r="AA59" s="43"/>
    </row>
    <row r="60" spans="1:27">
      <c r="A60" t="s">
        <v>547</v>
      </c>
      <c r="B60" s="59">
        <f>+('CBNARÉSULT         '!B41/((cbnavar!J51+cbnavar!B51)/2)*4)</f>
        <v>1.220589424865856</v>
      </c>
      <c r="C60" s="59">
        <v>1.9557</v>
      </c>
      <c r="D60" s="59"/>
      <c r="E60" s="57">
        <v>0</v>
      </c>
      <c r="F60" s="59">
        <v>2.0114000000000001</v>
      </c>
      <c r="G60" s="59"/>
      <c r="H60" s="364">
        <v>0</v>
      </c>
      <c r="I60" s="59">
        <v>1.4239999999999999</v>
      </c>
      <c r="J60" s="59"/>
      <c r="K60" s="57">
        <v>0</v>
      </c>
      <c r="L60" s="59">
        <v>1.0878000000000001</v>
      </c>
      <c r="M60" s="59"/>
      <c r="N60" s="59">
        <f>+'sysratfinclé '!O43</f>
        <v>1.220589424865856</v>
      </c>
      <c r="O60" s="59">
        <f>+'sysratfinclé '!O44</f>
        <v>1.9557</v>
      </c>
      <c r="P60" s="59"/>
      <c r="Q60" s="59">
        <f>+'CBNAVARAN           '!F44/((cbnavar!J51+cbnavar!L51)/2)</f>
        <v>1.2237925721268796</v>
      </c>
      <c r="R60" s="59">
        <v>1.4567000000000001</v>
      </c>
      <c r="S60" s="59">
        <v>1.9931000000000001</v>
      </c>
      <c r="T60" s="59">
        <v>1.5924</v>
      </c>
      <c r="U60" s="43"/>
      <c r="V60" s="43"/>
      <c r="W60" s="43"/>
      <c r="X60" s="43"/>
      <c r="Y60" s="43"/>
      <c r="Z60" s="43"/>
      <c r="AA60" s="43"/>
    </row>
    <row r="61" spans="1:27" ht="7.15" customHeight="1">
      <c r="B61" s="57"/>
      <c r="C61" s="59"/>
      <c r="D61" s="59"/>
      <c r="E61" s="57"/>
      <c r="F61" s="59"/>
      <c r="G61" s="59"/>
      <c r="H61" s="57"/>
      <c r="I61" s="59"/>
      <c r="J61" s="59"/>
      <c r="K61" s="57"/>
      <c r="L61" s="59"/>
      <c r="M61" s="59"/>
      <c r="N61" s="59"/>
      <c r="O61" s="59"/>
      <c r="P61" s="59"/>
      <c r="Q61" s="59"/>
      <c r="R61" s="59"/>
      <c r="S61" s="59"/>
      <c r="T61" s="59"/>
      <c r="U61" s="43"/>
      <c r="V61" s="43"/>
      <c r="W61" s="43"/>
      <c r="X61" s="43"/>
      <c r="Y61" s="43"/>
      <c r="Z61" s="43"/>
      <c r="AA61" s="43"/>
    </row>
    <row r="62" spans="1:27">
      <c r="A62" t="s">
        <v>201</v>
      </c>
      <c r="B62" s="57"/>
      <c r="C62" s="59"/>
      <c r="D62" s="59"/>
      <c r="E62" s="57"/>
      <c r="F62" s="59"/>
      <c r="G62" s="59"/>
      <c r="H62" s="57"/>
      <c r="I62" s="59"/>
      <c r="J62" s="59"/>
      <c r="K62" s="57"/>
      <c r="L62" s="59"/>
      <c r="M62" s="59"/>
      <c r="N62" s="59"/>
      <c r="O62" s="59"/>
      <c r="P62" s="59"/>
      <c r="Q62" s="59"/>
      <c r="R62" s="59"/>
      <c r="S62" s="58" t="s">
        <v>0</v>
      </c>
      <c r="T62" s="58" t="s">
        <v>0</v>
      </c>
      <c r="U62" s="43"/>
      <c r="V62" s="43"/>
      <c r="W62" s="43"/>
      <c r="X62" s="43"/>
      <c r="Y62" s="43"/>
      <c r="Z62" s="43"/>
      <c r="AA62" s="43"/>
    </row>
    <row r="63" spans="1:27">
      <c r="A63" t="s">
        <v>225</v>
      </c>
      <c r="B63" s="59">
        <f>+'CBNARÉSULT         '!B15/'CBNARÉSULT         '!B13</f>
        <v>0.58175059534181328</v>
      </c>
      <c r="C63" s="59">
        <v>0.51800000000000002</v>
      </c>
      <c r="D63" s="59"/>
      <c r="E63" s="57">
        <v>0</v>
      </c>
      <c r="F63" s="59">
        <v>0.50960000000000005</v>
      </c>
      <c r="G63" s="59"/>
      <c r="H63" s="364">
        <v>0</v>
      </c>
      <c r="I63" s="59">
        <v>0.54039999999999999</v>
      </c>
      <c r="J63" s="59"/>
      <c r="K63" s="57">
        <v>0</v>
      </c>
      <c r="L63" s="59">
        <v>0.54549999999999998</v>
      </c>
      <c r="M63" s="59"/>
      <c r="N63" s="59">
        <f>+'sysratfinclé '!O50</f>
        <v>0.58175059534181328</v>
      </c>
      <c r="O63" s="59">
        <f>+'sysratfinclé '!O51</f>
        <v>0.51798045602605858</v>
      </c>
      <c r="P63" s="59"/>
      <c r="Q63" s="59">
        <f>+'CBNAVARAN           '!F18/'CBNAVARAN           '!F16</f>
        <v>0.52833201646775063</v>
      </c>
      <c r="R63" s="59">
        <v>0.52780000000000005</v>
      </c>
      <c r="S63" s="59">
        <v>0.5292</v>
      </c>
      <c r="T63" s="59">
        <v>0.57330000000000003</v>
      </c>
      <c r="U63" s="43"/>
      <c r="V63" s="43"/>
      <c r="W63" s="43"/>
      <c r="X63" s="43"/>
      <c r="Y63" s="43"/>
      <c r="Z63" s="43"/>
      <c r="AA63" s="43"/>
    </row>
    <row r="64" spans="1:27" ht="7.15" customHeight="1">
      <c r="B64" s="57"/>
      <c r="C64" s="59"/>
      <c r="D64" s="59"/>
      <c r="E64" s="57"/>
      <c r="F64" s="59"/>
      <c r="G64" s="59"/>
      <c r="H64" s="57"/>
      <c r="I64" s="59"/>
      <c r="J64" s="59"/>
      <c r="K64" s="57"/>
      <c r="L64" s="59"/>
      <c r="M64" s="59"/>
      <c r="N64" s="59"/>
      <c r="O64" s="59"/>
      <c r="P64" s="59"/>
      <c r="Q64" s="59"/>
      <c r="R64" s="59"/>
      <c r="S64" s="59"/>
      <c r="T64" s="59"/>
      <c r="U64" s="43"/>
      <c r="V64" s="43"/>
      <c r="W64" s="43"/>
      <c r="X64" s="43"/>
      <c r="Y64" s="43"/>
      <c r="Z64" s="43"/>
      <c r="AA64" s="43"/>
    </row>
    <row r="65" spans="1:20">
      <c r="A65" t="s">
        <v>226</v>
      </c>
      <c r="B65" s="59">
        <f>+('CBNARÉSULT         '!B10/((cbnavar!B60+cbnavar!J60)/2)*4)</f>
        <v>0.15272316858710203</v>
      </c>
      <c r="C65" s="56">
        <v>0.1719</v>
      </c>
      <c r="D65" s="56"/>
      <c r="E65" s="49">
        <v>0</v>
      </c>
      <c r="F65" s="56">
        <v>0.14729999999999999</v>
      </c>
      <c r="G65" s="56"/>
      <c r="H65" s="364">
        <v>0</v>
      </c>
      <c r="I65" s="56">
        <v>0.1394</v>
      </c>
      <c r="J65" s="56"/>
      <c r="K65" s="49">
        <v>0</v>
      </c>
      <c r="L65" s="56">
        <v>0.1273</v>
      </c>
      <c r="M65" s="56"/>
      <c r="N65" s="59">
        <f>+'sysratfinclé '!O56</f>
        <v>0.15272316858710203</v>
      </c>
      <c r="O65" s="59">
        <f>+'sysratfinclé '!O57</f>
        <v>0.16719999999999999</v>
      </c>
      <c r="P65" s="56"/>
      <c r="Q65" s="56">
        <f>+'CBNAVARAN           '!F13/((cbnavar!J60+cbnavar!L60)/2)</f>
        <v>0.15145386444519582</v>
      </c>
      <c r="R65" s="56">
        <v>0.1867</v>
      </c>
      <c r="S65" s="56">
        <v>0.18090000000000001</v>
      </c>
      <c r="T65" s="56">
        <v>0.1827</v>
      </c>
    </row>
    <row r="66" spans="1:20" ht="7.15" customHeight="1">
      <c r="B66" s="9"/>
      <c r="C66" s="56"/>
      <c r="D66" s="56"/>
      <c r="E66" s="49"/>
      <c r="F66" s="56"/>
      <c r="G66" s="56"/>
      <c r="H66" s="49"/>
      <c r="I66" s="56"/>
      <c r="J66" s="56"/>
      <c r="K66" s="49"/>
      <c r="L66" s="56"/>
      <c r="M66" s="56"/>
      <c r="N66" s="56"/>
      <c r="O66" s="56"/>
      <c r="P66" s="56"/>
      <c r="Q66" s="56"/>
      <c r="R66" s="56"/>
      <c r="S66" s="56"/>
      <c r="T66" s="56"/>
    </row>
    <row r="67" spans="1:20">
      <c r="A67" t="s">
        <v>227</v>
      </c>
      <c r="B67" s="59">
        <f>+('CBNARÉSULT         '!B14/((cbnavar!J29+cbnavar!B29)/2)*4)</f>
        <v>4.4909063978733524E-2</v>
      </c>
      <c r="C67" s="56">
        <v>6.4600000000000005E-2</v>
      </c>
      <c r="D67" s="56"/>
      <c r="E67" s="49">
        <v>0</v>
      </c>
      <c r="F67" s="56">
        <v>5.6800000000000003E-2</v>
      </c>
      <c r="G67" s="56"/>
      <c r="H67" s="364">
        <v>0</v>
      </c>
      <c r="I67" s="56">
        <v>5.0099999999999999E-2</v>
      </c>
      <c r="J67" s="56"/>
      <c r="K67" s="49">
        <v>0</v>
      </c>
      <c r="L67" s="56">
        <v>4.5600000000000002E-2</v>
      </c>
      <c r="M67" s="56"/>
      <c r="N67" s="59">
        <f>+'sysratfinclé '!O62</f>
        <v>4.4909063978733524E-2</v>
      </c>
      <c r="O67" s="59">
        <f>+'sysratfinclé '!O63</f>
        <v>6.4600000000000005E-2</v>
      </c>
      <c r="P67" s="56"/>
      <c r="Q67" s="56">
        <f>+'CBNAVARAN           '!F17/((cbnavar!J29+cbnavar!L29)/2)</f>
        <v>5.4539299628108356E-2</v>
      </c>
      <c r="R67" s="56">
        <v>6.5199999999999994E-2</v>
      </c>
      <c r="S67" s="56">
        <v>6.1400000000000003E-2</v>
      </c>
      <c r="T67" s="56">
        <v>4.3200000000000002E-2</v>
      </c>
    </row>
    <row r="68" spans="1:20" ht="6" customHeight="1">
      <c r="B68" s="9"/>
      <c r="C68" s="56"/>
      <c r="D68" s="56"/>
      <c r="E68" s="49"/>
      <c r="F68" s="56"/>
      <c r="G68" s="56"/>
      <c r="H68" s="49"/>
      <c r="I68" s="56"/>
      <c r="J68" s="56"/>
      <c r="K68" s="49"/>
      <c r="L68" s="56"/>
      <c r="M68" s="56"/>
      <c r="N68" s="56"/>
      <c r="O68" s="56"/>
      <c r="P68" s="56"/>
      <c r="Q68" s="56"/>
      <c r="R68" s="56"/>
      <c r="S68" s="56"/>
      <c r="T68" s="56"/>
    </row>
    <row r="69" spans="1:20">
      <c r="A69" t="s">
        <v>204</v>
      </c>
      <c r="B69" s="9"/>
      <c r="C69" s="56"/>
      <c r="D69" s="56"/>
      <c r="E69" s="49"/>
      <c r="F69" s="56"/>
      <c r="G69" s="56"/>
      <c r="H69" s="49"/>
      <c r="I69" s="56"/>
      <c r="J69" s="56"/>
      <c r="K69" s="49"/>
      <c r="L69" s="56"/>
      <c r="M69" s="56"/>
      <c r="N69" s="56"/>
      <c r="O69" s="56"/>
      <c r="P69" s="56"/>
      <c r="Q69" s="56"/>
      <c r="R69" s="56"/>
      <c r="S69" s="56"/>
      <c r="T69" s="56"/>
    </row>
    <row r="70" spans="1:20">
      <c r="A70" t="s">
        <v>228</v>
      </c>
      <c r="B70" s="59">
        <f>+'CBNARÉSULT         '!B35/'CBNARÉSULT         '!B23</f>
        <v>0.46814800983412691</v>
      </c>
      <c r="C70" s="56">
        <v>0.61360000000000003</v>
      </c>
      <c r="D70" s="56"/>
      <c r="E70" s="57">
        <v>0</v>
      </c>
      <c r="F70" s="56">
        <v>0.61909999999999998</v>
      </c>
      <c r="G70" s="56"/>
      <c r="H70" s="364">
        <v>0</v>
      </c>
      <c r="I70" s="56">
        <v>0.58240000000000003</v>
      </c>
      <c r="J70" s="56"/>
      <c r="K70" s="57">
        <v>0</v>
      </c>
      <c r="L70" s="56">
        <v>0.59060000000000001</v>
      </c>
      <c r="M70" s="56"/>
      <c r="N70" s="59">
        <f>+'sysratfinclé '!O70</f>
        <v>0.46814800983412691</v>
      </c>
      <c r="O70" s="59">
        <f>+'sysratfinclé '!O71</f>
        <v>0.61364901314381126</v>
      </c>
      <c r="P70" s="56"/>
      <c r="Q70" s="56">
        <f>+'CBNAVARAN           '!F38/'CBNAVARAN           '!F26</f>
        <v>0.60138890381948551</v>
      </c>
      <c r="R70" s="56">
        <v>0.63360000000000005</v>
      </c>
      <c r="S70" s="56">
        <v>0.52010000000000001</v>
      </c>
      <c r="T70" s="56">
        <v>0.46879999999999999</v>
      </c>
    </row>
    <row r="71" spans="1:20">
      <c r="A71" t="s">
        <v>452</v>
      </c>
      <c r="B71" s="9"/>
      <c r="C71" s="9"/>
      <c r="D71" s="9"/>
      <c r="E71" s="49"/>
      <c r="F71" s="9"/>
      <c r="G71" s="9"/>
      <c r="H71" s="49"/>
      <c r="I71" s="9"/>
      <c r="J71" s="9"/>
      <c r="K71" s="49"/>
      <c r="L71" s="9"/>
      <c r="M71" s="9"/>
      <c r="N71" s="9"/>
      <c r="O71" s="9"/>
      <c r="P71" s="9"/>
      <c r="Q71" s="9"/>
      <c r="R71" s="9"/>
      <c r="S71" s="9"/>
      <c r="T71" s="9"/>
    </row>
    <row r="72" spans="1:20">
      <c r="B72" s="9"/>
      <c r="C72" s="9"/>
      <c r="D72" s="9"/>
      <c r="E72" s="49"/>
      <c r="F72" s="9"/>
      <c r="G72" s="9"/>
      <c r="H72" s="49"/>
      <c r="I72" s="9"/>
      <c r="J72" s="9"/>
      <c r="K72" s="49"/>
      <c r="L72" s="9"/>
      <c r="M72" s="9"/>
      <c r="N72" s="9"/>
      <c r="O72" s="9"/>
      <c r="P72" s="9"/>
      <c r="Q72" s="9"/>
      <c r="R72" s="9"/>
      <c r="S72" s="9"/>
      <c r="T72" s="9"/>
    </row>
    <row r="73" spans="1:20">
      <c r="A73" t="s">
        <v>453</v>
      </c>
      <c r="B73" s="49">
        <f>+('CBNARÉSULT         '!B23/((59+51)/2)*4)</f>
        <v>2336.9454545454546</v>
      </c>
      <c r="C73" s="49">
        <v>1746.32</v>
      </c>
      <c r="D73" s="9"/>
      <c r="E73" s="49">
        <v>0</v>
      </c>
      <c r="F73" s="49">
        <v>1600.36</v>
      </c>
      <c r="G73" s="9"/>
      <c r="H73" s="364">
        <v>0</v>
      </c>
      <c r="I73" s="49">
        <v>1622.21</v>
      </c>
      <c r="J73" s="9"/>
      <c r="K73" s="49">
        <v>0</v>
      </c>
      <c r="L73" s="49">
        <v>1803.74</v>
      </c>
      <c r="M73" s="9"/>
      <c r="N73" s="57">
        <f>+'sysratfinclé '!O76</f>
        <v>2336.9454545454546</v>
      </c>
      <c r="O73" s="57">
        <f>+'sysratfinclé '!O77</f>
        <v>1746.32</v>
      </c>
      <c r="P73" s="9"/>
      <c r="Q73" s="49">
        <v>1788.9</v>
      </c>
      <c r="R73" s="49">
        <v>1748.78</v>
      </c>
      <c r="S73" s="49">
        <v>1580.47</v>
      </c>
      <c r="T73" s="49">
        <v>1445.79</v>
      </c>
    </row>
    <row r="74" spans="1:20" ht="16.5" thickBot="1">
      <c r="B74" s="19"/>
      <c r="C74" s="19"/>
      <c r="D74" s="19"/>
      <c r="E74" s="19"/>
      <c r="F74" s="19"/>
      <c r="G74" s="19"/>
      <c r="H74" s="19"/>
      <c r="I74" s="19"/>
      <c r="J74" s="19"/>
      <c r="K74" s="19"/>
      <c r="L74" s="19"/>
      <c r="M74" s="19"/>
      <c r="N74" s="19"/>
      <c r="O74" s="19"/>
      <c r="P74" s="19"/>
      <c r="Q74" s="19"/>
      <c r="R74" s="19"/>
      <c r="S74" s="19"/>
      <c r="T74" s="19"/>
    </row>
  </sheetData>
  <pageMargins left="0.2" right="0.2" top="0.54" bottom="0.48" header="0.36" footer="0.27"/>
  <pageSetup scale="44"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0"/>
  <sheetViews>
    <sheetView workbookViewId="0"/>
  </sheetViews>
  <sheetFormatPr defaultRowHeight="15.75"/>
  <cols>
    <col min="1" max="1" width="33.25" customWidth="1"/>
    <col min="2" max="2" width="17" style="12" customWidth="1"/>
    <col min="3" max="3" width="9.75" style="13" customWidth="1"/>
    <col min="4" max="4" width="15.75" style="12" customWidth="1"/>
    <col min="5" max="5" width="9.75" style="13" customWidth="1"/>
    <col min="6" max="6" width="15.75" style="12" customWidth="1"/>
    <col min="7" max="7" width="9.75" style="13" customWidth="1"/>
    <col min="8" max="8" width="13.125" style="12" customWidth="1"/>
    <col min="9" max="9" width="12.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8" width="15.75" style="12" customWidth="1"/>
    <col min="19" max="21" width="15.75" customWidth="1"/>
    <col min="22" max="256" width="11" customWidth="1"/>
  </cols>
  <sheetData>
    <row r="1" spans="1:21">
      <c r="A1" s="114" t="s">
        <v>619</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6" spans="1:21" s="2" customFormat="1" ht="16.5" thickBot="1">
      <c r="B6" s="400" t="s">
        <v>0</v>
      </c>
      <c r="C6" s="399"/>
      <c r="D6" s="400"/>
      <c r="E6" s="399"/>
      <c r="F6" s="400"/>
      <c r="G6" s="399"/>
      <c r="H6" s="400"/>
      <c r="I6" s="506" t="s">
        <v>166</v>
      </c>
      <c r="J6" s="123" t="s">
        <v>167</v>
      </c>
      <c r="K6" s="230"/>
      <c r="L6" s="123"/>
      <c r="M6" s="230"/>
      <c r="N6" s="123"/>
      <c r="O6" s="230"/>
      <c r="P6" s="123"/>
      <c r="Q6" s="4"/>
      <c r="R6" s="4"/>
    </row>
    <row r="7" spans="1:21" s="2" customFormat="1" ht="16.5" thickBot="1">
      <c r="B7" s="223" t="s">
        <v>168</v>
      </c>
      <c r="C7" s="224" t="s">
        <v>169</v>
      </c>
      <c r="D7" s="225" t="s">
        <v>170</v>
      </c>
      <c r="E7" s="224" t="s">
        <v>169</v>
      </c>
      <c r="F7" s="225" t="s">
        <v>171</v>
      </c>
      <c r="G7" s="224" t="s">
        <v>169</v>
      </c>
      <c r="H7" s="225" t="s">
        <v>172</v>
      </c>
      <c r="I7" s="445" t="s">
        <v>173</v>
      </c>
      <c r="J7" s="228" t="s">
        <v>174</v>
      </c>
      <c r="K7" s="227" t="s">
        <v>169</v>
      </c>
      <c r="L7" s="228" t="s">
        <v>175</v>
      </c>
      <c r="M7" s="227" t="s">
        <v>169</v>
      </c>
      <c r="N7" s="228" t="s">
        <v>176</v>
      </c>
      <c r="O7" s="227" t="s">
        <v>169</v>
      </c>
      <c r="P7" s="228" t="s">
        <v>177</v>
      </c>
      <c r="Q7" s="80"/>
      <c r="R7" s="80"/>
      <c r="S7" s="18"/>
      <c r="T7" s="18"/>
      <c r="U7" s="18"/>
    </row>
    <row r="8" spans="1:21">
      <c r="A8" s="87" t="s">
        <v>243</v>
      </c>
      <c r="B8" s="125"/>
      <c r="C8" s="124"/>
      <c r="D8" s="125"/>
      <c r="E8" s="124"/>
      <c r="F8" s="125"/>
      <c r="G8" s="124"/>
      <c r="H8" s="125"/>
      <c r="I8" s="386"/>
      <c r="J8" s="219"/>
      <c r="K8" s="124"/>
      <c r="L8" s="219"/>
      <c r="M8" s="124"/>
      <c r="N8" s="219"/>
      <c r="O8" s="124"/>
      <c r="P8" s="219"/>
      <c r="Q8" s="14"/>
      <c r="R8" s="14"/>
      <c r="S8" s="9"/>
      <c r="T8" s="9"/>
      <c r="U8" s="9"/>
    </row>
    <row r="9" spans="1:21">
      <c r="A9" s="1" t="s">
        <v>264</v>
      </c>
      <c r="B9"/>
    </row>
    <row r="10" spans="1:21">
      <c r="A10" s="1" t="s">
        <v>265</v>
      </c>
      <c r="B10" s="12">
        <v>44938</v>
      </c>
      <c r="C10" s="44">
        <v>0</v>
      </c>
      <c r="D10" s="12">
        <v>0</v>
      </c>
      <c r="E10" s="44">
        <v>0</v>
      </c>
      <c r="F10" s="12">
        <v>0</v>
      </c>
      <c r="G10" s="44">
        <v>0</v>
      </c>
      <c r="H10" s="12">
        <v>0</v>
      </c>
      <c r="I10" s="47">
        <f>+(B10-J10)/ABS(J10)</f>
        <v>0.70821454365758163</v>
      </c>
      <c r="J10" s="12">
        <v>26307</v>
      </c>
      <c r="K10" s="47">
        <f t="shared" ref="K10:K15" si="0">+(J10-L10)/L10</f>
        <v>1.5451818885448916</v>
      </c>
      <c r="L10" s="12">
        <v>10336</v>
      </c>
      <c r="M10" s="47">
        <f t="shared" ref="M10:M15" si="1">+(L10-N10)/N10</f>
        <v>-0.56003916060103009</v>
      </c>
      <c r="N10" s="12">
        <v>23493</v>
      </c>
      <c r="O10" s="47">
        <f t="shared" ref="O10:O22" si="2">+(N10-P10)/P10</f>
        <v>0.29240097602597026</v>
      </c>
      <c r="P10" s="12">
        <f>18177795/1000</f>
        <v>18177.794999999998</v>
      </c>
    </row>
    <row r="11" spans="1:21">
      <c r="A11" s="1" t="s">
        <v>266</v>
      </c>
      <c r="B11" s="12">
        <v>318347</v>
      </c>
      <c r="C11" s="44">
        <v>0</v>
      </c>
      <c r="D11" s="12">
        <v>0</v>
      </c>
      <c r="E11" s="44">
        <v>0</v>
      </c>
      <c r="F11" s="12">
        <v>0</v>
      </c>
      <c r="G11" s="44">
        <v>0</v>
      </c>
      <c r="H11" s="12">
        <v>0</v>
      </c>
      <c r="I11" s="47">
        <f>+(B11-J11)/ABS(J11)</f>
        <v>0.1771403004721917</v>
      </c>
      <c r="J11" s="12">
        <v>270441</v>
      </c>
      <c r="K11" s="47">
        <f t="shared" si="0"/>
        <v>4.8977169587376947E-2</v>
      </c>
      <c r="L11" s="12">
        <v>257814</v>
      </c>
      <c r="M11" s="47">
        <f t="shared" si="1"/>
        <v>0.19772045942024746</v>
      </c>
      <c r="N11" s="12">
        <v>215253.9</v>
      </c>
      <c r="O11" s="47">
        <f t="shared" si="2"/>
        <v>0.23259989156409658</v>
      </c>
      <c r="P11" s="12">
        <f>174634041/1000</f>
        <v>174634.041</v>
      </c>
    </row>
    <row r="12" spans="1:21">
      <c r="A12" s="1" t="s">
        <v>267</v>
      </c>
      <c r="B12" s="12">
        <v>15820</v>
      </c>
      <c r="C12" s="44">
        <v>0</v>
      </c>
      <c r="D12" s="12">
        <v>0</v>
      </c>
      <c r="E12" s="44">
        <v>0</v>
      </c>
      <c r="F12" s="12">
        <v>0</v>
      </c>
      <c r="G12" s="44">
        <v>0</v>
      </c>
      <c r="H12" s="12">
        <v>0</v>
      </c>
      <c r="I12" s="47">
        <f>+(B12-J12)/ABS(J12)</f>
        <v>6.174496644295302E-2</v>
      </c>
      <c r="J12" s="12">
        <v>14900</v>
      </c>
      <c r="K12" s="44">
        <v>0</v>
      </c>
      <c r="L12" s="12">
        <v>14809</v>
      </c>
      <c r="M12" s="44">
        <v>0</v>
      </c>
      <c r="N12" s="12">
        <v>0</v>
      </c>
      <c r="O12" s="47" t="e">
        <f t="shared" si="2"/>
        <v>#DIV/0!</v>
      </c>
      <c r="P12" s="12">
        <v>0</v>
      </c>
    </row>
    <row r="13" spans="1:21">
      <c r="A13" s="1" t="s">
        <v>268</v>
      </c>
      <c r="B13" s="12">
        <f>+B75</f>
        <v>0</v>
      </c>
      <c r="C13" s="44">
        <v>0</v>
      </c>
      <c r="D13" s="12">
        <f>+D75</f>
        <v>0</v>
      </c>
      <c r="E13" s="44">
        <v>0</v>
      </c>
      <c r="F13" s="12">
        <f>+F75</f>
        <v>0</v>
      </c>
      <c r="G13" s="44">
        <v>0</v>
      </c>
      <c r="H13" s="12">
        <f>+H75</f>
        <v>0</v>
      </c>
      <c r="I13" s="44">
        <v>0</v>
      </c>
      <c r="J13" s="12">
        <f>+J75</f>
        <v>0</v>
      </c>
      <c r="K13" s="44">
        <v>0</v>
      </c>
      <c r="L13" s="12">
        <f>+L75</f>
        <v>0</v>
      </c>
      <c r="M13" s="44">
        <v>0</v>
      </c>
      <c r="N13" s="12">
        <v>0</v>
      </c>
      <c r="O13" s="44">
        <v>0</v>
      </c>
      <c r="P13" s="12">
        <v>0</v>
      </c>
    </row>
    <row r="14" spans="1:21">
      <c r="A14" s="1" t="s">
        <v>269</v>
      </c>
      <c r="B14" s="221">
        <v>87981</v>
      </c>
      <c r="C14" s="44">
        <v>0</v>
      </c>
      <c r="D14" s="221">
        <v>0</v>
      </c>
      <c r="E14" s="44">
        <v>0</v>
      </c>
      <c r="F14" s="221">
        <v>0</v>
      </c>
      <c r="G14" s="44">
        <v>0</v>
      </c>
      <c r="H14" s="221">
        <v>0</v>
      </c>
      <c r="I14" s="47">
        <f>+(B14-J14)/ABS(J14)</f>
        <v>0.77234544026107455</v>
      </c>
      <c r="J14" s="221">
        <v>49641</v>
      </c>
      <c r="K14" s="47">
        <f t="shared" si="0"/>
        <v>0.48572369208667543</v>
      </c>
      <c r="L14" s="221">
        <f>27836+5576</f>
        <v>33412</v>
      </c>
      <c r="M14" s="47">
        <f t="shared" si="1"/>
        <v>-9.7253556327087529E-2</v>
      </c>
      <c r="N14" s="221">
        <v>37011.5</v>
      </c>
      <c r="O14" s="47">
        <f t="shared" si="2"/>
        <v>1.9564182028741195</v>
      </c>
      <c r="P14" s="221">
        <f>12519034/1000</f>
        <v>12519.034</v>
      </c>
    </row>
    <row r="15" spans="1:21" ht="15.6" customHeight="1">
      <c r="A15" s="1"/>
      <c r="B15" s="12">
        <f>SUM(B10:B14)</f>
        <v>467086</v>
      </c>
      <c r="C15" s="44">
        <v>0</v>
      </c>
      <c r="D15" s="12">
        <f>SUM(D10:D14)</f>
        <v>0</v>
      </c>
      <c r="E15" s="44">
        <v>0</v>
      </c>
      <c r="F15" s="12">
        <f>SUM(F10:F14)</f>
        <v>0</v>
      </c>
      <c r="G15" s="44">
        <v>0</v>
      </c>
      <c r="H15" s="12">
        <f>SUM(H10:H14)</f>
        <v>0</v>
      </c>
      <c r="I15" s="47">
        <f>+(B15-J15)/ABS(J15)</f>
        <v>0.29283205411734098</v>
      </c>
      <c r="J15" s="12">
        <f>SUM(J10:J14)</f>
        <v>361289</v>
      </c>
      <c r="K15" s="47">
        <f t="shared" si="0"/>
        <v>0.14197887922723637</v>
      </c>
      <c r="L15" s="12">
        <f>SUM(L10:L14)</f>
        <v>316371</v>
      </c>
      <c r="M15" s="47">
        <f t="shared" si="1"/>
        <v>0.14727602132881526</v>
      </c>
      <c r="N15" s="12">
        <f>SUM(N10:N14)</f>
        <v>275758.40000000002</v>
      </c>
      <c r="O15" s="47">
        <f t="shared" si="2"/>
        <v>0.3429953323628348</v>
      </c>
      <c r="P15" s="12">
        <f>SUM(P10:P14)</f>
        <v>205330.87</v>
      </c>
    </row>
    <row r="16" spans="1:21" ht="7.9" customHeight="1">
      <c r="A16" s="1"/>
      <c r="C16" s="44" t="s">
        <v>0</v>
      </c>
      <c r="E16" s="44" t="s">
        <v>0</v>
      </c>
      <c r="G16" s="44" t="s">
        <v>0</v>
      </c>
      <c r="I16" s="15" t="s">
        <v>0</v>
      </c>
      <c r="K16" s="47" t="s">
        <v>0</v>
      </c>
      <c r="M16" s="47" t="s">
        <v>0</v>
      </c>
      <c r="O16" s="47" t="s">
        <v>0</v>
      </c>
    </row>
    <row r="17" spans="1:16" ht="15.6" customHeight="1">
      <c r="A17" s="1" t="s">
        <v>270</v>
      </c>
      <c r="B17" s="12">
        <v>116970</v>
      </c>
      <c r="C17" s="44">
        <v>0</v>
      </c>
      <c r="D17" s="12">
        <v>0</v>
      </c>
      <c r="E17" s="44">
        <v>0</v>
      </c>
      <c r="F17" s="12">
        <v>0</v>
      </c>
      <c r="G17" s="44">
        <v>0</v>
      </c>
      <c r="H17" s="12">
        <v>0</v>
      </c>
      <c r="I17" s="47">
        <f>+(B17-J17)/ABS(J17)</f>
        <v>-0.34147041768239472</v>
      </c>
      <c r="J17" s="12">
        <v>177623</v>
      </c>
      <c r="K17" s="44">
        <v>0</v>
      </c>
      <c r="L17" s="12">
        <f>+L74</f>
        <v>0</v>
      </c>
      <c r="M17" s="47"/>
      <c r="N17" s="12">
        <v>27000</v>
      </c>
      <c r="O17" s="47"/>
      <c r="P17" s="12">
        <v>0</v>
      </c>
    </row>
    <row r="18" spans="1:16">
      <c r="A18" s="1" t="s">
        <v>271</v>
      </c>
      <c r="B18" s="12">
        <v>0</v>
      </c>
      <c r="C18" s="44">
        <v>0</v>
      </c>
      <c r="D18" s="12">
        <f>+D80</f>
        <v>0</v>
      </c>
      <c r="E18" s="44">
        <v>0</v>
      </c>
      <c r="F18" s="12">
        <f>+F80</f>
        <v>0</v>
      </c>
      <c r="G18" s="44">
        <v>0</v>
      </c>
      <c r="H18" s="12">
        <f>+H80</f>
        <v>0</v>
      </c>
      <c r="I18" s="44">
        <v>0</v>
      </c>
      <c r="J18" s="12">
        <f>+J80</f>
        <v>0</v>
      </c>
      <c r="K18" s="89">
        <v>0</v>
      </c>
      <c r="L18" s="12">
        <f>+L80</f>
        <v>0</v>
      </c>
      <c r="M18" s="44">
        <v>0</v>
      </c>
      <c r="N18" s="12">
        <v>26770.1</v>
      </c>
      <c r="O18" s="44">
        <v>0</v>
      </c>
      <c r="P18" s="12">
        <v>0</v>
      </c>
    </row>
    <row r="19" spans="1:16">
      <c r="A19" s="1" t="s">
        <v>272</v>
      </c>
      <c r="B19" s="12">
        <v>729160</v>
      </c>
      <c r="C19" s="44">
        <v>0</v>
      </c>
      <c r="D19" s="12">
        <v>0</v>
      </c>
      <c r="E19" s="44">
        <v>0</v>
      </c>
      <c r="F19" s="12">
        <v>0</v>
      </c>
      <c r="G19" s="44">
        <v>0</v>
      </c>
      <c r="H19" s="12">
        <v>0</v>
      </c>
      <c r="I19" s="47">
        <f>+(B19-J19)/ABS(J19)</f>
        <v>-1.6557059543912084E-2</v>
      </c>
      <c r="J19" s="12">
        <v>741436</v>
      </c>
      <c r="K19" s="47">
        <f>+(J19-L19)/L19</f>
        <v>0.13584604472387291</v>
      </c>
      <c r="L19" s="12">
        <v>652761</v>
      </c>
      <c r="M19" s="47">
        <f>+(L19-N19)/N19</f>
        <v>0.43752566966866446</v>
      </c>
      <c r="N19" s="12">
        <v>454086.5</v>
      </c>
      <c r="O19" s="47">
        <f t="shared" si="2"/>
        <v>0.1306720338689992</v>
      </c>
      <c r="P19" s="12">
        <f>401607616/1000</f>
        <v>401607.61599999998</v>
      </c>
    </row>
    <row r="20" spans="1:16">
      <c r="A20" s="1" t="s">
        <v>273</v>
      </c>
      <c r="B20" s="12">
        <v>25365</v>
      </c>
      <c r="C20" s="44">
        <v>0</v>
      </c>
      <c r="D20" s="12">
        <v>0</v>
      </c>
      <c r="E20" s="44">
        <v>0</v>
      </c>
      <c r="F20" s="12">
        <v>0</v>
      </c>
      <c r="G20" s="44">
        <v>0</v>
      </c>
      <c r="H20" s="12">
        <v>0</v>
      </c>
      <c r="I20" s="47">
        <f>+(B20-J20)/ABS(J20)</f>
        <v>-4.8824389695128811E-2</v>
      </c>
      <c r="J20" s="12">
        <v>26667</v>
      </c>
      <c r="K20" s="47">
        <f>+(J20-L20)/L20</f>
        <v>0.41732660111613074</v>
      </c>
      <c r="L20" s="12">
        <v>18815</v>
      </c>
      <c r="M20" s="47">
        <f>+(L20-N20)/N20</f>
        <v>0.25181301646019344</v>
      </c>
      <c r="N20" s="12">
        <v>15030.2</v>
      </c>
      <c r="O20" s="47">
        <f t="shared" si="2"/>
        <v>2.5293982279979703</v>
      </c>
      <c r="P20" s="12">
        <f>4258573/1000</f>
        <v>4258.5730000000003</v>
      </c>
    </row>
    <row r="21" spans="1:16" ht="16.5" thickBot="1">
      <c r="A21" s="1" t="s">
        <v>274</v>
      </c>
      <c r="B21" s="99">
        <v>268201</v>
      </c>
      <c r="C21" s="44">
        <v>0</v>
      </c>
      <c r="D21" s="99">
        <v>0</v>
      </c>
      <c r="E21" s="44">
        <v>0</v>
      </c>
      <c r="F21" s="99">
        <v>0</v>
      </c>
      <c r="G21" s="44">
        <v>0</v>
      </c>
      <c r="H21" s="99">
        <v>0</v>
      </c>
      <c r="I21" s="47">
        <f>+(B21-J21)/ABS(J21)</f>
        <v>0.82726857750192473</v>
      </c>
      <c r="J21" s="99">
        <v>146777</v>
      </c>
      <c r="K21" s="47">
        <f>+(J21-L21)/L21</f>
        <v>0.25818203637984538</v>
      </c>
      <c r="L21" s="99">
        <v>116658</v>
      </c>
      <c r="M21" s="47">
        <f>+(L21-N21)/N21</f>
        <v>-0.28063578432763026</v>
      </c>
      <c r="N21" s="99">
        <v>162168.20000000001</v>
      </c>
      <c r="O21" s="47">
        <f t="shared" si="2"/>
        <v>0.47871973127323897</v>
      </c>
      <c r="P21" s="99">
        <f>109667976/1000</f>
        <v>109667.976</v>
      </c>
    </row>
    <row r="22" spans="1:16">
      <c r="A22" s="1" t="s">
        <v>275</v>
      </c>
      <c r="B22" s="4">
        <f>SUM(B15:B21)</f>
        <v>1606782</v>
      </c>
      <c r="C22" s="44">
        <v>0</v>
      </c>
      <c r="D22" s="4">
        <f>SUM(D15:D21)</f>
        <v>0</v>
      </c>
      <c r="E22" s="44">
        <v>0</v>
      </c>
      <c r="F22" s="4">
        <f>SUM(F15:F21)</f>
        <v>0</v>
      </c>
      <c r="G22" s="44">
        <v>0</v>
      </c>
      <c r="H22" s="4">
        <f>SUM(H15:H21)</f>
        <v>0</v>
      </c>
      <c r="I22" s="47">
        <f>+(B22-J22)/ABS(J22)</f>
        <v>0.10523513680086284</v>
      </c>
      <c r="J22" s="4">
        <f>SUM(J15:J21)</f>
        <v>1453792</v>
      </c>
      <c r="K22" s="47">
        <f>+(J22-L22)/L22</f>
        <v>0.31611933677649479</v>
      </c>
      <c r="L22" s="4">
        <f>SUM(L15:L21)</f>
        <v>1104605</v>
      </c>
      <c r="M22" s="47">
        <f>+(L22-N22)/N22</f>
        <v>0.14965611428816469</v>
      </c>
      <c r="N22" s="4">
        <f>SUM(N15:N21)</f>
        <v>960813.39999999991</v>
      </c>
      <c r="O22" s="47">
        <f t="shared" si="2"/>
        <v>0.33286170552022942</v>
      </c>
      <c r="P22" s="4">
        <f>SUM(P15:P21)</f>
        <v>720865.03500000003</v>
      </c>
    </row>
    <row r="23" spans="1:16" ht="7.9" customHeight="1">
      <c r="A23" s="1"/>
      <c r="C23" s="44" t="s">
        <v>0</v>
      </c>
      <c r="E23" s="44" t="s">
        <v>0</v>
      </c>
      <c r="G23" s="44" t="s">
        <v>0</v>
      </c>
      <c r="I23" s="15" t="s">
        <v>0</v>
      </c>
      <c r="K23" s="47" t="s">
        <v>0</v>
      </c>
      <c r="M23" s="47" t="s">
        <v>0</v>
      </c>
      <c r="O23" s="47" t="s">
        <v>0</v>
      </c>
    </row>
    <row r="24" spans="1:16">
      <c r="A24" s="87" t="s">
        <v>276</v>
      </c>
      <c r="C24" s="44" t="s">
        <v>0</v>
      </c>
      <c r="E24" s="44" t="s">
        <v>0</v>
      </c>
      <c r="G24" s="44" t="s">
        <v>0</v>
      </c>
      <c r="I24" s="15" t="s">
        <v>0</v>
      </c>
      <c r="K24" s="47" t="s">
        <v>0</v>
      </c>
      <c r="M24" s="47" t="s">
        <v>0</v>
      </c>
      <c r="O24" s="47" t="s">
        <v>0</v>
      </c>
    </row>
    <row r="25" spans="1:16">
      <c r="A25" s="1" t="s">
        <v>277</v>
      </c>
      <c r="C25" s="44" t="s">
        <v>0</v>
      </c>
      <c r="E25" s="44" t="s">
        <v>0</v>
      </c>
      <c r="G25" s="44" t="s">
        <v>0</v>
      </c>
      <c r="I25" s="15" t="s">
        <v>0</v>
      </c>
      <c r="K25" s="47" t="s">
        <v>0</v>
      </c>
      <c r="M25" s="47" t="s">
        <v>0</v>
      </c>
      <c r="O25" s="47" t="s">
        <v>0</v>
      </c>
    </row>
    <row r="26" spans="1:16">
      <c r="A26" s="1" t="s">
        <v>278</v>
      </c>
      <c r="B26" s="12">
        <v>299702</v>
      </c>
      <c r="C26" s="44">
        <v>0</v>
      </c>
      <c r="D26" s="12">
        <v>0</v>
      </c>
      <c r="E26" s="44">
        <v>0</v>
      </c>
      <c r="F26" s="12">
        <v>0</v>
      </c>
      <c r="G26" s="44">
        <v>0</v>
      </c>
      <c r="H26" s="12">
        <v>0</v>
      </c>
      <c r="I26" s="47">
        <f>+(B26-J26)/ABS(J26)</f>
        <v>0.12656372165754495</v>
      </c>
      <c r="J26" s="12">
        <v>266032</v>
      </c>
      <c r="K26" s="47">
        <f>+(J26-L26)/L26</f>
        <v>0.322259499490544</v>
      </c>
      <c r="L26" s="12">
        <v>201195</v>
      </c>
      <c r="M26" s="47">
        <f>+(L26-N26)/N26</f>
        <v>-3.0382271169107505E-2</v>
      </c>
      <c r="N26" s="12">
        <v>207499.3</v>
      </c>
      <c r="O26" s="47">
        <f>+(N26-P26)/P26</f>
        <v>-3.0160257514025908E-2</v>
      </c>
      <c r="P26" s="12">
        <f>213952152/1000</f>
        <v>213952.152</v>
      </c>
    </row>
    <row r="27" spans="1:16">
      <c r="A27" s="1" t="s">
        <v>279</v>
      </c>
      <c r="B27" s="12">
        <v>302496</v>
      </c>
      <c r="C27" s="44">
        <v>0</v>
      </c>
      <c r="D27" s="12">
        <v>0</v>
      </c>
      <c r="E27" s="44">
        <v>0</v>
      </c>
      <c r="F27" s="12">
        <v>0</v>
      </c>
      <c r="G27" s="44">
        <v>0</v>
      </c>
      <c r="H27" s="12">
        <v>0</v>
      </c>
      <c r="I27" s="47">
        <f>+(B27-J27)/ABS(J27)</f>
        <v>6.0634004551144274E-2</v>
      </c>
      <c r="J27" s="12">
        <v>285203</v>
      </c>
      <c r="K27" s="47">
        <f>+(J27-L27)/L27</f>
        <v>0.15309942749943398</v>
      </c>
      <c r="L27" s="12">
        <v>247336</v>
      </c>
      <c r="M27" s="47">
        <f>+(L27-N27)/N27</f>
        <v>3.0948976912271633E-2</v>
      </c>
      <c r="N27" s="12">
        <v>239911</v>
      </c>
      <c r="O27" s="47">
        <f>+(N27-P27)/P27</f>
        <v>0.37387120095072335</v>
      </c>
      <c r="P27" s="12">
        <f>174624084/1000</f>
        <v>174624.084</v>
      </c>
    </row>
    <row r="28" spans="1:16">
      <c r="A28" s="1" t="s">
        <v>280</v>
      </c>
      <c r="B28" s="221">
        <v>758290</v>
      </c>
      <c r="C28" s="44">
        <v>0</v>
      </c>
      <c r="D28" s="221">
        <v>0</v>
      </c>
      <c r="E28" s="44">
        <v>0</v>
      </c>
      <c r="F28" s="221">
        <v>0</v>
      </c>
      <c r="G28" s="44">
        <v>0</v>
      </c>
      <c r="H28" s="221">
        <v>0</v>
      </c>
      <c r="I28" s="47">
        <f>+(B28-J28)/ABS(J28)</f>
        <v>0.15978936001969971</v>
      </c>
      <c r="J28" s="221">
        <v>653817</v>
      </c>
      <c r="K28" s="104">
        <f>+(J28-L28)/L28</f>
        <v>0.53458356315499178</v>
      </c>
      <c r="L28" s="221">
        <v>426055</v>
      </c>
      <c r="M28" s="47">
        <f>+(L28-N28)/N28</f>
        <v>0.58931032090225344</v>
      </c>
      <c r="N28" s="221">
        <v>268075.40000000002</v>
      </c>
      <c r="O28" s="47">
        <f>+(N28-P28)/P28</f>
        <v>0.76706502225991069</v>
      </c>
      <c r="P28" s="221">
        <f>151706585/1000</f>
        <v>151706.58499999999</v>
      </c>
    </row>
    <row r="29" spans="1:16">
      <c r="A29" s="1"/>
      <c r="B29" s="12">
        <f>SUM(B26:B28)</f>
        <v>1360488</v>
      </c>
      <c r="C29" s="44">
        <v>0</v>
      </c>
      <c r="D29" s="12">
        <f>SUM(D26:D28)</f>
        <v>0</v>
      </c>
      <c r="E29" s="44">
        <v>0</v>
      </c>
      <c r="F29" s="12">
        <f>SUM(F26:F28)</f>
        <v>0</v>
      </c>
      <c r="G29" s="44">
        <v>0</v>
      </c>
      <c r="H29" s="12">
        <f>SUM(H26:H28)</f>
        <v>0</v>
      </c>
      <c r="I29" s="47">
        <f>+(B29-J29)/ABS(J29)</f>
        <v>0.12898696487786418</v>
      </c>
      <c r="J29" s="12">
        <f>SUM(J26:J28)</f>
        <v>1205052</v>
      </c>
      <c r="K29" s="47">
        <f>+(J29-L29)/L29</f>
        <v>0.37785420759079152</v>
      </c>
      <c r="L29" s="12">
        <f>SUM(L26:L28)</f>
        <v>874586</v>
      </c>
      <c r="M29" s="47">
        <f>+(L29-N29)/N29</f>
        <v>0.22236684814245772</v>
      </c>
      <c r="N29" s="12">
        <f>SUM(N26:N28)</f>
        <v>715485.7</v>
      </c>
      <c r="O29" s="47">
        <f>+(N29-P29)/P29</f>
        <v>0.32427993671114697</v>
      </c>
      <c r="P29" s="12">
        <f>SUM(P26:P28)</f>
        <v>540282.821</v>
      </c>
    </row>
    <row r="30" spans="1:16" ht="7.9" customHeight="1">
      <c r="A30" s="1"/>
      <c r="C30" s="44" t="s">
        <v>0</v>
      </c>
      <c r="E30" s="44" t="s">
        <v>0</v>
      </c>
      <c r="G30" s="44" t="s">
        <v>0</v>
      </c>
      <c r="I30" s="15" t="s">
        <v>0</v>
      </c>
      <c r="K30" s="47" t="s">
        <v>0</v>
      </c>
      <c r="M30" s="47" t="s">
        <v>0</v>
      </c>
      <c r="O30" s="47" t="s">
        <v>0</v>
      </c>
    </row>
    <row r="31" spans="1:16">
      <c r="A31" s="1" t="s">
        <v>281</v>
      </c>
      <c r="C31" s="44" t="s">
        <v>0</v>
      </c>
      <c r="E31" s="44" t="s">
        <v>0</v>
      </c>
      <c r="G31" s="44" t="s">
        <v>0</v>
      </c>
      <c r="I31" s="15" t="s">
        <v>0</v>
      </c>
      <c r="K31" s="47" t="s">
        <v>0</v>
      </c>
      <c r="M31" s="47" t="s">
        <v>0</v>
      </c>
      <c r="O31" s="47" t="s">
        <v>0</v>
      </c>
    </row>
    <row r="32" spans="1:16">
      <c r="A32" s="1" t="s">
        <v>282</v>
      </c>
      <c r="B32" s="12">
        <v>0</v>
      </c>
      <c r="C32" s="44">
        <v>0</v>
      </c>
      <c r="D32" s="12">
        <v>0</v>
      </c>
      <c r="E32" s="44">
        <v>0</v>
      </c>
      <c r="F32" s="12">
        <v>0</v>
      </c>
      <c r="G32" s="44">
        <v>0</v>
      </c>
      <c r="H32" s="12">
        <v>0</v>
      </c>
      <c r="I32" s="44">
        <v>0</v>
      </c>
      <c r="J32" s="12">
        <v>10000</v>
      </c>
      <c r="K32" s="47">
        <f>+(J32-L32)/L32</f>
        <v>-0.80115726471933346</v>
      </c>
      <c r="L32" s="12">
        <v>50291</v>
      </c>
      <c r="M32" s="47">
        <f>+(L32-N32)/N32</f>
        <v>-0.40935985699957489</v>
      </c>
      <c r="N32" s="12">
        <v>85146.6</v>
      </c>
      <c r="O32" s="47">
        <f>+(N32-P32)/P32</f>
        <v>0.80831326375880852</v>
      </c>
      <c r="P32" s="12">
        <f>47086200/1000</f>
        <v>47086.2</v>
      </c>
    </row>
    <row r="33" spans="1:21">
      <c r="A33" s="1" t="s">
        <v>283</v>
      </c>
      <c r="B33" s="12">
        <f>+B140</f>
        <v>0</v>
      </c>
      <c r="C33" s="44">
        <v>0</v>
      </c>
      <c r="D33" s="12">
        <f>+D140</f>
        <v>0</v>
      </c>
      <c r="E33" s="44">
        <v>0</v>
      </c>
      <c r="F33" s="12">
        <f>+F140</f>
        <v>0</v>
      </c>
      <c r="G33" s="44">
        <v>0</v>
      </c>
      <c r="H33" s="12">
        <f>+H140</f>
        <v>0</v>
      </c>
      <c r="I33" s="44">
        <v>0</v>
      </c>
      <c r="J33" s="12">
        <f>+J140</f>
        <v>0</v>
      </c>
      <c r="K33" s="44">
        <v>0</v>
      </c>
      <c r="L33" s="12">
        <f>+L140</f>
        <v>0</v>
      </c>
      <c r="M33" s="44">
        <v>0</v>
      </c>
      <c r="N33" s="12">
        <v>0</v>
      </c>
      <c r="O33" s="44">
        <v>0</v>
      </c>
      <c r="P33" s="12">
        <v>0</v>
      </c>
    </row>
    <row r="34" spans="1:21" ht="18">
      <c r="A34" s="1" t="s">
        <v>284</v>
      </c>
      <c r="B34" s="221">
        <v>171902</v>
      </c>
      <c r="C34" s="44">
        <v>0</v>
      </c>
      <c r="D34" s="221">
        <v>0</v>
      </c>
      <c r="E34" s="44">
        <v>0</v>
      </c>
      <c r="F34" s="221">
        <v>0</v>
      </c>
      <c r="G34" s="44">
        <v>0</v>
      </c>
      <c r="H34" s="221">
        <v>0</v>
      </c>
      <c r="I34" s="47">
        <f>+(B34-J34)/ABS(J34)</f>
        <v>-2.2362000523220765E-2</v>
      </c>
      <c r="J34" s="221">
        <v>175834</v>
      </c>
      <c r="K34" s="47">
        <f>+(J34-L34)/L34</f>
        <v>0.29462004579624351</v>
      </c>
      <c r="L34" s="221">
        <f>186110-50291</f>
        <v>135819</v>
      </c>
      <c r="M34" s="47">
        <f>+(L34-N34)/N34</f>
        <v>0.20753546083527008</v>
      </c>
      <c r="N34" s="221">
        <v>112476.2</v>
      </c>
      <c r="O34" s="47">
        <f>+(N34-P34)/P34</f>
        <v>2.1557368869036302E-2</v>
      </c>
      <c r="P34" s="221">
        <f>110102676/1000</f>
        <v>110102.67600000001</v>
      </c>
      <c r="Q34" s="6"/>
      <c r="R34" s="6"/>
      <c r="S34" s="7"/>
      <c r="T34" s="7"/>
      <c r="U34" s="7"/>
    </row>
    <row r="35" spans="1:21">
      <c r="A35" s="1"/>
      <c r="B35" s="12">
        <f>SUM(B32:B34)</f>
        <v>171902</v>
      </c>
      <c r="C35" s="44">
        <v>0</v>
      </c>
      <c r="D35" s="12">
        <f>SUM(D32:D34)</f>
        <v>0</v>
      </c>
      <c r="E35" s="44">
        <v>0</v>
      </c>
      <c r="F35" s="12">
        <f>SUM(F32:F34)</f>
        <v>0</v>
      </c>
      <c r="G35" s="44">
        <v>0</v>
      </c>
      <c r="H35" s="12">
        <f>SUM(H32:H34)</f>
        <v>0</v>
      </c>
      <c r="I35" s="47">
        <f>+(B35-J35)/ABS(J35)</f>
        <v>-7.4970134636288294E-2</v>
      </c>
      <c r="J35" s="12">
        <f>SUM(J32:J34)</f>
        <v>185834</v>
      </c>
      <c r="K35" s="47">
        <f>+(J35-L35)/L35</f>
        <v>-1.48299392832196E-3</v>
      </c>
      <c r="L35" s="12">
        <f>SUM(L32:L34)</f>
        <v>186110</v>
      </c>
      <c r="M35" s="47">
        <f>+(L35-N35)/N35</f>
        <v>-5.8256435998275444E-2</v>
      </c>
      <c r="N35" s="12">
        <f>SUM(N32:N34)</f>
        <v>197622.8</v>
      </c>
      <c r="O35" s="47">
        <f>+(N35-P35)/P35</f>
        <v>0.25723145955951743</v>
      </c>
      <c r="P35" s="12">
        <f>SUM(P32:P34)</f>
        <v>157188.87599999999</v>
      </c>
    </row>
    <row r="36" spans="1:21" ht="7.15" customHeight="1">
      <c r="A36" s="1"/>
      <c r="C36" s="44" t="s">
        <v>0</v>
      </c>
      <c r="E36" s="44" t="s">
        <v>0</v>
      </c>
      <c r="G36" s="44" t="s">
        <v>0</v>
      </c>
      <c r="I36" s="15" t="s">
        <v>0</v>
      </c>
      <c r="K36" s="47" t="s">
        <v>0</v>
      </c>
      <c r="M36" s="47" t="s">
        <v>0</v>
      </c>
      <c r="O36" s="47" t="s">
        <v>0</v>
      </c>
    </row>
    <row r="37" spans="1:21">
      <c r="A37" s="1" t="s">
        <v>285</v>
      </c>
      <c r="C37" s="44" t="s">
        <v>0</v>
      </c>
      <c r="E37" s="44" t="s">
        <v>0</v>
      </c>
      <c r="G37" s="44" t="s">
        <v>0</v>
      </c>
      <c r="I37" s="15" t="s">
        <v>0</v>
      </c>
      <c r="K37" s="47" t="s">
        <v>0</v>
      </c>
      <c r="M37" s="47" t="s">
        <v>0</v>
      </c>
      <c r="O37" s="47" t="s">
        <v>0</v>
      </c>
    </row>
    <row r="38" spans="1:21">
      <c r="A38" s="1" t="s">
        <v>282</v>
      </c>
      <c r="B38" s="12">
        <f>+B146</f>
        <v>0</v>
      </c>
      <c r="C38" s="44">
        <v>0</v>
      </c>
      <c r="D38" s="12">
        <f>+D146</f>
        <v>0</v>
      </c>
      <c r="E38" s="44">
        <v>0</v>
      </c>
      <c r="F38" s="12">
        <f>+F146</f>
        <v>0</v>
      </c>
      <c r="G38" s="44">
        <v>0</v>
      </c>
      <c r="H38" s="12">
        <f>+H146</f>
        <v>0</v>
      </c>
      <c r="I38" s="44">
        <v>0</v>
      </c>
      <c r="J38" s="12">
        <f>+J146</f>
        <v>0</v>
      </c>
      <c r="K38" s="44">
        <v>0</v>
      </c>
      <c r="L38" s="12">
        <f>+L146</f>
        <v>0</v>
      </c>
      <c r="M38" s="44">
        <v>0</v>
      </c>
      <c r="N38" s="12">
        <v>0</v>
      </c>
      <c r="O38" s="44">
        <v>0</v>
      </c>
      <c r="P38" s="12">
        <v>0</v>
      </c>
    </row>
    <row r="39" spans="1:21">
      <c r="A39" s="1" t="s">
        <v>286</v>
      </c>
      <c r="B39" s="12">
        <f>+B147</f>
        <v>0</v>
      </c>
      <c r="C39" s="44">
        <v>0</v>
      </c>
      <c r="D39" s="12">
        <f>+D147</f>
        <v>0</v>
      </c>
      <c r="E39" s="44">
        <v>0</v>
      </c>
      <c r="F39" s="12">
        <f>+F147</f>
        <v>0</v>
      </c>
      <c r="G39" s="44">
        <v>0</v>
      </c>
      <c r="H39" s="12">
        <f>+H147</f>
        <v>0</v>
      </c>
      <c r="I39" s="44">
        <v>0</v>
      </c>
      <c r="J39" s="12">
        <f>+J147</f>
        <v>0</v>
      </c>
      <c r="K39" s="44">
        <v>0</v>
      </c>
      <c r="L39" s="12">
        <f>+L147</f>
        <v>0</v>
      </c>
      <c r="M39" s="44">
        <v>0</v>
      </c>
      <c r="N39" s="12">
        <v>0</v>
      </c>
      <c r="O39" s="44">
        <v>0</v>
      </c>
      <c r="P39" s="12">
        <v>0</v>
      </c>
    </row>
    <row r="40" spans="1:21">
      <c r="A40" s="1" t="s">
        <v>284</v>
      </c>
      <c r="B40" s="221">
        <v>17175</v>
      </c>
      <c r="C40" s="44">
        <v>0</v>
      </c>
      <c r="D40" s="221">
        <v>0</v>
      </c>
      <c r="E40" s="44">
        <v>0</v>
      </c>
      <c r="F40" s="221">
        <v>0</v>
      </c>
      <c r="G40" s="44">
        <v>0</v>
      </c>
      <c r="H40" s="221">
        <v>0</v>
      </c>
      <c r="I40" s="47">
        <f>+(B40-J40)/ABS(J40)</f>
        <v>0.29857855738696509</v>
      </c>
      <c r="J40" s="221">
        <v>13226</v>
      </c>
      <c r="K40" s="47">
        <f>+(J40-L40)/L40</f>
        <v>-0.1560745278203165</v>
      </c>
      <c r="L40" s="221">
        <v>15672</v>
      </c>
      <c r="M40" s="47">
        <f>+(L40-N40)/N40</f>
        <v>2.4970242377470489E-2</v>
      </c>
      <c r="N40" s="221">
        <v>15290.2</v>
      </c>
      <c r="O40" s="47">
        <f>+(N40-P40)/P40</f>
        <v>1.7969489676399858E-2</v>
      </c>
      <c r="P40" s="221">
        <f>15020293/1000</f>
        <v>15020.293</v>
      </c>
    </row>
    <row r="41" spans="1:21">
      <c r="A41" s="1"/>
      <c r="B41" s="12">
        <f>SUM(B38:B40)</f>
        <v>17175</v>
      </c>
      <c r="C41" s="44">
        <v>0</v>
      </c>
      <c r="D41" s="12">
        <f>SUM(D38:D40)</f>
        <v>0</v>
      </c>
      <c r="E41" s="44">
        <v>0</v>
      </c>
      <c r="F41" s="12">
        <f>SUM(F38:F40)</f>
        <v>0</v>
      </c>
      <c r="G41" s="44">
        <v>0</v>
      </c>
      <c r="H41" s="12">
        <f>SUM(H38:H40)</f>
        <v>0</v>
      </c>
      <c r="I41" s="47">
        <f>+(B41-J41)/ABS(J41)</f>
        <v>0.29857855738696509</v>
      </c>
      <c r="J41" s="12">
        <f>SUM(J38:J40)</f>
        <v>13226</v>
      </c>
      <c r="K41" s="47">
        <f>+(J41-L41)/L41</f>
        <v>-0.1560745278203165</v>
      </c>
      <c r="L41" s="12">
        <f>SUM(L38:L40)</f>
        <v>15672</v>
      </c>
      <c r="M41" s="47">
        <f>+(L41-N41)/N41</f>
        <v>2.4970242377470489E-2</v>
      </c>
      <c r="N41" s="12">
        <f>SUM(N38:N40)</f>
        <v>15290.2</v>
      </c>
      <c r="O41" s="47">
        <f>+(N41-P41)/P41</f>
        <v>1.7969489676399858E-2</v>
      </c>
      <c r="P41" s="12">
        <f>SUM(P38:P40)</f>
        <v>15020.293</v>
      </c>
    </row>
    <row r="42" spans="1:21" ht="8.4499999999999993" customHeight="1">
      <c r="A42" s="1"/>
      <c r="C42" s="44" t="s">
        <v>0</v>
      </c>
      <c r="E42" s="44" t="s">
        <v>0</v>
      </c>
      <c r="G42" s="44" t="s">
        <v>0</v>
      </c>
      <c r="I42" s="15" t="s">
        <v>0</v>
      </c>
      <c r="K42" s="47" t="s">
        <v>0</v>
      </c>
      <c r="M42" s="47" t="s">
        <v>0</v>
      </c>
      <c r="O42" s="47" t="s">
        <v>0</v>
      </c>
    </row>
    <row r="43" spans="1:21" ht="18">
      <c r="A43" s="1" t="s">
        <v>287</v>
      </c>
      <c r="B43" s="221">
        <v>9864</v>
      </c>
      <c r="C43" s="44">
        <v>0</v>
      </c>
      <c r="D43" s="221">
        <v>0</v>
      </c>
      <c r="E43" s="44">
        <v>0</v>
      </c>
      <c r="F43" s="221">
        <v>0</v>
      </c>
      <c r="G43" s="44">
        <v>0</v>
      </c>
      <c r="H43" s="221">
        <v>0</v>
      </c>
      <c r="I43" s="47">
        <f>+(B43-J43)/ABS(J43)</f>
        <v>-0.5684850605888272</v>
      </c>
      <c r="J43" s="221">
        <v>22859</v>
      </c>
      <c r="K43" s="44">
        <v>0</v>
      </c>
      <c r="L43" s="221">
        <v>17416</v>
      </c>
      <c r="M43" s="44">
        <v>0</v>
      </c>
      <c r="N43" s="221">
        <v>21326.5</v>
      </c>
      <c r="O43" s="44">
        <v>0</v>
      </c>
      <c r="P43" s="221">
        <v>11.868</v>
      </c>
      <c r="Q43" s="6"/>
      <c r="R43" s="6"/>
    </row>
    <row r="44" spans="1:21">
      <c r="A44" s="1"/>
      <c r="B44" s="12">
        <f>+B29+B35+B41+B43</f>
        <v>1559429</v>
      </c>
      <c r="C44" s="44">
        <v>0</v>
      </c>
      <c r="D44" s="12">
        <f>+D29+D35+D41+D43</f>
        <v>0</v>
      </c>
      <c r="E44" s="44">
        <v>0</v>
      </c>
      <c r="F44" s="12">
        <f>+F29+F35+F41+F43</f>
        <v>0</v>
      </c>
      <c r="G44" s="44">
        <v>0</v>
      </c>
      <c r="H44" s="12">
        <f>+H29+H35+H41+H43</f>
        <v>0</v>
      </c>
      <c r="I44" s="47">
        <f>+(B44-J44)/ABS(J44)</f>
        <v>9.2824591389733924E-2</v>
      </c>
      <c r="J44" s="12">
        <f>+J29+J35+J41+J43</f>
        <v>1426971</v>
      </c>
      <c r="K44" s="47">
        <f>+(J44-L44)/L44</f>
        <v>0.30461864499754981</v>
      </c>
      <c r="L44" s="12">
        <f>+L29+L35+L41+L43</f>
        <v>1093784</v>
      </c>
      <c r="M44" s="47">
        <f>+(L44-N44)/N44</f>
        <v>0.15168471890605836</v>
      </c>
      <c r="N44" s="12">
        <f>+N29+N35+N41+N43</f>
        <v>949725.2</v>
      </c>
      <c r="O44" s="47">
        <f>+(N44-P44)/P44</f>
        <v>0.33294043160114384</v>
      </c>
      <c r="P44" s="12">
        <f>+P29+P35+P41+P43</f>
        <v>712503.85799999989</v>
      </c>
    </row>
    <row r="45" spans="1:21" ht="8.4499999999999993" customHeight="1">
      <c r="A45" s="1"/>
      <c r="C45" s="44" t="s">
        <v>0</v>
      </c>
      <c r="E45" s="44" t="s">
        <v>0</v>
      </c>
      <c r="G45" s="44" t="s">
        <v>0</v>
      </c>
      <c r="I45" s="15" t="s">
        <v>0</v>
      </c>
      <c r="K45" s="47" t="s">
        <v>0</v>
      </c>
      <c r="M45" s="47" t="s">
        <v>0</v>
      </c>
      <c r="O45" s="47" t="s">
        <v>0</v>
      </c>
    </row>
    <row r="46" spans="1:21">
      <c r="A46" s="87" t="s">
        <v>288</v>
      </c>
      <c r="C46" s="44" t="s">
        <v>0</v>
      </c>
      <c r="E46" s="44" t="s">
        <v>0</v>
      </c>
      <c r="G46" s="44" t="s">
        <v>0</v>
      </c>
      <c r="I46" s="15" t="s">
        <v>0</v>
      </c>
      <c r="K46" s="47" t="s">
        <v>0</v>
      </c>
      <c r="M46" s="47" t="s">
        <v>0</v>
      </c>
      <c r="O46" s="47" t="s">
        <v>0</v>
      </c>
    </row>
    <row r="47" spans="1:21">
      <c r="A47" s="1" t="s">
        <v>289</v>
      </c>
      <c r="B47" s="12">
        <v>5000</v>
      </c>
      <c r="C47" s="44">
        <v>0</v>
      </c>
      <c r="D47" s="12">
        <v>0</v>
      </c>
      <c r="E47" s="44">
        <v>0</v>
      </c>
      <c r="F47" s="12">
        <v>0</v>
      </c>
      <c r="G47" s="44">
        <v>0</v>
      </c>
      <c r="H47" s="12">
        <v>0</v>
      </c>
      <c r="I47" s="47">
        <f>+(B47-J47)/ABS(J47)</f>
        <v>0</v>
      </c>
      <c r="J47" s="12">
        <v>5000</v>
      </c>
      <c r="K47" s="47">
        <f>+(J47-L47)/L47</f>
        <v>0</v>
      </c>
      <c r="L47" s="12">
        <v>5000</v>
      </c>
      <c r="M47" s="47">
        <f>+(L47-N47)/N47</f>
        <v>0</v>
      </c>
      <c r="N47" s="12">
        <f>5000000/1000</f>
        <v>5000</v>
      </c>
      <c r="O47" s="47">
        <f>+(N47-P47)/P47</f>
        <v>0</v>
      </c>
      <c r="P47" s="12">
        <f>5000000/1000</f>
        <v>5000</v>
      </c>
    </row>
    <row r="48" spans="1:21">
      <c r="A48" s="1" t="s">
        <v>290</v>
      </c>
      <c r="B48" s="12">
        <v>2500</v>
      </c>
      <c r="C48" s="44">
        <v>0</v>
      </c>
      <c r="D48" s="12">
        <v>0</v>
      </c>
      <c r="E48" s="44">
        <v>0</v>
      </c>
      <c r="F48" s="12">
        <v>0</v>
      </c>
      <c r="G48" s="44">
        <v>0</v>
      </c>
      <c r="H48" s="12">
        <v>0</v>
      </c>
      <c r="I48" s="47">
        <f>+(B48-J48)/ABS(J48)</f>
        <v>0</v>
      </c>
      <c r="J48" s="12">
        <v>2500</v>
      </c>
      <c r="K48" s="47">
        <f>+(J48-L48)/L48</f>
        <v>0</v>
      </c>
      <c r="L48" s="12">
        <v>2500</v>
      </c>
      <c r="M48" s="47">
        <f>+(L48-N48)/N48</f>
        <v>0</v>
      </c>
      <c r="N48" s="12">
        <f>2500000/1000</f>
        <v>2500</v>
      </c>
      <c r="O48" s="47">
        <f>+(N48-P48)/P48</f>
        <v>0</v>
      </c>
      <c r="P48" s="12">
        <f>2500000/1000</f>
        <v>2500</v>
      </c>
    </row>
    <row r="49" spans="1:21">
      <c r="A49" s="1" t="s">
        <v>302</v>
      </c>
      <c r="B49" s="12">
        <v>10172</v>
      </c>
      <c r="C49" s="44">
        <v>0</v>
      </c>
      <c r="D49" s="12">
        <f>+D161</f>
        <v>0</v>
      </c>
      <c r="E49" s="44">
        <v>0</v>
      </c>
      <c r="F49" s="12">
        <f>+F161</f>
        <v>0</v>
      </c>
      <c r="G49" s="44">
        <v>0</v>
      </c>
      <c r="H49" s="12">
        <f>+H161</f>
        <v>0</v>
      </c>
      <c r="I49" s="44">
        <v>0</v>
      </c>
      <c r="J49" s="12">
        <f>+J161</f>
        <v>0</v>
      </c>
      <c r="K49" s="47"/>
      <c r="L49" s="12">
        <f>+L161</f>
        <v>0</v>
      </c>
      <c r="M49" s="47"/>
      <c r="N49" s="12">
        <v>0</v>
      </c>
      <c r="O49" s="47"/>
    </row>
    <row r="50" spans="1:21" ht="18">
      <c r="A50" s="1" t="s">
        <v>292</v>
      </c>
      <c r="B50" s="221">
        <v>29681</v>
      </c>
      <c r="C50" s="44">
        <v>0</v>
      </c>
      <c r="D50" s="221">
        <v>0</v>
      </c>
      <c r="E50" s="44">
        <v>0</v>
      </c>
      <c r="F50" s="221">
        <v>0</v>
      </c>
      <c r="G50" s="44">
        <v>0</v>
      </c>
      <c r="H50" s="221">
        <v>0</v>
      </c>
      <c r="I50" s="47">
        <f>+(B50-J50)/ABS(J50)</f>
        <v>0.53620413022100311</v>
      </c>
      <c r="J50" s="221">
        <v>19321</v>
      </c>
      <c r="K50" s="47">
        <f>+(J50-L50)/L50</f>
        <v>4.8178259560373382</v>
      </c>
      <c r="L50" s="221">
        <f>3946+1941-2566</f>
        <v>3321</v>
      </c>
      <c r="M50" s="47">
        <f>+(L50-N50)/N50</f>
        <v>-7.4466306225962828E-2</v>
      </c>
      <c r="N50" s="221">
        <v>3588.2</v>
      </c>
      <c r="O50" s="47">
        <f>+(N50-P50)/P50</f>
        <v>3.1665747392842669</v>
      </c>
      <c r="P50" s="221">
        <f>861187/1000</f>
        <v>861.18700000000001</v>
      </c>
      <c r="Q50" s="6"/>
      <c r="R50" s="6"/>
      <c r="S50" s="7"/>
      <c r="T50" s="7"/>
      <c r="U50" s="7"/>
    </row>
    <row r="51" spans="1:21" ht="16.5" thickBot="1">
      <c r="A51" s="1" t="s">
        <v>275</v>
      </c>
      <c r="B51" s="76">
        <f>SUM(B47:B50)</f>
        <v>47353</v>
      </c>
      <c r="C51" s="44">
        <v>0</v>
      </c>
      <c r="D51" s="76">
        <f>SUM(D47:D50)</f>
        <v>0</v>
      </c>
      <c r="E51" s="44">
        <v>0</v>
      </c>
      <c r="F51" s="76">
        <f>SUM(F47:F50)</f>
        <v>0</v>
      </c>
      <c r="G51" s="44">
        <v>0</v>
      </c>
      <c r="H51" s="76">
        <f>SUM(H47:H50)</f>
        <v>0</v>
      </c>
      <c r="I51" s="47">
        <f>+(B51-J51)/ABS(J51)</f>
        <v>0.76551955557212636</v>
      </c>
      <c r="J51" s="76">
        <f>SUM(J47:J50)</f>
        <v>26821</v>
      </c>
      <c r="K51" s="47">
        <f>+(J51-L51)/L51</f>
        <v>1.4786064134553183</v>
      </c>
      <c r="L51" s="76">
        <f>SUM(L47:L50)</f>
        <v>10821</v>
      </c>
      <c r="M51" s="47">
        <f>+(L51-N51)/N51</f>
        <v>-2.4097689435616305E-2</v>
      </c>
      <c r="N51" s="76">
        <f>SUM(N47:N50)</f>
        <v>11088.2</v>
      </c>
      <c r="O51" s="47">
        <f>+(N51-P51)/P51</f>
        <v>0.32615141845290635</v>
      </c>
      <c r="P51" s="76">
        <f>SUM(P47:P50)</f>
        <v>8361.1869999999999</v>
      </c>
    </row>
    <row r="52" spans="1:21">
      <c r="A52" s="1" t="s">
        <v>0</v>
      </c>
      <c r="B52" s="4">
        <f>+B29+B35+B41+B43+B51</f>
        <v>1606782</v>
      </c>
      <c r="C52" s="44">
        <v>0</v>
      </c>
      <c r="D52" s="4">
        <f>+D29+D35+D41+D43+D51</f>
        <v>0</v>
      </c>
      <c r="E52" s="44">
        <v>0</v>
      </c>
      <c r="F52" s="4">
        <f>+F29+F35+F41+F43+F51</f>
        <v>0</v>
      </c>
      <c r="G52" s="44">
        <v>0</v>
      </c>
      <c r="H52" s="4">
        <f>+H29+H35+H41+H43+H51</f>
        <v>0</v>
      </c>
      <c r="I52" s="47">
        <f>+(B52-J52)/ABS(J52)</f>
        <v>0.10523513680086284</v>
      </c>
      <c r="J52" s="4">
        <f>+J29+J35+J41+J43+J51</f>
        <v>1453792</v>
      </c>
      <c r="K52" s="47">
        <f>+(J52-L52)/L52</f>
        <v>0.31611933677649479</v>
      </c>
      <c r="L52" s="4">
        <f>+L29+L35+L41+L43+L51</f>
        <v>1104605</v>
      </c>
      <c r="M52" s="47">
        <f>+(L52-N52)/N52</f>
        <v>0.14965611428816469</v>
      </c>
      <c r="N52" s="4">
        <f>+N29+N35+N41+N43+N51</f>
        <v>960813.39999999991</v>
      </c>
      <c r="O52" s="47">
        <f>+(N52-P52)/P52</f>
        <v>0.33286168703047603</v>
      </c>
      <c r="P52" s="4">
        <f>+P29+P35+P41+P43+P51</f>
        <v>720865.04499999993</v>
      </c>
    </row>
    <row r="55" spans="1:21">
      <c r="A55" s="185" t="s">
        <v>293</v>
      </c>
    </row>
    <row r="56" spans="1:21">
      <c r="A56" t="s">
        <v>294</v>
      </c>
      <c r="B56" s="12">
        <v>3975</v>
      </c>
      <c r="D56" s="12">
        <v>0</v>
      </c>
      <c r="E56" s="43"/>
      <c r="F56" s="12">
        <v>0</v>
      </c>
      <c r="G56" s="43"/>
      <c r="H56" s="12">
        <v>0</v>
      </c>
      <c r="I56" s="43"/>
      <c r="J56" s="12">
        <v>2603</v>
      </c>
      <c r="K56" s="43"/>
      <c r="L56" s="12">
        <v>4020</v>
      </c>
      <c r="M56" s="12"/>
      <c r="N56" s="43">
        <v>0</v>
      </c>
      <c r="O56" s="12"/>
      <c r="P56" s="43">
        <v>0</v>
      </c>
    </row>
    <row r="57" spans="1:21">
      <c r="A57" t="s">
        <v>295</v>
      </c>
      <c r="B57" s="12">
        <v>54527</v>
      </c>
      <c r="D57" s="12">
        <v>0</v>
      </c>
      <c r="E57" s="43"/>
      <c r="F57" s="12">
        <v>0</v>
      </c>
      <c r="G57" s="43"/>
      <c r="H57" s="12">
        <v>0</v>
      </c>
      <c r="I57" s="43"/>
      <c r="J57" s="12">
        <v>79001</v>
      </c>
      <c r="K57" s="43"/>
      <c r="L57" s="12">
        <v>29314</v>
      </c>
      <c r="M57" s="12"/>
      <c r="N57" s="12">
        <v>201876.2</v>
      </c>
      <c r="O57" s="12"/>
      <c r="P57" s="12">
        <f>64406637/1000</f>
        <v>64406.637000000002</v>
      </c>
    </row>
    <row r="58" spans="1:21">
      <c r="A58" t="s">
        <v>284</v>
      </c>
      <c r="B58" s="12">
        <v>177576</v>
      </c>
      <c r="D58" s="12">
        <v>0</v>
      </c>
      <c r="E58" s="43"/>
      <c r="F58" s="12">
        <v>0</v>
      </c>
      <c r="G58" s="43"/>
      <c r="H58" s="12">
        <v>0</v>
      </c>
      <c r="I58" s="43"/>
      <c r="J58" s="12">
        <v>124246</v>
      </c>
      <c r="K58" s="43"/>
      <c r="L58" s="12">
        <f>199903+2+2236</f>
        <v>202141</v>
      </c>
      <c r="M58" s="12"/>
      <c r="N58" s="12">
        <v>246199.2</v>
      </c>
      <c r="O58" s="12"/>
      <c r="P58" s="12">
        <f>218810684/1000</f>
        <v>218810.68400000001</v>
      </c>
    </row>
    <row r="59" spans="1:21">
      <c r="D59" s="43"/>
      <c r="E59" s="43"/>
      <c r="F59" s="43"/>
      <c r="G59" s="43"/>
      <c r="H59" s="43"/>
      <c r="I59" s="43"/>
      <c r="J59" s="43"/>
      <c r="K59" s="43"/>
      <c r="L59" s="43"/>
      <c r="M59" s="12"/>
      <c r="N59" s="43"/>
      <c r="O59" s="12"/>
      <c r="P59" s="43"/>
    </row>
    <row r="60" spans="1:21" ht="18.75">
      <c r="A60" s="122" t="s">
        <v>303</v>
      </c>
      <c r="B60" s="12">
        <v>755842</v>
      </c>
      <c r="D60" s="12">
        <v>0</v>
      </c>
      <c r="E60" s="43"/>
      <c r="F60" s="12">
        <v>0</v>
      </c>
      <c r="G60" s="43"/>
      <c r="H60" s="12">
        <v>0</v>
      </c>
      <c r="I60" s="43"/>
      <c r="J60" s="12">
        <v>768118</v>
      </c>
      <c r="K60" s="43"/>
      <c r="L60" s="12">
        <v>678131</v>
      </c>
      <c r="M60" s="12"/>
      <c r="N60" s="43">
        <v>472625.7</v>
      </c>
      <c r="O60" s="12"/>
      <c r="P60" s="43">
        <f>418029511/1000</f>
        <v>418029.511</v>
      </c>
    </row>
    <row r="61" spans="1:21">
      <c r="A61" t="s">
        <v>217</v>
      </c>
      <c r="B61" s="12">
        <v>26682</v>
      </c>
      <c r="D61" s="12">
        <v>0</v>
      </c>
      <c r="E61" s="43"/>
      <c r="F61" s="12">
        <v>0</v>
      </c>
      <c r="G61" s="43"/>
      <c r="H61" s="12">
        <v>0</v>
      </c>
      <c r="I61" s="43"/>
      <c r="J61" s="12">
        <v>26682</v>
      </c>
      <c r="K61" s="43"/>
      <c r="L61" s="12">
        <v>25370</v>
      </c>
      <c r="M61" s="12"/>
      <c r="N61" s="43">
        <v>18539.2</v>
      </c>
      <c r="O61" s="12"/>
      <c r="P61" s="43">
        <f>16421895/1000</f>
        <v>16421.895</v>
      </c>
    </row>
    <row r="62" spans="1:21">
      <c r="A62" t="s">
        <v>297</v>
      </c>
      <c r="B62" s="12">
        <v>35324</v>
      </c>
      <c r="D62" s="12">
        <v>0</v>
      </c>
      <c r="E62" s="43"/>
      <c r="F62" s="12">
        <v>0</v>
      </c>
      <c r="G62" s="43"/>
      <c r="H62" s="12">
        <v>0</v>
      </c>
      <c r="I62" s="43"/>
      <c r="J62" s="12">
        <v>37322</v>
      </c>
      <c r="K62" s="43"/>
      <c r="L62" s="12">
        <v>25722</v>
      </c>
      <c r="M62" s="12"/>
      <c r="N62" s="43">
        <v>0</v>
      </c>
      <c r="O62" s="12"/>
      <c r="P62" s="43">
        <f>4372735/1000</f>
        <v>4372.7349999999997</v>
      </c>
    </row>
    <row r="67" spans="1:15">
      <c r="B67" s="17" t="s">
        <v>548</v>
      </c>
      <c r="D67" s="17" t="s">
        <v>549</v>
      </c>
      <c r="F67" s="17" t="s">
        <v>138</v>
      </c>
      <c r="H67" s="17" t="s">
        <v>528</v>
      </c>
    </row>
    <row r="69" spans="1:15">
      <c r="A69" t="s">
        <v>414</v>
      </c>
      <c r="B69" s="4">
        <f t="shared" ref="B69:M69" si="3">SUM(B70:B78)</f>
        <v>227046.09600000002</v>
      </c>
      <c r="C69" s="11" t="s">
        <v>0</v>
      </c>
      <c r="D69" s="4">
        <f t="shared" si="3"/>
        <v>0</v>
      </c>
      <c r="E69" s="11">
        <f t="shared" si="3"/>
        <v>0</v>
      </c>
      <c r="F69" s="4">
        <f t="shared" si="3"/>
        <v>0</v>
      </c>
      <c r="G69" s="11">
        <f t="shared" si="3"/>
        <v>0</v>
      </c>
      <c r="H69" s="4">
        <f t="shared" si="3"/>
        <v>0</v>
      </c>
      <c r="I69" s="11">
        <f t="shared" si="3"/>
        <v>0</v>
      </c>
      <c r="J69" s="4">
        <f t="shared" si="3"/>
        <v>0</v>
      </c>
      <c r="K69" s="11">
        <f t="shared" si="3"/>
        <v>0</v>
      </c>
      <c r="L69" s="4">
        <f t="shared" si="3"/>
        <v>0</v>
      </c>
      <c r="M69" s="11">
        <f t="shared" si="3"/>
        <v>0</v>
      </c>
      <c r="O69" s="11">
        <f>SUM(O70:O78)</f>
        <v>0</v>
      </c>
    </row>
    <row r="70" spans="1:15">
      <c r="A70" t="s">
        <v>461</v>
      </c>
      <c r="B70" s="12">
        <f>11539104/1000</f>
        <v>11539.103999999999</v>
      </c>
      <c r="D70" s="12">
        <v>0</v>
      </c>
      <c r="F70" s="12">
        <v>0</v>
      </c>
      <c r="H70" s="12">
        <v>0</v>
      </c>
    </row>
    <row r="71" spans="1:15">
      <c r="A71" t="s">
        <v>462</v>
      </c>
      <c r="B71" s="12">
        <f>10443312/1000</f>
        <v>10443.312</v>
      </c>
      <c r="D71" s="12">
        <v>0</v>
      </c>
      <c r="F71" s="12">
        <v>0</v>
      </c>
      <c r="H71" s="12">
        <v>0</v>
      </c>
    </row>
    <row r="72" spans="1:15">
      <c r="A72" t="s">
        <v>463</v>
      </c>
      <c r="B72" s="12">
        <f>35523304/1000</f>
        <v>35523.303999999996</v>
      </c>
      <c r="D72" s="12">
        <v>0</v>
      </c>
      <c r="F72" s="12">
        <v>0</v>
      </c>
      <c r="H72" s="12">
        <v>0</v>
      </c>
    </row>
    <row r="73" spans="1:15">
      <c r="A73" t="s">
        <v>464</v>
      </c>
      <c r="B73" s="12">
        <f>165508168/1000</f>
        <v>165508.16800000001</v>
      </c>
      <c r="D73" s="12">
        <v>0</v>
      </c>
      <c r="F73" s="12">
        <v>0</v>
      </c>
      <c r="H73" s="12">
        <v>0</v>
      </c>
    </row>
    <row r="74" spans="1:15">
      <c r="A74" t="s">
        <v>465</v>
      </c>
      <c r="B74" s="12">
        <v>0</v>
      </c>
      <c r="D74" s="12">
        <v>0</v>
      </c>
      <c r="F74" s="12">
        <v>0</v>
      </c>
      <c r="H74" s="12">
        <v>0</v>
      </c>
    </row>
    <row r="75" spans="1:15">
      <c r="A75" t="s">
        <v>466</v>
      </c>
      <c r="B75" s="12">
        <v>0</v>
      </c>
      <c r="D75" s="12">
        <v>0</v>
      </c>
      <c r="F75" s="12">
        <v>0</v>
      </c>
      <c r="H75" s="12">
        <v>0</v>
      </c>
    </row>
    <row r="76" spans="1:15">
      <c r="A76" t="s">
        <v>467</v>
      </c>
      <c r="B76" s="12">
        <v>0</v>
      </c>
      <c r="D76" s="12">
        <v>0</v>
      </c>
      <c r="F76" s="12">
        <v>0</v>
      </c>
      <c r="H76" s="12">
        <v>0</v>
      </c>
    </row>
    <row r="77" spans="1:15">
      <c r="A77" t="s">
        <v>468</v>
      </c>
      <c r="B77" s="12">
        <v>0</v>
      </c>
      <c r="D77" s="12">
        <v>0</v>
      </c>
      <c r="F77" s="12">
        <v>0</v>
      </c>
      <c r="H77" s="12">
        <v>0</v>
      </c>
    </row>
    <row r="78" spans="1:15">
      <c r="A78" t="s">
        <v>469</v>
      </c>
      <c r="B78" s="12">
        <f>4032208/1000</f>
        <v>4032.2080000000001</v>
      </c>
      <c r="D78" s="12">
        <v>0</v>
      </c>
      <c r="F78" s="12">
        <v>0</v>
      </c>
      <c r="H78" s="12">
        <v>0</v>
      </c>
    </row>
    <row r="80" spans="1:15">
      <c r="A80" t="s">
        <v>470</v>
      </c>
      <c r="B80" s="4">
        <f t="shared" ref="B80:M80" si="4">SUM(B81:B82)</f>
        <v>0.01</v>
      </c>
      <c r="C80" s="11" t="s">
        <v>0</v>
      </c>
      <c r="D80" s="4">
        <f t="shared" si="4"/>
        <v>0</v>
      </c>
      <c r="E80" s="11">
        <f t="shared" si="4"/>
        <v>0</v>
      </c>
      <c r="F80" s="4">
        <f t="shared" si="4"/>
        <v>0</v>
      </c>
      <c r="G80" s="11">
        <f t="shared" si="4"/>
        <v>0</v>
      </c>
      <c r="H80" s="4">
        <f t="shared" si="4"/>
        <v>0</v>
      </c>
      <c r="I80" s="11">
        <f t="shared" si="4"/>
        <v>0</v>
      </c>
      <c r="J80" s="4">
        <f t="shared" si="4"/>
        <v>0</v>
      </c>
      <c r="K80" s="11">
        <f t="shared" si="4"/>
        <v>0</v>
      </c>
      <c r="L80" s="4">
        <f t="shared" si="4"/>
        <v>0</v>
      </c>
      <c r="M80" s="11">
        <f t="shared" si="4"/>
        <v>0</v>
      </c>
      <c r="O80" s="11">
        <f>SUM(O81:O82)</f>
        <v>0</v>
      </c>
    </row>
    <row r="81" spans="1:15">
      <c r="A81" t="s">
        <v>471</v>
      </c>
      <c r="B81" s="12">
        <v>0.01</v>
      </c>
      <c r="D81" s="12">
        <v>0</v>
      </c>
      <c r="F81" s="12">
        <v>0</v>
      </c>
      <c r="H81" s="12">
        <v>0</v>
      </c>
    </row>
    <row r="82" spans="1:15">
      <c r="A82" t="s">
        <v>472</v>
      </c>
      <c r="B82" s="12">
        <v>0</v>
      </c>
      <c r="D82" s="12">
        <v>0</v>
      </c>
      <c r="F82" s="12">
        <v>0</v>
      </c>
      <c r="H82" s="12">
        <v>0</v>
      </c>
    </row>
    <row r="84" spans="1:15">
      <c r="A84" t="s">
        <v>473</v>
      </c>
      <c r="B84" s="4">
        <f t="shared" ref="B84:M84" si="5">SUM(B85:B95)</f>
        <v>574597.05399999989</v>
      </c>
      <c r="C84" s="11" t="s">
        <v>0</v>
      </c>
      <c r="D84" s="4">
        <f t="shared" si="5"/>
        <v>0</v>
      </c>
      <c r="E84" s="11">
        <f t="shared" si="5"/>
        <v>0</v>
      </c>
      <c r="F84" s="4">
        <f t="shared" si="5"/>
        <v>0</v>
      </c>
      <c r="G84" s="11">
        <f t="shared" si="5"/>
        <v>0</v>
      </c>
      <c r="H84" s="4">
        <f t="shared" si="5"/>
        <v>0</v>
      </c>
      <c r="I84" s="11">
        <f t="shared" si="5"/>
        <v>0</v>
      </c>
      <c r="J84" s="4">
        <f t="shared" si="5"/>
        <v>0</v>
      </c>
      <c r="K84" s="11">
        <f t="shared" si="5"/>
        <v>0</v>
      </c>
      <c r="L84" s="4">
        <f t="shared" si="5"/>
        <v>0</v>
      </c>
      <c r="M84" s="11">
        <f t="shared" si="5"/>
        <v>0</v>
      </c>
      <c r="O84" s="11">
        <f>SUM(O85:O95)</f>
        <v>0</v>
      </c>
    </row>
    <row r="85" spans="1:15">
      <c r="A85" t="s">
        <v>474</v>
      </c>
      <c r="B85" s="12">
        <v>0</v>
      </c>
      <c r="D85" s="12">
        <v>0</v>
      </c>
      <c r="F85" s="12">
        <v>0</v>
      </c>
      <c r="H85" s="12">
        <v>0</v>
      </c>
    </row>
    <row r="86" spans="1:15">
      <c r="A86" t="s">
        <v>475</v>
      </c>
      <c r="B86" s="12">
        <f>295329499/1000</f>
        <v>295329.49900000001</v>
      </c>
      <c r="D86" s="12">
        <v>0</v>
      </c>
      <c r="F86" s="12">
        <v>0</v>
      </c>
      <c r="H86" s="12">
        <v>0</v>
      </c>
    </row>
    <row r="87" spans="1:15">
      <c r="A87" t="s">
        <v>476</v>
      </c>
      <c r="B87" s="12">
        <f>253296694/1000</f>
        <v>253296.69399999999</v>
      </c>
      <c r="D87" s="12">
        <v>0</v>
      </c>
      <c r="F87" s="12">
        <v>0</v>
      </c>
      <c r="H87" s="12">
        <v>0</v>
      </c>
    </row>
    <row r="88" spans="1:15">
      <c r="A88" t="s">
        <v>477</v>
      </c>
      <c r="B88" s="12">
        <v>0</v>
      </c>
      <c r="D88" s="12">
        <v>0</v>
      </c>
      <c r="F88" s="12">
        <v>0</v>
      </c>
      <c r="H88" s="12">
        <v>0</v>
      </c>
    </row>
    <row r="89" spans="1:15">
      <c r="A89" t="s">
        <v>478</v>
      </c>
      <c r="B89" s="12">
        <f>31824144/1000</f>
        <v>31824.144</v>
      </c>
      <c r="D89" s="12">
        <v>0</v>
      </c>
      <c r="F89" s="12">
        <v>0</v>
      </c>
      <c r="H89" s="12">
        <v>0</v>
      </c>
    </row>
    <row r="90" spans="1:15">
      <c r="A90" t="s">
        <v>479</v>
      </c>
      <c r="B90" s="12">
        <v>0</v>
      </c>
      <c r="D90" s="12">
        <v>0</v>
      </c>
      <c r="F90" s="12">
        <v>0</v>
      </c>
      <c r="H90" s="12">
        <v>0</v>
      </c>
    </row>
    <row r="91" spans="1:15">
      <c r="A91" t="s">
        <v>480</v>
      </c>
      <c r="B91" s="12">
        <v>0</v>
      </c>
      <c r="D91" s="12">
        <v>0</v>
      </c>
      <c r="F91" s="12">
        <v>0</v>
      </c>
      <c r="H91" s="12">
        <v>0</v>
      </c>
    </row>
    <row r="92" spans="1:15">
      <c r="A92" t="s">
        <v>481</v>
      </c>
      <c r="B92" s="12">
        <v>0</v>
      </c>
      <c r="D92" s="12">
        <v>0</v>
      </c>
      <c r="F92" s="12">
        <v>0</v>
      </c>
      <c r="H92" s="12">
        <v>0</v>
      </c>
    </row>
    <row r="93" spans="1:15">
      <c r="A93" t="s">
        <v>482</v>
      </c>
      <c r="B93" s="12">
        <v>0</v>
      </c>
      <c r="D93" s="12">
        <v>0</v>
      </c>
      <c r="F93" s="12">
        <v>0</v>
      </c>
      <c r="H93" s="12">
        <v>0</v>
      </c>
    </row>
    <row r="94" spans="1:15">
      <c r="A94" t="s">
        <v>483</v>
      </c>
      <c r="B94" s="12">
        <f>14864387/1000</f>
        <v>14864.387000000001</v>
      </c>
      <c r="D94" s="12">
        <v>0</v>
      </c>
      <c r="F94" s="12">
        <v>0</v>
      </c>
      <c r="H94" s="12">
        <v>0</v>
      </c>
    </row>
    <row r="95" spans="1:15">
      <c r="A95" t="s">
        <v>484</v>
      </c>
      <c r="B95" s="12">
        <f>-20717670/1000</f>
        <v>-20717.669999999998</v>
      </c>
      <c r="D95" s="12">
        <v>0</v>
      </c>
      <c r="F95" s="12">
        <v>0</v>
      </c>
      <c r="H95" s="12">
        <v>0</v>
      </c>
    </row>
    <row r="97" spans="1:19">
      <c r="A97" t="s">
        <v>485</v>
      </c>
      <c r="B97" s="4">
        <f t="shared" ref="B97:M97" si="6">SUM(B98:B101)</f>
        <v>5301.2519999999995</v>
      </c>
      <c r="C97" s="11" t="s">
        <v>0</v>
      </c>
      <c r="D97" s="4">
        <f t="shared" si="6"/>
        <v>0</v>
      </c>
      <c r="E97" s="11">
        <f t="shared" si="6"/>
        <v>0</v>
      </c>
      <c r="F97" s="4">
        <f t="shared" si="6"/>
        <v>0</v>
      </c>
      <c r="G97" s="11">
        <f t="shared" si="6"/>
        <v>0</v>
      </c>
      <c r="H97" s="4">
        <f t="shared" si="6"/>
        <v>0</v>
      </c>
      <c r="I97" s="11">
        <f t="shared" si="6"/>
        <v>0</v>
      </c>
      <c r="J97" s="4">
        <f t="shared" si="6"/>
        <v>0</v>
      </c>
      <c r="K97" s="11">
        <f t="shared" si="6"/>
        <v>0</v>
      </c>
      <c r="L97" s="4">
        <f t="shared" si="6"/>
        <v>0</v>
      </c>
      <c r="M97" s="11">
        <f t="shared" si="6"/>
        <v>0</v>
      </c>
      <c r="O97" s="11">
        <f>SUM(O98:O101)</f>
        <v>0</v>
      </c>
    </row>
    <row r="98" spans="1:19">
      <c r="A98" t="s">
        <v>486</v>
      </c>
      <c r="B98" s="12">
        <f>1112515/1000</f>
        <v>1112.5150000000001</v>
      </c>
      <c r="D98" s="12">
        <v>0</v>
      </c>
      <c r="F98" s="12">
        <v>0</v>
      </c>
      <c r="H98" s="12">
        <v>0</v>
      </c>
    </row>
    <row r="99" spans="1:19">
      <c r="A99" t="s">
        <v>487</v>
      </c>
      <c r="B99" s="12">
        <f>4087422/1000</f>
        <v>4087.422</v>
      </c>
      <c r="D99" s="12">
        <v>0</v>
      </c>
      <c r="F99" s="12">
        <v>0</v>
      </c>
      <c r="H99" s="12">
        <v>0</v>
      </c>
    </row>
    <row r="100" spans="1:19">
      <c r="A100" t="s">
        <v>488</v>
      </c>
      <c r="B100" s="12">
        <f>101315/1000</f>
        <v>101.315</v>
      </c>
      <c r="D100" s="12">
        <v>0</v>
      </c>
      <c r="F100" s="12">
        <v>0</v>
      </c>
      <c r="H100" s="12">
        <v>0</v>
      </c>
    </row>
    <row r="101" spans="1:19">
      <c r="A101" t="s">
        <v>489</v>
      </c>
      <c r="B101" s="12">
        <v>0</v>
      </c>
      <c r="D101" s="12">
        <v>0</v>
      </c>
      <c r="F101" s="12">
        <v>0</v>
      </c>
      <c r="H101" s="12">
        <v>0</v>
      </c>
    </row>
    <row r="103" spans="1:19">
      <c r="A103" t="s">
        <v>490</v>
      </c>
      <c r="B103" s="4">
        <f>2612116/1000</f>
        <v>2612.116</v>
      </c>
      <c r="C103" s="11" t="s">
        <v>0</v>
      </c>
      <c r="D103" s="4">
        <v>0</v>
      </c>
      <c r="E103" s="11">
        <v>0</v>
      </c>
      <c r="F103" s="4">
        <v>0</v>
      </c>
      <c r="G103" s="11">
        <v>0</v>
      </c>
      <c r="H103" s="4">
        <v>0</v>
      </c>
      <c r="I103" s="11">
        <v>0</v>
      </c>
      <c r="J103" s="4">
        <v>0</v>
      </c>
      <c r="K103" s="11">
        <v>0</v>
      </c>
      <c r="L103" s="4">
        <v>0</v>
      </c>
      <c r="M103" s="11">
        <v>0</v>
      </c>
      <c r="N103" s="12">
        <v>0</v>
      </c>
      <c r="O103" s="11">
        <v>0</v>
      </c>
      <c r="P103" s="12">
        <v>0</v>
      </c>
      <c r="Q103" s="16" t="s">
        <v>0</v>
      </c>
      <c r="R103" s="16" t="s">
        <v>0</v>
      </c>
      <c r="S103" t="s">
        <v>0</v>
      </c>
    </row>
    <row r="104" spans="1:19">
      <c r="B104" s="16" t="s">
        <v>0</v>
      </c>
      <c r="D104" s="16" t="s">
        <v>0</v>
      </c>
      <c r="F104" s="16" t="s">
        <v>0</v>
      </c>
      <c r="H104" s="16" t="s">
        <v>0</v>
      </c>
    </row>
    <row r="105" spans="1:19">
      <c r="A105" t="s">
        <v>491</v>
      </c>
      <c r="B105" s="4">
        <f>25854434/1000</f>
        <v>25854.434000000001</v>
      </c>
      <c r="D105" s="4">
        <v>0</v>
      </c>
      <c r="F105" s="4">
        <v>0</v>
      </c>
      <c r="H105" s="4">
        <v>0</v>
      </c>
    </row>
    <row r="107" spans="1:19">
      <c r="A107" t="s">
        <v>492</v>
      </c>
      <c r="B107" s="4">
        <f t="shared" ref="B107:M107" si="7">SUM(B108:B111)</f>
        <v>18906.945</v>
      </c>
      <c r="C107" s="11" t="s">
        <v>0</v>
      </c>
      <c r="D107" s="4">
        <f t="shared" si="7"/>
        <v>0</v>
      </c>
      <c r="E107" s="11">
        <f t="shared" si="7"/>
        <v>0</v>
      </c>
      <c r="F107" s="4">
        <f t="shared" si="7"/>
        <v>0</v>
      </c>
      <c r="G107" s="11">
        <f t="shared" si="7"/>
        <v>0</v>
      </c>
      <c r="H107" s="4">
        <f t="shared" si="7"/>
        <v>0</v>
      </c>
      <c r="I107" s="11">
        <f t="shared" si="7"/>
        <v>0</v>
      </c>
      <c r="J107" s="4">
        <f t="shared" si="7"/>
        <v>0</v>
      </c>
      <c r="K107" s="11">
        <f t="shared" si="7"/>
        <v>0</v>
      </c>
      <c r="L107" s="4">
        <f t="shared" si="7"/>
        <v>0</v>
      </c>
      <c r="M107" s="11">
        <f t="shared" si="7"/>
        <v>0</v>
      </c>
      <c r="O107" s="11">
        <f>SUM(O108:O111)</f>
        <v>0</v>
      </c>
    </row>
    <row r="108" spans="1:19">
      <c r="A108" t="s">
        <v>493</v>
      </c>
      <c r="B108" s="12">
        <f>33510333/1000</f>
        <v>33510.332999999999</v>
      </c>
      <c r="D108" s="12">
        <v>0</v>
      </c>
      <c r="F108" s="12">
        <v>0</v>
      </c>
      <c r="H108" s="12">
        <v>0</v>
      </c>
    </row>
    <row r="109" spans="1:19">
      <c r="A109" t="s">
        <v>494</v>
      </c>
      <c r="B109" s="12">
        <v>0</v>
      </c>
      <c r="D109" s="12">
        <v>0</v>
      </c>
      <c r="F109" s="12">
        <v>0</v>
      </c>
      <c r="H109" s="12">
        <v>0</v>
      </c>
    </row>
    <row r="110" spans="1:19">
      <c r="A110" t="s">
        <v>495</v>
      </c>
      <c r="B110" s="12">
        <f>-15500379/1000</f>
        <v>-15500.379000000001</v>
      </c>
      <c r="D110" s="12">
        <v>0</v>
      </c>
      <c r="F110" s="12">
        <v>0</v>
      </c>
      <c r="H110" s="12">
        <v>0</v>
      </c>
    </row>
    <row r="111" spans="1:19">
      <c r="A111" t="s">
        <v>496</v>
      </c>
      <c r="B111" s="12">
        <f>896991/1000</f>
        <v>896.99099999999999</v>
      </c>
      <c r="D111" s="12">
        <v>0</v>
      </c>
      <c r="F111" s="12">
        <v>0</v>
      </c>
      <c r="H111" s="12">
        <v>0</v>
      </c>
    </row>
    <row r="113" spans="1:15">
      <c r="A113" t="s">
        <v>497</v>
      </c>
      <c r="B113" s="12">
        <f>7270415/1000</f>
        <v>7270.415</v>
      </c>
      <c r="D113" s="12">
        <v>0</v>
      </c>
      <c r="F113" s="12">
        <v>0</v>
      </c>
      <c r="H113" s="12">
        <v>0</v>
      </c>
    </row>
    <row r="115" spans="1:15">
      <c r="A115" s="2" t="s">
        <v>498</v>
      </c>
      <c r="B115" s="4">
        <f t="shared" ref="B115:M115" si="8">+B69+B80+B84+B97+B103+B105+B107+B113</f>
        <v>861588.32199999993</v>
      </c>
      <c r="C115" s="11" t="s">
        <v>0</v>
      </c>
      <c r="D115" s="4">
        <f t="shared" si="8"/>
        <v>0</v>
      </c>
      <c r="E115" s="11">
        <f t="shared" si="8"/>
        <v>0</v>
      </c>
      <c r="F115" s="4">
        <f t="shared" si="8"/>
        <v>0</v>
      </c>
      <c r="G115" s="11">
        <f t="shared" si="8"/>
        <v>0</v>
      </c>
      <c r="H115" s="4">
        <f t="shared" si="8"/>
        <v>0</v>
      </c>
      <c r="I115" s="11">
        <f t="shared" si="8"/>
        <v>0</v>
      </c>
      <c r="J115" s="4">
        <f t="shared" si="8"/>
        <v>0</v>
      </c>
      <c r="K115" s="11">
        <f t="shared" si="8"/>
        <v>0</v>
      </c>
      <c r="L115" s="4">
        <f t="shared" si="8"/>
        <v>0</v>
      </c>
      <c r="M115" s="11">
        <f t="shared" si="8"/>
        <v>0</v>
      </c>
      <c r="O115" s="11">
        <f>+O69+O80+O84+O97+O103+O105+O107+O113</f>
        <v>0</v>
      </c>
    </row>
    <row r="118" spans="1:15">
      <c r="A118" t="s">
        <v>276</v>
      </c>
    </row>
    <row r="120" spans="1:15">
      <c r="A120" t="s">
        <v>499</v>
      </c>
      <c r="B120" s="4">
        <f>SUM(B121:B122)</f>
        <v>215027.834</v>
      </c>
      <c r="C120" s="11"/>
      <c r="D120" s="4">
        <f>SUM(D121:D122)</f>
        <v>0</v>
      </c>
      <c r="E120" s="11"/>
      <c r="F120" s="4">
        <f>SUM(F121:F122)</f>
        <v>0</v>
      </c>
      <c r="G120" s="11"/>
      <c r="H120" s="4">
        <f>SUM(H121:H122)</f>
        <v>0</v>
      </c>
      <c r="I120" s="11"/>
      <c r="J120" s="4"/>
      <c r="K120" s="11"/>
      <c r="L120" s="4"/>
      <c r="M120" s="11"/>
      <c r="O120" s="11"/>
    </row>
    <row r="121" spans="1:15">
      <c r="A121" t="s">
        <v>500</v>
      </c>
      <c r="B121" s="12">
        <f>210966337/1000</f>
        <v>210966.337</v>
      </c>
      <c r="D121" s="12">
        <v>0</v>
      </c>
      <c r="F121" s="12">
        <v>0</v>
      </c>
      <c r="H121" s="12">
        <v>0</v>
      </c>
    </row>
    <row r="122" spans="1:15">
      <c r="A122" t="s">
        <v>501</v>
      </c>
      <c r="B122" s="12">
        <f>4061497/1000</f>
        <v>4061.4969999999998</v>
      </c>
      <c r="D122" s="12">
        <v>0</v>
      </c>
      <c r="F122" s="12">
        <v>0</v>
      </c>
      <c r="H122" s="12">
        <v>0</v>
      </c>
    </row>
    <row r="123" spans="1:15">
      <c r="A123" t="s">
        <v>0</v>
      </c>
    </row>
    <row r="124" spans="1:15">
      <c r="A124" t="s">
        <v>502</v>
      </c>
      <c r="B124" s="4">
        <f>252236533/1000</f>
        <v>252236.533</v>
      </c>
      <c r="C124" s="11"/>
      <c r="D124" s="4">
        <v>0</v>
      </c>
      <c r="E124" s="11"/>
      <c r="F124" s="4">
        <v>0</v>
      </c>
      <c r="G124" s="11"/>
      <c r="H124" s="4">
        <v>0</v>
      </c>
      <c r="I124" s="11"/>
      <c r="J124" s="4"/>
      <c r="K124" s="11"/>
      <c r="L124" s="4"/>
      <c r="M124" s="11"/>
      <c r="O124" s="11"/>
    </row>
    <row r="126" spans="1:15">
      <c r="A126" t="s">
        <v>503</v>
      </c>
      <c r="B126" s="4">
        <f>250535853/1000</f>
        <v>250535.853</v>
      </c>
      <c r="C126" s="11"/>
      <c r="D126" s="4">
        <v>0</v>
      </c>
      <c r="E126" s="11"/>
      <c r="F126" s="4">
        <v>0</v>
      </c>
      <c r="G126" s="11"/>
      <c r="H126" s="4">
        <v>0</v>
      </c>
      <c r="I126" s="11"/>
      <c r="J126" s="4"/>
      <c r="K126" s="11"/>
      <c r="L126" s="4"/>
      <c r="M126" s="11"/>
      <c r="O126" s="11"/>
    </row>
    <row r="128" spans="1:15">
      <c r="A128" t="s">
        <v>504</v>
      </c>
      <c r="B128" s="4">
        <f>SUM(B129:B141)</f>
        <v>114561.63699999999</v>
      </c>
      <c r="C128" s="11"/>
      <c r="D128" s="4">
        <f>SUM(D129:D141)</f>
        <v>0</v>
      </c>
      <c r="E128" s="11"/>
      <c r="F128" s="4">
        <f>SUM(F129:F141)</f>
        <v>0</v>
      </c>
      <c r="G128" s="11"/>
      <c r="H128" s="4">
        <f>SUM(H129:H141)</f>
        <v>0</v>
      </c>
      <c r="I128" s="11"/>
      <c r="J128" s="4"/>
      <c r="K128" s="11"/>
      <c r="L128" s="4"/>
      <c r="M128" s="11"/>
      <c r="O128" s="11"/>
    </row>
    <row r="129" spans="1:15">
      <c r="A129" t="s">
        <v>505</v>
      </c>
      <c r="B129" s="12">
        <f>20178034/1000</f>
        <v>20178.034</v>
      </c>
      <c r="D129" s="12">
        <v>0</v>
      </c>
      <c r="F129" s="12">
        <v>0</v>
      </c>
      <c r="H129" s="12">
        <v>0</v>
      </c>
    </row>
    <row r="130" spans="1:15">
      <c r="A130" t="s">
        <v>506</v>
      </c>
      <c r="B130" s="12">
        <v>0</v>
      </c>
      <c r="D130" s="12">
        <v>0</v>
      </c>
      <c r="F130" s="12">
        <v>0</v>
      </c>
      <c r="H130" s="12">
        <v>0</v>
      </c>
    </row>
    <row r="131" spans="1:15">
      <c r="A131" t="s">
        <v>507</v>
      </c>
      <c r="B131" s="12">
        <f>747160/1000</f>
        <v>747.16</v>
      </c>
      <c r="D131" s="12">
        <v>0</v>
      </c>
      <c r="F131" s="12">
        <v>0</v>
      </c>
      <c r="H131" s="12">
        <v>0</v>
      </c>
    </row>
    <row r="132" spans="1:15">
      <c r="A132" t="s">
        <v>508</v>
      </c>
      <c r="B132" s="12">
        <f>1138292/1000</f>
        <v>1138.2919999999999</v>
      </c>
      <c r="D132" s="12">
        <v>0</v>
      </c>
      <c r="F132" s="12">
        <v>0</v>
      </c>
      <c r="H132" s="12">
        <v>0</v>
      </c>
    </row>
    <row r="133" spans="1:15">
      <c r="A133" t="s">
        <v>509</v>
      </c>
      <c r="B133" s="12">
        <v>0</v>
      </c>
      <c r="D133" s="12">
        <v>0</v>
      </c>
      <c r="F133" s="12">
        <v>0</v>
      </c>
      <c r="H133" s="12">
        <v>0</v>
      </c>
    </row>
    <row r="134" spans="1:15">
      <c r="A134" t="s">
        <v>510</v>
      </c>
      <c r="B134" s="12">
        <f>5525944/1000</f>
        <v>5525.9440000000004</v>
      </c>
      <c r="D134" s="12">
        <v>0</v>
      </c>
      <c r="F134" s="12">
        <v>0</v>
      </c>
      <c r="H134" s="12">
        <v>0</v>
      </c>
    </row>
    <row r="135" spans="1:15">
      <c r="A135" t="s">
        <v>511</v>
      </c>
      <c r="B135" s="12">
        <v>0</v>
      </c>
      <c r="D135" s="12">
        <v>0</v>
      </c>
      <c r="F135" s="12">
        <v>0</v>
      </c>
      <c r="H135" s="12">
        <v>0</v>
      </c>
    </row>
    <row r="136" spans="1:15">
      <c r="A136" t="s">
        <v>512</v>
      </c>
      <c r="B136" s="12">
        <f>77281503/1000</f>
        <v>77281.502999999997</v>
      </c>
      <c r="D136" s="12">
        <v>0</v>
      </c>
      <c r="F136" s="12">
        <v>0</v>
      </c>
      <c r="H136" s="12">
        <v>0</v>
      </c>
    </row>
    <row r="137" spans="1:15">
      <c r="A137" t="s">
        <v>513</v>
      </c>
      <c r="B137" s="12">
        <f>2690704/1000</f>
        <v>2690.7040000000002</v>
      </c>
      <c r="D137" s="12">
        <v>0</v>
      </c>
      <c r="F137" s="12">
        <v>0</v>
      </c>
      <c r="H137" s="12">
        <v>0</v>
      </c>
    </row>
    <row r="138" spans="1:15">
      <c r="A138" t="s">
        <v>514</v>
      </c>
      <c r="B138" s="12">
        <v>0</v>
      </c>
      <c r="D138" s="12">
        <v>0</v>
      </c>
      <c r="F138" s="12">
        <v>0</v>
      </c>
      <c r="H138" s="12">
        <v>0</v>
      </c>
    </row>
    <row r="139" spans="1:15">
      <c r="A139" t="s">
        <v>515</v>
      </c>
      <c r="B139" s="12">
        <f>7000000/1000</f>
        <v>7000</v>
      </c>
      <c r="D139" s="12">
        <v>0</v>
      </c>
      <c r="F139" s="12">
        <v>0</v>
      </c>
      <c r="H139" s="12">
        <v>0</v>
      </c>
    </row>
    <row r="140" spans="1:15">
      <c r="A140" t="s">
        <v>516</v>
      </c>
      <c r="B140" s="12">
        <v>0</v>
      </c>
      <c r="D140" s="12">
        <v>0</v>
      </c>
      <c r="F140" s="12">
        <v>0</v>
      </c>
      <c r="H140" s="12">
        <v>0</v>
      </c>
    </row>
    <row r="141" spans="1:15">
      <c r="A141" t="s">
        <v>409</v>
      </c>
      <c r="B141" s="12">
        <v>0</v>
      </c>
      <c r="D141" s="12">
        <v>0</v>
      </c>
      <c r="F141" s="12">
        <v>0</v>
      </c>
      <c r="H141" s="12">
        <v>0</v>
      </c>
    </row>
    <row r="143" spans="1:15">
      <c r="A143" t="s">
        <v>517</v>
      </c>
      <c r="B143" s="4">
        <f>SUM(B144:B150)</f>
        <v>13069.916000000001</v>
      </c>
      <c r="C143" s="11"/>
      <c r="D143" s="4">
        <f>SUM(D144:D150)</f>
        <v>0</v>
      </c>
      <c r="E143" s="11"/>
      <c r="F143" s="4">
        <f>SUM(F144:F150)</f>
        <v>0</v>
      </c>
      <c r="G143" s="11"/>
      <c r="H143" s="4">
        <f>SUM(H144:H150)</f>
        <v>0</v>
      </c>
      <c r="I143" s="11"/>
      <c r="J143" s="4"/>
      <c r="K143" s="11"/>
      <c r="L143" s="4"/>
      <c r="M143" s="11"/>
      <c r="O143" s="11"/>
    </row>
    <row r="144" spans="1:15">
      <c r="A144" t="s">
        <v>518</v>
      </c>
      <c r="B144" s="12">
        <v>0</v>
      </c>
      <c r="D144" s="12">
        <v>0</v>
      </c>
      <c r="F144" s="12">
        <v>0</v>
      </c>
      <c r="H144" s="12">
        <v>0</v>
      </c>
    </row>
    <row r="145" spans="1:15">
      <c r="A145" t="s">
        <v>519</v>
      </c>
      <c r="B145" s="12">
        <f>1174235/1000</f>
        <v>1174.2349999999999</v>
      </c>
      <c r="D145" s="12">
        <v>0</v>
      </c>
      <c r="F145" s="12">
        <v>0</v>
      </c>
      <c r="H145" s="12">
        <v>0</v>
      </c>
    </row>
    <row r="146" spans="1:15">
      <c r="A146" t="s">
        <v>520</v>
      </c>
      <c r="B146" s="12">
        <v>0</v>
      </c>
      <c r="D146" s="12">
        <v>0</v>
      </c>
      <c r="F146" s="12">
        <v>0</v>
      </c>
      <c r="H146" s="12">
        <v>0</v>
      </c>
    </row>
    <row r="147" spans="1:15">
      <c r="A147" t="s">
        <v>521</v>
      </c>
      <c r="B147" s="12">
        <v>0</v>
      </c>
      <c r="D147" s="12">
        <v>0</v>
      </c>
      <c r="F147" s="12">
        <v>0</v>
      </c>
      <c r="H147" s="12">
        <v>0</v>
      </c>
    </row>
    <row r="148" spans="1:15">
      <c r="A148" t="s">
        <v>522</v>
      </c>
      <c r="B148" s="12">
        <v>0</v>
      </c>
      <c r="D148" s="12">
        <v>0</v>
      </c>
      <c r="F148" s="12">
        <v>0</v>
      </c>
      <c r="H148" s="12">
        <v>0</v>
      </c>
    </row>
    <row r="149" spans="1:15">
      <c r="A149" t="s">
        <v>523</v>
      </c>
      <c r="B149" s="12">
        <v>0</v>
      </c>
      <c r="D149" s="12">
        <v>0</v>
      </c>
      <c r="F149" s="12">
        <v>0</v>
      </c>
      <c r="H149" s="12">
        <v>0</v>
      </c>
    </row>
    <row r="150" spans="1:15">
      <c r="A150" t="s">
        <v>524</v>
      </c>
      <c r="B150" s="12">
        <f>11895681/1000</f>
        <v>11895.681</v>
      </c>
      <c r="D150" s="12">
        <v>0</v>
      </c>
      <c r="F150" s="12">
        <v>0</v>
      </c>
      <c r="H150" s="12">
        <v>0</v>
      </c>
    </row>
    <row r="152" spans="1:15">
      <c r="A152" t="s">
        <v>525</v>
      </c>
      <c r="B152" s="4">
        <v>0</v>
      </c>
      <c r="C152" s="11"/>
      <c r="D152" s="4">
        <v>0</v>
      </c>
      <c r="E152" s="11"/>
      <c r="F152" s="4">
        <v>0</v>
      </c>
      <c r="G152" s="11"/>
      <c r="H152" s="4">
        <v>0</v>
      </c>
      <c r="I152" s="11"/>
      <c r="J152" s="4"/>
      <c r="K152" s="11"/>
      <c r="L152" s="4"/>
      <c r="M152" s="11"/>
      <c r="O152" s="11"/>
    </row>
    <row r="154" spans="1:15">
      <c r="A154" t="s">
        <v>374</v>
      </c>
      <c r="B154" s="4">
        <v>6.9359999999999999</v>
      </c>
      <c r="C154" s="11"/>
      <c r="D154" s="4">
        <v>0</v>
      </c>
      <c r="E154" s="11"/>
      <c r="F154" s="4">
        <v>0</v>
      </c>
      <c r="G154" s="11"/>
      <c r="H154" s="4">
        <v>0</v>
      </c>
      <c r="I154" s="11"/>
      <c r="J154" s="4"/>
      <c r="K154" s="11"/>
      <c r="L154" s="4"/>
      <c r="M154" s="11"/>
      <c r="O154" s="11"/>
    </row>
    <row r="156" spans="1:15">
      <c r="A156" t="s">
        <v>375</v>
      </c>
      <c r="B156" s="4">
        <f>7270415/1000</f>
        <v>7270.415</v>
      </c>
      <c r="C156" s="11"/>
      <c r="D156" s="4">
        <v>0</v>
      </c>
      <c r="E156" s="11"/>
      <c r="F156" s="4">
        <v>0</v>
      </c>
      <c r="G156" s="11"/>
      <c r="H156" s="4">
        <v>0</v>
      </c>
      <c r="I156" s="11"/>
      <c r="J156" s="4"/>
      <c r="K156" s="11"/>
      <c r="L156" s="4"/>
      <c r="M156" s="11"/>
      <c r="O156" s="11"/>
    </row>
    <row r="158" spans="1:15">
      <c r="A158" t="s">
        <v>376</v>
      </c>
      <c r="B158" s="4">
        <f>+B162+B163+B164</f>
        <v>6379.1980000000003</v>
      </c>
      <c r="C158" s="11"/>
      <c r="D158" s="4">
        <f>+D162+D163+D164</f>
        <v>0</v>
      </c>
      <c r="E158" s="11"/>
      <c r="F158" s="4">
        <f>+F162+F163+F164</f>
        <v>0</v>
      </c>
      <c r="G158" s="11"/>
      <c r="H158" s="4">
        <f>+H162+H163+H164</f>
        <v>0</v>
      </c>
      <c r="I158" s="11"/>
      <c r="J158" s="4"/>
      <c r="K158" s="11"/>
      <c r="L158" s="4"/>
      <c r="M158" s="11"/>
      <c r="O158" s="11"/>
    </row>
    <row r="159" spans="1:15">
      <c r="A159" t="s">
        <v>377</v>
      </c>
      <c r="B159" s="12">
        <f>5000000/1000</f>
        <v>5000</v>
      </c>
      <c r="D159" s="12">
        <v>0</v>
      </c>
      <c r="F159" s="12">
        <v>0</v>
      </c>
      <c r="H159" s="12">
        <v>0</v>
      </c>
    </row>
    <row r="160" spans="1:15">
      <c r="A160" t="s">
        <v>378</v>
      </c>
      <c r="B160" s="12">
        <v>0</v>
      </c>
      <c r="D160" s="12">
        <v>0</v>
      </c>
      <c r="F160" s="12">
        <v>0</v>
      </c>
      <c r="H160" s="12">
        <v>0</v>
      </c>
    </row>
    <row r="161" spans="1:15">
      <c r="A161" t="s">
        <v>302</v>
      </c>
      <c r="B161" s="12">
        <v>0</v>
      </c>
      <c r="D161" s="12">
        <v>0</v>
      </c>
      <c r="F161" s="12">
        <v>0</v>
      </c>
      <c r="H161" s="12">
        <v>0</v>
      </c>
    </row>
    <row r="162" spans="1:15">
      <c r="A162" t="s">
        <v>289</v>
      </c>
      <c r="B162" s="4">
        <f>+B159+B160</f>
        <v>5000</v>
      </c>
      <c r="D162" s="4">
        <f>+D159+D160</f>
        <v>0</v>
      </c>
      <c r="F162" s="4">
        <f>+F159+F160</f>
        <v>0</v>
      </c>
      <c r="H162" s="4">
        <f>+H159+H160</f>
        <v>0</v>
      </c>
    </row>
    <row r="163" spans="1:15">
      <c r="A163" t="s">
        <v>379</v>
      </c>
      <c r="B163" s="12">
        <f>1379198/1000</f>
        <v>1379.1980000000001</v>
      </c>
      <c r="D163" s="12">
        <v>0</v>
      </c>
      <c r="F163" s="12">
        <v>0</v>
      </c>
      <c r="H163" s="12">
        <v>0</v>
      </c>
    </row>
    <row r="164" spans="1:15">
      <c r="A164" t="s">
        <v>380</v>
      </c>
      <c r="B164" s="12">
        <v>0</v>
      </c>
      <c r="D164" s="12">
        <v>0</v>
      </c>
      <c r="F164" s="12">
        <v>0</v>
      </c>
      <c r="H164" s="12">
        <v>0</v>
      </c>
    </row>
    <row r="166" spans="1:15">
      <c r="A166" t="s">
        <v>381</v>
      </c>
      <c r="B166" s="4">
        <f>SUM(B167:B168)</f>
        <v>2500</v>
      </c>
      <c r="C166" s="11"/>
      <c r="D166" s="4">
        <f>SUM(D167:D168)</f>
        <v>0</v>
      </c>
      <c r="E166" s="11"/>
      <c r="F166" s="4">
        <f>SUM(F167:F168)</f>
        <v>0</v>
      </c>
      <c r="G166" s="11"/>
      <c r="H166" s="4">
        <f>SUM(H167:H168)</f>
        <v>0</v>
      </c>
      <c r="I166" s="11"/>
      <c r="J166" s="4"/>
      <c r="K166" s="11"/>
      <c r="L166" s="4"/>
      <c r="M166" s="11"/>
      <c r="O166" s="11"/>
    </row>
    <row r="167" spans="1:15">
      <c r="A167" t="s">
        <v>382</v>
      </c>
      <c r="B167" s="12">
        <f>2500000/1000</f>
        <v>2500</v>
      </c>
      <c r="D167" s="12">
        <v>0</v>
      </c>
      <c r="F167" s="12">
        <v>0</v>
      </c>
      <c r="H167" s="12">
        <v>0</v>
      </c>
    </row>
    <row r="168" spans="1:15">
      <c r="A168" t="s">
        <v>383</v>
      </c>
      <c r="B168" s="12">
        <v>0</v>
      </c>
      <c r="D168" s="12">
        <v>0</v>
      </c>
      <c r="F168" s="12">
        <v>0</v>
      </c>
      <c r="H168" s="12">
        <v>0</v>
      </c>
    </row>
    <row r="170" spans="1:15">
      <c r="A170" t="s">
        <v>384</v>
      </c>
      <c r="B170" s="4">
        <f t="shared" ref="B170:M170" si="9">+B120+B124+B126+B128+B143+B152+B154+B156+B158+B166</f>
        <v>861588.32199999993</v>
      </c>
      <c r="C170" s="11" t="s">
        <v>0</v>
      </c>
      <c r="D170" s="4">
        <f t="shared" si="9"/>
        <v>0</v>
      </c>
      <c r="E170" s="11">
        <f t="shared" si="9"/>
        <v>0</v>
      </c>
      <c r="F170" s="4">
        <f t="shared" si="9"/>
        <v>0</v>
      </c>
      <c r="G170" s="11">
        <f t="shared" si="9"/>
        <v>0</v>
      </c>
      <c r="H170" s="4">
        <f t="shared" si="9"/>
        <v>0</v>
      </c>
      <c r="I170" s="11">
        <f t="shared" si="9"/>
        <v>0</v>
      </c>
      <c r="J170" s="4">
        <f t="shared" si="9"/>
        <v>0</v>
      </c>
      <c r="K170" s="11">
        <f t="shared" si="9"/>
        <v>0</v>
      </c>
      <c r="L170" s="4">
        <f t="shared" si="9"/>
        <v>0</v>
      </c>
      <c r="M170" s="11">
        <f t="shared" si="9"/>
        <v>0</v>
      </c>
      <c r="O170" s="11">
        <f>+O120+O124+O126+O128+O143+O152+O154+O156+O158+O166</f>
        <v>0</v>
      </c>
    </row>
  </sheetData>
  <pageMargins left="0.24" right="0.2" top="0.52" bottom="0.55000000000000004" header="0.32" footer="0.25"/>
  <pageSetup scale="55" orientation="landscape" r:id="rId1"/>
  <headerFooter alignWithMargins="0">
    <oddFooter>&amp;R&amp;P</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5"/>
  <sheetViews>
    <sheetView workbookViewId="0"/>
  </sheetViews>
  <sheetFormatPr defaultRowHeight="15.75"/>
  <cols>
    <col min="1" max="1" width="33.25" customWidth="1"/>
    <col min="2" max="2" width="18.12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9.75" style="13" customWidth="1"/>
    <col min="18" max="18" width="15.75" style="12" customWidth="1"/>
    <col min="19" max="21" width="15.75" customWidth="1"/>
    <col min="22" max="256" width="11" customWidth="1"/>
  </cols>
  <sheetData>
    <row r="1" spans="1:21">
      <c r="A1" s="114" t="s">
        <v>619</v>
      </c>
      <c r="B1" s="37"/>
      <c r="C1" s="38"/>
      <c r="D1" s="37"/>
      <c r="E1" s="38"/>
      <c r="F1" s="37"/>
      <c r="G1" s="38"/>
      <c r="H1" s="37"/>
      <c r="I1" s="38"/>
      <c r="J1" s="37"/>
      <c r="K1" s="38"/>
      <c r="L1" s="37"/>
      <c r="M1" s="38"/>
      <c r="N1" s="37"/>
      <c r="O1" s="38"/>
      <c r="P1" s="37"/>
      <c r="Q1" s="38"/>
    </row>
    <row r="2" spans="1:21">
      <c r="A2" s="114" t="s">
        <v>305</v>
      </c>
      <c r="B2" s="37"/>
      <c r="C2" s="38"/>
      <c r="D2" s="37"/>
      <c r="E2" s="38"/>
      <c r="F2" s="37"/>
      <c r="G2" s="38"/>
      <c r="H2" s="37"/>
      <c r="I2" s="38"/>
      <c r="J2" s="37"/>
      <c r="K2" s="38"/>
      <c r="L2" s="37"/>
      <c r="M2" s="38"/>
      <c r="N2" s="37"/>
      <c r="O2" s="38"/>
      <c r="P2" s="37"/>
      <c r="Q2" s="38"/>
    </row>
    <row r="3" spans="1:21">
      <c r="A3" s="114" t="s">
        <v>526</v>
      </c>
      <c r="B3" s="37"/>
      <c r="C3" s="38"/>
      <c r="D3" s="37"/>
      <c r="E3" s="38"/>
      <c r="F3" s="37"/>
      <c r="G3" s="38"/>
      <c r="H3" s="37"/>
      <c r="I3" s="38"/>
      <c r="J3" s="37"/>
      <c r="K3" s="38"/>
      <c r="L3" s="37"/>
      <c r="M3" s="38"/>
      <c r="N3" s="37"/>
      <c r="O3" s="38"/>
      <c r="P3" s="37"/>
      <c r="Q3" s="38"/>
    </row>
    <row r="4" spans="1:21">
      <c r="A4" s="114" t="s">
        <v>179</v>
      </c>
      <c r="B4" s="37"/>
      <c r="C4" s="38"/>
      <c r="D4" s="37"/>
      <c r="E4" s="38"/>
      <c r="F4" s="37"/>
      <c r="G4" s="38"/>
      <c r="H4" s="37"/>
      <c r="I4" s="38"/>
      <c r="J4" s="37"/>
      <c r="K4" s="38"/>
      <c r="L4" s="37"/>
      <c r="M4" s="38"/>
      <c r="N4" s="37"/>
      <c r="O4" s="38"/>
      <c r="P4" s="37"/>
      <c r="Q4" s="38"/>
    </row>
    <row r="5" spans="1:21">
      <c r="A5" s="114"/>
      <c r="B5" s="37"/>
      <c r="C5" s="38"/>
      <c r="D5" s="37"/>
      <c r="E5" s="38"/>
      <c r="F5" s="37"/>
      <c r="G5" s="38"/>
      <c r="H5" s="37"/>
      <c r="I5" s="38"/>
      <c r="J5" s="37"/>
      <c r="K5" s="38"/>
      <c r="L5" s="37"/>
      <c r="M5" s="38"/>
      <c r="N5" s="37"/>
      <c r="O5" s="38"/>
      <c r="P5" s="37"/>
      <c r="Q5" s="38"/>
    </row>
    <row r="6" spans="1:21" ht="16.5" thickBot="1">
      <c r="B6" s="238" t="s">
        <v>0</v>
      </c>
      <c r="C6" s="215"/>
      <c r="D6" s="216"/>
      <c r="E6" s="215"/>
      <c r="F6" s="216"/>
      <c r="G6" s="215"/>
      <c r="H6" s="216"/>
      <c r="J6" s="123" t="s">
        <v>167</v>
      </c>
      <c r="K6" s="38"/>
      <c r="L6" s="37"/>
      <c r="M6" s="38"/>
      <c r="N6" s="37"/>
      <c r="O6" s="38"/>
      <c r="P6" s="37"/>
      <c r="Q6" s="38"/>
    </row>
    <row r="7" spans="1:21" s="2" customFormat="1" ht="16.5" thickBot="1">
      <c r="B7" s="223" t="s">
        <v>168</v>
      </c>
      <c r="C7" s="224" t="s">
        <v>301</v>
      </c>
      <c r="D7" s="225" t="s">
        <v>170</v>
      </c>
      <c r="E7" s="224" t="s">
        <v>301</v>
      </c>
      <c r="F7" s="225" t="s">
        <v>171</v>
      </c>
      <c r="G7" s="224" t="s">
        <v>301</v>
      </c>
      <c r="H7" s="225" t="s">
        <v>172</v>
      </c>
      <c r="I7" s="224" t="s">
        <v>301</v>
      </c>
      <c r="J7" s="228" t="s">
        <v>174</v>
      </c>
      <c r="K7" s="227" t="s">
        <v>301</v>
      </c>
      <c r="L7" s="228" t="s">
        <v>175</v>
      </c>
      <c r="M7" s="227" t="s">
        <v>301</v>
      </c>
      <c r="N7" s="228" t="s">
        <v>176</v>
      </c>
      <c r="O7" s="227" t="s">
        <v>301</v>
      </c>
      <c r="P7" s="228" t="s">
        <v>177</v>
      </c>
      <c r="Q7" s="227" t="s">
        <v>301</v>
      </c>
      <c r="R7" s="80"/>
      <c r="S7" s="18"/>
      <c r="T7" s="18"/>
      <c r="U7" s="18"/>
    </row>
    <row r="8" spans="1:21">
      <c r="A8" s="87" t="s">
        <v>243</v>
      </c>
      <c r="B8" s="125"/>
      <c r="C8" s="124"/>
      <c r="D8" s="125"/>
      <c r="E8" s="124"/>
      <c r="F8" s="125"/>
      <c r="G8" s="124"/>
      <c r="H8" s="125"/>
      <c r="I8" s="124"/>
      <c r="J8" s="219"/>
      <c r="K8" s="124"/>
      <c r="L8" s="219"/>
      <c r="M8" s="124"/>
      <c r="N8" s="219"/>
      <c r="O8" s="124"/>
      <c r="P8" s="219"/>
      <c r="Q8" s="124"/>
      <c r="R8" s="14"/>
      <c r="S8" s="9"/>
      <c r="T8" s="9"/>
      <c r="U8" s="9"/>
    </row>
    <row r="9" spans="1:21">
      <c r="A9" s="1" t="s">
        <v>264</v>
      </c>
      <c r="B9"/>
    </row>
    <row r="10" spans="1:21">
      <c r="A10" s="1" t="s">
        <v>265</v>
      </c>
      <c r="B10" s="12">
        <f>+cbnavar!B10</f>
        <v>44938</v>
      </c>
      <c r="C10" s="115">
        <f t="shared" ref="C10:C15" si="0">+B10/$B$22</f>
        <v>2.79677019035563E-2</v>
      </c>
      <c r="D10" s="12">
        <f>+cbnavar!D10</f>
        <v>0</v>
      </c>
      <c r="E10" s="44">
        <v>0</v>
      </c>
      <c r="F10" s="12">
        <f>+cbnavar!F10</f>
        <v>0</v>
      </c>
      <c r="G10" s="44">
        <v>0</v>
      </c>
      <c r="H10" s="12">
        <f>+cbnavar!H10</f>
        <v>0</v>
      </c>
      <c r="I10" s="44">
        <v>0</v>
      </c>
      <c r="J10" s="12">
        <f>+cbnavar!J10</f>
        <v>26307</v>
      </c>
      <c r="K10" s="47">
        <f t="shared" ref="K10:K15" si="1">+J10/$J$22</f>
        <v>1.8095435935814752E-2</v>
      </c>
      <c r="L10" s="12">
        <f>+cbnavar!L10</f>
        <v>10336</v>
      </c>
      <c r="M10" s="47">
        <f t="shared" ref="M10:M15" si="2">+L10/$L$22</f>
        <v>9.3571910320883935E-3</v>
      </c>
      <c r="N10" s="12">
        <f>+cbnavar!N10</f>
        <v>23493</v>
      </c>
      <c r="O10" s="47">
        <f t="shared" ref="O10:O15" si="3">+N10/$N$22</f>
        <v>2.4451157737808406E-2</v>
      </c>
      <c r="P10" s="12">
        <f>+cbnavar!P10</f>
        <v>18177.794999999998</v>
      </c>
      <c r="Q10" s="15">
        <f>+P10/$P$22</f>
        <v>2.5216641281540306E-2</v>
      </c>
    </row>
    <row r="11" spans="1:21">
      <c r="A11" s="1" t="s">
        <v>266</v>
      </c>
      <c r="B11" s="12">
        <f>+cbnavar!B11</f>
        <v>318347</v>
      </c>
      <c r="C11" s="115">
        <f t="shared" si="0"/>
        <v>0.19812706390786056</v>
      </c>
      <c r="D11" s="12">
        <f>+cbnavar!D11</f>
        <v>0</v>
      </c>
      <c r="E11" s="44">
        <v>0</v>
      </c>
      <c r="F11" s="12">
        <f>+cbnavar!F11</f>
        <v>0</v>
      </c>
      <c r="G11" s="44">
        <v>0</v>
      </c>
      <c r="H11" s="12">
        <f>+cbnavar!H11</f>
        <v>0</v>
      </c>
      <c r="I11" s="44">
        <v>0</v>
      </c>
      <c r="J11" s="12">
        <f>+cbnavar!J11</f>
        <v>270441</v>
      </c>
      <c r="K11" s="47">
        <f t="shared" si="1"/>
        <v>0.18602454821597589</v>
      </c>
      <c r="L11" s="12">
        <f>+cbnavar!L11</f>
        <v>257814</v>
      </c>
      <c r="M11" s="47">
        <f t="shared" si="2"/>
        <v>0.23339926942210112</v>
      </c>
      <c r="N11" s="12">
        <f>+cbnavar!N11</f>
        <v>215253.9</v>
      </c>
      <c r="O11" s="47">
        <f t="shared" si="3"/>
        <v>0.22403299121348641</v>
      </c>
      <c r="P11" s="12">
        <f>+cbnavar!P11</f>
        <v>174634.041</v>
      </c>
      <c r="Q11" s="15">
        <f t="shared" ref="Q11:Q27" si="4">+P11/$P$22</f>
        <v>0.2422562234551992</v>
      </c>
    </row>
    <row r="12" spans="1:21">
      <c r="A12" s="1" t="s">
        <v>267</v>
      </c>
      <c r="B12" s="12">
        <f>+cbnavar!B12</f>
        <v>15820</v>
      </c>
      <c r="C12" s="115">
        <f t="shared" si="0"/>
        <v>9.8457662582727458E-3</v>
      </c>
      <c r="D12" s="12">
        <f>+cbnavar!D12</f>
        <v>0</v>
      </c>
      <c r="E12" s="44">
        <v>0</v>
      </c>
      <c r="F12" s="12">
        <f>+cbnavar!F12</f>
        <v>0</v>
      </c>
      <c r="G12" s="44">
        <v>0</v>
      </c>
      <c r="H12" s="12">
        <f>+cbnavar!H12</f>
        <v>0</v>
      </c>
      <c r="I12" s="44">
        <v>0</v>
      </c>
      <c r="J12" s="12">
        <f>+cbnavar!J12</f>
        <v>14900</v>
      </c>
      <c r="K12" s="47">
        <f t="shared" si="1"/>
        <v>1.024905901256851E-2</v>
      </c>
      <c r="L12" s="12">
        <f>+cbnavar!L12</f>
        <v>14809</v>
      </c>
      <c r="M12" s="47">
        <f t="shared" si="2"/>
        <v>1.3406602360119681E-2</v>
      </c>
      <c r="N12" s="12">
        <f>+cbnavar!N12</f>
        <v>0</v>
      </c>
      <c r="O12" s="47">
        <f t="shared" si="3"/>
        <v>0</v>
      </c>
      <c r="P12" s="12">
        <f>+cbnavar!P12</f>
        <v>0</v>
      </c>
      <c r="Q12" s="15">
        <f t="shared" si="4"/>
        <v>0</v>
      </c>
    </row>
    <row r="13" spans="1:21">
      <c r="A13" s="1" t="s">
        <v>268</v>
      </c>
      <c r="B13" s="12">
        <f>+cbnavar!B13</f>
        <v>0</v>
      </c>
      <c r="C13" s="115">
        <f t="shared" si="0"/>
        <v>0</v>
      </c>
      <c r="D13" s="12">
        <f>+cbnavar!D13</f>
        <v>0</v>
      </c>
      <c r="E13" s="44">
        <v>0</v>
      </c>
      <c r="F13" s="12">
        <f>+cbnavar!F13</f>
        <v>0</v>
      </c>
      <c r="G13" s="44">
        <v>0</v>
      </c>
      <c r="H13" s="12">
        <f>+cbnavar!H13</f>
        <v>0</v>
      </c>
      <c r="I13" s="44">
        <v>0</v>
      </c>
      <c r="J13" s="12">
        <f>+cbnavar!J13</f>
        <v>0</v>
      </c>
      <c r="K13" s="47">
        <f t="shared" si="1"/>
        <v>0</v>
      </c>
      <c r="L13" s="12">
        <f>+cbnavar!L13</f>
        <v>0</v>
      </c>
      <c r="M13" s="47">
        <f t="shared" si="2"/>
        <v>0</v>
      </c>
      <c r="N13" s="12">
        <f>+cbnavar!N13</f>
        <v>0</v>
      </c>
      <c r="O13" s="47">
        <f t="shared" si="3"/>
        <v>0</v>
      </c>
      <c r="P13" s="12">
        <f>+cbnavar!P13</f>
        <v>0</v>
      </c>
      <c r="Q13" s="15">
        <f t="shared" si="4"/>
        <v>0</v>
      </c>
    </row>
    <row r="14" spans="1:21">
      <c r="A14" s="1" t="s">
        <v>269</v>
      </c>
      <c r="B14" s="221">
        <f>+cbnavar!B14</f>
        <v>87981</v>
      </c>
      <c r="C14" s="1094">
        <f t="shared" si="0"/>
        <v>5.4756027886794852E-2</v>
      </c>
      <c r="D14" s="221">
        <f>+cbnavar!D14</f>
        <v>0</v>
      </c>
      <c r="E14" s="545">
        <v>0</v>
      </c>
      <c r="F14" s="221">
        <f>+cbnavar!F14</f>
        <v>0</v>
      </c>
      <c r="G14" s="545">
        <v>0</v>
      </c>
      <c r="H14" s="221">
        <f>+cbnavar!H14</f>
        <v>0</v>
      </c>
      <c r="I14" s="545">
        <v>0</v>
      </c>
      <c r="J14" s="221">
        <f>+cbnavar!J14</f>
        <v>49641</v>
      </c>
      <c r="K14" s="328">
        <f t="shared" si="1"/>
        <v>3.4145875063282781E-2</v>
      </c>
      <c r="L14" s="221">
        <f>+cbnavar!L14</f>
        <v>33412</v>
      </c>
      <c r="M14" s="328">
        <f t="shared" si="2"/>
        <v>3.0247916676096887E-2</v>
      </c>
      <c r="N14" s="221">
        <f>+cbnavar!N14</f>
        <v>37011.5</v>
      </c>
      <c r="O14" s="328">
        <f t="shared" si="3"/>
        <v>3.8521007304852327E-2</v>
      </c>
      <c r="P14" s="221">
        <f>+cbnavar!P14</f>
        <v>12519.034</v>
      </c>
      <c r="Q14" s="387">
        <f t="shared" si="4"/>
        <v>1.7366682238929787E-2</v>
      </c>
    </row>
    <row r="15" spans="1:21" ht="15.6" customHeight="1">
      <c r="A15" s="1"/>
      <c r="B15" s="12">
        <f>SUM(B10:B14)</f>
        <v>467086</v>
      </c>
      <c r="C15" s="115">
        <f t="shared" si="0"/>
        <v>0.29069655995648447</v>
      </c>
      <c r="D15" s="12">
        <f>SUM(D10:D14)</f>
        <v>0</v>
      </c>
      <c r="E15" s="44">
        <v>0</v>
      </c>
      <c r="F15" s="12">
        <f>SUM(F10:F14)</f>
        <v>0</v>
      </c>
      <c r="G15" s="44">
        <v>0</v>
      </c>
      <c r="H15" s="12">
        <f>SUM(H10:H14)</f>
        <v>0</v>
      </c>
      <c r="I15" s="44">
        <v>0</v>
      </c>
      <c r="J15" s="12">
        <f>SUM(J10:J14)</f>
        <v>361289</v>
      </c>
      <c r="K15" s="47">
        <f t="shared" si="1"/>
        <v>0.24851491822764191</v>
      </c>
      <c r="L15" s="12">
        <f>SUM(L10:L14)</f>
        <v>316371</v>
      </c>
      <c r="M15" s="47">
        <f t="shared" si="2"/>
        <v>0.28641097949040606</v>
      </c>
      <c r="N15" s="12">
        <f>SUM(N10:N14)</f>
        <v>275758.40000000002</v>
      </c>
      <c r="O15" s="47">
        <f t="shared" si="3"/>
        <v>0.2870051562561472</v>
      </c>
      <c r="P15" s="12">
        <f>SUM(P10:P14)</f>
        <v>205330.87</v>
      </c>
      <c r="Q15" s="15">
        <f t="shared" si="4"/>
        <v>0.28483954697566927</v>
      </c>
    </row>
    <row r="16" spans="1:21" ht="7.9" customHeight="1">
      <c r="A16" s="1"/>
      <c r="C16" s="115" t="s">
        <v>0</v>
      </c>
      <c r="E16" s="44" t="s">
        <v>0</v>
      </c>
      <c r="G16" s="44" t="s">
        <v>0</v>
      </c>
      <c r="I16" s="44" t="s">
        <v>0</v>
      </c>
      <c r="K16" s="47" t="s">
        <v>0</v>
      </c>
      <c r="M16" s="47" t="s">
        <v>0</v>
      </c>
      <c r="O16" s="47" t="s">
        <v>0</v>
      </c>
      <c r="Q16" s="15" t="s">
        <v>0</v>
      </c>
    </row>
    <row r="17" spans="1:17" ht="15" customHeight="1">
      <c r="A17" s="1" t="s">
        <v>270</v>
      </c>
      <c r="B17" s="12">
        <f>+cbnavar!B17</f>
        <v>116970</v>
      </c>
      <c r="C17" s="115">
        <f t="shared" ref="C17:C22" si="5">+B17/$B$22</f>
        <v>7.2797678838821947E-2</v>
      </c>
      <c r="D17" s="12">
        <f>+cbnavar!D17</f>
        <v>0</v>
      </c>
      <c r="E17" s="44">
        <v>0</v>
      </c>
      <c r="F17" s="12">
        <f>+cbnavar!F17</f>
        <v>0</v>
      </c>
      <c r="G17" s="44">
        <v>0</v>
      </c>
      <c r="H17" s="12">
        <f>+cbnavar!H17</f>
        <v>0</v>
      </c>
      <c r="I17" s="44">
        <v>0</v>
      </c>
      <c r="J17" s="12">
        <f>+cbnavar!J17</f>
        <v>177623</v>
      </c>
      <c r="K17" s="47">
        <f t="shared" ref="K17:K22" si="6">+J17/$J$22</f>
        <v>0.12217910127446018</v>
      </c>
      <c r="L17" s="12">
        <f>+cbnavar!L17</f>
        <v>0</v>
      </c>
      <c r="M17" s="47">
        <f t="shared" ref="M17:M22" si="7">+L17/$L$22</f>
        <v>0</v>
      </c>
      <c r="N17" s="12">
        <f>+cbnavar!N17</f>
        <v>27000</v>
      </c>
      <c r="O17" s="47">
        <f t="shared" ref="O17:O22" si="8">+N17/$N$22</f>
        <v>2.8101190095808408E-2</v>
      </c>
      <c r="P17" s="12">
        <f>+cbnavar!P17</f>
        <v>0</v>
      </c>
      <c r="Q17" s="15">
        <f t="shared" si="4"/>
        <v>0</v>
      </c>
    </row>
    <row r="18" spans="1:17">
      <c r="A18" s="1" t="s">
        <v>271</v>
      </c>
      <c r="B18" s="12">
        <f>+cbnavar!B18</f>
        <v>0</v>
      </c>
      <c r="C18" s="115">
        <f t="shared" si="5"/>
        <v>0</v>
      </c>
      <c r="D18" s="12">
        <f>+cbnavar!D18</f>
        <v>0</v>
      </c>
      <c r="E18" s="44">
        <v>0</v>
      </c>
      <c r="F18" s="12">
        <f>+cbnavar!F18</f>
        <v>0</v>
      </c>
      <c r="G18" s="44">
        <v>0</v>
      </c>
      <c r="H18" s="12">
        <f>+cbnavar!H18</f>
        <v>0</v>
      </c>
      <c r="I18" s="44">
        <v>0</v>
      </c>
      <c r="J18" s="12">
        <f>+cbnavar!J18</f>
        <v>0</v>
      </c>
      <c r="K18" s="47">
        <f t="shared" si="6"/>
        <v>0</v>
      </c>
      <c r="L18" s="12">
        <f>+cbnavar!L18</f>
        <v>0</v>
      </c>
      <c r="M18" s="47">
        <f t="shared" si="7"/>
        <v>0</v>
      </c>
      <c r="N18" s="12">
        <f>+cbnavar!N18</f>
        <v>26770.1</v>
      </c>
      <c r="O18" s="47">
        <f t="shared" si="8"/>
        <v>2.786191366606669E-2</v>
      </c>
      <c r="P18" s="12">
        <f>+cbnavar!P18</f>
        <v>0</v>
      </c>
      <c r="Q18" s="15">
        <f t="shared" si="4"/>
        <v>0</v>
      </c>
    </row>
    <row r="19" spans="1:17">
      <c r="A19" s="1" t="s">
        <v>272</v>
      </c>
      <c r="B19" s="12">
        <f>+cbnavar!B19</f>
        <v>729160</v>
      </c>
      <c r="C19" s="115">
        <f t="shared" si="5"/>
        <v>0.45380144910759518</v>
      </c>
      <c r="D19" s="12">
        <f>+cbnavar!D19</f>
        <v>0</v>
      </c>
      <c r="E19" s="44">
        <v>0</v>
      </c>
      <c r="F19" s="12">
        <f>+cbnavar!F19</f>
        <v>0</v>
      </c>
      <c r="G19" s="44">
        <v>0</v>
      </c>
      <c r="H19" s="12">
        <f>+cbnavar!H19</f>
        <v>0</v>
      </c>
      <c r="I19" s="44">
        <v>0</v>
      </c>
      <c r="J19" s="12">
        <f>+cbnavar!J19</f>
        <v>741436</v>
      </c>
      <c r="K19" s="47">
        <f t="shared" si="6"/>
        <v>0.51000143074112392</v>
      </c>
      <c r="L19" s="12">
        <f>+cbnavar!L19</f>
        <v>652761</v>
      </c>
      <c r="M19" s="47">
        <f t="shared" si="7"/>
        <v>0.59094517949855374</v>
      </c>
      <c r="N19" s="12">
        <f>+cbnavar!N19</f>
        <v>454086.5</v>
      </c>
      <c r="O19" s="47">
        <f t="shared" si="8"/>
        <v>0.472606335423715</v>
      </c>
      <c r="P19" s="12">
        <f>+cbnavar!P19</f>
        <v>401607.61599999998</v>
      </c>
      <c r="Q19" s="15">
        <f t="shared" si="4"/>
        <v>0.55711901188271662</v>
      </c>
    </row>
    <row r="20" spans="1:17">
      <c r="A20" s="1" t="s">
        <v>273</v>
      </c>
      <c r="B20" s="12">
        <f>+cbnavar!B20</f>
        <v>25365</v>
      </c>
      <c r="C20" s="115">
        <f t="shared" si="5"/>
        <v>1.5786211197287497E-2</v>
      </c>
      <c r="D20" s="12">
        <f>+cbnavar!D20</f>
        <v>0</v>
      </c>
      <c r="E20" s="44">
        <v>0</v>
      </c>
      <c r="F20" s="12">
        <f>+cbnavar!F20</f>
        <v>0</v>
      </c>
      <c r="G20" s="44">
        <v>0</v>
      </c>
      <c r="H20" s="12">
        <f>+cbnavar!H20</f>
        <v>0</v>
      </c>
      <c r="I20" s="44">
        <v>0</v>
      </c>
      <c r="J20" s="12">
        <f>+cbnavar!J20</f>
        <v>26667</v>
      </c>
      <c r="K20" s="47">
        <f t="shared" si="6"/>
        <v>1.8343064207259362E-2</v>
      </c>
      <c r="L20" s="12">
        <f>+cbnavar!L20</f>
        <v>18815</v>
      </c>
      <c r="M20" s="47">
        <f t="shared" si="7"/>
        <v>1.7033238125845892E-2</v>
      </c>
      <c r="N20" s="12">
        <f>+cbnavar!N20</f>
        <v>15030.2</v>
      </c>
      <c r="O20" s="47">
        <f t="shared" si="8"/>
        <v>1.5643203976963688E-2</v>
      </c>
      <c r="P20" s="12">
        <f>+cbnavar!P20</f>
        <v>4258.5730000000003</v>
      </c>
      <c r="Q20" s="15">
        <f t="shared" si="4"/>
        <v>5.9075871255151111E-3</v>
      </c>
    </row>
    <row r="21" spans="1:17" ht="16.5" thickBot="1">
      <c r="A21" s="1" t="s">
        <v>274</v>
      </c>
      <c r="B21" s="99">
        <f>+cbnavar!B21</f>
        <v>268201</v>
      </c>
      <c r="C21" s="1095">
        <f t="shared" si="5"/>
        <v>0.16691810089981093</v>
      </c>
      <c r="D21" s="99">
        <f>+cbnavar!D21</f>
        <v>0</v>
      </c>
      <c r="E21" s="232">
        <v>0</v>
      </c>
      <c r="F21" s="99">
        <f>+cbnavar!F21</f>
        <v>0</v>
      </c>
      <c r="G21" s="232">
        <v>0</v>
      </c>
      <c r="H21" s="99">
        <f>+cbnavar!H21</f>
        <v>0</v>
      </c>
      <c r="I21" s="232">
        <v>0</v>
      </c>
      <c r="J21" s="99">
        <f>+cbnavar!J21</f>
        <v>146777</v>
      </c>
      <c r="K21" s="329">
        <f t="shared" si="6"/>
        <v>0.10096148554951465</v>
      </c>
      <c r="L21" s="99">
        <f>+cbnavar!L21</f>
        <v>116658</v>
      </c>
      <c r="M21" s="329">
        <f t="shared" si="7"/>
        <v>0.10561060288519425</v>
      </c>
      <c r="N21" s="99">
        <f>+cbnavar!N21</f>
        <v>162168.20000000001</v>
      </c>
      <c r="O21" s="329">
        <f t="shared" si="8"/>
        <v>0.16878220058129917</v>
      </c>
      <c r="P21" s="99">
        <f>+cbnavar!P21</f>
        <v>109667.976</v>
      </c>
      <c r="Q21" s="426">
        <f t="shared" si="4"/>
        <v>0.15213385401609886</v>
      </c>
    </row>
    <row r="22" spans="1:17">
      <c r="A22" s="1" t="s">
        <v>275</v>
      </c>
      <c r="B22" s="4">
        <f>SUM(B15:B21)</f>
        <v>1606782</v>
      </c>
      <c r="C22" s="11">
        <f t="shared" si="5"/>
        <v>1</v>
      </c>
      <c r="D22" s="4">
        <f>SUM(D15:D21)</f>
        <v>0</v>
      </c>
      <c r="E22" s="42">
        <v>0</v>
      </c>
      <c r="F22" s="4">
        <f>SUM(F15:F21)</f>
        <v>0</v>
      </c>
      <c r="G22" s="42">
        <v>0</v>
      </c>
      <c r="H22" s="4">
        <f>SUM(H15:H21)</f>
        <v>0</v>
      </c>
      <c r="I22" s="44">
        <v>0</v>
      </c>
      <c r="J22" s="4">
        <f>SUM(J15:J21)</f>
        <v>1453792</v>
      </c>
      <c r="K22" s="47">
        <f t="shared" si="6"/>
        <v>1</v>
      </c>
      <c r="L22" s="4">
        <f>SUM(L15:L21)</f>
        <v>1104605</v>
      </c>
      <c r="M22" s="47">
        <f t="shared" si="7"/>
        <v>1</v>
      </c>
      <c r="N22" s="4">
        <f>SUM(N15:N21)</f>
        <v>960813.39999999991</v>
      </c>
      <c r="O22" s="47">
        <f t="shared" si="8"/>
        <v>1</v>
      </c>
      <c r="P22" s="4">
        <f>SUM(P15:P21)</f>
        <v>720865.03500000003</v>
      </c>
      <c r="Q22" s="15">
        <f t="shared" si="4"/>
        <v>1</v>
      </c>
    </row>
    <row r="23" spans="1:17" ht="7.9" customHeight="1">
      <c r="A23" s="1"/>
      <c r="C23" s="115" t="s">
        <v>0</v>
      </c>
      <c r="E23" s="44" t="s">
        <v>0</v>
      </c>
      <c r="G23" s="44" t="s">
        <v>0</v>
      </c>
      <c r="I23" s="44" t="s">
        <v>0</v>
      </c>
      <c r="K23" s="47" t="s">
        <v>0</v>
      </c>
      <c r="M23" s="47" t="s">
        <v>0</v>
      </c>
      <c r="O23" s="47" t="s">
        <v>0</v>
      </c>
      <c r="Q23" s="15" t="s">
        <v>0</v>
      </c>
    </row>
    <row r="24" spans="1:17">
      <c r="A24" s="87" t="s">
        <v>276</v>
      </c>
      <c r="C24" s="115" t="s">
        <v>0</v>
      </c>
      <c r="E24" s="44" t="s">
        <v>0</v>
      </c>
      <c r="G24" s="44" t="s">
        <v>0</v>
      </c>
      <c r="I24" s="44" t="s">
        <v>0</v>
      </c>
      <c r="K24" s="47" t="s">
        <v>0</v>
      </c>
      <c r="M24" s="47" t="s">
        <v>0</v>
      </c>
      <c r="O24" s="47" t="s">
        <v>0</v>
      </c>
      <c r="Q24" s="15" t="s">
        <v>0</v>
      </c>
    </row>
    <row r="25" spans="1:17">
      <c r="A25" s="1" t="s">
        <v>277</v>
      </c>
      <c r="C25" s="115" t="s">
        <v>0</v>
      </c>
      <c r="E25" s="44" t="s">
        <v>0</v>
      </c>
      <c r="G25" s="44" t="s">
        <v>0</v>
      </c>
      <c r="I25" s="44" t="s">
        <v>0</v>
      </c>
      <c r="K25" s="47" t="s">
        <v>0</v>
      </c>
      <c r="M25" s="47" t="s">
        <v>0</v>
      </c>
      <c r="O25" s="47" t="s">
        <v>0</v>
      </c>
      <c r="Q25" s="15" t="s">
        <v>0</v>
      </c>
    </row>
    <row r="26" spans="1:17">
      <c r="A26" s="1" t="s">
        <v>278</v>
      </c>
      <c r="B26" s="12">
        <f>+cbnavar!B26</f>
        <v>299702</v>
      </c>
      <c r="C26" s="115">
        <f>+B26/$B$22</f>
        <v>0.18652312510346766</v>
      </c>
      <c r="D26" s="12">
        <f>+cbnavar!D26</f>
        <v>0</v>
      </c>
      <c r="E26" s="44">
        <v>0</v>
      </c>
      <c r="F26" s="12">
        <f>+cbnavar!F26</f>
        <v>0</v>
      </c>
      <c r="G26" s="44">
        <v>0</v>
      </c>
      <c r="H26" s="12">
        <f>+cbnavar!H26</f>
        <v>0</v>
      </c>
      <c r="I26" s="44">
        <v>0</v>
      </c>
      <c r="J26" s="12">
        <f>+cbnavar!J26</f>
        <v>266032</v>
      </c>
      <c r="K26" s="47">
        <f>+J26/$J$22</f>
        <v>0.18299178974708899</v>
      </c>
      <c r="L26" s="12">
        <f>+cbnavar!L26</f>
        <v>201195</v>
      </c>
      <c r="M26" s="47">
        <f>+L26/$L$22</f>
        <v>0.18214203267231271</v>
      </c>
      <c r="N26" s="12">
        <f>+cbnavar!N26</f>
        <v>207499.3</v>
      </c>
      <c r="O26" s="47">
        <f>+N26/$N$22</f>
        <v>0.21596212126100656</v>
      </c>
      <c r="P26" s="12">
        <f>+cbnavar!P26</f>
        <v>213952.152</v>
      </c>
      <c r="Q26" s="15">
        <f t="shared" si="4"/>
        <v>0.29679918100064318</v>
      </c>
    </row>
    <row r="27" spans="1:17">
      <c r="A27" s="1" t="s">
        <v>279</v>
      </c>
      <c r="B27" s="12">
        <f>+cbnavar!B27</f>
        <v>302496</v>
      </c>
      <c r="C27" s="115">
        <f>+B27/$B$22</f>
        <v>0.18826200442872773</v>
      </c>
      <c r="D27" s="12">
        <f>+cbnavar!D27</f>
        <v>0</v>
      </c>
      <c r="E27" s="44">
        <v>0</v>
      </c>
      <c r="F27" s="12">
        <f>+cbnavar!F27</f>
        <v>0</v>
      </c>
      <c r="G27" s="44">
        <v>0</v>
      </c>
      <c r="H27" s="12">
        <f>+cbnavar!H27</f>
        <v>0</v>
      </c>
      <c r="I27" s="44">
        <v>0</v>
      </c>
      <c r="J27" s="12">
        <f>+cbnavar!J27</f>
        <v>285203</v>
      </c>
      <c r="K27" s="47">
        <f>+J27/$J$22</f>
        <v>0.19617868305782396</v>
      </c>
      <c r="L27" s="12">
        <f>+cbnavar!L27</f>
        <v>247336</v>
      </c>
      <c r="M27" s="47">
        <f>+L27/$L$22</f>
        <v>0.22391352564944031</v>
      </c>
      <c r="N27" s="12">
        <f>+cbnavar!N27</f>
        <v>239911</v>
      </c>
      <c r="O27" s="47">
        <f>+N27/$N$22</f>
        <v>0.24969572655835151</v>
      </c>
      <c r="P27" s="12">
        <f>+cbnavar!P27</f>
        <v>174624.084</v>
      </c>
      <c r="Q27" s="15">
        <f t="shared" si="4"/>
        <v>0.24224241088347417</v>
      </c>
    </row>
    <row r="28" spans="1:17">
      <c r="A28" s="1" t="s">
        <v>280</v>
      </c>
      <c r="B28" s="221">
        <f>+cbnavar!B28</f>
        <v>758290</v>
      </c>
      <c r="C28" s="1094">
        <f>+B28/$B$22</f>
        <v>0.47193085309643745</v>
      </c>
      <c r="D28" s="221">
        <f>+cbnavar!D28</f>
        <v>0</v>
      </c>
      <c r="E28" s="545">
        <v>0</v>
      </c>
      <c r="F28" s="221">
        <f>+cbnavar!F28</f>
        <v>0</v>
      </c>
      <c r="G28" s="545">
        <v>0</v>
      </c>
      <c r="H28" s="221">
        <f>+cbnavar!H28</f>
        <v>0</v>
      </c>
      <c r="I28" s="545">
        <v>0</v>
      </c>
      <c r="J28" s="221">
        <f>+cbnavar!J28</f>
        <v>653817</v>
      </c>
      <c r="K28" s="328">
        <f>+J28/$J$22</f>
        <v>0.44973214875305406</v>
      </c>
      <c r="L28" s="221">
        <f>+cbnavar!L28</f>
        <v>426055</v>
      </c>
      <c r="M28" s="328">
        <f>+L28/$L$22</f>
        <v>0.3857080132717125</v>
      </c>
      <c r="N28" s="221">
        <f>+cbnavar!N28</f>
        <v>268075.40000000002</v>
      </c>
      <c r="O28" s="328">
        <f>+N28/$N$22</f>
        <v>0.27900880649666215</v>
      </c>
      <c r="P28" s="221">
        <f>+cbnavar!P28</f>
        <v>151706.58499999999</v>
      </c>
      <c r="Q28" s="387">
        <f t="shared" ref="Q28:Q44" si="9">+P28/$P$22</f>
        <v>0.21045074685859883</v>
      </c>
    </row>
    <row r="29" spans="1:17">
      <c r="A29" s="1"/>
      <c r="B29" s="12">
        <f>SUM(B26:B28)</f>
        <v>1360488</v>
      </c>
      <c r="C29" s="115">
        <f>+B29/$B$22</f>
        <v>0.8467159826286329</v>
      </c>
      <c r="D29" s="12">
        <f>SUM(D26:D28)</f>
        <v>0</v>
      </c>
      <c r="E29" s="44">
        <v>0</v>
      </c>
      <c r="F29" s="12">
        <f>SUM(F26:F28)</f>
        <v>0</v>
      </c>
      <c r="G29" s="44">
        <v>0</v>
      </c>
      <c r="H29" s="12">
        <f>SUM(H26:H28)</f>
        <v>0</v>
      </c>
      <c r="I29" s="44">
        <v>0</v>
      </c>
      <c r="J29" s="12">
        <f>SUM(J26:J28)</f>
        <v>1205052</v>
      </c>
      <c r="K29" s="47">
        <f>+J29/$J$22</f>
        <v>0.82890262155796701</v>
      </c>
      <c r="L29" s="12">
        <f>SUM(L26:L28)</f>
        <v>874586</v>
      </c>
      <c r="M29" s="47">
        <f>+L29/$L$22</f>
        <v>0.79176357159346555</v>
      </c>
      <c r="N29" s="12">
        <f>SUM(N26:N28)</f>
        <v>715485.7</v>
      </c>
      <c r="O29" s="47">
        <f>+N29/$N$22</f>
        <v>0.74466665431602019</v>
      </c>
      <c r="P29" s="12">
        <f>SUM(P26:P28)</f>
        <v>540282.821</v>
      </c>
      <c r="Q29" s="15">
        <f t="shared" si="9"/>
        <v>0.74949233874271626</v>
      </c>
    </row>
    <row r="30" spans="1:17" ht="7.9" customHeight="1">
      <c r="A30" s="1"/>
      <c r="C30" s="115" t="s">
        <v>0</v>
      </c>
      <c r="E30" s="44" t="s">
        <v>0</v>
      </c>
      <c r="G30" s="44" t="s">
        <v>0</v>
      </c>
      <c r="I30" s="44" t="s">
        <v>0</v>
      </c>
      <c r="K30" s="47" t="s">
        <v>0</v>
      </c>
      <c r="M30" s="47" t="s">
        <v>0</v>
      </c>
      <c r="O30" s="47" t="s">
        <v>0</v>
      </c>
      <c r="Q30" s="15" t="s">
        <v>0</v>
      </c>
    </row>
    <row r="31" spans="1:17">
      <c r="A31" s="1" t="s">
        <v>281</v>
      </c>
      <c r="C31" s="115" t="s">
        <v>0</v>
      </c>
      <c r="E31" s="44" t="s">
        <v>0</v>
      </c>
      <c r="G31" s="44" t="s">
        <v>0</v>
      </c>
      <c r="I31" s="44" t="s">
        <v>0</v>
      </c>
      <c r="K31" s="47" t="s">
        <v>0</v>
      </c>
      <c r="M31" s="47" t="s">
        <v>0</v>
      </c>
      <c r="O31" s="47" t="s">
        <v>0</v>
      </c>
      <c r="Q31" s="15" t="s">
        <v>0</v>
      </c>
    </row>
    <row r="32" spans="1:17">
      <c r="A32" s="1" t="s">
        <v>282</v>
      </c>
      <c r="B32" s="12">
        <f>+cbnavar!B32</f>
        <v>0</v>
      </c>
      <c r="C32" s="115">
        <f>+B32/$B$22</f>
        <v>0</v>
      </c>
      <c r="D32" s="12">
        <f>+cbnavar!D32</f>
        <v>0</v>
      </c>
      <c r="E32" s="44">
        <v>0</v>
      </c>
      <c r="F32" s="12">
        <f>+cbnavar!F32</f>
        <v>0</v>
      </c>
      <c r="G32" s="44">
        <v>0</v>
      </c>
      <c r="H32" s="12">
        <f>+cbnavar!H32</f>
        <v>0</v>
      </c>
      <c r="I32" s="44">
        <v>0</v>
      </c>
      <c r="J32" s="12">
        <f>+cbnavar!J32</f>
        <v>10000</v>
      </c>
      <c r="K32" s="47">
        <f>+J32/$J$22</f>
        <v>6.8785630956835642E-3</v>
      </c>
      <c r="L32" s="12">
        <f>+cbnavar!L32</f>
        <v>50291</v>
      </c>
      <c r="M32" s="47">
        <f>+L32/$L$22</f>
        <v>4.5528492085406096E-2</v>
      </c>
      <c r="N32" s="12">
        <f>+cbnavar!N32</f>
        <v>85146.6</v>
      </c>
      <c r="O32" s="47">
        <f>+N32/$N$22</f>
        <v>8.8619288615250383E-2</v>
      </c>
      <c r="P32" s="12">
        <f>+cbnavar!P32</f>
        <v>47086.2</v>
      </c>
      <c r="Q32" s="15">
        <f t="shared" si="9"/>
        <v>6.531902327597286E-2</v>
      </c>
    </row>
    <row r="33" spans="1:21">
      <c r="A33" s="1" t="s">
        <v>283</v>
      </c>
      <c r="B33" s="12">
        <f>+cbnavar!B33</f>
        <v>0</v>
      </c>
      <c r="C33" s="115">
        <f>+B33/$B$22</f>
        <v>0</v>
      </c>
      <c r="D33" s="12">
        <f>+cbnavar!D33</f>
        <v>0</v>
      </c>
      <c r="E33" s="44">
        <v>0</v>
      </c>
      <c r="F33" s="12">
        <f>+cbnavar!F33</f>
        <v>0</v>
      </c>
      <c r="G33" s="44">
        <v>0</v>
      </c>
      <c r="H33" s="12">
        <f>+cbnavar!H33</f>
        <v>0</v>
      </c>
      <c r="I33" s="44">
        <v>0</v>
      </c>
      <c r="J33" s="12">
        <f>+cbnavar!J33</f>
        <v>0</v>
      </c>
      <c r="K33" s="47">
        <f>+J33/$J$22</f>
        <v>0</v>
      </c>
      <c r="L33" s="12">
        <f>+cbnavar!L33</f>
        <v>0</v>
      </c>
      <c r="M33" s="47">
        <f>+L33/$L$22</f>
        <v>0</v>
      </c>
      <c r="N33" s="12">
        <f>+cbnavar!N33</f>
        <v>0</v>
      </c>
      <c r="O33" s="47">
        <f>+N33/$N$22</f>
        <v>0</v>
      </c>
      <c r="P33" s="12">
        <f>+cbnavar!P33</f>
        <v>0</v>
      </c>
      <c r="Q33" s="15">
        <f t="shared" si="9"/>
        <v>0</v>
      </c>
    </row>
    <row r="34" spans="1:21" ht="18">
      <c r="A34" s="1" t="s">
        <v>284</v>
      </c>
      <c r="B34" s="221">
        <f>+cbnavar!B34</f>
        <v>171902</v>
      </c>
      <c r="C34" s="1094">
        <f>+B34/$B$22</f>
        <v>0.10698526620288253</v>
      </c>
      <c r="D34" s="221">
        <f>+cbnavar!D34</f>
        <v>0</v>
      </c>
      <c r="E34" s="545">
        <v>0</v>
      </c>
      <c r="F34" s="221">
        <f>+cbnavar!F34</f>
        <v>0</v>
      </c>
      <c r="G34" s="545">
        <v>0</v>
      </c>
      <c r="H34" s="221">
        <f>+cbnavar!H34</f>
        <v>0</v>
      </c>
      <c r="I34" s="545">
        <v>0</v>
      </c>
      <c r="J34" s="221">
        <f>+cbnavar!J34</f>
        <v>175834</v>
      </c>
      <c r="K34" s="328">
        <f>+J34/$J$22</f>
        <v>0.12094852633664238</v>
      </c>
      <c r="L34" s="221">
        <f>+cbnavar!L34</f>
        <v>135819</v>
      </c>
      <c r="M34" s="328">
        <f>+L34/$L$22</f>
        <v>0.12295707515356168</v>
      </c>
      <c r="N34" s="221">
        <f>+cbnavar!N34</f>
        <v>112476.2</v>
      </c>
      <c r="O34" s="328">
        <f>+N34/$N$22</f>
        <v>0.11706352138719132</v>
      </c>
      <c r="P34" s="221">
        <f>+cbnavar!P34</f>
        <v>110102.67600000001</v>
      </c>
      <c r="Q34" s="387">
        <f t="shared" si="9"/>
        <v>0.15273687951864665</v>
      </c>
      <c r="R34" s="6"/>
      <c r="S34" s="7"/>
      <c r="T34" s="7"/>
      <c r="U34" s="7"/>
    </row>
    <row r="35" spans="1:21">
      <c r="A35" s="1"/>
      <c r="B35" s="12">
        <f>SUM(B32:B34)</f>
        <v>171902</v>
      </c>
      <c r="C35" s="115">
        <f>+B35/$B$22</f>
        <v>0.10698526620288253</v>
      </c>
      <c r="D35" s="12">
        <f>SUM(D32:D34)</f>
        <v>0</v>
      </c>
      <c r="E35" s="44">
        <v>0</v>
      </c>
      <c r="F35" s="12">
        <f>SUM(F32:F34)</f>
        <v>0</v>
      </c>
      <c r="G35" s="44">
        <v>0</v>
      </c>
      <c r="H35" s="12">
        <f>SUM(H32:H34)</f>
        <v>0</v>
      </c>
      <c r="I35" s="44">
        <v>0</v>
      </c>
      <c r="J35" s="12">
        <f>SUM(J32:J34)</f>
        <v>185834</v>
      </c>
      <c r="K35" s="47">
        <f>+J35/$J$22</f>
        <v>0.12782708943232596</v>
      </c>
      <c r="L35" s="12">
        <f>SUM(L32:L34)</f>
        <v>186110</v>
      </c>
      <c r="M35" s="47">
        <f>+L35/$L$22</f>
        <v>0.16848556723896776</v>
      </c>
      <c r="N35" s="12">
        <f>SUM(N32:N34)</f>
        <v>197622.8</v>
      </c>
      <c r="O35" s="47">
        <f>+N35/$N$22</f>
        <v>0.20568281000244168</v>
      </c>
      <c r="P35" s="12">
        <f>SUM(P32:P34)</f>
        <v>157188.87599999999</v>
      </c>
      <c r="Q35" s="15">
        <f t="shared" si="9"/>
        <v>0.2180559027946195</v>
      </c>
    </row>
    <row r="36" spans="1:21" ht="7.15" customHeight="1">
      <c r="A36" s="1"/>
      <c r="C36" s="115" t="s">
        <v>0</v>
      </c>
      <c r="E36" s="44" t="s">
        <v>0</v>
      </c>
      <c r="G36" s="44" t="s">
        <v>0</v>
      </c>
      <c r="I36" s="44" t="s">
        <v>0</v>
      </c>
      <c r="K36" s="47" t="s">
        <v>0</v>
      </c>
      <c r="M36" s="47" t="s">
        <v>0</v>
      </c>
      <c r="O36" s="47" t="s">
        <v>0</v>
      </c>
      <c r="Q36" s="15" t="s">
        <v>0</v>
      </c>
    </row>
    <row r="37" spans="1:21">
      <c r="A37" s="1" t="s">
        <v>285</v>
      </c>
      <c r="C37" s="115" t="s">
        <v>0</v>
      </c>
      <c r="E37" s="44" t="s">
        <v>0</v>
      </c>
      <c r="G37" s="44" t="s">
        <v>0</v>
      </c>
      <c r="I37" s="44" t="s">
        <v>0</v>
      </c>
      <c r="K37" s="47" t="s">
        <v>0</v>
      </c>
      <c r="M37" s="47" t="s">
        <v>0</v>
      </c>
      <c r="O37" s="47" t="s">
        <v>0</v>
      </c>
      <c r="Q37" s="15" t="s">
        <v>0</v>
      </c>
    </row>
    <row r="38" spans="1:21">
      <c r="A38" s="1" t="s">
        <v>282</v>
      </c>
      <c r="B38" s="12">
        <f>+cbnavar!B38</f>
        <v>0</v>
      </c>
      <c r="C38" s="115">
        <f>+B38/$B$22</f>
        <v>0</v>
      </c>
      <c r="D38" s="12">
        <f>+cbnavar!D38</f>
        <v>0</v>
      </c>
      <c r="E38" s="44">
        <v>0</v>
      </c>
      <c r="F38" s="12">
        <f>+cbnavar!F38</f>
        <v>0</v>
      </c>
      <c r="G38" s="44">
        <v>0</v>
      </c>
      <c r="H38" s="12">
        <f>+cbnavar!H38</f>
        <v>0</v>
      </c>
      <c r="I38" s="44">
        <v>0</v>
      </c>
      <c r="J38" s="12">
        <f>+cbnavar!J38</f>
        <v>0</v>
      </c>
      <c r="K38" s="47">
        <f>+J38/$J$22</f>
        <v>0</v>
      </c>
      <c r="L38" s="12">
        <f>+cbnavar!L38</f>
        <v>0</v>
      </c>
      <c r="M38" s="47">
        <f>+L38/$L$22</f>
        <v>0</v>
      </c>
      <c r="N38" s="12">
        <f>+cbnavar!N38</f>
        <v>0</v>
      </c>
      <c r="O38" s="47">
        <f>+N38/$N$22</f>
        <v>0</v>
      </c>
      <c r="P38" s="12">
        <f>+cbnavar!P38</f>
        <v>0</v>
      </c>
      <c r="Q38" s="15">
        <f t="shared" si="9"/>
        <v>0</v>
      </c>
    </row>
    <row r="39" spans="1:21">
      <c r="A39" s="1" t="s">
        <v>286</v>
      </c>
      <c r="B39" s="12">
        <f>+cbnavar!B39</f>
        <v>0</v>
      </c>
      <c r="C39" s="115">
        <f>+B39/$B$22</f>
        <v>0</v>
      </c>
      <c r="D39" s="12">
        <f>+cbnavar!D39</f>
        <v>0</v>
      </c>
      <c r="E39" s="44">
        <v>0</v>
      </c>
      <c r="F39" s="12">
        <f>+cbnavar!F39</f>
        <v>0</v>
      </c>
      <c r="G39" s="44">
        <v>0</v>
      </c>
      <c r="H39" s="12">
        <f>+cbnavar!H39</f>
        <v>0</v>
      </c>
      <c r="I39" s="44">
        <v>0</v>
      </c>
      <c r="J39" s="12">
        <f>+cbnavar!J39</f>
        <v>0</v>
      </c>
      <c r="K39" s="47">
        <f>+J39/$J$22</f>
        <v>0</v>
      </c>
      <c r="L39" s="12">
        <f>+cbnavar!L39</f>
        <v>0</v>
      </c>
      <c r="M39" s="47">
        <f>+L39/$L$22</f>
        <v>0</v>
      </c>
      <c r="N39" s="12">
        <f>+cbnavar!N39</f>
        <v>0</v>
      </c>
      <c r="O39" s="47">
        <f>+N39/$N$22</f>
        <v>0</v>
      </c>
      <c r="P39" s="12">
        <f>+cbnavar!P39</f>
        <v>0</v>
      </c>
      <c r="Q39" s="15">
        <f t="shared" si="9"/>
        <v>0</v>
      </c>
    </row>
    <row r="40" spans="1:21">
      <c r="A40" s="1" t="s">
        <v>284</v>
      </c>
      <c r="B40" s="221">
        <f>+cbnavar!B40</f>
        <v>17175</v>
      </c>
      <c r="C40" s="1094">
        <f>+B40/$B$22</f>
        <v>1.0689066718447182E-2</v>
      </c>
      <c r="D40" s="221">
        <f>+cbnavar!D40</f>
        <v>0</v>
      </c>
      <c r="E40" s="545">
        <v>0</v>
      </c>
      <c r="F40" s="221">
        <f>+cbnavar!F40</f>
        <v>0</v>
      </c>
      <c r="G40" s="545">
        <v>0</v>
      </c>
      <c r="H40" s="221">
        <f>+cbnavar!H40</f>
        <v>0</v>
      </c>
      <c r="I40" s="545">
        <v>0</v>
      </c>
      <c r="J40" s="221">
        <f>+cbnavar!J40</f>
        <v>13226</v>
      </c>
      <c r="K40" s="328">
        <f>+J40/$J$22</f>
        <v>9.0975875503510814E-3</v>
      </c>
      <c r="L40" s="221">
        <f>+cbnavar!L40</f>
        <v>15672</v>
      </c>
      <c r="M40" s="328">
        <f>+L40/$L$22</f>
        <v>1.4187877114443624E-2</v>
      </c>
      <c r="N40" s="221">
        <f>+cbnavar!N40</f>
        <v>15290.2</v>
      </c>
      <c r="O40" s="328">
        <f>+N40/$N$22</f>
        <v>1.5913808029738137E-2</v>
      </c>
      <c r="P40" s="221">
        <f>+cbnavar!P40</f>
        <v>15020.293</v>
      </c>
      <c r="Q40" s="387">
        <f t="shared" si="9"/>
        <v>2.0836484321923032E-2</v>
      </c>
    </row>
    <row r="41" spans="1:21">
      <c r="A41" s="1"/>
      <c r="B41" s="12">
        <f>SUM(B38:B40)</f>
        <v>17175</v>
      </c>
      <c r="C41" s="115">
        <f>+B41/$B$22</f>
        <v>1.0689066718447182E-2</v>
      </c>
      <c r="D41" s="12">
        <f>SUM(D38:D40)</f>
        <v>0</v>
      </c>
      <c r="E41" s="44">
        <v>0</v>
      </c>
      <c r="F41" s="12">
        <f>SUM(F38:F40)</f>
        <v>0</v>
      </c>
      <c r="G41" s="44">
        <v>0</v>
      </c>
      <c r="H41" s="12">
        <f>SUM(H38:H40)</f>
        <v>0</v>
      </c>
      <c r="I41" s="44">
        <v>0</v>
      </c>
      <c r="J41" s="12">
        <f>SUM(J38:J40)</f>
        <v>13226</v>
      </c>
      <c r="K41" s="47">
        <f>+J41/$J$22</f>
        <v>9.0975875503510814E-3</v>
      </c>
      <c r="L41" s="12">
        <f>SUM(L38:L40)</f>
        <v>15672</v>
      </c>
      <c r="M41" s="47">
        <f>+L41/$L$22</f>
        <v>1.4187877114443624E-2</v>
      </c>
      <c r="N41" s="12">
        <f>SUM(N38:N40)</f>
        <v>15290.2</v>
      </c>
      <c r="O41" s="47">
        <f>+N41/$N$22</f>
        <v>1.5913808029738137E-2</v>
      </c>
      <c r="P41" s="12">
        <f>SUM(P38:P40)</f>
        <v>15020.293</v>
      </c>
      <c r="Q41" s="15">
        <f t="shared" si="9"/>
        <v>2.0836484321923032E-2</v>
      </c>
    </row>
    <row r="42" spans="1:21" ht="8.4499999999999993" customHeight="1">
      <c r="A42" s="1"/>
      <c r="C42" s="115" t="s">
        <v>0</v>
      </c>
      <c r="E42" s="44" t="s">
        <v>0</v>
      </c>
      <c r="G42" s="44" t="s">
        <v>0</v>
      </c>
      <c r="I42" s="44" t="s">
        <v>0</v>
      </c>
      <c r="K42" s="47" t="s">
        <v>0</v>
      </c>
      <c r="M42" s="47" t="s">
        <v>0</v>
      </c>
      <c r="O42" s="47" t="s">
        <v>0</v>
      </c>
      <c r="Q42" s="15" t="s">
        <v>0</v>
      </c>
    </row>
    <row r="43" spans="1:21" ht="18">
      <c r="A43" s="1" t="s">
        <v>287</v>
      </c>
      <c r="B43" s="221">
        <f>+cbnavar!B43</f>
        <v>9864</v>
      </c>
      <c r="C43" s="1094">
        <f>+B43/$B$22</f>
        <v>6.1389784052845999E-3</v>
      </c>
      <c r="D43" s="221">
        <f>+cbnavar!D43</f>
        <v>0</v>
      </c>
      <c r="E43" s="545">
        <v>0</v>
      </c>
      <c r="F43" s="221">
        <f>+cbnavar!F43</f>
        <v>0</v>
      </c>
      <c r="G43" s="545">
        <v>0</v>
      </c>
      <c r="H43" s="221">
        <f>+cbnavar!H43</f>
        <v>0</v>
      </c>
      <c r="I43" s="545">
        <v>0</v>
      </c>
      <c r="J43" s="221">
        <f>+cbnavar!J43</f>
        <v>22859</v>
      </c>
      <c r="K43" s="328">
        <f>+J43/$J$22</f>
        <v>1.5723707380423058E-2</v>
      </c>
      <c r="L43" s="221">
        <f>+cbnavar!L43</f>
        <v>17416</v>
      </c>
      <c r="M43" s="328">
        <f>+L43/$L$22</f>
        <v>1.5766722040910553E-2</v>
      </c>
      <c r="N43" s="221">
        <f>+cbnavar!N43</f>
        <v>21326.5</v>
      </c>
      <c r="O43" s="328">
        <f>+N43/$N$22</f>
        <v>2.2196297428824372E-2</v>
      </c>
      <c r="P43" s="221">
        <f>+cbnavar!P43</f>
        <v>11.868</v>
      </c>
      <c r="Q43" s="387">
        <f t="shared" si="9"/>
        <v>1.6463553402891846E-5</v>
      </c>
      <c r="R43" s="6"/>
    </row>
    <row r="44" spans="1:21">
      <c r="A44" s="1"/>
      <c r="B44" s="12">
        <f>+B29+B35+B41+B43</f>
        <v>1559429</v>
      </c>
      <c r="C44" s="115">
        <f>+B44/$B$22</f>
        <v>0.97052929395524723</v>
      </c>
      <c r="D44" s="12">
        <f>+D29+D35+D41+D43</f>
        <v>0</v>
      </c>
      <c r="E44" s="44">
        <v>0</v>
      </c>
      <c r="F44" s="12">
        <f>+F29+F35+F41+F43</f>
        <v>0</v>
      </c>
      <c r="G44" s="44">
        <v>0</v>
      </c>
      <c r="H44" s="12">
        <f>+H29+H35+H41+H43</f>
        <v>0</v>
      </c>
      <c r="I44" s="44">
        <v>0</v>
      </c>
      <c r="J44" s="12">
        <f>+J29+J35+J41+J43</f>
        <v>1426971</v>
      </c>
      <c r="K44" s="47">
        <f>+J44/$J$22</f>
        <v>0.98155100592106714</v>
      </c>
      <c r="L44" s="12">
        <f>+L29+L35+L41+L43</f>
        <v>1093784</v>
      </c>
      <c r="M44" s="47">
        <f>+L44/$L$22</f>
        <v>0.99020373798778749</v>
      </c>
      <c r="N44" s="12">
        <f>+N29+N35+N41+N43</f>
        <v>949725.2</v>
      </c>
      <c r="O44" s="47">
        <f>+N44/$N$22</f>
        <v>0.98845956977702443</v>
      </c>
      <c r="P44" s="12">
        <f>+P29+P35+P41+P43</f>
        <v>712503.85799999989</v>
      </c>
      <c r="Q44" s="15">
        <f t="shared" si="9"/>
        <v>0.98840118941266153</v>
      </c>
    </row>
    <row r="45" spans="1:21" ht="8.4499999999999993" customHeight="1">
      <c r="A45" s="1"/>
      <c r="C45" s="115" t="s">
        <v>0</v>
      </c>
      <c r="E45" s="44" t="s">
        <v>0</v>
      </c>
      <c r="G45" s="44" t="s">
        <v>0</v>
      </c>
      <c r="I45" s="44" t="s">
        <v>0</v>
      </c>
      <c r="K45" s="47" t="s">
        <v>0</v>
      </c>
      <c r="M45" s="47" t="s">
        <v>0</v>
      </c>
      <c r="O45" s="47" t="s">
        <v>0</v>
      </c>
      <c r="Q45" s="15" t="s">
        <v>0</v>
      </c>
    </row>
    <row r="46" spans="1:21">
      <c r="A46" s="87" t="s">
        <v>288</v>
      </c>
      <c r="C46" s="115" t="s">
        <v>0</v>
      </c>
      <c r="E46" s="44" t="s">
        <v>0</v>
      </c>
      <c r="G46" s="44" t="s">
        <v>0</v>
      </c>
      <c r="I46" s="44" t="s">
        <v>0</v>
      </c>
      <c r="K46" s="47" t="s">
        <v>0</v>
      </c>
      <c r="M46" s="47" t="s">
        <v>0</v>
      </c>
      <c r="O46" s="47" t="s">
        <v>0</v>
      </c>
      <c r="Q46" s="15" t="s">
        <v>0</v>
      </c>
    </row>
    <row r="47" spans="1:21">
      <c r="A47" s="1" t="s">
        <v>289</v>
      </c>
      <c r="B47" s="12">
        <f>+cbnavar!B47</f>
        <v>5000</v>
      </c>
      <c r="C47" s="115">
        <f t="shared" ref="C47:C52" si="10">+B47/$B$22</f>
        <v>3.1118098161418287E-3</v>
      </c>
      <c r="D47" s="12">
        <f>+cbnavar!D47</f>
        <v>0</v>
      </c>
      <c r="E47" s="44">
        <v>0</v>
      </c>
      <c r="F47" s="12">
        <f>+cbnavar!F47</f>
        <v>0</v>
      </c>
      <c r="G47" s="44">
        <v>0</v>
      </c>
      <c r="H47" s="12">
        <f>+cbnavar!H47</f>
        <v>0</v>
      </c>
      <c r="I47" s="44">
        <v>0</v>
      </c>
      <c r="J47" s="12">
        <f>+cbnavar!J47</f>
        <v>5000</v>
      </c>
      <c r="K47" s="47">
        <f t="shared" ref="K47:K52" si="11">+J47/$J$22</f>
        <v>3.4392815478417821E-3</v>
      </c>
      <c r="L47" s="12">
        <f>+cbnavar!L47</f>
        <v>5000</v>
      </c>
      <c r="M47" s="47">
        <f t="shared" ref="M47:M52" si="12">+L47/$L$22</f>
        <v>4.5265049497331625E-3</v>
      </c>
      <c r="N47" s="12">
        <f>+cbnavar!N47</f>
        <v>5000</v>
      </c>
      <c r="O47" s="47">
        <f t="shared" ref="O47:O52" si="13">+N47/$N$22</f>
        <v>5.2039240918163717E-3</v>
      </c>
      <c r="P47" s="12">
        <f>+cbnavar!P47</f>
        <v>5000</v>
      </c>
      <c r="Q47" s="15">
        <f t="shared" ref="Q47:Q52" si="14">+P47/$P$22</f>
        <v>6.9361111404161804E-3</v>
      </c>
    </row>
    <row r="48" spans="1:21">
      <c r="A48" s="1" t="s">
        <v>290</v>
      </c>
      <c r="B48" s="12">
        <f>+cbnavar!B48</f>
        <v>2500</v>
      </c>
      <c r="C48" s="115">
        <f t="shared" si="10"/>
        <v>1.5559049080709144E-3</v>
      </c>
      <c r="D48" s="12">
        <f>+cbnavar!D48</f>
        <v>0</v>
      </c>
      <c r="E48" s="44">
        <v>0</v>
      </c>
      <c r="F48" s="12">
        <f>+cbnavar!F48</f>
        <v>0</v>
      </c>
      <c r="G48" s="44">
        <v>0</v>
      </c>
      <c r="H48" s="12">
        <f>+cbnavar!H48</f>
        <v>0</v>
      </c>
      <c r="I48" s="44">
        <v>0</v>
      </c>
      <c r="J48" s="12">
        <f>+cbnavar!J48</f>
        <v>2500</v>
      </c>
      <c r="K48" s="47">
        <f t="shared" si="11"/>
        <v>1.7196407739208911E-3</v>
      </c>
      <c r="L48" s="12">
        <f>+cbnavar!L48</f>
        <v>2500</v>
      </c>
      <c r="M48" s="47">
        <f t="shared" si="12"/>
        <v>2.2632524748665813E-3</v>
      </c>
      <c r="N48" s="12">
        <f>+cbnavar!N48</f>
        <v>2500</v>
      </c>
      <c r="O48" s="47">
        <f t="shared" si="13"/>
        <v>2.6019620459081859E-3</v>
      </c>
      <c r="P48" s="12">
        <f>+cbnavar!P48</f>
        <v>2500</v>
      </c>
      <c r="Q48" s="15">
        <f t="shared" si="14"/>
        <v>3.4680555702080902E-3</v>
      </c>
    </row>
    <row r="49" spans="1:21">
      <c r="A49" s="1" t="s">
        <v>302</v>
      </c>
      <c r="B49" s="12">
        <f>+cbnavar!B49</f>
        <v>10172</v>
      </c>
      <c r="C49" s="115">
        <f t="shared" si="10"/>
        <v>6.3306658899589365E-3</v>
      </c>
      <c r="D49" s="12">
        <f>+cbnavar!D49</f>
        <v>0</v>
      </c>
      <c r="E49" s="44">
        <v>0</v>
      </c>
      <c r="F49" s="12">
        <f>+cbnavar!F49</f>
        <v>0</v>
      </c>
      <c r="G49" s="44">
        <v>0</v>
      </c>
      <c r="H49" s="12">
        <f>+cbnavar!H49</f>
        <v>0</v>
      </c>
      <c r="I49" s="44">
        <v>0</v>
      </c>
      <c r="J49" s="12">
        <v>0</v>
      </c>
      <c r="K49" s="262">
        <f t="shared" si="11"/>
        <v>0</v>
      </c>
      <c r="L49" s="12">
        <v>0</v>
      </c>
      <c r="M49" s="47">
        <f t="shared" si="12"/>
        <v>0</v>
      </c>
      <c r="N49" s="12">
        <v>0</v>
      </c>
      <c r="O49" s="47">
        <f t="shared" si="13"/>
        <v>0</v>
      </c>
      <c r="P49" s="12">
        <v>0</v>
      </c>
      <c r="Q49" s="15">
        <f t="shared" si="14"/>
        <v>0</v>
      </c>
    </row>
    <row r="50" spans="1:21" ht="18">
      <c r="A50" s="1" t="s">
        <v>292</v>
      </c>
      <c r="B50" s="221">
        <f>+cbnavar!B50</f>
        <v>29681</v>
      </c>
      <c r="C50" s="1094">
        <f t="shared" si="10"/>
        <v>1.8472325430581124E-2</v>
      </c>
      <c r="D50" s="221">
        <f>+cbnavar!D50</f>
        <v>0</v>
      </c>
      <c r="E50" s="545">
        <v>0</v>
      </c>
      <c r="F50" s="221">
        <f>+cbnavar!F50</f>
        <v>0</v>
      </c>
      <c r="G50" s="545">
        <v>0</v>
      </c>
      <c r="H50" s="221">
        <f>+cbnavar!H50</f>
        <v>0</v>
      </c>
      <c r="I50" s="545">
        <v>0</v>
      </c>
      <c r="J50" s="221">
        <f>+cbnavar!J50</f>
        <v>19321</v>
      </c>
      <c r="K50" s="328">
        <f t="shared" si="11"/>
        <v>1.3290071757170214E-2</v>
      </c>
      <c r="L50" s="221">
        <f>+cbnavar!L50</f>
        <v>3321</v>
      </c>
      <c r="M50" s="328">
        <f t="shared" si="12"/>
        <v>3.0065045876127667E-3</v>
      </c>
      <c r="N50" s="221">
        <f>+cbnavar!N50</f>
        <v>3588.2</v>
      </c>
      <c r="O50" s="328">
        <f t="shared" si="13"/>
        <v>3.7345440852511011E-3</v>
      </c>
      <c r="P50" s="221">
        <f>+cbnavar!P50</f>
        <v>861.18700000000001</v>
      </c>
      <c r="Q50" s="387">
        <f t="shared" si="14"/>
        <v>1.1946577489363179E-3</v>
      </c>
      <c r="R50" s="6"/>
      <c r="S50" s="7"/>
      <c r="T50" s="7"/>
      <c r="U50" s="7"/>
    </row>
    <row r="51" spans="1:21" ht="16.5" thickBot="1">
      <c r="A51" s="1" t="s">
        <v>275</v>
      </c>
      <c r="B51" s="76">
        <f>SUM(B47:B50)</f>
        <v>47353</v>
      </c>
      <c r="C51" s="1096">
        <f t="shared" si="10"/>
        <v>2.9470706044752805E-2</v>
      </c>
      <c r="D51" s="76">
        <f>SUM(D47:D50)</f>
        <v>0</v>
      </c>
      <c r="E51" s="232">
        <v>0</v>
      </c>
      <c r="F51" s="76">
        <f>SUM(F47:F50)</f>
        <v>0</v>
      </c>
      <c r="G51" s="232">
        <v>0</v>
      </c>
      <c r="H51" s="76">
        <f>SUM(H47:H50)</f>
        <v>0</v>
      </c>
      <c r="I51" s="232">
        <v>0</v>
      </c>
      <c r="J51" s="76">
        <f>SUM(J47:J50)</f>
        <v>26821</v>
      </c>
      <c r="K51" s="231">
        <f t="shared" si="11"/>
        <v>1.8448994078932888E-2</v>
      </c>
      <c r="L51" s="76">
        <f>SUM(L47:L50)</f>
        <v>10821</v>
      </c>
      <c r="M51" s="231">
        <f t="shared" si="12"/>
        <v>9.7962620122125105E-3</v>
      </c>
      <c r="N51" s="76">
        <f>SUM(N47:N50)</f>
        <v>11088.2</v>
      </c>
      <c r="O51" s="231">
        <f t="shared" si="13"/>
        <v>1.154043022297566E-2</v>
      </c>
      <c r="P51" s="76">
        <f>SUM(P47:P50)</f>
        <v>8361.1869999999999</v>
      </c>
      <c r="Q51" s="388">
        <f t="shared" si="14"/>
        <v>1.1598824459560588E-2</v>
      </c>
    </row>
    <row r="52" spans="1:21">
      <c r="A52" s="1" t="s">
        <v>0</v>
      </c>
      <c r="B52" s="4">
        <f>+B29+B35+B41+B43+B51</f>
        <v>1606782</v>
      </c>
      <c r="C52" s="11">
        <f t="shared" si="10"/>
        <v>1</v>
      </c>
      <c r="D52" s="4">
        <f>+D29+D35+D41+D43+D51</f>
        <v>0</v>
      </c>
      <c r="E52" s="42">
        <v>0</v>
      </c>
      <c r="F52" s="4">
        <f>+F29+F35+F41+F43+F51</f>
        <v>0</v>
      </c>
      <c r="G52" s="42">
        <v>0</v>
      </c>
      <c r="H52" s="4">
        <f>+H29+H35+H41+H43+H51</f>
        <v>0</v>
      </c>
      <c r="I52" s="42">
        <v>0</v>
      </c>
      <c r="J52" s="4">
        <f>+J29+J35+J41+J43+J51</f>
        <v>1453792</v>
      </c>
      <c r="K52" s="47">
        <f t="shared" si="11"/>
        <v>1</v>
      </c>
      <c r="L52" s="4">
        <f>+L29+L35+L41+L43+L51</f>
        <v>1104605</v>
      </c>
      <c r="M52" s="47">
        <f t="shared" si="12"/>
        <v>1</v>
      </c>
      <c r="N52" s="4">
        <f>+N29+N35+N41+N43+N51</f>
        <v>960813.39999999991</v>
      </c>
      <c r="O52" s="47">
        <f t="shared" si="13"/>
        <v>1</v>
      </c>
      <c r="P52" s="4">
        <f>+P29+P35+P41+P43+P51</f>
        <v>720865.04499999993</v>
      </c>
      <c r="Q52" s="15">
        <f t="shared" si="14"/>
        <v>1.000000013872222</v>
      </c>
    </row>
    <row r="55" spans="1:21">
      <c r="B55"/>
      <c r="C55"/>
      <c r="D55"/>
      <c r="E55"/>
      <c r="F55"/>
      <c r="G55"/>
      <c r="H55"/>
      <c r="I55"/>
      <c r="J55"/>
      <c r="K55"/>
      <c r="L55"/>
      <c r="M55"/>
      <c r="N55"/>
      <c r="O55"/>
      <c r="P55"/>
      <c r="Q55"/>
      <c r="R55"/>
    </row>
    <row r="56" spans="1:21">
      <c r="A56" s="185" t="s">
        <v>293</v>
      </c>
      <c r="B56"/>
      <c r="C56"/>
      <c r="D56"/>
      <c r="E56"/>
      <c r="F56"/>
      <c r="G56"/>
      <c r="H56"/>
      <c r="I56"/>
      <c r="J56"/>
      <c r="K56"/>
      <c r="L56"/>
      <c r="M56"/>
      <c r="N56"/>
      <c r="O56"/>
      <c r="P56"/>
      <c r="Q56"/>
      <c r="R56"/>
    </row>
    <row r="57" spans="1:21">
      <c r="A57" t="s">
        <v>294</v>
      </c>
      <c r="B57" s="3">
        <f>+cbnavar!B56</f>
        <v>3975</v>
      </c>
      <c r="C57"/>
      <c r="D57" s="3">
        <f>+cbnavar!D56</f>
        <v>0</v>
      </c>
      <c r="E57"/>
      <c r="F57" s="3">
        <f>+cbnavar!F56</f>
        <v>0</v>
      </c>
      <c r="G57"/>
      <c r="H57" s="3">
        <f>+cbnavar!H56</f>
        <v>0</v>
      </c>
      <c r="I57"/>
      <c r="J57" s="3">
        <f>+cbnavar!J56</f>
        <v>2603</v>
      </c>
      <c r="K57"/>
      <c r="L57" s="3">
        <f>+cbnavar!L56</f>
        <v>4020</v>
      </c>
      <c r="M57"/>
      <c r="N57" s="3">
        <f>+cbnavar!N56</f>
        <v>0</v>
      </c>
      <c r="O57"/>
      <c r="P57" s="3">
        <f>+cbnavar!P56</f>
        <v>0</v>
      </c>
      <c r="Q57"/>
      <c r="R57"/>
    </row>
    <row r="58" spans="1:21">
      <c r="A58" t="s">
        <v>295</v>
      </c>
      <c r="B58" s="3">
        <f>+cbnavar!B57</f>
        <v>54527</v>
      </c>
      <c r="C58"/>
      <c r="D58" s="3">
        <f>+cbnavar!D57</f>
        <v>0</v>
      </c>
      <c r="E58"/>
      <c r="F58" s="3">
        <f>+cbnavar!F57</f>
        <v>0</v>
      </c>
      <c r="G58"/>
      <c r="H58" s="3">
        <f>+cbnavar!H57</f>
        <v>0</v>
      </c>
      <c r="I58"/>
      <c r="J58" s="3">
        <f>+cbnavar!J57</f>
        <v>79001</v>
      </c>
      <c r="K58"/>
      <c r="L58" s="3">
        <f>+cbnavar!L57</f>
        <v>29314</v>
      </c>
      <c r="M58"/>
      <c r="N58" s="3">
        <f>+cbnavar!N57</f>
        <v>201876.2</v>
      </c>
      <c r="O58"/>
      <c r="P58" s="3">
        <f>+cbnavar!P57</f>
        <v>64406.637000000002</v>
      </c>
      <c r="Q58"/>
      <c r="R58"/>
    </row>
    <row r="59" spans="1:21">
      <c r="A59" t="s">
        <v>284</v>
      </c>
      <c r="B59" s="3">
        <f>+cbnavar!B58</f>
        <v>177576</v>
      </c>
      <c r="C59"/>
      <c r="D59" s="3">
        <f>+cbnavar!D58</f>
        <v>0</v>
      </c>
      <c r="E59"/>
      <c r="F59" s="3">
        <f>+cbnavar!F58</f>
        <v>0</v>
      </c>
      <c r="G59"/>
      <c r="H59" s="3">
        <f>+cbnavar!H58</f>
        <v>0</v>
      </c>
      <c r="I59"/>
      <c r="J59" s="3">
        <f>+cbnavar!J58</f>
        <v>124246</v>
      </c>
      <c r="K59"/>
      <c r="L59" s="3">
        <f>+cbnavar!L58</f>
        <v>202141</v>
      </c>
      <c r="M59"/>
      <c r="N59" s="3">
        <f>+cbnavar!N58</f>
        <v>246199.2</v>
      </c>
      <c r="O59"/>
      <c r="P59" s="3">
        <f>+cbnavar!P58</f>
        <v>218810.68400000001</v>
      </c>
      <c r="Q59"/>
      <c r="R59"/>
    </row>
    <row r="60" spans="1:21">
      <c r="B60" s="3"/>
      <c r="C60"/>
      <c r="D60" s="3"/>
      <c r="E60"/>
      <c r="F60" s="3"/>
      <c r="G60"/>
      <c r="H60" s="3"/>
      <c r="I60"/>
      <c r="J60" s="3"/>
      <c r="K60"/>
      <c r="L60" s="3"/>
      <c r="M60"/>
      <c r="N60" s="3"/>
      <c r="O60"/>
      <c r="P60" s="3"/>
      <c r="Q60"/>
      <c r="R60"/>
    </row>
    <row r="61" spans="1:21" ht="18.75">
      <c r="A61" s="122" t="s">
        <v>303</v>
      </c>
      <c r="B61" s="3">
        <f>+cbnavar!B60</f>
        <v>755842</v>
      </c>
      <c r="C61"/>
      <c r="D61" s="3">
        <f>+cbnavar!D60</f>
        <v>0</v>
      </c>
      <c r="E61"/>
      <c r="F61" s="3">
        <f>+cbnavar!F60</f>
        <v>0</v>
      </c>
      <c r="G61"/>
      <c r="H61" s="3">
        <f>+cbnavar!H60</f>
        <v>0</v>
      </c>
      <c r="I61"/>
      <c r="J61" s="3">
        <f>+cbnavar!J60</f>
        <v>768118</v>
      </c>
      <c r="K61"/>
      <c r="L61" s="3">
        <f>+cbnavar!L60</f>
        <v>678131</v>
      </c>
      <c r="M61"/>
      <c r="N61" s="3">
        <f>+cbnavar!N60</f>
        <v>472625.7</v>
      </c>
      <c r="O61"/>
      <c r="P61" s="3">
        <f>+cbnavar!P60</f>
        <v>418029.511</v>
      </c>
      <c r="Q61"/>
      <c r="R61"/>
    </row>
    <row r="62" spans="1:21">
      <c r="A62" t="s">
        <v>217</v>
      </c>
      <c r="B62" s="3">
        <f>+cbnavar!B61</f>
        <v>26682</v>
      </c>
      <c r="C62"/>
      <c r="D62" s="3">
        <f>+cbnavar!D61</f>
        <v>0</v>
      </c>
      <c r="E62"/>
      <c r="F62" s="3">
        <f>+cbnavar!F61</f>
        <v>0</v>
      </c>
      <c r="G62"/>
      <c r="H62" s="3">
        <f>+cbnavar!H61</f>
        <v>0</v>
      </c>
      <c r="I62"/>
      <c r="J62" s="3">
        <f>+cbnavar!J61</f>
        <v>26682</v>
      </c>
      <c r="K62"/>
      <c r="L62" s="3">
        <f>+cbnavar!L61</f>
        <v>25370</v>
      </c>
      <c r="M62"/>
      <c r="N62" s="3">
        <f>+cbnavar!N61</f>
        <v>18539.2</v>
      </c>
      <c r="O62"/>
      <c r="P62" s="3">
        <f>+cbnavar!P61</f>
        <v>16421.895</v>
      </c>
      <c r="Q62"/>
      <c r="R62"/>
    </row>
    <row r="63" spans="1:21">
      <c r="A63" t="s">
        <v>297</v>
      </c>
      <c r="B63" s="3">
        <f>+cbnavar!B62</f>
        <v>35324</v>
      </c>
      <c r="C63"/>
      <c r="D63" s="3">
        <f>+cbnavar!D62</f>
        <v>0</v>
      </c>
      <c r="E63"/>
      <c r="F63" s="3">
        <f>+cbnavar!F62</f>
        <v>0</v>
      </c>
      <c r="G63"/>
      <c r="H63" s="3">
        <f>+cbnavar!H62</f>
        <v>0</v>
      </c>
      <c r="I63"/>
      <c r="J63" s="3">
        <f>+cbnavar!J62</f>
        <v>37322</v>
      </c>
      <c r="K63"/>
      <c r="L63" s="3">
        <f>+cbnavar!L62</f>
        <v>25722</v>
      </c>
      <c r="M63"/>
      <c r="N63" s="3">
        <f>+cbnavar!N62</f>
        <v>0</v>
      </c>
      <c r="O63"/>
      <c r="P63" s="3">
        <f>+cbnavar!P62</f>
        <v>4372.7349999999997</v>
      </c>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sheetData>
  <pageMargins left="0.2" right="0.2" top="0.54" bottom="0.53" header="0.32" footer="0.28999999999999998"/>
  <pageSetup scale="52" orientation="landscape" r:id="rId1"/>
  <headerFooter alignWithMargins="0">
    <oddFooter>&amp;R&amp;P</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1"/>
  <sheetViews>
    <sheetView workbookViewId="0"/>
  </sheetViews>
  <sheetFormatPr defaultRowHeight="15.75"/>
  <cols>
    <col min="1" max="1" width="33.25" customWidth="1"/>
    <col min="2" max="2" width="17.75" style="12" customWidth="1"/>
    <col min="3" max="3" width="15.75" style="13" customWidth="1"/>
    <col min="4" max="4" width="15.75" style="12" customWidth="1"/>
    <col min="5" max="5" width="14.25" style="13" customWidth="1"/>
    <col min="6" max="6" width="10" style="12" customWidth="1"/>
    <col min="7" max="7" width="8.25" style="13" customWidth="1"/>
    <col min="8" max="8" width="18.125"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619</v>
      </c>
      <c r="B1" s="37"/>
      <c r="C1" s="38"/>
      <c r="D1" s="37"/>
      <c r="E1" s="38"/>
      <c r="F1" s="37"/>
      <c r="G1" s="38"/>
      <c r="H1" s="37"/>
      <c r="I1" s="37"/>
      <c r="J1" s="38"/>
      <c r="K1" s="37"/>
    </row>
    <row r="2" spans="1:15">
      <c r="A2" s="114" t="s">
        <v>305</v>
      </c>
      <c r="B2" s="37"/>
      <c r="C2" s="38"/>
      <c r="D2" s="37"/>
      <c r="E2" s="38"/>
      <c r="F2" s="37"/>
      <c r="G2" s="38"/>
      <c r="H2" s="37"/>
      <c r="I2" s="37"/>
      <c r="J2" s="38"/>
      <c r="K2" s="37"/>
    </row>
    <row r="3" spans="1:15">
      <c r="A3" s="114" t="s">
        <v>306</v>
      </c>
      <c r="B3" s="37"/>
      <c r="C3" s="38"/>
      <c r="D3" s="37"/>
      <c r="E3" s="38"/>
      <c r="F3" s="37"/>
      <c r="G3" s="38"/>
      <c r="H3" s="37"/>
      <c r="I3" s="37"/>
      <c r="J3" s="38"/>
      <c r="K3" s="37"/>
    </row>
    <row r="4" spans="1:15">
      <c r="A4" s="114" t="s">
        <v>179</v>
      </c>
      <c r="B4" s="37"/>
      <c r="C4" s="38"/>
      <c r="D4" s="37"/>
      <c r="E4" s="38"/>
      <c r="F4" s="37"/>
      <c r="G4" s="38"/>
      <c r="H4" s="37"/>
      <c r="I4" s="37"/>
      <c r="J4" s="38"/>
      <c r="K4" s="37"/>
    </row>
    <row r="5" spans="1:15">
      <c r="A5" s="34"/>
      <c r="B5" s="37"/>
      <c r="C5" s="38"/>
      <c r="D5" s="37"/>
      <c r="E5" s="38"/>
      <c r="F5" s="37"/>
      <c r="G5" s="38"/>
      <c r="H5" s="37"/>
      <c r="I5" s="37"/>
      <c r="J5" s="38"/>
      <c r="K5" s="37"/>
    </row>
    <row r="6" spans="1:15">
      <c r="B6" s="238" t="s">
        <v>0</v>
      </c>
      <c r="C6" s="215"/>
      <c r="D6" s="216"/>
    </row>
    <row r="7" spans="1:15" ht="16.5" thickBot="1">
      <c r="B7" s="429" t="s">
        <v>307</v>
      </c>
      <c r="C7" s="38"/>
      <c r="D7" s="37"/>
      <c r="E7" s="38"/>
      <c r="H7" s="377" t="s">
        <v>308</v>
      </c>
      <c r="I7" s="215"/>
      <c r="J7" s="216"/>
      <c r="K7" s="216"/>
    </row>
    <row r="8" spans="1:15" ht="16.5" thickTop="1">
      <c r="A8" s="87" t="s">
        <v>243</v>
      </c>
      <c r="B8" s="402" t="s">
        <v>313</v>
      </c>
      <c r="C8" s="403" t="s">
        <v>310</v>
      </c>
      <c r="D8" s="408" t="s">
        <v>311</v>
      </c>
      <c r="E8" s="407" t="s">
        <v>312</v>
      </c>
      <c r="F8" s="125" t="s">
        <v>0</v>
      </c>
      <c r="G8" s="124" t="s">
        <v>0</v>
      </c>
      <c r="H8" s="402" t="s">
        <v>313</v>
      </c>
      <c r="I8" s="404" t="s">
        <v>310</v>
      </c>
      <c r="J8" s="406" t="s">
        <v>311</v>
      </c>
      <c r="K8" s="407" t="s">
        <v>312</v>
      </c>
      <c r="L8" s="14"/>
      <c r="M8" s="9"/>
      <c r="N8" s="9"/>
      <c r="O8" s="9"/>
    </row>
    <row r="9" spans="1:15">
      <c r="A9" s="1" t="s">
        <v>264</v>
      </c>
      <c r="B9" s="126"/>
      <c r="C9" s="127"/>
      <c r="D9" s="365"/>
      <c r="E9" s="372" t="s">
        <v>0</v>
      </c>
      <c r="H9" s="135"/>
      <c r="I9" s="78"/>
      <c r="J9" s="370" t="s">
        <v>0</v>
      </c>
      <c r="K9" s="372" t="s">
        <v>0</v>
      </c>
    </row>
    <row r="10" spans="1:15">
      <c r="A10" s="1" t="s">
        <v>265</v>
      </c>
      <c r="B10" s="129">
        <v>25599</v>
      </c>
      <c r="C10" s="92">
        <v>19339</v>
      </c>
      <c r="D10" s="366">
        <f t="shared" ref="D10:D15" si="0">SUM(B10:C10)</f>
        <v>44938</v>
      </c>
      <c r="E10" s="373">
        <f>+B10/D10</f>
        <v>0.56965151987182339</v>
      </c>
      <c r="F10" s="88" t="s">
        <v>0</v>
      </c>
      <c r="G10" s="100" t="s">
        <v>0</v>
      </c>
      <c r="H10" s="129">
        <v>9957</v>
      </c>
      <c r="I10" s="92">
        <v>16350</v>
      </c>
      <c r="J10" s="366">
        <f t="shared" ref="J10:J15" si="1">SUM(H10:I10)</f>
        <v>26307</v>
      </c>
      <c r="K10" s="373">
        <f>+H10/J10</f>
        <v>0.37849241646710002</v>
      </c>
    </row>
    <row r="11" spans="1:15">
      <c r="A11" s="1" t="s">
        <v>266</v>
      </c>
      <c r="B11" s="129">
        <v>10957</v>
      </c>
      <c r="C11" s="92">
        <v>307390</v>
      </c>
      <c r="D11" s="366">
        <f t="shared" si="0"/>
        <v>318347</v>
      </c>
      <c r="E11" s="373">
        <f>+B11/D11</f>
        <v>3.4418417638614467E-2</v>
      </c>
      <c r="F11" s="88" t="s">
        <v>0</v>
      </c>
      <c r="G11" s="100" t="s">
        <v>0</v>
      </c>
      <c r="H11" s="129">
        <v>26434</v>
      </c>
      <c r="I11" s="92">
        <v>244007</v>
      </c>
      <c r="J11" s="366">
        <f t="shared" si="1"/>
        <v>270441</v>
      </c>
      <c r="K11" s="373">
        <f>+H11/J11</f>
        <v>9.7744055080405706E-2</v>
      </c>
    </row>
    <row r="12" spans="1:15">
      <c r="A12" s="1" t="s">
        <v>267</v>
      </c>
      <c r="B12" s="129">
        <v>15820</v>
      </c>
      <c r="C12" s="93">
        <v>0</v>
      </c>
      <c r="D12" s="366">
        <f t="shared" si="0"/>
        <v>15820</v>
      </c>
      <c r="E12" s="373">
        <f>+B12/D12</f>
        <v>1</v>
      </c>
      <c r="F12" s="88" t="s">
        <v>0</v>
      </c>
      <c r="G12" s="100" t="s">
        <v>0</v>
      </c>
      <c r="H12" s="129">
        <v>14900</v>
      </c>
      <c r="I12" s="93">
        <v>0</v>
      </c>
      <c r="J12" s="366">
        <f t="shared" si="1"/>
        <v>14900</v>
      </c>
      <c r="K12" s="373">
        <f>+H12/J12</f>
        <v>1</v>
      </c>
    </row>
    <row r="13" spans="1:15">
      <c r="A13" s="1" t="s">
        <v>268</v>
      </c>
      <c r="B13" s="129">
        <v>0</v>
      </c>
      <c r="C13" s="93">
        <v>0</v>
      </c>
      <c r="D13" s="366">
        <f t="shared" si="0"/>
        <v>0</v>
      </c>
      <c r="E13" s="136">
        <v>0</v>
      </c>
      <c r="F13" s="88" t="s">
        <v>0</v>
      </c>
      <c r="G13" s="100" t="s">
        <v>0</v>
      </c>
      <c r="H13" s="129">
        <v>0</v>
      </c>
      <c r="I13" s="93">
        <v>0</v>
      </c>
      <c r="J13" s="366">
        <f t="shared" si="1"/>
        <v>0</v>
      </c>
      <c r="K13" s="136">
        <v>0</v>
      </c>
    </row>
    <row r="14" spans="1:15" ht="18">
      <c r="A14" s="1" t="s">
        <v>269</v>
      </c>
      <c r="B14" s="130">
        <v>61411</v>
      </c>
      <c r="C14" s="137">
        <v>26570</v>
      </c>
      <c r="D14" s="367">
        <f t="shared" si="0"/>
        <v>87981</v>
      </c>
      <c r="E14" s="373">
        <f>+B14/D14</f>
        <v>0.69800297791568633</v>
      </c>
      <c r="F14" s="88" t="s">
        <v>0</v>
      </c>
      <c r="G14" s="100" t="s">
        <v>0</v>
      </c>
      <c r="H14" s="130">
        <f>15721+5272</f>
        <v>20993</v>
      </c>
      <c r="I14" s="137">
        <v>28648</v>
      </c>
      <c r="J14" s="367">
        <f t="shared" si="1"/>
        <v>49641</v>
      </c>
      <c r="K14" s="373">
        <f>+H14/J14</f>
        <v>0.42289639612417157</v>
      </c>
    </row>
    <row r="15" spans="1:15" ht="15.6" customHeight="1">
      <c r="A15" s="1"/>
      <c r="B15" s="129">
        <f>SUM(B10:B14)</f>
        <v>113787</v>
      </c>
      <c r="C15" s="92">
        <f>SUM(C10:C14)</f>
        <v>353299</v>
      </c>
      <c r="D15" s="366">
        <f t="shared" si="0"/>
        <v>467086</v>
      </c>
      <c r="E15" s="373">
        <f>+B15/D15</f>
        <v>0.2436103843831757</v>
      </c>
      <c r="F15" s="88" t="s">
        <v>0</v>
      </c>
      <c r="G15" s="100" t="s">
        <v>0</v>
      </c>
      <c r="H15" s="129">
        <f>SUM(H10:H14)</f>
        <v>72284</v>
      </c>
      <c r="I15" s="92">
        <f>SUM(I10:I14)</f>
        <v>289005</v>
      </c>
      <c r="J15" s="366">
        <f t="shared" si="1"/>
        <v>361289</v>
      </c>
      <c r="K15" s="373">
        <f>+H15/J15</f>
        <v>0.20007251812261098</v>
      </c>
    </row>
    <row r="16" spans="1:15" ht="7.9" customHeight="1">
      <c r="A16" s="1"/>
      <c r="B16" s="129"/>
      <c r="C16" s="93" t="s">
        <v>0</v>
      </c>
      <c r="D16" s="366"/>
      <c r="E16" s="373" t="s">
        <v>0</v>
      </c>
      <c r="F16" s="88"/>
      <c r="G16" s="100" t="s">
        <v>0</v>
      </c>
      <c r="H16" s="129"/>
      <c r="I16" s="93" t="s">
        <v>0</v>
      </c>
      <c r="J16" s="366" t="s">
        <v>0</v>
      </c>
      <c r="K16" s="373" t="s">
        <v>0</v>
      </c>
    </row>
    <row r="17" spans="1:11" ht="15.6" customHeight="1">
      <c r="A17" s="1" t="s">
        <v>270</v>
      </c>
      <c r="B17" s="129">
        <v>0</v>
      </c>
      <c r="C17" s="92">
        <v>116970</v>
      </c>
      <c r="D17" s="366">
        <f t="shared" ref="D17:D22" si="2">SUM(B17:C17)</f>
        <v>116970</v>
      </c>
      <c r="E17" s="136">
        <v>0</v>
      </c>
      <c r="F17"/>
      <c r="G17"/>
      <c r="H17" s="129">
        <v>0</v>
      </c>
      <c r="I17" s="92">
        <v>177623</v>
      </c>
      <c r="J17" s="366">
        <f t="shared" ref="J17:J22" si="3">SUM(H17:I17)</f>
        <v>177623</v>
      </c>
      <c r="K17" s="136">
        <v>0</v>
      </c>
    </row>
    <row r="18" spans="1:11">
      <c r="A18" s="1" t="s">
        <v>271</v>
      </c>
      <c r="B18" s="129">
        <v>0</v>
      </c>
      <c r="C18" s="92">
        <v>0</v>
      </c>
      <c r="D18" s="366">
        <f t="shared" si="2"/>
        <v>0</v>
      </c>
      <c r="E18" s="136">
        <v>0</v>
      </c>
      <c r="F18"/>
      <c r="G18"/>
      <c r="H18" s="129">
        <v>0</v>
      </c>
      <c r="I18" s="92">
        <v>0</v>
      </c>
      <c r="J18" s="366">
        <f t="shared" si="3"/>
        <v>0</v>
      </c>
      <c r="K18" s="136">
        <v>0</v>
      </c>
    </row>
    <row r="19" spans="1:11">
      <c r="A19" s="1" t="s">
        <v>314</v>
      </c>
      <c r="B19" s="129">
        <v>459668</v>
      </c>
      <c r="C19" s="92">
        <v>269492</v>
      </c>
      <c r="D19" s="366">
        <f t="shared" si="2"/>
        <v>729160</v>
      </c>
      <c r="E19" s="373">
        <f>+B19/D19</f>
        <v>0.63040759229798671</v>
      </c>
      <c r="F19"/>
      <c r="G19"/>
      <c r="H19" s="129">
        <v>530874</v>
      </c>
      <c r="I19" s="92">
        <v>210562</v>
      </c>
      <c r="J19" s="366">
        <f t="shared" si="3"/>
        <v>741436</v>
      </c>
      <c r="K19" s="373">
        <f>+H19/J19</f>
        <v>0.71600785502727138</v>
      </c>
    </row>
    <row r="20" spans="1:11">
      <c r="A20" s="1" t="s">
        <v>273</v>
      </c>
      <c r="B20" s="129">
        <v>0</v>
      </c>
      <c r="C20" s="92">
        <v>25365</v>
      </c>
      <c r="D20" s="366">
        <f t="shared" si="2"/>
        <v>25365</v>
      </c>
      <c r="E20" s="136">
        <v>0</v>
      </c>
      <c r="F20"/>
      <c r="G20"/>
      <c r="H20" s="129">
        <v>0</v>
      </c>
      <c r="I20" s="92">
        <v>26667</v>
      </c>
      <c r="J20" s="366">
        <f t="shared" si="3"/>
        <v>26667</v>
      </c>
      <c r="K20" s="136">
        <v>0</v>
      </c>
    </row>
    <row r="21" spans="1:11" ht="18">
      <c r="A21" s="1" t="s">
        <v>274</v>
      </c>
      <c r="B21" s="130">
        <v>262645</v>
      </c>
      <c r="C21" s="137">
        <v>5556</v>
      </c>
      <c r="D21" s="367">
        <f t="shared" si="2"/>
        <v>268201</v>
      </c>
      <c r="E21" s="373">
        <f>+B21/D21</f>
        <v>0.97928419357123953</v>
      </c>
      <c r="F21"/>
      <c r="G21"/>
      <c r="H21" s="130">
        <v>142180</v>
      </c>
      <c r="I21" s="137">
        <v>4597</v>
      </c>
      <c r="J21" s="367">
        <f t="shared" si="3"/>
        <v>146777</v>
      </c>
      <c r="K21" s="373">
        <f>+H21/J21</f>
        <v>0.96868037907846594</v>
      </c>
    </row>
    <row r="22" spans="1:11">
      <c r="A22" s="1" t="s">
        <v>275</v>
      </c>
      <c r="B22" s="132">
        <f>SUM(B15:B21)</f>
        <v>836100</v>
      </c>
      <c r="C22" s="95">
        <f>SUM(C15:C21)</f>
        <v>770682</v>
      </c>
      <c r="D22" s="368">
        <f t="shared" si="2"/>
        <v>1606782</v>
      </c>
      <c r="E22" s="431">
        <f>+B22/D22</f>
        <v>0.52035683745523664</v>
      </c>
      <c r="F22"/>
      <c r="G22"/>
      <c r="H22" s="132">
        <f>SUM(H15:H21)</f>
        <v>745338</v>
      </c>
      <c r="I22" s="95">
        <f>SUM(I15:I21)</f>
        <v>708454</v>
      </c>
      <c r="J22" s="368">
        <f t="shared" si="3"/>
        <v>1453792</v>
      </c>
      <c r="K22" s="431">
        <f>+H22/J22</f>
        <v>0.51268544606105959</v>
      </c>
    </row>
    <row r="23" spans="1:11" ht="7.9" customHeight="1">
      <c r="A23" s="1"/>
      <c r="B23" s="129"/>
      <c r="C23" s="93" t="s">
        <v>0</v>
      </c>
      <c r="D23" s="366"/>
      <c r="E23" s="373" t="s">
        <v>0</v>
      </c>
      <c r="F23"/>
      <c r="G23"/>
      <c r="H23" s="129"/>
      <c r="I23" s="93" t="s">
        <v>0</v>
      </c>
      <c r="J23" s="366" t="s">
        <v>0</v>
      </c>
      <c r="K23" s="373" t="s">
        <v>0</v>
      </c>
    </row>
    <row r="24" spans="1:11">
      <c r="A24" s="87" t="s">
        <v>276</v>
      </c>
      <c r="B24" s="129"/>
      <c r="C24" s="93" t="s">
        <v>0</v>
      </c>
      <c r="D24" s="366"/>
      <c r="E24" s="373" t="s">
        <v>0</v>
      </c>
      <c r="F24"/>
      <c r="G24"/>
      <c r="H24" s="129"/>
      <c r="I24" s="93" t="s">
        <v>0</v>
      </c>
      <c r="J24" s="366" t="s">
        <v>0</v>
      </c>
      <c r="K24" s="373" t="s">
        <v>0</v>
      </c>
    </row>
    <row r="25" spans="1:11">
      <c r="A25" s="1" t="s">
        <v>277</v>
      </c>
      <c r="B25" s="129"/>
      <c r="C25" s="93" t="s">
        <v>0</v>
      </c>
      <c r="D25" s="366"/>
      <c r="E25" s="373" t="s">
        <v>0</v>
      </c>
      <c r="F25"/>
      <c r="G25"/>
      <c r="H25" s="129"/>
      <c r="I25" s="93" t="s">
        <v>0</v>
      </c>
      <c r="J25" s="366" t="s">
        <v>0</v>
      </c>
      <c r="K25" s="373" t="s">
        <v>0</v>
      </c>
    </row>
    <row r="26" spans="1:11">
      <c r="A26" s="1" t="s">
        <v>278</v>
      </c>
      <c r="B26" s="129">
        <v>159529</v>
      </c>
      <c r="C26" s="92">
        <v>140173</v>
      </c>
      <c r="D26" s="366">
        <f>SUM(B26:C26)</f>
        <v>299702</v>
      </c>
      <c r="E26" s="373">
        <f>+B26/D26</f>
        <v>0.53229207679628432</v>
      </c>
      <c r="F26"/>
      <c r="G26"/>
      <c r="H26" s="129">
        <v>125784</v>
      </c>
      <c r="I26" s="92">
        <v>140248</v>
      </c>
      <c r="J26" s="366">
        <f>SUM(H26:I26)</f>
        <v>266032</v>
      </c>
      <c r="K26" s="373">
        <f>+H26/J26</f>
        <v>0.47281530041498765</v>
      </c>
    </row>
    <row r="27" spans="1:11">
      <c r="A27" s="1" t="s">
        <v>279</v>
      </c>
      <c r="B27" s="129">
        <v>145255</v>
      </c>
      <c r="C27" s="92">
        <v>157241</v>
      </c>
      <c r="D27" s="366">
        <f>SUM(B27:C27)</f>
        <v>302496</v>
      </c>
      <c r="E27" s="373">
        <f>+B27/D27</f>
        <v>0.48018816777742518</v>
      </c>
      <c r="F27"/>
      <c r="G27"/>
      <c r="H27" s="129">
        <v>130179</v>
      </c>
      <c r="I27" s="92">
        <v>155024</v>
      </c>
      <c r="J27" s="366">
        <f>SUM(H27:I27)</f>
        <v>285203</v>
      </c>
      <c r="K27" s="373">
        <f>+H27/J27</f>
        <v>0.45644330529482507</v>
      </c>
    </row>
    <row r="28" spans="1:11" ht="18">
      <c r="A28" s="1" t="s">
        <v>280</v>
      </c>
      <c r="B28" s="130">
        <v>331739</v>
      </c>
      <c r="C28" s="137">
        <v>426551</v>
      </c>
      <c r="D28" s="367">
        <f>SUM(B28:C28)</f>
        <v>758290</v>
      </c>
      <c r="E28" s="373">
        <f>+B28/D28</f>
        <v>0.43748302100779385</v>
      </c>
      <c r="F28"/>
      <c r="G28"/>
      <c r="H28" s="130">
        <v>278766</v>
      </c>
      <c r="I28" s="137">
        <v>375051</v>
      </c>
      <c r="J28" s="367">
        <f>SUM(H28:I28)</f>
        <v>653817</v>
      </c>
      <c r="K28" s="373">
        <f>+H28/J28</f>
        <v>0.42636701095260598</v>
      </c>
    </row>
    <row r="29" spans="1:11">
      <c r="A29" s="1"/>
      <c r="B29" s="129">
        <f>SUM(B26:B28)</f>
        <v>636523</v>
      </c>
      <c r="C29" s="92">
        <f>SUM(C26:C28)</f>
        <v>723965</v>
      </c>
      <c r="D29" s="366">
        <f>SUM(B29:C29)</f>
        <v>1360488</v>
      </c>
      <c r="E29" s="373">
        <f>+B29/D29</f>
        <v>0.46786373712961821</v>
      </c>
      <c r="F29"/>
      <c r="G29"/>
      <c r="H29" s="129">
        <f>SUM(H26:H28)</f>
        <v>534729</v>
      </c>
      <c r="I29" s="92">
        <f>SUM(I26:I28)</f>
        <v>670323</v>
      </c>
      <c r="J29" s="366">
        <f>SUM(H29:I29)</f>
        <v>1205052</v>
      </c>
      <c r="K29" s="373">
        <f>+H29/J29</f>
        <v>0.44373935730574282</v>
      </c>
    </row>
    <row r="30" spans="1:11" ht="7.9" customHeight="1">
      <c r="A30" s="1"/>
      <c r="B30" s="129"/>
      <c r="C30" s="93" t="s">
        <v>0</v>
      </c>
      <c r="D30" s="366"/>
      <c r="E30" s="373" t="s">
        <v>0</v>
      </c>
      <c r="F30"/>
      <c r="G30"/>
      <c r="H30" s="129"/>
      <c r="I30" s="93" t="s">
        <v>0</v>
      </c>
      <c r="J30" s="366" t="s">
        <v>0</v>
      </c>
      <c r="K30" s="373" t="s">
        <v>0</v>
      </c>
    </row>
    <row r="31" spans="1:11">
      <c r="A31" s="1" t="s">
        <v>281</v>
      </c>
      <c r="B31" s="129"/>
      <c r="C31" s="93" t="s">
        <v>0</v>
      </c>
      <c r="D31" s="366"/>
      <c r="E31" s="373" t="s">
        <v>0</v>
      </c>
      <c r="F31"/>
      <c r="G31"/>
      <c r="H31" s="129"/>
      <c r="I31" s="93" t="s">
        <v>0</v>
      </c>
      <c r="J31" s="366" t="s">
        <v>0</v>
      </c>
      <c r="K31" s="373" t="s">
        <v>0</v>
      </c>
    </row>
    <row r="32" spans="1:11">
      <c r="A32" s="1" t="s">
        <v>282</v>
      </c>
      <c r="B32" s="129">
        <v>0</v>
      </c>
      <c r="C32" s="92">
        <v>0</v>
      </c>
      <c r="D32" s="366">
        <f>SUM(B32:C32)</f>
        <v>0</v>
      </c>
      <c r="E32" s="136">
        <v>0</v>
      </c>
      <c r="F32"/>
      <c r="G32"/>
      <c r="H32" s="129">
        <v>0</v>
      </c>
      <c r="I32" s="92">
        <v>0</v>
      </c>
      <c r="J32" s="366">
        <f>SUM(H32:I32)</f>
        <v>0</v>
      </c>
      <c r="K32" s="373" t="e">
        <f>+H32/J32</f>
        <v>#DIV/0!</v>
      </c>
    </row>
    <row r="33" spans="1:15">
      <c r="A33" s="1" t="s">
        <v>283</v>
      </c>
      <c r="B33" s="129">
        <v>0</v>
      </c>
      <c r="C33" s="93">
        <v>0</v>
      </c>
      <c r="D33" s="366">
        <f>SUM(B33:C33)</f>
        <v>0</v>
      </c>
      <c r="E33" s="136">
        <v>0</v>
      </c>
      <c r="F33"/>
      <c r="G33"/>
      <c r="H33" s="129">
        <v>0</v>
      </c>
      <c r="I33" s="93">
        <v>0</v>
      </c>
      <c r="J33" s="366">
        <f>SUM(H33:I33)</f>
        <v>0</v>
      </c>
      <c r="K33" s="136">
        <v>0</v>
      </c>
    </row>
    <row r="34" spans="1:15" ht="18">
      <c r="A34" s="1" t="s">
        <v>284</v>
      </c>
      <c r="B34" s="130">
        <v>103048</v>
      </c>
      <c r="C34" s="137">
        <v>68854</v>
      </c>
      <c r="D34" s="367">
        <f>SUM(B34:C34)</f>
        <v>171902</v>
      </c>
      <c r="E34" s="373">
        <f>+B34/D34</f>
        <v>0.59945783062442559</v>
      </c>
      <c r="F34"/>
      <c r="G34"/>
      <c r="H34" s="130">
        <v>122803</v>
      </c>
      <c r="I34" s="137">
        <v>63031</v>
      </c>
      <c r="J34" s="367">
        <f>SUM(H34:I34)</f>
        <v>185834</v>
      </c>
      <c r="K34" s="373">
        <f>+H34/J34</f>
        <v>0.66082094772754174</v>
      </c>
      <c r="L34" s="6"/>
      <c r="M34" s="7"/>
      <c r="N34" s="7"/>
      <c r="O34" s="7"/>
    </row>
    <row r="35" spans="1:15">
      <c r="A35" s="1"/>
      <c r="B35" s="129">
        <f>SUM(B32:B34)</f>
        <v>103048</v>
      </c>
      <c r="C35" s="92">
        <f>SUM(C32:C34)</f>
        <v>68854</v>
      </c>
      <c r="D35" s="366">
        <f>SUM(B35:C35)</f>
        <v>171902</v>
      </c>
      <c r="E35" s="373">
        <f>+B35/D35</f>
        <v>0.59945783062442559</v>
      </c>
      <c r="F35"/>
      <c r="G35"/>
      <c r="H35" s="129">
        <f>SUM(H32:H34)</f>
        <v>122803</v>
      </c>
      <c r="I35" s="92">
        <f>SUM(I32:I34)</f>
        <v>63031</v>
      </c>
      <c r="J35" s="366">
        <f>SUM(H35:I35)</f>
        <v>185834</v>
      </c>
      <c r="K35" s="373">
        <f>+H35/J35</f>
        <v>0.66082094772754174</v>
      </c>
    </row>
    <row r="36" spans="1:15" ht="7.15" customHeight="1">
      <c r="A36" s="1"/>
      <c r="B36" s="129"/>
      <c r="C36" s="93" t="s">
        <v>0</v>
      </c>
      <c r="D36" s="366"/>
      <c r="E36" s="373" t="s">
        <v>275</v>
      </c>
      <c r="F36"/>
      <c r="G36"/>
      <c r="H36" s="129"/>
      <c r="I36" s="93" t="s">
        <v>0</v>
      </c>
      <c r="J36" s="366" t="s">
        <v>0</v>
      </c>
      <c r="K36" s="373" t="s">
        <v>275</v>
      </c>
    </row>
    <row r="37" spans="1:15">
      <c r="A37" s="1" t="s">
        <v>285</v>
      </c>
      <c r="B37" s="129"/>
      <c r="C37" s="93" t="s">
        <v>0</v>
      </c>
      <c r="D37" s="366"/>
      <c r="E37" s="373" t="s">
        <v>0</v>
      </c>
      <c r="F37"/>
      <c r="G37"/>
      <c r="H37" s="129"/>
      <c r="I37" s="93" t="s">
        <v>0</v>
      </c>
      <c r="J37" s="366" t="s">
        <v>0</v>
      </c>
      <c r="K37" s="373" t="s">
        <v>0</v>
      </c>
    </row>
    <row r="38" spans="1:15">
      <c r="A38" s="1" t="s">
        <v>282</v>
      </c>
      <c r="B38" s="129">
        <v>0</v>
      </c>
      <c r="C38" s="93">
        <v>0</v>
      </c>
      <c r="D38" s="366">
        <f>SUM(B38:C38)</f>
        <v>0</v>
      </c>
      <c r="E38" s="136">
        <v>0</v>
      </c>
      <c r="F38"/>
      <c r="G38"/>
      <c r="H38" s="129">
        <v>0</v>
      </c>
      <c r="I38" s="93">
        <v>0</v>
      </c>
      <c r="J38" s="366">
        <f>SUM(H38:I38)</f>
        <v>0</v>
      </c>
      <c r="K38" s="136">
        <v>0</v>
      </c>
    </row>
    <row r="39" spans="1:15">
      <c r="A39" s="1" t="s">
        <v>286</v>
      </c>
      <c r="B39" s="129">
        <v>0</v>
      </c>
      <c r="C39" s="93">
        <v>0</v>
      </c>
      <c r="D39" s="366">
        <f>SUM(B39:C39)</f>
        <v>0</v>
      </c>
      <c r="E39" s="136">
        <v>0</v>
      </c>
      <c r="F39"/>
      <c r="G39"/>
      <c r="H39" s="129">
        <v>0</v>
      </c>
      <c r="I39" s="93">
        <v>0</v>
      </c>
      <c r="J39" s="366">
        <f>SUM(H39:I39)</f>
        <v>0</v>
      </c>
      <c r="K39" s="136">
        <v>0</v>
      </c>
    </row>
    <row r="40" spans="1:15" ht="18">
      <c r="A40" s="1" t="s">
        <v>284</v>
      </c>
      <c r="B40" s="130">
        <v>11</v>
      </c>
      <c r="C40" s="137">
        <v>17164</v>
      </c>
      <c r="D40" s="367">
        <f>SUM(B40:C40)</f>
        <v>17175</v>
      </c>
      <c r="E40" s="373">
        <f>+B40/D40</f>
        <v>6.4046579330422125E-4</v>
      </c>
      <c r="F40"/>
      <c r="G40"/>
      <c r="H40" s="130">
        <v>10</v>
      </c>
      <c r="I40" s="137">
        <v>13216</v>
      </c>
      <c r="J40" s="367">
        <f>SUM(H40:I40)</f>
        <v>13226</v>
      </c>
      <c r="K40" s="373">
        <f>+H40/J40</f>
        <v>7.5608649629517618E-4</v>
      </c>
    </row>
    <row r="41" spans="1:15">
      <c r="A41" s="1"/>
      <c r="B41" s="129">
        <f>SUM(B38:B40)</f>
        <v>11</v>
      </c>
      <c r="C41" s="92">
        <f>SUM(C38:C40)</f>
        <v>17164</v>
      </c>
      <c r="D41" s="366">
        <f>SUM(B41:C41)</f>
        <v>17175</v>
      </c>
      <c r="E41" s="373">
        <f>+B41/D41</f>
        <v>6.4046579330422125E-4</v>
      </c>
      <c r="F41"/>
      <c r="G41"/>
      <c r="H41" s="129">
        <f>SUM(H38:H40)</f>
        <v>10</v>
      </c>
      <c r="I41" s="92">
        <f>SUM(I38:I40)</f>
        <v>13216</v>
      </c>
      <c r="J41" s="366">
        <f>SUM(H41:I41)</f>
        <v>13226</v>
      </c>
      <c r="K41" s="373">
        <f>+H41/J41</f>
        <v>7.5608649629517618E-4</v>
      </c>
    </row>
    <row r="42" spans="1:15" ht="8.4499999999999993" customHeight="1">
      <c r="A42" s="1"/>
      <c r="B42" s="129"/>
      <c r="C42" s="93" t="s">
        <v>0</v>
      </c>
      <c r="D42" s="366"/>
      <c r="E42" s="373" t="s">
        <v>0</v>
      </c>
      <c r="F42"/>
      <c r="G42"/>
      <c r="H42" s="129"/>
      <c r="I42" s="93" t="s">
        <v>0</v>
      </c>
      <c r="J42" s="366" t="s">
        <v>0</v>
      </c>
      <c r="K42" s="373" t="s">
        <v>0</v>
      </c>
    </row>
    <row r="43" spans="1:15" ht="18">
      <c r="A43" s="1" t="s">
        <v>287</v>
      </c>
      <c r="B43" s="130">
        <v>9864</v>
      </c>
      <c r="C43" s="137">
        <v>0</v>
      </c>
      <c r="D43" s="367">
        <f>SUM(B43:C43)</f>
        <v>9864</v>
      </c>
      <c r="E43" s="373">
        <f>+B43/D43</f>
        <v>1</v>
      </c>
      <c r="F43"/>
      <c r="G43"/>
      <c r="H43" s="130">
        <v>22859</v>
      </c>
      <c r="I43" s="137">
        <v>0</v>
      </c>
      <c r="J43" s="367">
        <f>SUM(H43:I43)</f>
        <v>22859</v>
      </c>
      <c r="K43" s="373">
        <f>+H43/J43</f>
        <v>1</v>
      </c>
      <c r="L43" s="6"/>
    </row>
    <row r="44" spans="1:15">
      <c r="A44" s="1"/>
      <c r="B44" s="129">
        <f>+B29+B35+B41+B43</f>
        <v>749446</v>
      </c>
      <c r="C44" s="92">
        <f>+C29+C35+C41+C43</f>
        <v>809983</v>
      </c>
      <c r="D44" s="366">
        <f>+D29+D35+D41+D43</f>
        <v>1559429</v>
      </c>
      <c r="E44" s="373">
        <f>+B44/D44</f>
        <v>0.48059001083088748</v>
      </c>
      <c r="F44"/>
      <c r="G44"/>
      <c r="H44" s="129">
        <f>+H29+H35+H41+H43</f>
        <v>680401</v>
      </c>
      <c r="I44" s="92">
        <f>+I29+I35+I41+I43</f>
        <v>746570</v>
      </c>
      <c r="J44" s="366">
        <f>+J29+J35+J41+J43</f>
        <v>1426971</v>
      </c>
      <c r="K44" s="373">
        <f>+H44/J44</f>
        <v>0.47681487570525261</v>
      </c>
    </row>
    <row r="45" spans="1:15" ht="8.4499999999999993" customHeight="1">
      <c r="A45" s="1"/>
      <c r="B45" s="129"/>
      <c r="C45" s="93" t="s">
        <v>0</v>
      </c>
      <c r="D45" s="366"/>
      <c r="E45" s="373" t="s">
        <v>0</v>
      </c>
      <c r="F45"/>
      <c r="G45"/>
      <c r="H45" s="129"/>
      <c r="I45" s="93" t="s">
        <v>0</v>
      </c>
      <c r="J45" s="366" t="s">
        <v>0</v>
      </c>
      <c r="K45" s="373" t="s">
        <v>0</v>
      </c>
    </row>
    <row r="46" spans="1:15">
      <c r="A46" s="87" t="s">
        <v>288</v>
      </c>
      <c r="B46" s="129"/>
      <c r="C46" s="93" t="s">
        <v>0</v>
      </c>
      <c r="D46" s="366"/>
      <c r="E46" s="373" t="s">
        <v>0</v>
      </c>
      <c r="F46"/>
      <c r="G46"/>
      <c r="H46" s="129"/>
      <c r="I46" s="93" t="s">
        <v>0</v>
      </c>
      <c r="J46" s="366" t="s">
        <v>0</v>
      </c>
      <c r="K46" s="373" t="s">
        <v>0</v>
      </c>
    </row>
    <row r="47" spans="1:15">
      <c r="A47" s="1" t="s">
        <v>289</v>
      </c>
      <c r="B47" s="129">
        <v>0</v>
      </c>
      <c r="C47" s="92">
        <v>5000</v>
      </c>
      <c r="D47" s="366">
        <f>SUM(B47:C47)</f>
        <v>5000</v>
      </c>
      <c r="E47" s="136">
        <f>+B47/D47</f>
        <v>0</v>
      </c>
      <c r="F47"/>
      <c r="G47"/>
      <c r="H47" s="129">
        <v>0</v>
      </c>
      <c r="I47" s="92">
        <v>5000</v>
      </c>
      <c r="J47" s="366">
        <f>SUM(H47:I47)</f>
        <v>5000</v>
      </c>
      <c r="K47" s="136">
        <f>+H47/J47</f>
        <v>0</v>
      </c>
    </row>
    <row r="48" spans="1:15">
      <c r="A48" s="1" t="s">
        <v>290</v>
      </c>
      <c r="B48" s="129">
        <v>0</v>
      </c>
      <c r="C48" s="92">
        <v>2500</v>
      </c>
      <c r="D48" s="366">
        <f>SUM(B48:C48)</f>
        <v>2500</v>
      </c>
      <c r="E48" s="136">
        <v>0</v>
      </c>
      <c r="F48"/>
      <c r="G48"/>
      <c r="H48" s="129">
        <v>0</v>
      </c>
      <c r="I48" s="92">
        <v>2500</v>
      </c>
      <c r="J48" s="366">
        <f>SUM(H48:I48)</f>
        <v>2500</v>
      </c>
      <c r="K48" s="136">
        <v>0</v>
      </c>
    </row>
    <row r="49" spans="1:15">
      <c r="A49" s="1" t="s">
        <v>302</v>
      </c>
      <c r="B49" s="129">
        <v>0</v>
      </c>
      <c r="C49" s="93">
        <v>10172</v>
      </c>
      <c r="D49" s="366">
        <f>SUM(B49:C49)</f>
        <v>10172</v>
      </c>
      <c r="E49" s="136">
        <v>0</v>
      </c>
      <c r="F49"/>
      <c r="G49"/>
      <c r="H49" s="129">
        <v>0</v>
      </c>
      <c r="I49" s="93">
        <v>0</v>
      </c>
      <c r="J49" s="366">
        <v>0</v>
      </c>
      <c r="K49" s="136">
        <v>0</v>
      </c>
    </row>
    <row r="50" spans="1:15" ht="18">
      <c r="A50" s="1" t="s">
        <v>292</v>
      </c>
      <c r="B50" s="130">
        <v>0</v>
      </c>
      <c r="C50" s="137">
        <v>29681</v>
      </c>
      <c r="D50" s="940">
        <f>SUM(B50:C50)</f>
        <v>29681</v>
      </c>
      <c r="E50" s="136">
        <v>0</v>
      </c>
      <c r="F50"/>
      <c r="G50"/>
      <c r="H50" s="130">
        <v>0</v>
      </c>
      <c r="I50" s="137">
        <v>19321</v>
      </c>
      <c r="J50" s="367">
        <f>SUM(H50:I50)</f>
        <v>19321</v>
      </c>
      <c r="K50" s="136">
        <v>0</v>
      </c>
      <c r="L50" s="6"/>
      <c r="M50" s="7"/>
      <c r="N50" s="7"/>
      <c r="O50" s="7"/>
    </row>
    <row r="51" spans="1:15">
      <c r="A51" s="1" t="s">
        <v>275</v>
      </c>
      <c r="B51" s="129">
        <f>SUM(B47:B50)</f>
        <v>0</v>
      </c>
      <c r="C51" s="92">
        <f>SUM(C47:C50)</f>
        <v>47353</v>
      </c>
      <c r="D51" s="366">
        <f>SUM(B51:C51)</f>
        <v>47353</v>
      </c>
      <c r="E51" s="136">
        <v>0</v>
      </c>
      <c r="F51"/>
      <c r="G51"/>
      <c r="H51" s="129">
        <f>SUM(H47:H50)</f>
        <v>0</v>
      </c>
      <c r="I51" s="92">
        <f>SUM(I47:I50)</f>
        <v>26821</v>
      </c>
      <c r="J51" s="366">
        <f>SUM(H51:I51)</f>
        <v>26821</v>
      </c>
      <c r="K51" s="136">
        <v>0</v>
      </c>
    </row>
    <row r="52" spans="1:15">
      <c r="A52" s="1" t="s">
        <v>0</v>
      </c>
      <c r="B52" s="129"/>
      <c r="C52" s="93" t="s">
        <v>0</v>
      </c>
      <c r="D52" s="366"/>
      <c r="E52" s="373" t="s">
        <v>0</v>
      </c>
      <c r="F52"/>
      <c r="G52"/>
      <c r="H52" s="129"/>
      <c r="I52" s="93" t="s">
        <v>0</v>
      </c>
      <c r="J52" s="366" t="s">
        <v>0</v>
      </c>
      <c r="K52" s="373" t="s">
        <v>0</v>
      </c>
    </row>
    <row r="53" spans="1:15" ht="16.5" thickBot="1">
      <c r="A53" s="1" t="s">
        <v>0</v>
      </c>
      <c r="B53" s="133">
        <f>+B29+B35+B41+B43+B51</f>
        <v>749446</v>
      </c>
      <c r="C53" s="134">
        <f>+C29+C35+C41+C43+C51</f>
        <v>857336</v>
      </c>
      <c r="D53" s="369">
        <f>SUM(B53:C53)</f>
        <v>1606782</v>
      </c>
      <c r="E53" s="430">
        <f>+B53/D53</f>
        <v>0.46642668389364583</v>
      </c>
      <c r="F53"/>
      <c r="G53"/>
      <c r="H53" s="133">
        <f>+H29+H35+H41+H43+H51</f>
        <v>680401</v>
      </c>
      <c r="I53" s="134">
        <f>+I29+I35+I41+I43+I51</f>
        <v>773391</v>
      </c>
      <c r="J53" s="369">
        <f>SUM(H53:I53)</f>
        <v>1453792</v>
      </c>
      <c r="K53" s="430">
        <f>+H53/J53</f>
        <v>0.46801812088661926</v>
      </c>
    </row>
    <row r="54" spans="1:15" ht="16.5" thickTop="1">
      <c r="A54" s="1"/>
      <c r="B54" s="95"/>
      <c r="C54" s="95"/>
      <c r="D54" s="384"/>
      <c r="E54" s="261"/>
      <c r="F54"/>
      <c r="G54"/>
      <c r="H54" s="95"/>
      <c r="I54" s="95"/>
      <c r="J54" s="384"/>
      <c r="K54" s="254"/>
    </row>
    <row r="55" spans="1:15">
      <c r="A55" s="1"/>
      <c r="B55" s="91" t="s">
        <v>620</v>
      </c>
      <c r="C55"/>
      <c r="D55" s="91"/>
      <c r="E55" s="100" t="s">
        <v>0</v>
      </c>
      <c r="F55"/>
      <c r="G55"/>
      <c r="H55" s="91" t="s">
        <v>621</v>
      </c>
      <c r="I55"/>
      <c r="J55" s="89" t="s">
        <v>0</v>
      </c>
    </row>
    <row r="56" spans="1:15">
      <c r="C56" s="43"/>
      <c r="E56" s="115" t="s">
        <v>0</v>
      </c>
      <c r="F56"/>
      <c r="G56"/>
      <c r="H56"/>
      <c r="J56" s="43"/>
    </row>
    <row r="57" spans="1:15">
      <c r="A57" s="18" t="s">
        <v>319</v>
      </c>
      <c r="C57" s="43"/>
      <c r="E57" s="115" t="s">
        <v>0</v>
      </c>
      <c r="F57"/>
      <c r="G57"/>
      <c r="H57"/>
      <c r="J57" s="43"/>
    </row>
    <row r="58" spans="1:15">
      <c r="A58" t="s">
        <v>294</v>
      </c>
      <c r="B58" s="12">
        <f>140122607/1000</f>
        <v>140122.60699999999</v>
      </c>
      <c r="C58" s="12">
        <f>40827844/1000</f>
        <v>40827.843999999997</v>
      </c>
      <c r="D58" s="12">
        <f>+B58+C58</f>
        <v>180950.451</v>
      </c>
      <c r="E58" s="115" t="s">
        <v>0</v>
      </c>
      <c r="F58"/>
      <c r="G58"/>
      <c r="H58" s="3">
        <f>144977509/1000</f>
        <v>144977.50899999999</v>
      </c>
      <c r="I58" s="12">
        <f>16028746/1000</f>
        <v>16028.745999999999</v>
      </c>
      <c r="J58" s="12">
        <f>+H58+I58</f>
        <v>161006.255</v>
      </c>
    </row>
    <row r="59" spans="1:15">
      <c r="A59" t="s">
        <v>295</v>
      </c>
      <c r="B59" s="12">
        <f>25410429/1000</f>
        <v>25410.429</v>
      </c>
      <c r="C59" s="12">
        <v>0</v>
      </c>
      <c r="D59" s="12">
        <f>+B59+C59</f>
        <v>25410.429</v>
      </c>
      <c r="E59" s="115" t="s">
        <v>0</v>
      </c>
      <c r="F59"/>
      <c r="G59"/>
      <c r="H59" s="3">
        <f>64406637/1000</f>
        <v>64406.637000000002</v>
      </c>
      <c r="I59" s="12">
        <v>0</v>
      </c>
      <c r="J59" s="12">
        <f>+H59+I59</f>
        <v>64406.637000000002</v>
      </c>
    </row>
    <row r="60" spans="1:15">
      <c r="A60" t="s">
        <v>284</v>
      </c>
      <c r="B60" s="12">
        <f>+(524526+39779402)/1000</f>
        <v>40303.928</v>
      </c>
      <c r="C60" s="12">
        <f>+(2310+10331724)/1000</f>
        <v>10334.034</v>
      </c>
      <c r="D60" s="12">
        <f>+B60+C60</f>
        <v>50637.962</v>
      </c>
      <c r="E60" s="115" t="s">
        <v>0</v>
      </c>
      <c r="F60"/>
      <c r="G60"/>
      <c r="H60" s="3">
        <f>46423630/1000</f>
        <v>46423.63</v>
      </c>
      <c r="I60" s="12">
        <f>+(2310+1035887+10342602)/1000</f>
        <v>11380.799000000001</v>
      </c>
      <c r="J60" s="12">
        <f>+H60+I60</f>
        <v>57804.428999999996</v>
      </c>
    </row>
    <row r="61" spans="1:15">
      <c r="C61" s="43"/>
      <c r="E61" s="115" t="s">
        <v>0</v>
      </c>
      <c r="F61"/>
      <c r="G61"/>
      <c r="H61"/>
      <c r="J61" s="43"/>
    </row>
    <row r="62" spans="1:15" ht="18.75">
      <c r="A62" s="122" t="s">
        <v>303</v>
      </c>
      <c r="B62" s="12">
        <f>+'cbnacomp '!B61</f>
        <v>755842</v>
      </c>
      <c r="C62" s="43"/>
      <c r="D62" s="16" t="s">
        <v>0</v>
      </c>
      <c r="E62" s="115" t="s">
        <v>0</v>
      </c>
      <c r="F62"/>
      <c r="G62"/>
      <c r="H62" s="41">
        <v>0</v>
      </c>
      <c r="I62" s="43">
        <v>0</v>
      </c>
      <c r="J62" s="12">
        <f>+J19+J63</f>
        <v>757857.89500000002</v>
      </c>
    </row>
    <row r="63" spans="1:15">
      <c r="A63" t="s">
        <v>217</v>
      </c>
      <c r="B63" s="12">
        <f>+'cbnacomp '!B62</f>
        <v>26682</v>
      </c>
      <c r="C63" s="43"/>
      <c r="D63" s="16" t="s">
        <v>0</v>
      </c>
      <c r="E63" s="115" t="s">
        <v>0</v>
      </c>
      <c r="F63"/>
      <c r="G63"/>
      <c r="H63" s="41">
        <v>0</v>
      </c>
      <c r="I63" s="43">
        <v>0</v>
      </c>
      <c r="J63" s="12">
        <f>16421895/1000</f>
        <v>16421.895</v>
      </c>
    </row>
    <row r="64" spans="1:15">
      <c r="A64" t="s">
        <v>320</v>
      </c>
      <c r="B64" s="12">
        <f>+'cbnacomp '!B63</f>
        <v>35324</v>
      </c>
      <c r="C64" s="43"/>
      <c r="D64" s="16" t="s">
        <v>0</v>
      </c>
      <c r="E64" s="115" t="s">
        <v>0</v>
      </c>
      <c r="F64"/>
      <c r="G64"/>
      <c r="H64" s="41">
        <v>0</v>
      </c>
      <c r="I64" s="43">
        <v>0</v>
      </c>
      <c r="J64" s="12">
        <f>4372735/1000</f>
        <v>4372.7349999999997</v>
      </c>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sheetData>
  <pageMargins left="0.7" right="0.28999999999999998" top="0.66" bottom="0.62" header="0.5" footer="0.22"/>
  <pageSetup scale="62" orientation="landscape" r:id="rId1"/>
  <headerFooter alignWithMargins="0">
    <oddFooter>&amp;R&amp;P</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22"/>
  <sheetViews>
    <sheetView workbookViewId="0"/>
  </sheetViews>
  <sheetFormatPr defaultRowHeight="15.75"/>
  <cols>
    <col min="1" max="1" width="50" customWidth="1"/>
    <col min="2" max="2" width="15.75" style="27" customWidth="1"/>
    <col min="3" max="3" width="8.7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 style="27" customWidth="1"/>
    <col min="14" max="14" width="15.75" style="27" customWidth="1"/>
    <col min="15" max="15" width="11" style="27" customWidth="1"/>
    <col min="16" max="16" width="15.75" style="27" customWidth="1"/>
    <col min="17" max="17" width="11" style="27" customWidth="1"/>
    <col min="18" max="18" width="15.75" style="27" customWidth="1"/>
    <col min="19" max="19" width="11" style="27" customWidth="1"/>
    <col min="20" max="20" width="16.75" style="27" customWidth="1"/>
    <col min="21" max="21" width="13.25" style="27" customWidth="1"/>
    <col min="22" max="256" width="11" customWidth="1"/>
  </cols>
  <sheetData>
    <row r="1" spans="1:22">
      <c r="A1" s="114" t="s">
        <v>619</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5" spans="1:22">
      <c r="A5" s="114"/>
      <c r="B5" s="40"/>
      <c r="C5" s="40"/>
      <c r="D5" s="40"/>
      <c r="E5" s="40"/>
      <c r="F5" s="40"/>
      <c r="G5" s="40"/>
      <c r="H5" s="40"/>
      <c r="I5" s="40"/>
      <c r="J5" s="40"/>
      <c r="K5" s="40"/>
      <c r="L5" s="40"/>
      <c r="M5" s="40"/>
      <c r="N5" s="40"/>
      <c r="O5" s="40"/>
      <c r="P5" s="40"/>
      <c r="Q5" s="40"/>
      <c r="R5" s="40"/>
      <c r="S5" s="40"/>
      <c r="T5" s="40"/>
    </row>
    <row r="6" spans="1:22" s="2" customFormat="1" ht="16.5" thickBot="1">
      <c r="B6" s="377" t="s">
        <v>185</v>
      </c>
      <c r="C6" s="399"/>
      <c r="D6" s="400"/>
      <c r="E6" s="399"/>
      <c r="F6" s="400"/>
      <c r="G6" s="399"/>
      <c r="H6" s="400"/>
      <c r="I6" s="401"/>
      <c r="J6" s="377" t="s">
        <v>174</v>
      </c>
      <c r="K6" s="399"/>
      <c r="L6" s="400"/>
      <c r="M6" s="399"/>
      <c r="N6" s="400"/>
      <c r="O6" s="399"/>
      <c r="P6" s="400"/>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7" t="s">
        <v>0</v>
      </c>
      <c r="D9" s="29" t="s">
        <v>0</v>
      </c>
      <c r="E9" s="29" t="s">
        <v>0</v>
      </c>
      <c r="F9" s="29" t="s">
        <v>0</v>
      </c>
      <c r="G9" s="29" t="s">
        <v>0</v>
      </c>
      <c r="H9" s="29" t="s">
        <v>0</v>
      </c>
      <c r="I9" s="29" t="s">
        <v>0</v>
      </c>
      <c r="J9" s="16" t="s">
        <v>0</v>
      </c>
      <c r="K9" s="47" t="s">
        <v>0</v>
      </c>
      <c r="L9" s="16" t="s">
        <v>0</v>
      </c>
      <c r="M9" s="47" t="s">
        <v>0</v>
      </c>
      <c r="N9" s="16" t="s">
        <v>0</v>
      </c>
      <c r="O9" s="47" t="s">
        <v>0</v>
      </c>
      <c r="P9" s="16" t="s">
        <v>0</v>
      </c>
      <c r="R9" s="29" t="s">
        <v>0</v>
      </c>
      <c r="S9" s="29" t="s">
        <v>0</v>
      </c>
      <c r="T9" s="29" t="s">
        <v>0</v>
      </c>
    </row>
    <row r="10" spans="1:22">
      <c r="A10" t="s">
        <v>330</v>
      </c>
      <c r="B10" s="12">
        <f>+B50</f>
        <v>29093</v>
      </c>
      <c r="C10" s="43">
        <v>0</v>
      </c>
      <c r="D10" s="12">
        <f>+F50</f>
        <v>0</v>
      </c>
      <c r="E10" s="43">
        <v>0</v>
      </c>
      <c r="F10" s="12">
        <f>+J50</f>
        <v>0</v>
      </c>
      <c r="G10" s="43">
        <v>0</v>
      </c>
      <c r="H10" s="12">
        <f>+N50</f>
        <v>0</v>
      </c>
      <c r="J10" s="88">
        <f>+D50</f>
        <v>30341</v>
      </c>
      <c r="K10" s="46">
        <f>+(-J10+L10)/ABS(J10)</f>
        <v>-9.488810520417916E-2</v>
      </c>
      <c r="L10" s="88">
        <f>+H50</f>
        <v>27462</v>
      </c>
      <c r="M10" s="46">
        <f>+(-L10+N10)/ABS(L10)</f>
        <v>-1.8753186220959873E-2</v>
      </c>
      <c r="N10" s="12">
        <f>+L50</f>
        <v>26947</v>
      </c>
      <c r="O10" s="46">
        <f>+(-N10+P10)/ABS(N10)</f>
        <v>-8.0788213901361927E-2</v>
      </c>
      <c r="P10" s="88">
        <f>+P50</f>
        <v>24770</v>
      </c>
    </row>
    <row r="11" spans="1:22">
      <c r="A11" t="s">
        <v>354</v>
      </c>
      <c r="B11" s="12">
        <f>+B51</f>
        <v>5308</v>
      </c>
      <c r="C11" s="43">
        <v>0</v>
      </c>
      <c r="D11" s="12">
        <f>+F51</f>
        <v>0</v>
      </c>
      <c r="E11" s="43">
        <v>0</v>
      </c>
      <c r="F11" s="12">
        <f>+J51</f>
        <v>0</v>
      </c>
      <c r="G11" s="43">
        <v>0</v>
      </c>
      <c r="H11" s="12">
        <f>+N51</f>
        <v>0</v>
      </c>
      <c r="J11" s="88">
        <f>+D51</f>
        <v>359</v>
      </c>
      <c r="K11" s="46">
        <f>+(-J11+L11)/ABS(J11)</f>
        <v>5.1142061281337048</v>
      </c>
      <c r="L11" s="88">
        <f>+H51</f>
        <v>2195</v>
      </c>
      <c r="M11" s="46">
        <f>+(-L11+N11)/ABS(L11)</f>
        <v>0.55717539863325738</v>
      </c>
      <c r="N11" s="12">
        <f>+L51</f>
        <v>3418</v>
      </c>
      <c r="O11" s="46">
        <f>+(-N11+P11)/ABS(N11)</f>
        <v>0.35020479812756</v>
      </c>
      <c r="P11" s="88">
        <f>+P51</f>
        <v>4615</v>
      </c>
    </row>
    <row r="12" spans="1:22">
      <c r="A12" t="s">
        <v>332</v>
      </c>
      <c r="B12" s="240">
        <f>+B52</f>
        <v>33</v>
      </c>
      <c r="C12" s="43">
        <v>0</v>
      </c>
      <c r="D12" s="240">
        <f>+F52</f>
        <v>0</v>
      </c>
      <c r="E12" s="43">
        <v>0</v>
      </c>
      <c r="F12" s="240">
        <f>+J52</f>
        <v>0</v>
      </c>
      <c r="G12" s="43">
        <v>0</v>
      </c>
      <c r="H12" s="240">
        <f>+N52</f>
        <v>0</v>
      </c>
      <c r="J12" s="221">
        <f>+D52</f>
        <v>0</v>
      </c>
      <c r="K12" s="43">
        <v>0</v>
      </c>
      <c r="L12" s="221">
        <f>+H52</f>
        <v>0</v>
      </c>
      <c r="M12" s="43">
        <v>0</v>
      </c>
      <c r="N12" s="221">
        <f>+L52</f>
        <v>91</v>
      </c>
      <c r="O12" s="43">
        <v>0</v>
      </c>
      <c r="P12" s="221">
        <f>+P52</f>
        <v>37</v>
      </c>
    </row>
    <row r="13" spans="1:22">
      <c r="B13" s="12">
        <f>SUM(B10:B12)</f>
        <v>34434</v>
      </c>
      <c r="C13" s="43">
        <v>0</v>
      </c>
      <c r="D13" s="12">
        <f>SUM(D10:D12)</f>
        <v>0</v>
      </c>
      <c r="E13" s="43">
        <v>0</v>
      </c>
      <c r="F13" s="12">
        <f>SUM(F10:F12)</f>
        <v>0</v>
      </c>
      <c r="G13" s="43">
        <v>0</v>
      </c>
      <c r="H13" s="12">
        <f>SUM(H10:H12)</f>
        <v>0</v>
      </c>
      <c r="J13" s="12">
        <f>SUM(J10:J12)</f>
        <v>30700</v>
      </c>
      <c r="K13" s="46">
        <f>+(-J13+L13)/ABS(J13)</f>
        <v>-3.3973941368078173E-2</v>
      </c>
      <c r="L13" s="12">
        <f>SUM(L10:L12)</f>
        <v>29657</v>
      </c>
      <c r="M13" s="46">
        <f>+(-L13+N13)/ABS(L13)</f>
        <v>2.694136291600634E-2</v>
      </c>
      <c r="N13" s="12">
        <f>SUM(N10:N12)</f>
        <v>30456</v>
      </c>
      <c r="O13" s="46">
        <f>+(-N13+P13)/ABS(N13)</f>
        <v>-3.3950617283950615E-2</v>
      </c>
      <c r="P13" s="12">
        <f>SUM(P10:P12)</f>
        <v>29422</v>
      </c>
    </row>
    <row r="14" spans="1:22">
      <c r="A14" t="s">
        <v>333</v>
      </c>
      <c r="B14" s="240">
        <f>+B54</f>
        <v>14402</v>
      </c>
      <c r="C14" s="43">
        <v>0</v>
      </c>
      <c r="D14" s="240">
        <f>+F54</f>
        <v>0</v>
      </c>
      <c r="E14" s="43">
        <v>0</v>
      </c>
      <c r="F14" s="240">
        <f>+J54</f>
        <v>0</v>
      </c>
      <c r="G14" s="43">
        <v>0</v>
      </c>
      <c r="H14" s="240">
        <f>+N54</f>
        <v>0</v>
      </c>
      <c r="J14" s="240">
        <f>+D54</f>
        <v>14798</v>
      </c>
      <c r="K14" s="46">
        <f>+(-J14+L14)/ABS(J14)</f>
        <v>-1.7232058386268415E-2</v>
      </c>
      <c r="L14" s="240">
        <f>+H54</f>
        <v>14543</v>
      </c>
      <c r="M14" s="46">
        <f>+(-L14+N14)/ABS(L14)</f>
        <v>-3.7475073918723782E-2</v>
      </c>
      <c r="N14" s="240">
        <f>+L54</f>
        <v>13998</v>
      </c>
      <c r="O14" s="46">
        <f>+(-N14+P14)/ABS(N14)</f>
        <v>-4.4720674382054577E-2</v>
      </c>
      <c r="P14" s="240">
        <f>+P54</f>
        <v>13372</v>
      </c>
    </row>
    <row r="15" spans="1:22">
      <c r="B15" s="12">
        <f>+B13-B14</f>
        <v>20032</v>
      </c>
      <c r="C15" s="43">
        <v>0</v>
      </c>
      <c r="D15" s="12">
        <f>+D13-D14</f>
        <v>0</v>
      </c>
      <c r="E15" s="43">
        <v>0</v>
      </c>
      <c r="F15" s="12">
        <f>+F13-F14</f>
        <v>0</v>
      </c>
      <c r="G15" s="43">
        <v>0</v>
      </c>
      <c r="H15" s="12">
        <f>+H13-H14</f>
        <v>0</v>
      </c>
      <c r="J15" s="12">
        <f>+J13-J14</f>
        <v>15902</v>
      </c>
      <c r="K15" s="46">
        <f>+(-J15+L15)/ABS(J15)</f>
        <v>-4.9553515281096715E-2</v>
      </c>
      <c r="L15" s="12">
        <f>+L13-L14</f>
        <v>15114</v>
      </c>
      <c r="M15" s="46">
        <f>+(-L15+N15)/ABS(L15)</f>
        <v>8.8924176260420804E-2</v>
      </c>
      <c r="N15" s="12">
        <f>+N13-N14</f>
        <v>16458</v>
      </c>
      <c r="O15" s="46">
        <f>+(-N15+P15)/ABS(N15)</f>
        <v>-2.4790375501275976E-2</v>
      </c>
      <c r="P15" s="12">
        <f>+P13-P14</f>
        <v>16050</v>
      </c>
    </row>
    <row r="16" spans="1:22" ht="9" customHeight="1">
      <c r="B16" s="12"/>
      <c r="C16" s="44" t="s">
        <v>0</v>
      </c>
      <c r="D16" s="12"/>
      <c r="E16" s="44" t="s">
        <v>0</v>
      </c>
      <c r="G16" s="44" t="s">
        <v>0</v>
      </c>
      <c r="J16" s="12"/>
      <c r="K16" s="46"/>
      <c r="L16" s="12"/>
      <c r="M16" s="46"/>
      <c r="N16" s="12"/>
      <c r="O16" s="46"/>
      <c r="P16" s="12"/>
    </row>
    <row r="17" spans="1:16">
      <c r="A17" t="s">
        <v>334</v>
      </c>
      <c r="B17" s="12"/>
      <c r="C17" s="44" t="s">
        <v>0</v>
      </c>
      <c r="D17" s="12"/>
      <c r="E17" s="44" t="s">
        <v>0</v>
      </c>
      <c r="G17" s="44" t="s">
        <v>0</v>
      </c>
      <c r="J17" s="12"/>
      <c r="K17" s="46"/>
      <c r="L17" s="12"/>
      <c r="M17" s="46"/>
      <c r="N17" s="12"/>
      <c r="O17" s="47" t="s">
        <v>0</v>
      </c>
      <c r="P17" s="12"/>
    </row>
    <row r="18" spans="1:16">
      <c r="A18" t="s">
        <v>335</v>
      </c>
      <c r="B18" s="12">
        <f>+B58</f>
        <v>3662</v>
      </c>
      <c r="C18" s="43">
        <v>0</v>
      </c>
      <c r="D18" s="12">
        <f>+F58</f>
        <v>0</v>
      </c>
      <c r="E18" s="43">
        <v>0</v>
      </c>
      <c r="F18" s="12">
        <f>+J58</f>
        <v>0</v>
      </c>
      <c r="G18" s="43">
        <v>0</v>
      </c>
      <c r="H18" s="12">
        <f>+N58</f>
        <v>0</v>
      </c>
      <c r="J18" s="12">
        <f>+D58</f>
        <v>4277</v>
      </c>
      <c r="K18" s="46">
        <f>+(-J18+L18)/ABS(J18)</f>
        <v>-8.2300678045358899E-2</v>
      </c>
      <c r="L18" s="12">
        <f>+H58</f>
        <v>3925</v>
      </c>
      <c r="M18" s="46">
        <f>+(-L18+N18)/ABS(L18)</f>
        <v>4.8407643312101914E-2</v>
      </c>
      <c r="N18" s="12">
        <f>+L58</f>
        <v>4115</v>
      </c>
      <c r="O18" s="46">
        <f>+(-N18+P18)/ABS(N18)</f>
        <v>-5.5893074119076546E-3</v>
      </c>
      <c r="P18" s="12">
        <f>+P58</f>
        <v>4092</v>
      </c>
    </row>
    <row r="19" spans="1:16">
      <c r="A19" t="s">
        <v>336</v>
      </c>
      <c r="B19" s="12">
        <f>+B59</f>
        <v>8738</v>
      </c>
      <c r="C19" s="43">
        <v>0</v>
      </c>
      <c r="D19" s="12">
        <f>+F59</f>
        <v>0</v>
      </c>
      <c r="E19" s="43">
        <v>0</v>
      </c>
      <c r="F19" s="12">
        <f>+J59</f>
        <v>0</v>
      </c>
      <c r="G19" s="43">
        <v>0</v>
      </c>
      <c r="H19" s="12">
        <f>+N59</f>
        <v>0</v>
      </c>
      <c r="J19" s="12">
        <f>+D59</f>
        <v>3127</v>
      </c>
      <c r="K19" s="46">
        <f>+(-J19+L19)/ABS(J19)</f>
        <v>0.19187719859290053</v>
      </c>
      <c r="L19" s="12">
        <f>+H59</f>
        <v>3727</v>
      </c>
      <c r="M19" s="46">
        <f>+(-L19+N19)/ABS(L19)</f>
        <v>-0.34478132546283874</v>
      </c>
      <c r="N19" s="12">
        <f>+L59</f>
        <v>2442</v>
      </c>
      <c r="O19" s="46">
        <f>+(-N19+P19)/ABS(N19)</f>
        <v>0.72276822276822272</v>
      </c>
      <c r="P19" s="12">
        <f>+P59</f>
        <v>4207</v>
      </c>
    </row>
    <row r="20" spans="1:16">
      <c r="A20" t="s">
        <v>284</v>
      </c>
      <c r="B20" s="240">
        <f>+B60</f>
        <v>-299</v>
      </c>
      <c r="C20" s="43">
        <v>0</v>
      </c>
      <c r="D20" s="240">
        <f>+F60</f>
        <v>0</v>
      </c>
      <c r="E20" s="43">
        <v>0</v>
      </c>
      <c r="F20" s="240">
        <f>+J60</f>
        <v>0</v>
      </c>
      <c r="G20" s="43">
        <v>0</v>
      </c>
      <c r="H20" s="240">
        <f>+N60</f>
        <v>0</v>
      </c>
      <c r="J20" s="240">
        <f>+D60</f>
        <v>51</v>
      </c>
      <c r="K20" s="46">
        <f>+(-J20+L20)/ABS(J20)</f>
        <v>0.25490196078431371</v>
      </c>
      <c r="L20" s="240">
        <f>+H60</f>
        <v>64</v>
      </c>
      <c r="M20" s="46">
        <f>+(-L20+N20)/ABS(L20)</f>
        <v>-5.75</v>
      </c>
      <c r="N20" s="240">
        <f>+L60</f>
        <v>-304</v>
      </c>
      <c r="O20" s="46">
        <f>+(-N20+P20)/ABS(N20)</f>
        <v>0.26315789473684209</v>
      </c>
      <c r="P20" s="240">
        <f>+P60</f>
        <v>-224</v>
      </c>
    </row>
    <row r="21" spans="1:16">
      <c r="B21" s="12">
        <f>SUM(B18:B20)</f>
        <v>12101</v>
      </c>
      <c r="C21" s="43">
        <v>0</v>
      </c>
      <c r="D21" s="12">
        <f>SUM(D18:D20)</f>
        <v>0</v>
      </c>
      <c r="E21" s="43">
        <v>0</v>
      </c>
      <c r="F21" s="12">
        <f>SUM(F18:F20)</f>
        <v>0</v>
      </c>
      <c r="G21" s="43">
        <v>0</v>
      </c>
      <c r="H21" s="12">
        <f>SUM(H18:H20)</f>
        <v>0</v>
      </c>
      <c r="J21" s="12">
        <f>SUM(J18:J20)</f>
        <v>7455</v>
      </c>
      <c r="K21" s="46">
        <f>+(-J21+L21)/ABS(J21)</f>
        <v>3.5010060362173037E-2</v>
      </c>
      <c r="L21" s="12">
        <f>SUM(L18:L20)</f>
        <v>7716</v>
      </c>
      <c r="M21" s="46">
        <f>+(-L21+N21)/ABS(L21)</f>
        <v>-0.18960601347848627</v>
      </c>
      <c r="N21" s="12">
        <f>SUM(N18:N20)</f>
        <v>6253</v>
      </c>
      <c r="O21" s="46">
        <f>+(-N21+P21)/ABS(N21)</f>
        <v>0.29138013753398367</v>
      </c>
      <c r="P21" s="12">
        <f>SUM(P18:P20)</f>
        <v>8075</v>
      </c>
    </row>
    <row r="22" spans="1:16">
      <c r="B22" s="240"/>
      <c r="C22" s="44" t="s">
        <v>0</v>
      </c>
      <c r="D22" s="240"/>
      <c r="E22" s="44" t="s">
        <v>0</v>
      </c>
      <c r="F22" s="379"/>
      <c r="G22" s="44" t="s">
        <v>0</v>
      </c>
      <c r="H22" s="379"/>
      <c r="J22" s="240"/>
      <c r="K22" s="46"/>
      <c r="L22" s="240"/>
      <c r="M22" s="46"/>
      <c r="N22" s="240"/>
      <c r="O22" s="46"/>
      <c r="P22" s="240"/>
    </row>
    <row r="23" spans="1:16">
      <c r="A23" t="s">
        <v>337</v>
      </c>
      <c r="B23" s="12">
        <f>+B15+B21</f>
        <v>32133</v>
      </c>
      <c r="C23" s="43">
        <v>0</v>
      </c>
      <c r="D23" s="12">
        <f>+D15+D21</f>
        <v>0</v>
      </c>
      <c r="E23" s="43">
        <v>0</v>
      </c>
      <c r="F23" s="12">
        <f>+F15+F21</f>
        <v>0</v>
      </c>
      <c r="G23" s="43">
        <v>0</v>
      </c>
      <c r="H23" s="12">
        <f>+H15+H21</f>
        <v>0</v>
      </c>
      <c r="J23" s="12">
        <f>+J15+J21</f>
        <v>23357</v>
      </c>
      <c r="K23" s="46">
        <f>+(-J23+L23)/ABS(J23)</f>
        <v>-2.2562829130453398E-2</v>
      </c>
      <c r="L23" s="12">
        <f>+L15+L21</f>
        <v>22830</v>
      </c>
      <c r="M23" s="46">
        <f>+(-L23+N23)/ABS(L23)</f>
        <v>-5.2124397722295226E-3</v>
      </c>
      <c r="N23" s="12">
        <f>+N15+N21</f>
        <v>22711</v>
      </c>
      <c r="O23" s="46">
        <f>+(-N23+P23)/ABS(N23)</f>
        <v>6.2260578574259172E-2</v>
      </c>
      <c r="P23" s="12">
        <f>+P15+P21</f>
        <v>24125</v>
      </c>
    </row>
    <row r="24" spans="1:16">
      <c r="B24" s="12"/>
      <c r="C24" s="44" t="s">
        <v>0</v>
      </c>
      <c r="D24" s="12"/>
      <c r="E24" s="44" t="s">
        <v>0</v>
      </c>
      <c r="G24" s="44" t="s">
        <v>0</v>
      </c>
      <c r="J24" s="12"/>
      <c r="K24" s="46"/>
      <c r="L24" s="12"/>
      <c r="M24" s="46"/>
      <c r="N24" s="12"/>
      <c r="O24" s="46"/>
      <c r="P24" s="12"/>
    </row>
    <row r="25" spans="1:16">
      <c r="A25" t="s">
        <v>338</v>
      </c>
      <c r="B25" s="12">
        <f>+B65</f>
        <v>0</v>
      </c>
      <c r="C25" s="43">
        <v>0</v>
      </c>
      <c r="D25" s="12">
        <f>+F65</f>
        <v>0</v>
      </c>
      <c r="E25" s="43">
        <v>0</v>
      </c>
      <c r="F25" s="12">
        <f>+J65</f>
        <v>0</v>
      </c>
      <c r="G25" s="43">
        <v>0</v>
      </c>
      <c r="H25" s="12">
        <f>+N65</f>
        <v>0</v>
      </c>
      <c r="J25" s="12">
        <f>+D65</f>
        <v>1743</v>
      </c>
      <c r="K25" s="46">
        <f>+(-J25+L25)/ABS(J25)</f>
        <v>-1</v>
      </c>
      <c r="L25" s="12">
        <f>+H65</f>
        <v>0</v>
      </c>
      <c r="M25" s="46" t="e">
        <f>+(-L25+N25)/ABS(L25)</f>
        <v>#DIV/0!</v>
      </c>
      <c r="N25" s="12">
        <f>+L65</f>
        <v>0</v>
      </c>
      <c r="O25" s="46" t="e">
        <f>+(-N25+P25)/ABS(N25)</f>
        <v>#DIV/0!</v>
      </c>
      <c r="P25" s="12">
        <f>+P65</f>
        <v>0</v>
      </c>
    </row>
    <row r="26" spans="1:16">
      <c r="B26" s="12"/>
      <c r="C26" s="44" t="s">
        <v>0</v>
      </c>
      <c r="D26" s="12"/>
      <c r="E26" s="44" t="s">
        <v>0</v>
      </c>
      <c r="G26" s="44" t="s">
        <v>0</v>
      </c>
      <c r="J26" s="12"/>
      <c r="K26" s="46"/>
      <c r="L26" s="12"/>
      <c r="M26" s="46"/>
      <c r="N26" s="12"/>
      <c r="O26" s="46"/>
      <c r="P26" s="12"/>
    </row>
    <row r="27" spans="1:16">
      <c r="A27" t="s">
        <v>339</v>
      </c>
      <c r="B27" s="240"/>
      <c r="C27" s="44" t="s">
        <v>0</v>
      </c>
      <c r="D27" s="240"/>
      <c r="E27" s="44" t="s">
        <v>0</v>
      </c>
      <c r="F27" s="379"/>
      <c r="G27" s="44" t="s">
        <v>0</v>
      </c>
      <c r="H27" s="379"/>
      <c r="J27" s="240"/>
      <c r="K27" s="46"/>
      <c r="L27" s="240"/>
      <c r="M27" s="46"/>
      <c r="N27" s="240"/>
      <c r="O27" s="46"/>
      <c r="P27" s="240"/>
    </row>
    <row r="28" spans="1:16">
      <c r="A28" t="s">
        <v>340</v>
      </c>
      <c r="B28" s="12">
        <f>+B23-B25</f>
        <v>32133</v>
      </c>
      <c r="C28" s="43">
        <v>0</v>
      </c>
      <c r="D28" s="12">
        <f>+D23-D25</f>
        <v>0</v>
      </c>
      <c r="E28" s="43">
        <v>0</v>
      </c>
      <c r="F28" s="12">
        <f>+F23-F25</f>
        <v>0</v>
      </c>
      <c r="G28" s="43">
        <v>0</v>
      </c>
      <c r="H28" s="12">
        <f>+H23-H25</f>
        <v>0</v>
      </c>
      <c r="J28" s="12">
        <f>+J23-J25</f>
        <v>21614</v>
      </c>
      <c r="K28" s="46">
        <f>+(-J28+L28)/ABS(J28)</f>
        <v>5.6259831590635696E-2</v>
      </c>
      <c r="L28" s="12">
        <f>+L23-L25</f>
        <v>22830</v>
      </c>
      <c r="M28" s="46">
        <f>+(-L28+N28)/ABS(L28)</f>
        <v>-5.2124397722295226E-3</v>
      </c>
      <c r="N28" s="12">
        <f>+N23-N25</f>
        <v>22711</v>
      </c>
      <c r="O28" s="46">
        <f>+(-N28+P28)/ABS(N28)</f>
        <v>6.2260578574259172E-2</v>
      </c>
      <c r="P28" s="12">
        <f>+P23-P25</f>
        <v>24125</v>
      </c>
    </row>
    <row r="29" spans="1:16">
      <c r="B29" s="12"/>
      <c r="C29" s="44" t="s">
        <v>0</v>
      </c>
      <c r="D29" s="12"/>
      <c r="E29" s="44" t="s">
        <v>0</v>
      </c>
      <c r="G29" s="44" t="s">
        <v>0</v>
      </c>
      <c r="J29" s="12"/>
      <c r="K29" s="46"/>
      <c r="L29" s="12"/>
      <c r="M29" s="46"/>
      <c r="N29" s="12"/>
      <c r="O29" s="46"/>
      <c r="P29" s="12"/>
    </row>
    <row r="30" spans="1:16">
      <c r="A30" t="s">
        <v>341</v>
      </c>
      <c r="B30" s="12"/>
      <c r="C30" s="44" t="s">
        <v>0</v>
      </c>
      <c r="D30" s="12"/>
      <c r="E30" s="44" t="s">
        <v>0</v>
      </c>
      <c r="G30" s="44" t="s">
        <v>0</v>
      </c>
      <c r="J30" s="12"/>
      <c r="K30" s="46"/>
      <c r="L30" s="12"/>
      <c r="M30" s="46"/>
      <c r="N30" s="12"/>
      <c r="O30" s="46"/>
      <c r="P30" s="12"/>
    </row>
    <row r="31" spans="1:16">
      <c r="A31" t="s">
        <v>342</v>
      </c>
      <c r="B31" s="12">
        <f>+B71</f>
        <v>7428</v>
      </c>
      <c r="C31" s="43">
        <v>0</v>
      </c>
      <c r="D31" s="12">
        <f>+F71</f>
        <v>0</v>
      </c>
      <c r="E31" s="43">
        <v>0</v>
      </c>
      <c r="F31" s="12">
        <f>+J71</f>
        <v>0</v>
      </c>
      <c r="G31" s="43">
        <v>0</v>
      </c>
      <c r="H31" s="12">
        <f>+N71</f>
        <v>0</v>
      </c>
      <c r="J31" s="12">
        <f>+D71</f>
        <v>7769</v>
      </c>
      <c r="K31" s="46">
        <f>+(-J31+L31)/ABS(J31)</f>
        <v>1.1841935899086111E-2</v>
      </c>
      <c r="L31" s="12">
        <f>+H71</f>
        <v>7861</v>
      </c>
      <c r="M31" s="46">
        <f>+(-L31+N31)/ABS(L31)</f>
        <v>-0.12174023661111817</v>
      </c>
      <c r="N31" s="12">
        <f>+L71</f>
        <v>6904</v>
      </c>
      <c r="O31" s="46">
        <f>+(-N31+P31)/ABS(N31)</f>
        <v>-2.3174971031286211E-3</v>
      </c>
      <c r="P31" s="12">
        <f>+P71</f>
        <v>6888</v>
      </c>
    </row>
    <row r="32" spans="1:16">
      <c r="A32" t="s">
        <v>343</v>
      </c>
      <c r="B32" s="12">
        <f>+B72</f>
        <v>1700</v>
      </c>
      <c r="C32" s="43">
        <v>0</v>
      </c>
      <c r="D32" s="12">
        <f>+F72</f>
        <v>0</v>
      </c>
      <c r="E32" s="43">
        <v>0</v>
      </c>
      <c r="F32" s="12">
        <f>+J72</f>
        <v>0</v>
      </c>
      <c r="G32" s="43">
        <v>0</v>
      </c>
      <c r="H32" s="12">
        <f>+N72</f>
        <v>0</v>
      </c>
      <c r="J32" s="12">
        <f>+D72</f>
        <v>1512</v>
      </c>
      <c r="K32" s="46">
        <f>+(-J32+L32)/ABS(J32)</f>
        <v>-0.10912698412698413</v>
      </c>
      <c r="L32" s="12">
        <f>+H72</f>
        <v>1347</v>
      </c>
      <c r="M32" s="46">
        <f>+(-L32+N32)/ABS(L32)</f>
        <v>8.8344469190794361E-2</v>
      </c>
      <c r="N32" s="12">
        <f>+L72</f>
        <v>1466</v>
      </c>
      <c r="O32" s="46">
        <f>+(-N32+P32)/ABS(N32)</f>
        <v>6.0027285129604369E-2</v>
      </c>
      <c r="P32" s="12">
        <f>+P72</f>
        <v>1554</v>
      </c>
    </row>
    <row r="33" spans="1:22">
      <c r="A33" t="s">
        <v>344</v>
      </c>
      <c r="B33" s="12">
        <f>+B73</f>
        <v>1524</v>
      </c>
      <c r="C33" s="43">
        <v>0</v>
      </c>
      <c r="D33" s="12">
        <f>+F73</f>
        <v>0</v>
      </c>
      <c r="E33" s="43">
        <v>0</v>
      </c>
      <c r="F33" s="12">
        <f>+J73</f>
        <v>0</v>
      </c>
      <c r="G33" s="43">
        <v>0</v>
      </c>
      <c r="H33" s="12">
        <f>+N73</f>
        <v>0</v>
      </c>
      <c r="J33" s="12">
        <f>+D73</f>
        <v>1091</v>
      </c>
      <c r="K33" s="46">
        <f>+(-J33+L33)/ABS(J33)</f>
        <v>0.11457378551787351</v>
      </c>
      <c r="L33" s="12">
        <f>+H73</f>
        <v>1216</v>
      </c>
      <c r="M33" s="46">
        <f>+(-L33+N33)/ABS(L33)</f>
        <v>0.25904605263157893</v>
      </c>
      <c r="N33" s="12">
        <f>+L73</f>
        <v>1531</v>
      </c>
      <c r="O33" s="46">
        <f>+(-N33+P33)/ABS(N33)</f>
        <v>3.0045721750489876E-2</v>
      </c>
      <c r="P33" s="12">
        <f>+P73</f>
        <v>1577</v>
      </c>
    </row>
    <row r="34" spans="1:22">
      <c r="A34" t="s">
        <v>345</v>
      </c>
      <c r="B34" s="240">
        <f>+B74</f>
        <v>4391</v>
      </c>
      <c r="C34" s="43">
        <v>0</v>
      </c>
      <c r="D34" s="240">
        <f>+F74</f>
        <v>0</v>
      </c>
      <c r="E34" s="43">
        <v>0</v>
      </c>
      <c r="F34" s="240">
        <f>+J74</f>
        <v>0</v>
      </c>
      <c r="G34" s="43">
        <v>0</v>
      </c>
      <c r="H34" s="240">
        <f>+N74</f>
        <v>0</v>
      </c>
      <c r="J34" s="240">
        <f>+D74</f>
        <v>3961</v>
      </c>
      <c r="K34" s="46">
        <f>+(-J34+L34)/ABS(J34)</f>
        <v>-6.311537490532694E-2</v>
      </c>
      <c r="L34" s="240">
        <f>+H74</f>
        <v>3711</v>
      </c>
      <c r="M34" s="46">
        <f>+(-L34+N34)/ABS(L34)</f>
        <v>-0.10374562112638103</v>
      </c>
      <c r="N34" s="240">
        <f>+L74</f>
        <v>3326</v>
      </c>
      <c r="O34" s="46">
        <f>+(-N34+P34)/ABS(N34)</f>
        <v>0.2714972940469032</v>
      </c>
      <c r="P34" s="240">
        <f>+P74</f>
        <v>4229</v>
      </c>
    </row>
    <row r="35" spans="1:22">
      <c r="B35" s="12">
        <f>SUM(B31:B34)</f>
        <v>15043</v>
      </c>
      <c r="C35" s="43">
        <v>0</v>
      </c>
      <c r="D35" s="12">
        <f>SUM(D31:D34)</f>
        <v>0</v>
      </c>
      <c r="E35" s="43">
        <v>0</v>
      </c>
      <c r="F35" s="12">
        <f>SUM(F31:F34)</f>
        <v>0</v>
      </c>
      <c r="G35" s="43">
        <v>0</v>
      </c>
      <c r="H35" s="12">
        <f>SUM(H31:H34)</f>
        <v>0</v>
      </c>
      <c r="J35" s="12">
        <f>SUM(J31:J34)</f>
        <v>14333</v>
      </c>
      <c r="K35" s="46">
        <f>+(-J35+L35)/ABS(J35)</f>
        <v>-1.3814274750575594E-2</v>
      </c>
      <c r="L35" s="12">
        <f>SUM(L31:L34)</f>
        <v>14135</v>
      </c>
      <c r="M35" s="46">
        <f>+(-L35+N35)/ABS(L35)</f>
        <v>-6.4237707817474357E-2</v>
      </c>
      <c r="N35" s="12">
        <f>SUM(N31:N34)</f>
        <v>13227</v>
      </c>
      <c r="O35" s="46">
        <f>+(-N35+P35)/ABS(N35)</f>
        <v>7.7190594995085807E-2</v>
      </c>
      <c r="P35" s="12">
        <f>SUM(P31:P34)</f>
        <v>14248</v>
      </c>
    </row>
    <row r="36" spans="1:22">
      <c r="B36" s="240"/>
      <c r="C36" s="43"/>
      <c r="D36" s="240"/>
      <c r="E36" s="43"/>
      <c r="F36" s="379"/>
      <c r="G36" s="43"/>
      <c r="H36" s="379"/>
      <c r="J36" s="240"/>
      <c r="K36" s="46"/>
      <c r="L36" s="240"/>
      <c r="M36" s="46"/>
      <c r="N36" s="240"/>
      <c r="O36" s="46"/>
      <c r="P36" s="240"/>
    </row>
    <row r="37" spans="1:22">
      <c r="A37" t="s">
        <v>346</v>
      </c>
      <c r="B37" s="12">
        <f>+B28-B35</f>
        <v>17090</v>
      </c>
      <c r="C37" s="43">
        <v>0</v>
      </c>
      <c r="D37" s="12">
        <f>+D28-D35</f>
        <v>0</v>
      </c>
      <c r="E37" s="43">
        <v>0</v>
      </c>
      <c r="F37" s="12">
        <f>+F28-F35</f>
        <v>0</v>
      </c>
      <c r="G37" s="43">
        <v>0</v>
      </c>
      <c r="H37" s="12">
        <f>+H28-H35</f>
        <v>0</v>
      </c>
      <c r="J37" s="12">
        <f>+J28-J35</f>
        <v>7281</v>
      </c>
      <c r="K37" s="116">
        <f>+(-J37+L37)/ABS(J37)</f>
        <v>0.1942040928443895</v>
      </c>
      <c r="L37" s="12">
        <f>+L28-L35</f>
        <v>8695</v>
      </c>
      <c r="M37" s="46">
        <f>+(-L37+N37)/ABS(L37)</f>
        <v>9.0741805635422654E-2</v>
      </c>
      <c r="N37" s="12">
        <f>+N28-N35</f>
        <v>9484</v>
      </c>
      <c r="O37" s="46">
        <f>+(-N37+P37)/ABS(N37)</f>
        <v>4.1438211725010547E-2</v>
      </c>
      <c r="P37" s="12">
        <f>+P28-P35</f>
        <v>9877</v>
      </c>
    </row>
    <row r="38" spans="1:22">
      <c r="B38" s="12"/>
      <c r="C38" s="44" t="s">
        <v>0</v>
      </c>
      <c r="D38" s="12"/>
      <c r="E38" s="44" t="s">
        <v>0</v>
      </c>
      <c r="G38" s="44" t="s">
        <v>0</v>
      </c>
      <c r="J38" s="12"/>
      <c r="K38" s="46"/>
      <c r="L38" s="12"/>
      <c r="M38" s="46"/>
      <c r="N38" s="12"/>
      <c r="O38" s="46"/>
      <c r="P38" s="12"/>
    </row>
    <row r="39" spans="1:22">
      <c r="A39" t="s">
        <v>347</v>
      </c>
      <c r="B39" s="12">
        <f>+B79</f>
        <v>5773</v>
      </c>
      <c r="C39" s="43">
        <v>0</v>
      </c>
      <c r="D39" s="12">
        <f>+F79</f>
        <v>0</v>
      </c>
      <c r="E39" s="43">
        <v>0</v>
      </c>
      <c r="F39" s="12">
        <f>+J79</f>
        <v>0</v>
      </c>
      <c r="G39" s="43">
        <v>0</v>
      </c>
      <c r="H39" s="12">
        <f>+N79</f>
        <v>0</v>
      </c>
      <c r="J39" s="12">
        <f>+D79</f>
        <v>2554</v>
      </c>
      <c r="K39" s="43">
        <v>0</v>
      </c>
      <c r="L39" s="12">
        <f>+H79</f>
        <v>2975</v>
      </c>
      <c r="M39" s="46">
        <f>+(-L39+N39)/ABS(L39)</f>
        <v>0.11563025210084034</v>
      </c>
      <c r="N39" s="12">
        <f>+L79</f>
        <v>3319</v>
      </c>
      <c r="O39" s="46">
        <f>+(-N39+P39)/ABS(N39)</f>
        <v>4.1277493220849656E-2</v>
      </c>
      <c r="P39" s="12">
        <f>+P79</f>
        <v>3456</v>
      </c>
    </row>
    <row r="40" spans="1:22" ht="16.5" thickBot="1">
      <c r="B40" s="76"/>
      <c r="C40" s="44" t="s">
        <v>0</v>
      </c>
      <c r="D40" s="76"/>
      <c r="E40" s="44" t="s">
        <v>0</v>
      </c>
      <c r="F40" s="30"/>
      <c r="G40" s="44" t="s">
        <v>0</v>
      </c>
      <c r="H40" s="30"/>
      <c r="J40" s="76"/>
      <c r="K40" s="46"/>
      <c r="L40" s="76"/>
      <c r="M40" s="46"/>
      <c r="N40" s="76"/>
      <c r="O40" s="46"/>
      <c r="P40" s="76"/>
    </row>
    <row r="41" spans="1:22" s="2" customFormat="1">
      <c r="A41" s="2" t="s">
        <v>359</v>
      </c>
      <c r="B41" s="4">
        <f>+B37-B39</f>
        <v>11317</v>
      </c>
      <c r="C41" s="42">
        <v>0</v>
      </c>
      <c r="D41" s="4">
        <f>+D37-D39</f>
        <v>0</v>
      </c>
      <c r="E41" s="42">
        <v>0</v>
      </c>
      <c r="F41" s="4">
        <f>+F37-F39</f>
        <v>0</v>
      </c>
      <c r="G41" s="42">
        <v>0</v>
      </c>
      <c r="H41" s="4">
        <f>+H37-H39</f>
        <v>0</v>
      </c>
      <c r="I41" s="146"/>
      <c r="J41" s="4">
        <f>+J37-J39</f>
        <v>4727</v>
      </c>
      <c r="K41" s="112">
        <f>+(-J41+L41)/ABS(J41)</f>
        <v>0.21006981171990691</v>
      </c>
      <c r="L41" s="4">
        <f>+L37-L39</f>
        <v>5720</v>
      </c>
      <c r="M41" s="112">
        <f>+(-L41+N41)/ABS(L41)</f>
        <v>7.77972027972028E-2</v>
      </c>
      <c r="N41" s="4">
        <f>+N37-N39</f>
        <v>6165</v>
      </c>
      <c r="O41" s="112">
        <f>+(-N41+P41)/ABS(N41)</f>
        <v>4.1524736415247364E-2</v>
      </c>
      <c r="P41" s="4">
        <f>+P37-P39</f>
        <v>6421</v>
      </c>
      <c r="Q41" s="146"/>
      <c r="R41" s="146"/>
      <c r="S41" s="146"/>
      <c r="T41" s="146"/>
      <c r="U41" s="146"/>
    </row>
    <row r="42" spans="1:22" ht="5.45" customHeight="1">
      <c r="C42" s="29"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s="2" customFormat="1">
      <c r="B46" s="241" t="s">
        <v>349</v>
      </c>
      <c r="C46" s="146" t="s">
        <v>0</v>
      </c>
      <c r="D46" s="241" t="s">
        <v>350</v>
      </c>
      <c r="E46" s="146"/>
      <c r="F46" s="241" t="s">
        <v>349</v>
      </c>
      <c r="G46" s="146" t="s">
        <v>0</v>
      </c>
      <c r="H46" s="241" t="s">
        <v>350</v>
      </c>
      <c r="I46" s="146"/>
      <c r="J46" s="241" t="s">
        <v>349</v>
      </c>
      <c r="K46" s="146" t="s">
        <v>0</v>
      </c>
      <c r="L46" s="241" t="s">
        <v>350</v>
      </c>
      <c r="M46" s="146"/>
      <c r="N46" s="241" t="s">
        <v>349</v>
      </c>
      <c r="O46" s="146" t="s">
        <v>0</v>
      </c>
      <c r="P46" s="241" t="s">
        <v>350</v>
      </c>
      <c r="Q46" s="146"/>
      <c r="R46" s="993" t="s">
        <v>622</v>
      </c>
      <c r="S46" s="146"/>
      <c r="T46" s="993" t="s">
        <v>623</v>
      </c>
      <c r="U46" s="241" t="s">
        <v>350</v>
      </c>
    </row>
    <row r="47" spans="1:22" ht="16.5" thickBot="1">
      <c r="B47" s="243" t="s">
        <v>353</v>
      </c>
      <c r="C47" s="244"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190</v>
      </c>
      <c r="V47" s="18"/>
    </row>
    <row r="48" spans="1:22">
      <c r="A48" t="s">
        <v>328</v>
      </c>
      <c r="B48" s="29" t="s">
        <v>0</v>
      </c>
    </row>
    <row r="49" spans="1:21">
      <c r="A49" t="s">
        <v>329</v>
      </c>
      <c r="B49" s="16" t="s">
        <v>0</v>
      </c>
      <c r="C49" s="47" t="s">
        <v>0</v>
      </c>
      <c r="D49"/>
      <c r="E49" s="29" t="s">
        <v>0</v>
      </c>
      <c r="F49" s="29" t="s">
        <v>0</v>
      </c>
      <c r="G49" s="47" t="s">
        <v>0</v>
      </c>
      <c r="H49"/>
      <c r="I49" s="29" t="s">
        <v>0</v>
      </c>
      <c r="J49" s="29" t="s">
        <v>0</v>
      </c>
      <c r="K49" s="47" t="s">
        <v>0</v>
      </c>
      <c r="L49" s="16" t="s">
        <v>0</v>
      </c>
      <c r="M49" s="29" t="s">
        <v>0</v>
      </c>
      <c r="N49" s="29" t="s">
        <v>0</v>
      </c>
      <c r="O49" s="47" t="s">
        <v>0</v>
      </c>
      <c r="P49"/>
      <c r="Q49" s="29" t="s">
        <v>0</v>
      </c>
      <c r="R49" s="16" t="s">
        <v>0</v>
      </c>
      <c r="S49" s="47" t="s">
        <v>0</v>
      </c>
      <c r="T49" s="16" t="s">
        <v>0</v>
      </c>
      <c r="U49" s="16" t="s">
        <v>0</v>
      </c>
    </row>
    <row r="50" spans="1:21">
      <c r="A50" t="s">
        <v>330</v>
      </c>
      <c r="B50" s="12">
        <v>29093</v>
      </c>
      <c r="C50" s="46">
        <f t="shared" ref="C50:C55" si="0">+(B50-D50)/ABS(D50)</f>
        <v>-4.1132461026334007E-2</v>
      </c>
      <c r="D50" s="12">
        <f>10196+10443+9702</f>
        <v>30341</v>
      </c>
      <c r="E50" s="29"/>
      <c r="F50" s="12">
        <v>0</v>
      </c>
      <c r="G50" s="44">
        <v>0</v>
      </c>
      <c r="H50" s="12">
        <f>8811+9010+9641</f>
        <v>27462</v>
      </c>
      <c r="J50" s="12">
        <v>0</v>
      </c>
      <c r="K50" s="43">
        <v>0</v>
      </c>
      <c r="L50" s="12">
        <f>17734+9213</f>
        <v>26947</v>
      </c>
      <c r="M50" s="29"/>
      <c r="N50" s="12">
        <v>0</v>
      </c>
      <c r="O50" s="43">
        <v>0</v>
      </c>
      <c r="P50" s="12">
        <f>8748+8448+7574</f>
        <v>24770</v>
      </c>
      <c r="R50" s="12">
        <f>+B50</f>
        <v>29093</v>
      </c>
      <c r="S50" s="46">
        <f t="shared" ref="S50:S55" si="1">+(R50-T50)/ABS(T50)</f>
        <v>-4.1132461026334007E-2</v>
      </c>
      <c r="T50" s="88">
        <f>+D50</f>
        <v>30341</v>
      </c>
      <c r="U50" s="88">
        <f>+D50+H50+L50+P50</f>
        <v>109520</v>
      </c>
    </row>
    <row r="51" spans="1:21">
      <c r="A51" t="s">
        <v>354</v>
      </c>
      <c r="B51" s="12">
        <v>5308</v>
      </c>
      <c r="C51" s="46">
        <f t="shared" si="0"/>
        <v>13.785515320334262</v>
      </c>
      <c r="D51" s="12">
        <f>140+81+138</f>
        <v>359</v>
      </c>
      <c r="E51" s="29"/>
      <c r="F51" s="12">
        <v>0</v>
      </c>
      <c r="G51" s="44">
        <v>0</v>
      </c>
      <c r="H51" s="12">
        <f>297+790+1108</f>
        <v>2195</v>
      </c>
      <c r="J51" s="12">
        <v>0</v>
      </c>
      <c r="K51" s="43">
        <v>0</v>
      </c>
      <c r="L51" s="12">
        <f>1802+1616</f>
        <v>3418</v>
      </c>
      <c r="M51" s="29"/>
      <c r="N51" s="12">
        <v>0</v>
      </c>
      <c r="O51" s="43">
        <v>0</v>
      </c>
      <c r="P51" s="12">
        <f>1548+1555+1512</f>
        <v>4615</v>
      </c>
      <c r="R51" s="12">
        <f>+B51</f>
        <v>5308</v>
      </c>
      <c r="S51" s="46">
        <f t="shared" si="1"/>
        <v>13.785515320334262</v>
      </c>
      <c r="T51" s="88">
        <f>+D51</f>
        <v>359</v>
      </c>
      <c r="U51" s="88">
        <f>+D51+H51+L51+P51</f>
        <v>10587</v>
      </c>
    </row>
    <row r="52" spans="1:21">
      <c r="A52" t="s">
        <v>332</v>
      </c>
      <c r="B52" s="221">
        <v>33</v>
      </c>
      <c r="C52" s="43">
        <v>0</v>
      </c>
      <c r="D52" s="221">
        <v>0</v>
      </c>
      <c r="E52" s="29"/>
      <c r="F52" s="221">
        <v>0</v>
      </c>
      <c r="G52" s="43">
        <v>0</v>
      </c>
      <c r="H52" s="221">
        <v>0</v>
      </c>
      <c r="J52" s="221">
        <v>0</v>
      </c>
      <c r="K52" s="43">
        <v>0</v>
      </c>
      <c r="L52" s="221">
        <v>91</v>
      </c>
      <c r="M52" s="29"/>
      <c r="N52" s="221">
        <v>0</v>
      </c>
      <c r="O52" s="43">
        <v>0</v>
      </c>
      <c r="P52" s="221">
        <f>27+10</f>
        <v>37</v>
      </c>
      <c r="R52" s="240">
        <f>+B52</f>
        <v>33</v>
      </c>
      <c r="S52" s="43">
        <v>0</v>
      </c>
      <c r="T52" s="221">
        <f>+D52</f>
        <v>0</v>
      </c>
      <c r="U52" s="221">
        <f>+D52+H52+L52+P52</f>
        <v>128</v>
      </c>
    </row>
    <row r="53" spans="1:21">
      <c r="B53" s="12">
        <f>SUM(B50:B52)</f>
        <v>34434</v>
      </c>
      <c r="C53" s="46">
        <f t="shared" si="0"/>
        <v>0.121628664495114</v>
      </c>
      <c r="D53" s="12">
        <f>SUM(D50:D52)</f>
        <v>30700</v>
      </c>
      <c r="E53" s="29"/>
      <c r="F53" s="12">
        <f>SUM(F50:F52)</f>
        <v>0</v>
      </c>
      <c r="G53" s="44">
        <v>0</v>
      </c>
      <c r="H53" s="12">
        <f>SUM(H50:H52)</f>
        <v>29657</v>
      </c>
      <c r="J53" s="12">
        <f>SUM(J50:J52)</f>
        <v>0</v>
      </c>
      <c r="K53" s="43">
        <v>0</v>
      </c>
      <c r="L53" s="12">
        <f>SUM(L50:L52)</f>
        <v>30456</v>
      </c>
      <c r="M53" s="29"/>
      <c r="N53" s="12">
        <f>SUM(N50:N52)</f>
        <v>0</v>
      </c>
      <c r="O53" s="43">
        <v>0</v>
      </c>
      <c r="P53" s="12">
        <f>SUM(P50:P52)</f>
        <v>29422</v>
      </c>
      <c r="R53" s="12">
        <f>SUM(R50:R52)</f>
        <v>34434</v>
      </c>
      <c r="S53" s="46">
        <f t="shared" si="1"/>
        <v>0.121628664495114</v>
      </c>
      <c r="T53" s="12">
        <f>SUM(T50:T52)</f>
        <v>30700</v>
      </c>
      <c r="U53" s="12">
        <f>SUM(U50:U52)</f>
        <v>120235</v>
      </c>
    </row>
    <row r="54" spans="1:21">
      <c r="A54" t="s">
        <v>333</v>
      </c>
      <c r="B54" s="240">
        <v>14402</v>
      </c>
      <c r="C54" s="46">
        <f t="shared" si="0"/>
        <v>-2.6760373023381537E-2</v>
      </c>
      <c r="D54" s="240">
        <f>4468+4840+5490</f>
        <v>14798</v>
      </c>
      <c r="E54" s="29" t="s">
        <v>0</v>
      </c>
      <c r="F54" s="240">
        <v>0</v>
      </c>
      <c r="G54" s="44">
        <v>0</v>
      </c>
      <c r="H54" s="240">
        <f>5011+4750+4782</f>
        <v>14543</v>
      </c>
      <c r="J54" s="240">
        <v>0</v>
      </c>
      <c r="K54" s="43">
        <v>0</v>
      </c>
      <c r="L54" s="240">
        <f>9041+4957</f>
        <v>13998</v>
      </c>
      <c r="M54" s="29" t="s">
        <v>0</v>
      </c>
      <c r="N54" s="240">
        <v>0</v>
      </c>
      <c r="O54" s="43">
        <v>0</v>
      </c>
      <c r="P54" s="240">
        <f>5110+4160+4102</f>
        <v>13372</v>
      </c>
      <c r="R54" s="240">
        <f>+B54</f>
        <v>14402</v>
      </c>
      <c r="S54" s="46">
        <f t="shared" si="1"/>
        <v>-2.6760373023381537E-2</v>
      </c>
      <c r="T54" s="221">
        <f>+D54</f>
        <v>14798</v>
      </c>
      <c r="U54" s="221">
        <f>+D54+H54+L54+P54</f>
        <v>56711</v>
      </c>
    </row>
    <row r="55" spans="1:21">
      <c r="B55" s="12">
        <f>+B53-B54</f>
        <v>20032</v>
      </c>
      <c r="C55" s="46">
        <f t="shared" si="0"/>
        <v>0.25971575902402211</v>
      </c>
      <c r="D55" s="12">
        <f>+D53-D54</f>
        <v>15902</v>
      </c>
      <c r="E55" s="29" t="s">
        <v>0</v>
      </c>
      <c r="F55" s="12">
        <f>+F53-F54</f>
        <v>0</v>
      </c>
      <c r="G55" s="44">
        <v>0</v>
      </c>
      <c r="H55" s="12">
        <f>+H53-H54</f>
        <v>15114</v>
      </c>
      <c r="J55" s="12">
        <f>+J53-J54</f>
        <v>0</v>
      </c>
      <c r="K55" s="43">
        <v>0</v>
      </c>
      <c r="L55" s="12">
        <f>+L53-L54</f>
        <v>16458</v>
      </c>
      <c r="M55" s="29" t="s">
        <v>0</v>
      </c>
      <c r="N55" s="12">
        <f>+N53-N54</f>
        <v>0</v>
      </c>
      <c r="O55" s="43">
        <v>0</v>
      </c>
      <c r="P55" s="12">
        <f>+P53-P54</f>
        <v>16050</v>
      </c>
      <c r="R55" s="12">
        <f>+R53-R54</f>
        <v>20032</v>
      </c>
      <c r="S55" s="46">
        <f t="shared" si="1"/>
        <v>0.25971575902402211</v>
      </c>
      <c r="T55" s="12">
        <f>+T53-T54</f>
        <v>15902</v>
      </c>
      <c r="U55" s="12">
        <f>+U53-U54</f>
        <v>63524</v>
      </c>
    </row>
    <row r="56" spans="1:21">
      <c r="B56" s="12"/>
      <c r="C56" s="47" t="s">
        <v>0</v>
      </c>
      <c r="D56" s="12"/>
      <c r="E56" s="29" t="s">
        <v>0</v>
      </c>
      <c r="F56" s="12"/>
      <c r="G56" s="44" t="s">
        <v>0</v>
      </c>
      <c r="H56" s="12"/>
      <c r="K56" s="44" t="s">
        <v>0</v>
      </c>
      <c r="M56" s="29" t="s">
        <v>0</v>
      </c>
      <c r="O56" s="44" t="s">
        <v>0</v>
      </c>
      <c r="R56" s="12"/>
      <c r="S56" s="46"/>
      <c r="T56" s="12"/>
      <c r="U56" s="12"/>
    </row>
    <row r="57" spans="1:21">
      <c r="A57" t="s">
        <v>334</v>
      </c>
      <c r="B57" s="12"/>
      <c r="C57" s="47" t="s">
        <v>0</v>
      </c>
      <c r="D57" s="12"/>
      <c r="E57" s="29" t="s">
        <v>0</v>
      </c>
      <c r="F57" s="12"/>
      <c r="G57" s="44" t="s">
        <v>0</v>
      </c>
      <c r="H57" s="12"/>
      <c r="K57" s="44" t="s">
        <v>0</v>
      </c>
      <c r="M57" s="29" t="s">
        <v>0</v>
      </c>
      <c r="O57" s="44" t="s">
        <v>0</v>
      </c>
      <c r="R57" s="12"/>
      <c r="S57" s="47" t="s">
        <v>0</v>
      </c>
      <c r="T57" s="12"/>
      <c r="U57" s="12"/>
    </row>
    <row r="58" spans="1:21">
      <c r="A58" t="s">
        <v>335</v>
      </c>
      <c r="B58" s="12">
        <v>3662</v>
      </c>
      <c r="C58" s="46">
        <f>+(B58-D58)/ABS(D58)</f>
        <v>-0.14379237783493104</v>
      </c>
      <c r="D58" s="12">
        <f>1320+1358+1599</f>
        <v>4277</v>
      </c>
      <c r="E58" s="29" t="s">
        <v>0</v>
      </c>
      <c r="F58" s="12">
        <v>0</v>
      </c>
      <c r="G58" s="44">
        <v>0</v>
      </c>
      <c r="H58" s="12">
        <f>1632+994+1299</f>
        <v>3925</v>
      </c>
      <c r="J58" s="12">
        <v>0</v>
      </c>
      <c r="K58" s="43">
        <v>0</v>
      </c>
      <c r="L58" s="12">
        <f>2897+1218</f>
        <v>4115</v>
      </c>
      <c r="M58" s="29" t="s">
        <v>0</v>
      </c>
      <c r="N58" s="12">
        <v>0</v>
      </c>
      <c r="O58" s="43">
        <v>0</v>
      </c>
      <c r="P58" s="12">
        <f>1549+1355+1188</f>
        <v>4092</v>
      </c>
      <c r="R58" s="12">
        <f>+B58</f>
        <v>3662</v>
      </c>
      <c r="S58" s="46">
        <f>+(R58-T58)/ABS(T58)</f>
        <v>-0.14379237783493104</v>
      </c>
      <c r="T58" s="88">
        <f>+D58</f>
        <v>4277</v>
      </c>
      <c r="U58" s="88">
        <f>+D58+H58+L58+P58</f>
        <v>16409</v>
      </c>
    </row>
    <row r="59" spans="1:21">
      <c r="A59" t="s">
        <v>336</v>
      </c>
      <c r="B59" s="12">
        <v>8738</v>
      </c>
      <c r="C59" s="46">
        <f>+(B59-D59)/ABS(D59)</f>
        <v>1.7943716021746083</v>
      </c>
      <c r="D59" s="12">
        <f>1580+138+1409</f>
        <v>3127</v>
      </c>
      <c r="E59" s="29" t="s">
        <v>0</v>
      </c>
      <c r="F59" s="12">
        <v>0</v>
      </c>
      <c r="G59" s="44">
        <v>0</v>
      </c>
      <c r="H59" s="12">
        <f>1330+1431+966</f>
        <v>3727</v>
      </c>
      <c r="J59" s="12">
        <v>0</v>
      </c>
      <c r="K59" s="43">
        <v>0</v>
      </c>
      <c r="L59" s="12">
        <f>1649+793</f>
        <v>2442</v>
      </c>
      <c r="M59" s="29" t="s">
        <v>0</v>
      </c>
      <c r="N59" s="12">
        <v>0</v>
      </c>
      <c r="O59" s="43">
        <v>0</v>
      </c>
      <c r="P59" s="12">
        <f>1596+816+1795</f>
        <v>4207</v>
      </c>
      <c r="R59" s="12">
        <f>+B59</f>
        <v>8738</v>
      </c>
      <c r="S59" s="46">
        <f>+(R59-T59)/ABS(T59)</f>
        <v>1.7943716021746083</v>
      </c>
      <c r="T59" s="88">
        <f>+D59</f>
        <v>3127</v>
      </c>
      <c r="U59" s="88">
        <f>+D59+H59+L59+P59</f>
        <v>13503</v>
      </c>
    </row>
    <row r="60" spans="1:21">
      <c r="A60" t="s">
        <v>284</v>
      </c>
      <c r="B60" s="240">
        <v>-299</v>
      </c>
      <c r="C60" s="46">
        <f>+(B60-D60)/ABS(D60)</f>
        <v>-6.8627450980392153</v>
      </c>
      <c r="D60" s="240">
        <f>11+40</f>
        <v>51</v>
      </c>
      <c r="E60" s="29" t="s">
        <v>0</v>
      </c>
      <c r="F60" s="240">
        <v>0</v>
      </c>
      <c r="G60" s="44">
        <v>0</v>
      </c>
      <c r="H60" s="240">
        <f>7+57</f>
        <v>64</v>
      </c>
      <c r="J60" s="240">
        <v>0</v>
      </c>
      <c r="K60" s="43">
        <v>0</v>
      </c>
      <c r="L60" s="240">
        <f>-318+14</f>
        <v>-304</v>
      </c>
      <c r="M60" s="29" t="s">
        <v>0</v>
      </c>
      <c r="N60" s="248">
        <v>0</v>
      </c>
      <c r="O60" s="43">
        <v>0</v>
      </c>
      <c r="P60" s="248">
        <f>-87-52-85</f>
        <v>-224</v>
      </c>
      <c r="R60" s="240">
        <f>+B60</f>
        <v>-299</v>
      </c>
      <c r="S60" s="46">
        <f>+(R60-T60)/ABS(T60)</f>
        <v>-6.8627450980392153</v>
      </c>
      <c r="T60" s="221">
        <f>+D60</f>
        <v>51</v>
      </c>
      <c r="U60" s="221">
        <f>+D60+H60+L60+P60</f>
        <v>-413</v>
      </c>
    </row>
    <row r="61" spans="1:21">
      <c r="B61" s="12">
        <f>SUM(B58:B60)</f>
        <v>12101</v>
      </c>
      <c r="C61" s="46">
        <f>+(B61-D61)/ABS(D61)</f>
        <v>0.6232059020791415</v>
      </c>
      <c r="D61" s="12">
        <f>SUM(D58:D60)</f>
        <v>7455</v>
      </c>
      <c r="E61" s="29" t="s">
        <v>0</v>
      </c>
      <c r="F61" s="12">
        <f>SUM(F58:F60)</f>
        <v>0</v>
      </c>
      <c r="G61" s="44">
        <v>0</v>
      </c>
      <c r="H61" s="12">
        <f>SUM(H58:H60)</f>
        <v>7716</v>
      </c>
      <c r="J61" s="12">
        <f>SUM(J58:J60)</f>
        <v>0</v>
      </c>
      <c r="K61" s="43">
        <v>0</v>
      </c>
      <c r="L61" s="12">
        <f>SUM(L58:L60)</f>
        <v>6253</v>
      </c>
      <c r="M61" s="29" t="s">
        <v>0</v>
      </c>
      <c r="N61" s="12">
        <f>SUM(N58:N60)</f>
        <v>0</v>
      </c>
      <c r="O61" s="43">
        <v>0</v>
      </c>
      <c r="P61" s="12">
        <f>SUM(P58:P60)</f>
        <v>8075</v>
      </c>
      <c r="R61" s="12">
        <f>SUM(R58:R60)</f>
        <v>12101</v>
      </c>
      <c r="S61" s="46">
        <f>+(R61-T61)/ABS(T61)</f>
        <v>0.6232059020791415</v>
      </c>
      <c r="T61" s="12">
        <f>SUM(T58:T60)</f>
        <v>7455</v>
      </c>
      <c r="U61" s="12">
        <f>SUM(U58:U60)</f>
        <v>29499</v>
      </c>
    </row>
    <row r="62" spans="1:21">
      <c r="B62" s="240"/>
      <c r="C62" s="47" t="s">
        <v>0</v>
      </c>
      <c r="D62" s="240"/>
      <c r="E62" s="29" t="s">
        <v>0</v>
      </c>
      <c r="F62" s="240"/>
      <c r="G62" s="44" t="s">
        <v>0</v>
      </c>
      <c r="H62" s="240"/>
      <c r="J62" s="379"/>
      <c r="K62" s="44" t="s">
        <v>0</v>
      </c>
      <c r="L62" s="379"/>
      <c r="M62" s="29" t="s">
        <v>0</v>
      </c>
      <c r="N62" s="379"/>
      <c r="O62" s="44" t="s">
        <v>0</v>
      </c>
      <c r="P62" s="379"/>
      <c r="R62" s="240"/>
      <c r="S62" s="46"/>
      <c r="T62" s="240"/>
      <c r="U62" s="240"/>
    </row>
    <row r="63" spans="1:21">
      <c r="A63" t="s">
        <v>337</v>
      </c>
      <c r="B63" s="12">
        <f>+B55+B61</f>
        <v>32133</v>
      </c>
      <c r="C63" s="46">
        <f>+(B63-D63)/ABS(D63)</f>
        <v>0.37573318491244595</v>
      </c>
      <c r="D63" s="12">
        <f>+D55+D61</f>
        <v>23357</v>
      </c>
      <c r="E63" s="29" t="s">
        <v>0</v>
      </c>
      <c r="F63" s="12">
        <f>+F55+F61</f>
        <v>0</v>
      </c>
      <c r="G63" s="44">
        <v>0</v>
      </c>
      <c r="H63" s="12">
        <f>+H55+H61</f>
        <v>22830</v>
      </c>
      <c r="J63" s="12">
        <f>+J55+J61</f>
        <v>0</v>
      </c>
      <c r="K63" s="43">
        <v>0</v>
      </c>
      <c r="L63" s="12">
        <f>+L55+L61</f>
        <v>22711</v>
      </c>
      <c r="M63" s="29" t="s">
        <v>0</v>
      </c>
      <c r="N63" s="12">
        <f>+N55+N61</f>
        <v>0</v>
      </c>
      <c r="O63" s="43">
        <v>0</v>
      </c>
      <c r="P63" s="12">
        <f>+P55+P61</f>
        <v>24125</v>
      </c>
      <c r="R63" s="12">
        <f>+R55+R61</f>
        <v>32133</v>
      </c>
      <c r="S63" s="46">
        <f>+(R63-T63)/ABS(T63)</f>
        <v>0.37573318491244595</v>
      </c>
      <c r="T63" s="12">
        <f>+T55+T61</f>
        <v>23357</v>
      </c>
      <c r="U63" s="12">
        <f>+U55+U61</f>
        <v>93023</v>
      </c>
    </row>
    <row r="64" spans="1:21">
      <c r="B64" s="12"/>
      <c r="C64" s="47" t="s">
        <v>0</v>
      </c>
      <c r="D64" s="12"/>
      <c r="E64" s="29" t="s">
        <v>0</v>
      </c>
      <c r="F64" s="12"/>
      <c r="G64" s="44" t="s">
        <v>0</v>
      </c>
      <c r="H64" s="12"/>
      <c r="K64" s="44" t="s">
        <v>0</v>
      </c>
      <c r="M64" s="29" t="s">
        <v>0</v>
      </c>
      <c r="O64" s="44" t="s">
        <v>0</v>
      </c>
      <c r="R64" s="12"/>
      <c r="S64" s="46"/>
      <c r="T64" s="12"/>
      <c r="U64" s="12"/>
    </row>
    <row r="65" spans="1:21">
      <c r="A65" t="s">
        <v>338</v>
      </c>
      <c r="B65" s="12">
        <v>0</v>
      </c>
      <c r="C65" s="43">
        <v>0</v>
      </c>
      <c r="D65" s="12">
        <f>566+573+604</f>
        <v>1743</v>
      </c>
      <c r="E65" s="29" t="s">
        <v>0</v>
      </c>
      <c r="F65" s="12">
        <v>0</v>
      </c>
      <c r="G65" s="44">
        <v>0</v>
      </c>
      <c r="H65" s="12">
        <v>0</v>
      </c>
      <c r="J65" s="12">
        <v>0</v>
      </c>
      <c r="K65" s="43">
        <v>0</v>
      </c>
      <c r="L65" s="12">
        <v>0</v>
      </c>
      <c r="M65" s="29" t="s">
        <v>0</v>
      </c>
      <c r="N65" s="12">
        <v>0</v>
      </c>
      <c r="O65" s="43">
        <v>0</v>
      </c>
      <c r="P65" s="12">
        <v>0</v>
      </c>
      <c r="R65" s="12">
        <f>+B65</f>
        <v>0</v>
      </c>
      <c r="S65" s="43">
        <v>0</v>
      </c>
      <c r="T65" s="88">
        <f>+D65</f>
        <v>1743</v>
      </c>
      <c r="U65" s="88">
        <f>+D65+H65+L65+P65</f>
        <v>1743</v>
      </c>
    </row>
    <row r="66" spans="1:21">
      <c r="B66" s="12"/>
      <c r="C66" s="47" t="s">
        <v>0</v>
      </c>
      <c r="D66" s="12"/>
      <c r="E66" s="29" t="s">
        <v>0</v>
      </c>
      <c r="F66" s="12"/>
      <c r="G66" s="44" t="s">
        <v>0</v>
      </c>
      <c r="H66" s="12"/>
      <c r="K66" s="44" t="s">
        <v>0</v>
      </c>
      <c r="M66" s="29" t="s">
        <v>0</v>
      </c>
      <c r="O66" s="44" t="s">
        <v>0</v>
      </c>
      <c r="R66" s="12"/>
      <c r="S66" s="46"/>
      <c r="T66" s="88" t="s">
        <v>0</v>
      </c>
      <c r="U66" s="12"/>
    </row>
    <row r="67" spans="1:21">
      <c r="A67" t="s">
        <v>339</v>
      </c>
      <c r="B67" s="240"/>
      <c r="C67" s="47" t="s">
        <v>0</v>
      </c>
      <c r="D67" s="240"/>
      <c r="E67" s="29" t="s">
        <v>0</v>
      </c>
      <c r="F67" s="240"/>
      <c r="G67" s="44" t="s">
        <v>0</v>
      </c>
      <c r="H67" s="240"/>
      <c r="J67" s="379"/>
      <c r="K67" s="44" t="s">
        <v>0</v>
      </c>
      <c r="L67" s="379"/>
      <c r="M67" s="29" t="s">
        <v>0</v>
      </c>
      <c r="N67" s="379"/>
      <c r="O67" s="44" t="s">
        <v>0</v>
      </c>
      <c r="P67" s="379"/>
      <c r="R67" s="240"/>
      <c r="S67" s="46"/>
      <c r="T67" s="240"/>
      <c r="U67" s="240"/>
    </row>
    <row r="68" spans="1:21">
      <c r="A68" t="s">
        <v>340</v>
      </c>
      <c r="B68" s="12">
        <f>+B63-B65</f>
        <v>32133</v>
      </c>
      <c r="C68" s="46">
        <f>+(B68-D68)/ABS(D68)</f>
        <v>0.4866753030443231</v>
      </c>
      <c r="D68" s="12">
        <f>+D63-D65</f>
        <v>21614</v>
      </c>
      <c r="E68" s="29" t="s">
        <v>0</v>
      </c>
      <c r="F68" s="12">
        <f>+F63-F65</f>
        <v>0</v>
      </c>
      <c r="G68" s="44">
        <v>0</v>
      </c>
      <c r="H68" s="12">
        <f>+H63-H65</f>
        <v>22830</v>
      </c>
      <c r="J68" s="12">
        <f>+J63-J65</f>
        <v>0</v>
      </c>
      <c r="K68" s="43">
        <v>0</v>
      </c>
      <c r="L68" s="12">
        <f>+L63-L65</f>
        <v>22711</v>
      </c>
      <c r="M68" s="29" t="s">
        <v>0</v>
      </c>
      <c r="N68" s="12">
        <f>+N63-N65</f>
        <v>0</v>
      </c>
      <c r="O68" s="43">
        <v>0</v>
      </c>
      <c r="P68" s="12">
        <f>+P63-P65</f>
        <v>24125</v>
      </c>
      <c r="R68" s="12">
        <f>+R63-R65</f>
        <v>32133</v>
      </c>
      <c r="S68" s="46">
        <f>+(R68-T68)/ABS(T68)</f>
        <v>0.4866753030443231</v>
      </c>
      <c r="T68" s="12">
        <f>+T63-T65</f>
        <v>21614</v>
      </c>
      <c r="U68" s="12">
        <f>+U63-U65</f>
        <v>91280</v>
      </c>
    </row>
    <row r="69" spans="1:21">
      <c r="B69" s="12"/>
      <c r="C69" s="47" t="s">
        <v>0</v>
      </c>
      <c r="D69" s="12"/>
      <c r="E69" s="29" t="s">
        <v>0</v>
      </c>
      <c r="F69" s="12"/>
      <c r="G69" s="44" t="s">
        <v>0</v>
      </c>
      <c r="H69" s="12"/>
      <c r="K69" s="44" t="s">
        <v>0</v>
      </c>
      <c r="M69" s="29" t="s">
        <v>0</v>
      </c>
      <c r="O69" s="44" t="s">
        <v>0</v>
      </c>
      <c r="R69" s="12"/>
      <c r="S69" s="46"/>
      <c r="T69" s="12"/>
      <c r="U69" s="12"/>
    </row>
    <row r="70" spans="1:21">
      <c r="A70" t="s">
        <v>341</v>
      </c>
      <c r="B70" s="12"/>
      <c r="C70" s="47" t="s">
        <v>0</v>
      </c>
      <c r="D70" s="12"/>
      <c r="E70" s="29" t="s">
        <v>0</v>
      </c>
      <c r="F70" s="12"/>
      <c r="G70" s="44" t="s">
        <v>0</v>
      </c>
      <c r="H70" s="12"/>
      <c r="K70" s="44" t="s">
        <v>0</v>
      </c>
      <c r="M70" s="29" t="s">
        <v>0</v>
      </c>
      <c r="O70" s="44" t="s">
        <v>0</v>
      </c>
      <c r="R70" s="12"/>
      <c r="S70" s="46"/>
      <c r="T70" s="12"/>
      <c r="U70" s="12"/>
    </row>
    <row r="71" spans="1:21">
      <c r="A71" t="s">
        <v>342</v>
      </c>
      <c r="B71" s="12">
        <v>7428</v>
      </c>
      <c r="C71" s="46">
        <f>+(B71-D71)/ABS(D71)</f>
        <v>-4.389239284335178E-2</v>
      </c>
      <c r="D71" s="12">
        <f>2695+2510+2564</f>
        <v>7769</v>
      </c>
      <c r="E71" s="29" t="s">
        <v>0</v>
      </c>
      <c r="F71" s="12">
        <v>0</v>
      </c>
      <c r="G71" s="44">
        <v>0</v>
      </c>
      <c r="H71" s="12">
        <f>2398+3000+2463</f>
        <v>7861</v>
      </c>
      <c r="J71" s="12">
        <v>0</v>
      </c>
      <c r="K71" s="43">
        <v>0</v>
      </c>
      <c r="L71" s="12">
        <f>4560+2344</f>
        <v>6904</v>
      </c>
      <c r="M71" s="29" t="s">
        <v>0</v>
      </c>
      <c r="N71" s="12">
        <v>0</v>
      </c>
      <c r="O71" s="43">
        <v>0</v>
      </c>
      <c r="P71" s="12">
        <f>2310+2352+2226</f>
        <v>6888</v>
      </c>
      <c r="R71" s="12">
        <f>+B71</f>
        <v>7428</v>
      </c>
      <c r="S71" s="46">
        <f>+(R71-T71)/ABS(T71)</f>
        <v>-4.389239284335178E-2</v>
      </c>
      <c r="T71" s="88">
        <f>+D71</f>
        <v>7769</v>
      </c>
      <c r="U71" s="88">
        <f>+D71+H71+L71+P71</f>
        <v>29422</v>
      </c>
    </row>
    <row r="72" spans="1:21">
      <c r="A72" t="s">
        <v>343</v>
      </c>
      <c r="B72" s="12">
        <v>1700</v>
      </c>
      <c r="C72" s="46">
        <f>+(B72-D72)/ABS(D72)</f>
        <v>0.12433862433862433</v>
      </c>
      <c r="D72" s="12">
        <f>393+582+537</f>
        <v>1512</v>
      </c>
      <c r="E72" s="29" t="s">
        <v>0</v>
      </c>
      <c r="F72" s="12">
        <v>0</v>
      </c>
      <c r="G72" s="44">
        <v>0</v>
      </c>
      <c r="H72" s="12">
        <f>424+316+607</f>
        <v>1347</v>
      </c>
      <c r="J72" s="12">
        <v>0</v>
      </c>
      <c r="K72" s="43">
        <v>0</v>
      </c>
      <c r="L72" s="12">
        <f>994+472</f>
        <v>1466</v>
      </c>
      <c r="M72" s="29" t="s">
        <v>0</v>
      </c>
      <c r="N72" s="12">
        <v>0</v>
      </c>
      <c r="O72" s="43">
        <v>0</v>
      </c>
      <c r="P72" s="12">
        <f>498+528+528</f>
        <v>1554</v>
      </c>
      <c r="R72" s="12">
        <f>+B72</f>
        <v>1700</v>
      </c>
      <c r="S72" s="46">
        <f>+(R72-T72)/ABS(T72)</f>
        <v>0.12433862433862433</v>
      </c>
      <c r="T72" s="88">
        <f>+D72</f>
        <v>1512</v>
      </c>
      <c r="U72" s="88">
        <f>+D72+H72+L72+P72</f>
        <v>5879</v>
      </c>
    </row>
    <row r="73" spans="1:21">
      <c r="A73" t="s">
        <v>344</v>
      </c>
      <c r="B73" s="12">
        <v>1524</v>
      </c>
      <c r="C73" s="46">
        <f>+(B73-D73)/ABS(D73)</f>
        <v>0.39688359303391385</v>
      </c>
      <c r="D73" s="12">
        <f>363+227+501</f>
        <v>1091</v>
      </c>
      <c r="E73" s="29" t="s">
        <v>0</v>
      </c>
      <c r="F73" s="12">
        <v>0</v>
      </c>
      <c r="G73" s="44">
        <v>0</v>
      </c>
      <c r="H73" s="12">
        <f>380+380+456</f>
        <v>1216</v>
      </c>
      <c r="J73" s="12">
        <v>0</v>
      </c>
      <c r="K73" s="43">
        <v>0</v>
      </c>
      <c r="L73" s="12">
        <f>1010+521</f>
        <v>1531</v>
      </c>
      <c r="M73" s="29" t="s">
        <v>0</v>
      </c>
      <c r="N73" s="12">
        <v>0</v>
      </c>
      <c r="O73" s="43">
        <v>0</v>
      </c>
      <c r="P73" s="12">
        <f>526+531+520</f>
        <v>1577</v>
      </c>
      <c r="R73" s="12">
        <f>+B73</f>
        <v>1524</v>
      </c>
      <c r="S73" s="46">
        <f>+(R73-T73)/ABS(T73)</f>
        <v>0.39688359303391385</v>
      </c>
      <c r="T73" s="88">
        <f>+D73</f>
        <v>1091</v>
      </c>
      <c r="U73" s="88">
        <f>+D73+H73+L73+P73</f>
        <v>5415</v>
      </c>
    </row>
    <row r="74" spans="1:21">
      <c r="A74" t="s">
        <v>345</v>
      </c>
      <c r="B74" s="240">
        <v>4391</v>
      </c>
      <c r="C74" s="46">
        <f>+(B74-D74)/ABS(D74)</f>
        <v>0.10855844483716233</v>
      </c>
      <c r="D74" s="240">
        <f>1557+778+1626</f>
        <v>3961</v>
      </c>
      <c r="E74" s="29" t="s">
        <v>0</v>
      </c>
      <c r="F74" s="240">
        <v>0</v>
      </c>
      <c r="G74" s="44">
        <v>0</v>
      </c>
      <c r="H74" s="240">
        <f>1414+796+1501</f>
        <v>3711</v>
      </c>
      <c r="J74" s="240">
        <v>0</v>
      </c>
      <c r="K74" s="43">
        <v>0</v>
      </c>
      <c r="L74" s="240">
        <f>2273+1053</f>
        <v>3326</v>
      </c>
      <c r="M74" s="29" t="s">
        <v>0</v>
      </c>
      <c r="N74" s="240">
        <v>0</v>
      </c>
      <c r="O74" s="43">
        <v>0</v>
      </c>
      <c r="P74" s="240">
        <f>983+1527+1719</f>
        <v>4229</v>
      </c>
      <c r="R74" s="240">
        <f>+B74</f>
        <v>4391</v>
      </c>
      <c r="S74" s="46">
        <f>+(R74-T74)/ABS(T74)</f>
        <v>0.10855844483716233</v>
      </c>
      <c r="T74" s="221">
        <f>+D74</f>
        <v>3961</v>
      </c>
      <c r="U74" s="221">
        <f>+D74+H74+L74+P74</f>
        <v>15227</v>
      </c>
    </row>
    <row r="75" spans="1:21">
      <c r="B75" s="12">
        <f>SUM(B71:B74)</f>
        <v>15043</v>
      </c>
      <c r="C75" s="46">
        <f>+(B75-D75)/ABS(D75)</f>
        <v>4.953603572176097E-2</v>
      </c>
      <c r="D75" s="12">
        <f>SUM(D71:D74)</f>
        <v>14333</v>
      </c>
      <c r="E75" s="29" t="s">
        <v>0</v>
      </c>
      <c r="F75" s="12">
        <f>SUM(F71:F74)</f>
        <v>0</v>
      </c>
      <c r="G75" s="44">
        <v>0</v>
      </c>
      <c r="H75" s="12">
        <f>SUM(H71:H74)</f>
        <v>14135</v>
      </c>
      <c r="J75" s="12">
        <f>SUM(J71:J74)</f>
        <v>0</v>
      </c>
      <c r="K75" s="43">
        <v>0</v>
      </c>
      <c r="L75" s="12">
        <f>SUM(L71:L74)</f>
        <v>13227</v>
      </c>
      <c r="M75" s="29" t="s">
        <v>0</v>
      </c>
      <c r="N75" s="12">
        <f>SUM(N71:N74)</f>
        <v>0</v>
      </c>
      <c r="O75" s="43">
        <v>0</v>
      </c>
      <c r="P75" s="12">
        <f>SUM(P71:P74)</f>
        <v>14248</v>
      </c>
      <c r="R75" s="12">
        <f>SUM(R71:R74)</f>
        <v>15043</v>
      </c>
      <c r="S75" s="46">
        <f>+(R75-T75)/ABS(T75)</f>
        <v>4.953603572176097E-2</v>
      </c>
      <c r="T75" s="12">
        <f>SUM(T71:T74)</f>
        <v>14333</v>
      </c>
      <c r="U75" s="12">
        <f>SUM(U71:U74)</f>
        <v>55943</v>
      </c>
    </row>
    <row r="76" spans="1:21">
      <c r="B76" s="240"/>
      <c r="C76" s="46"/>
      <c r="D76" s="240"/>
      <c r="E76" s="29"/>
      <c r="F76" s="240"/>
      <c r="G76" s="43"/>
      <c r="H76" s="240"/>
      <c r="J76" s="379"/>
      <c r="K76" s="43"/>
      <c r="L76" s="379"/>
      <c r="M76" s="29"/>
      <c r="N76" s="379"/>
      <c r="O76" s="43"/>
      <c r="P76" s="379"/>
      <c r="R76" s="240"/>
      <c r="S76" s="46"/>
      <c r="T76" s="240"/>
      <c r="U76" s="240"/>
    </row>
    <row r="77" spans="1:21">
      <c r="A77" t="s">
        <v>346</v>
      </c>
      <c r="B77" s="12">
        <f>+B68-B75</f>
        <v>17090</v>
      </c>
      <c r="C77" s="113">
        <f>+(B77-D77)/ABS(D77)</f>
        <v>1.3472050542507896</v>
      </c>
      <c r="D77" s="12">
        <f>+D68-D75</f>
        <v>7281</v>
      </c>
      <c r="E77" s="29" t="s">
        <v>0</v>
      </c>
      <c r="F77" s="12">
        <f>+F68-F75</f>
        <v>0</v>
      </c>
      <c r="G77" s="44">
        <v>0</v>
      </c>
      <c r="H77" s="12">
        <f>+H68-H75</f>
        <v>8695</v>
      </c>
      <c r="J77" s="12">
        <f>+J68-J75</f>
        <v>0</v>
      </c>
      <c r="K77" s="43">
        <v>0</v>
      </c>
      <c r="L77" s="12">
        <f>+L68-L75</f>
        <v>9484</v>
      </c>
      <c r="M77" s="29" t="s">
        <v>0</v>
      </c>
      <c r="N77" s="12">
        <f>+N68-N75</f>
        <v>0</v>
      </c>
      <c r="O77" s="43">
        <v>0</v>
      </c>
      <c r="P77" s="12">
        <f>+P68-P75</f>
        <v>9877</v>
      </c>
      <c r="R77" s="12">
        <f>+R68-R75</f>
        <v>17090</v>
      </c>
      <c r="S77" s="113">
        <f>+(R77-T77)/ABS(T77)</f>
        <v>1.3472050542507896</v>
      </c>
      <c r="T77" s="12">
        <f>+T68-T75</f>
        <v>7281</v>
      </c>
      <c r="U77" s="12">
        <f>+U68-U75</f>
        <v>35337</v>
      </c>
    </row>
    <row r="78" spans="1:21">
      <c r="B78" s="12"/>
      <c r="C78" s="47" t="s">
        <v>0</v>
      </c>
      <c r="D78" s="12"/>
      <c r="E78" s="29" t="s">
        <v>0</v>
      </c>
      <c r="F78" s="12"/>
      <c r="G78" s="44" t="s">
        <v>0</v>
      </c>
      <c r="H78" s="12"/>
      <c r="K78" s="44" t="s">
        <v>0</v>
      </c>
      <c r="M78" s="29" t="s">
        <v>0</v>
      </c>
      <c r="O78" s="44" t="s">
        <v>0</v>
      </c>
      <c r="R78" s="12"/>
      <c r="S78" s="46"/>
      <c r="T78" s="12"/>
      <c r="U78" s="12"/>
    </row>
    <row r="79" spans="1:21">
      <c r="A79" t="s">
        <v>347</v>
      </c>
      <c r="B79" s="12">
        <v>5773</v>
      </c>
      <c r="C79" s="46">
        <v>0</v>
      </c>
      <c r="D79" s="12">
        <f>1128+872+554</f>
        <v>2554</v>
      </c>
      <c r="E79" s="29" t="s">
        <v>0</v>
      </c>
      <c r="F79" s="12">
        <v>0</v>
      </c>
      <c r="G79" s="44">
        <v>0</v>
      </c>
      <c r="H79" s="12">
        <f>789+1044+1142</f>
        <v>2975</v>
      </c>
      <c r="J79" s="12">
        <v>0</v>
      </c>
      <c r="K79" s="43">
        <v>0</v>
      </c>
      <c r="L79" s="12">
        <f>2060+1259</f>
        <v>3319</v>
      </c>
      <c r="M79" s="29" t="s">
        <v>0</v>
      </c>
      <c r="N79" s="12">
        <v>0</v>
      </c>
      <c r="O79" s="43">
        <v>0</v>
      </c>
      <c r="P79" s="12">
        <f>1375+1066+1015</f>
        <v>3456</v>
      </c>
      <c r="R79" s="12">
        <f>+B79</f>
        <v>5773</v>
      </c>
      <c r="S79" s="46">
        <f>+(R79-T79)/ABS(T79)</f>
        <v>1.2603758809710259</v>
      </c>
      <c r="T79" s="88">
        <f>+D79</f>
        <v>2554</v>
      </c>
      <c r="U79" s="88">
        <f>+D79+H79+L79+P79</f>
        <v>12304</v>
      </c>
    </row>
    <row r="80" spans="1:21" ht="16.5" thickBot="1">
      <c r="B80" s="76"/>
      <c r="C80" s="47" t="s">
        <v>0</v>
      </c>
      <c r="D80" s="76"/>
      <c r="E80" s="29" t="s">
        <v>0</v>
      </c>
      <c r="F80" s="76"/>
      <c r="G80" s="44" t="s">
        <v>0</v>
      </c>
      <c r="H80" s="76"/>
      <c r="J80" s="30"/>
      <c r="K80" s="44" t="s">
        <v>0</v>
      </c>
      <c r="L80" s="30"/>
      <c r="M80" s="29" t="s">
        <v>0</v>
      </c>
      <c r="N80" s="30"/>
      <c r="O80" s="44" t="s">
        <v>0</v>
      </c>
      <c r="P80" s="30"/>
      <c r="R80" s="76"/>
      <c r="S80" s="46"/>
      <c r="T80" s="76"/>
      <c r="U80" s="76"/>
    </row>
    <row r="81" spans="1:21" s="2" customFormat="1">
      <c r="A81" s="2" t="s">
        <v>359</v>
      </c>
      <c r="B81" s="4">
        <f>+B77-B79</f>
        <v>11317</v>
      </c>
      <c r="C81" s="942">
        <f>+(B81-D81)/ABS(D81)</f>
        <v>1.3941188914745082</v>
      </c>
      <c r="D81" s="4">
        <f>+D77-D79</f>
        <v>4727</v>
      </c>
      <c r="E81" s="146" t="s">
        <v>0</v>
      </c>
      <c r="F81" s="4">
        <f>+F77-F79</f>
        <v>0</v>
      </c>
      <c r="G81" s="42">
        <v>0</v>
      </c>
      <c r="H81" s="4">
        <f>+H77-H79</f>
        <v>5720</v>
      </c>
      <c r="I81" s="146"/>
      <c r="J81" s="4">
        <f>+J77-J79</f>
        <v>0</v>
      </c>
      <c r="K81" s="42">
        <v>0</v>
      </c>
      <c r="L81" s="4">
        <f>+L77-L79</f>
        <v>6165</v>
      </c>
      <c r="M81" s="146" t="s">
        <v>0</v>
      </c>
      <c r="N81" s="4">
        <f>+N77-N79</f>
        <v>0</v>
      </c>
      <c r="O81" s="42">
        <v>0</v>
      </c>
      <c r="P81" s="4">
        <f>+P77-P79</f>
        <v>6421</v>
      </c>
      <c r="Q81" s="146"/>
      <c r="R81" s="4">
        <f>+R77-R79</f>
        <v>11317</v>
      </c>
      <c r="S81" s="112">
        <f>+(R81-T81)/ABS(T81)</f>
        <v>1.3941188914745082</v>
      </c>
      <c r="T81" s="4">
        <f>+T77-T79</f>
        <v>4727</v>
      </c>
      <c r="U81" s="4">
        <f>+U77-U79</f>
        <v>23033</v>
      </c>
    </row>
    <row r="82" spans="1:21">
      <c r="E82" s="29"/>
      <c r="M82" s="29"/>
    </row>
    <row r="83" spans="1:21">
      <c r="E83" s="29"/>
      <c r="F83" s="29" t="s">
        <v>0</v>
      </c>
      <c r="M83" s="29"/>
      <c r="N83" s="29" t="s">
        <v>0</v>
      </c>
    </row>
    <row r="84" spans="1:21">
      <c r="B84" s="565" t="s">
        <v>261</v>
      </c>
      <c r="D84" s="565" t="s">
        <v>261</v>
      </c>
      <c r="E84" s="29" t="s">
        <v>0</v>
      </c>
      <c r="F84" s="565" t="s">
        <v>261</v>
      </c>
      <c r="H84" s="565" t="s">
        <v>261</v>
      </c>
      <c r="M84" s="29" t="s">
        <v>0</v>
      </c>
    </row>
    <row r="85" spans="1:21">
      <c r="B85" s="26" t="s">
        <v>353</v>
      </c>
      <c r="D85" s="26" t="s">
        <v>533</v>
      </c>
      <c r="F85" s="26" t="s">
        <v>534</v>
      </c>
      <c r="H85" s="26" t="s">
        <v>535</v>
      </c>
      <c r="M85" s="29" t="s">
        <v>0</v>
      </c>
    </row>
    <row r="86" spans="1:21">
      <c r="A86" t="s">
        <v>536</v>
      </c>
      <c r="B86" s="29" t="s">
        <v>0</v>
      </c>
      <c r="D86" s="29" t="s">
        <v>0</v>
      </c>
      <c r="F86" s="29" t="s">
        <v>0</v>
      </c>
      <c r="H86" s="29" t="s">
        <v>0</v>
      </c>
      <c r="M86" s="29" t="s">
        <v>0</v>
      </c>
    </row>
    <row r="87" spans="1:21">
      <c r="A87" t="s">
        <v>329</v>
      </c>
      <c r="B87" s="16" t="s">
        <v>0</v>
      </c>
    </row>
    <row r="88" spans="1:21">
      <c r="A88" t="s">
        <v>330</v>
      </c>
      <c r="B88" s="12">
        <f>+(7562701+7431678+7281714)/1000</f>
        <v>22276.093000000001</v>
      </c>
      <c r="D88" s="12">
        <v>0</v>
      </c>
      <c r="F88" s="12">
        <v>0</v>
      </c>
      <c r="H88" s="12">
        <v>0</v>
      </c>
    </row>
    <row r="89" spans="1:21" ht="18">
      <c r="A89" t="s">
        <v>537</v>
      </c>
      <c r="B89" s="6">
        <f>+(131703+131704+716584)/1000</f>
        <v>979.99099999999999</v>
      </c>
      <c r="D89" s="6">
        <v>0</v>
      </c>
      <c r="F89" s="6">
        <v>0</v>
      </c>
      <c r="H89" s="6">
        <v>0</v>
      </c>
    </row>
    <row r="90" spans="1:21">
      <c r="B90" s="12">
        <f>SUM(B88:B89)</f>
        <v>23256.084000000003</v>
      </c>
      <c r="D90" s="12">
        <f>SUM(D88:D89)</f>
        <v>0</v>
      </c>
      <c r="F90" s="12">
        <f>SUM(F88:F89)</f>
        <v>0</v>
      </c>
      <c r="H90" s="12">
        <f>SUM(H88:H89)</f>
        <v>0</v>
      </c>
    </row>
    <row r="91" spans="1:21">
      <c r="A91" t="s">
        <v>333</v>
      </c>
      <c r="B91" s="12">
        <f>+(3673033+3587008+3598767)/1000</f>
        <v>10858.808000000001</v>
      </c>
      <c r="D91" s="12">
        <v>0</v>
      </c>
      <c r="F91" s="12">
        <v>0</v>
      </c>
      <c r="H91" s="12">
        <v>0</v>
      </c>
    </row>
    <row r="92" spans="1:21">
      <c r="B92" s="12">
        <f>+B90-B91</f>
        <v>12397.276000000002</v>
      </c>
      <c r="D92" s="12">
        <f>+D90-D91</f>
        <v>0</v>
      </c>
      <c r="F92" s="12">
        <f>+F90-F91</f>
        <v>0</v>
      </c>
      <c r="H92" s="12">
        <f>+H90-H91</f>
        <v>0</v>
      </c>
    </row>
    <row r="93" spans="1:21">
      <c r="B93" s="12"/>
      <c r="D93" s="12"/>
      <c r="F93" s="12"/>
      <c r="H93" s="12"/>
    </row>
    <row r="94" spans="1:21">
      <c r="A94" t="s">
        <v>334</v>
      </c>
      <c r="B94" s="12"/>
      <c r="D94" s="12"/>
      <c r="F94" s="12"/>
      <c r="H94" s="12"/>
    </row>
    <row r="95" spans="1:21">
      <c r="A95" t="s">
        <v>335</v>
      </c>
      <c r="B95" s="16">
        <f>+(1895256+1612308+1270772)/1000</f>
        <v>4778.3360000000002</v>
      </c>
      <c r="D95" s="16">
        <v>0</v>
      </c>
      <c r="F95" s="16">
        <v>0</v>
      </c>
      <c r="H95" s="16">
        <v>0</v>
      </c>
    </row>
    <row r="96" spans="1:21">
      <c r="A96" t="s">
        <v>336</v>
      </c>
      <c r="B96" s="12">
        <f>+(1228473+49031+1606280)/1000</f>
        <v>2883.7840000000001</v>
      </c>
      <c r="D96" s="12">
        <v>0</v>
      </c>
      <c r="F96" s="12">
        <v>0</v>
      </c>
      <c r="H96" s="12">
        <v>0</v>
      </c>
    </row>
    <row r="97" spans="1:8">
      <c r="A97" t="s">
        <v>284</v>
      </c>
      <c r="B97" s="12">
        <f>+(34936+1675+6595)/1000</f>
        <v>43.206000000000003</v>
      </c>
      <c r="D97" s="12">
        <v>0</v>
      </c>
      <c r="F97" s="12">
        <v>0</v>
      </c>
      <c r="H97" s="12">
        <v>0</v>
      </c>
    </row>
    <row r="98" spans="1:8">
      <c r="B98" s="12">
        <f>SUM(B95:B97)</f>
        <v>7705.3260000000009</v>
      </c>
      <c r="D98" s="12">
        <f>SUM(D95:D97)</f>
        <v>0</v>
      </c>
      <c r="F98" s="12">
        <f>SUM(F95:F97)</f>
        <v>0</v>
      </c>
      <c r="H98" s="12">
        <f>SUM(H95:H97)</f>
        <v>0</v>
      </c>
    </row>
    <row r="99" spans="1:8">
      <c r="B99" s="12"/>
      <c r="D99" s="12"/>
      <c r="F99" s="12"/>
      <c r="H99" s="12"/>
    </row>
    <row r="100" spans="1:8">
      <c r="A100" t="s">
        <v>337</v>
      </c>
      <c r="B100" s="12">
        <f>+B92+B98</f>
        <v>20102.602000000003</v>
      </c>
      <c r="D100" s="12">
        <f>+D92+D98</f>
        <v>0</v>
      </c>
      <c r="F100" s="12">
        <f>+F92+F98</f>
        <v>0</v>
      </c>
      <c r="H100" s="12">
        <f>+H92+H98</f>
        <v>0</v>
      </c>
    </row>
    <row r="101" spans="1:8">
      <c r="B101" s="12"/>
      <c r="D101" s="12"/>
      <c r="F101" s="12"/>
      <c r="H101" s="12"/>
    </row>
    <row r="102" spans="1:8">
      <c r="A102" t="s">
        <v>538</v>
      </c>
      <c r="B102" s="12">
        <f>+(487144+445823+425923)/1000</f>
        <v>1358.89</v>
      </c>
      <c r="D102" s="12">
        <v>0</v>
      </c>
      <c r="F102" s="12">
        <v>0</v>
      </c>
      <c r="H102" s="12">
        <v>0</v>
      </c>
    </row>
    <row r="103" spans="1:8">
      <c r="B103" s="12"/>
      <c r="D103" s="12"/>
      <c r="F103" s="12"/>
      <c r="H103" s="12"/>
    </row>
    <row r="104" spans="1:8">
      <c r="A104" t="s">
        <v>339</v>
      </c>
      <c r="B104" s="12"/>
      <c r="D104" s="12"/>
      <c r="F104" s="12"/>
      <c r="H104" s="12"/>
    </row>
    <row r="105" spans="1:8">
      <c r="A105" t="s">
        <v>340</v>
      </c>
      <c r="B105" s="12">
        <f>+B100-B102</f>
        <v>18743.712000000003</v>
      </c>
      <c r="D105" s="12">
        <f>+D100-D102</f>
        <v>0</v>
      </c>
      <c r="F105" s="12">
        <f>+F100-F102</f>
        <v>0</v>
      </c>
      <c r="H105" s="12">
        <f>+H100-H102</f>
        <v>0</v>
      </c>
    </row>
    <row r="106" spans="1:8">
      <c r="B106" s="12"/>
      <c r="D106" s="12"/>
      <c r="F106" s="12"/>
      <c r="H106" s="12"/>
    </row>
    <row r="107" spans="1:8">
      <c r="A107" t="s">
        <v>341</v>
      </c>
      <c r="B107" s="12"/>
      <c r="D107" s="12"/>
      <c r="F107" s="12"/>
      <c r="H107" s="12"/>
    </row>
    <row r="108" spans="1:8">
      <c r="A108" t="s">
        <v>342</v>
      </c>
      <c r="B108" s="12">
        <f>+(1885395+2307138+2893429)/1000</f>
        <v>7085.9620000000004</v>
      </c>
      <c r="D108" s="12">
        <v>0</v>
      </c>
      <c r="F108" s="12">
        <v>0</v>
      </c>
      <c r="H108" s="12">
        <v>0</v>
      </c>
    </row>
    <row r="109" spans="1:8">
      <c r="A109" t="s">
        <v>343</v>
      </c>
      <c r="B109" s="12">
        <f>+(263285+385195+292797)/1000</f>
        <v>941.27700000000004</v>
      </c>
      <c r="D109" s="12">
        <v>0</v>
      </c>
      <c r="F109" s="12">
        <v>0</v>
      </c>
      <c r="H109" s="12">
        <v>0</v>
      </c>
    </row>
    <row r="110" spans="1:8">
      <c r="A110" t="s">
        <v>344</v>
      </c>
      <c r="B110" s="12">
        <f>+(410129+27108+291025)/1000</f>
        <v>728.26199999999994</v>
      </c>
      <c r="D110" s="12">
        <v>0</v>
      </c>
      <c r="F110" s="12">
        <v>0</v>
      </c>
      <c r="H110" s="12">
        <v>0</v>
      </c>
    </row>
    <row r="111" spans="1:8">
      <c r="A111" t="s">
        <v>345</v>
      </c>
      <c r="B111" s="12">
        <f>+(2734803+1190369+6126974)/1000</f>
        <v>10052.146000000001</v>
      </c>
      <c r="D111" s="12">
        <v>0</v>
      </c>
      <c r="F111" s="12">
        <v>0</v>
      </c>
      <c r="H111" s="12">
        <v>0</v>
      </c>
    </row>
    <row r="112" spans="1:8">
      <c r="B112" s="12">
        <f>SUM(B108:B111)</f>
        <v>18807.647000000001</v>
      </c>
      <c r="D112" s="12">
        <f>SUM(D108:D111)</f>
        <v>0</v>
      </c>
      <c r="F112" s="12">
        <f>SUM(F108:F111)</f>
        <v>0</v>
      </c>
      <c r="H112" s="12">
        <f>SUM(H108:H111)</f>
        <v>0</v>
      </c>
    </row>
    <row r="113" spans="1:8">
      <c r="B113" s="12"/>
      <c r="D113" s="12"/>
      <c r="F113" s="12"/>
      <c r="H113" s="12"/>
    </row>
    <row r="114" spans="1:8">
      <c r="A114" t="s">
        <v>346</v>
      </c>
      <c r="B114" s="12">
        <f>+B105-B112</f>
        <v>-63.934999999997672</v>
      </c>
      <c r="D114" s="12">
        <f>+D105-D112</f>
        <v>0</v>
      </c>
      <c r="F114" s="12">
        <f>+F105-F112</f>
        <v>0</v>
      </c>
      <c r="H114" s="12">
        <f>+H105-H112</f>
        <v>0</v>
      </c>
    </row>
    <row r="115" spans="1:8">
      <c r="B115" s="12"/>
      <c r="D115" s="12"/>
      <c r="F115" s="12"/>
      <c r="H115" s="12"/>
    </row>
    <row r="116" spans="1:8">
      <c r="A116" t="s">
        <v>347</v>
      </c>
      <c r="B116" s="12">
        <v>0</v>
      </c>
      <c r="D116" s="12">
        <v>0</v>
      </c>
      <c r="F116" s="12">
        <v>0</v>
      </c>
      <c r="H116" s="12">
        <v>0</v>
      </c>
    </row>
    <row r="117" spans="1:8">
      <c r="B117" s="12"/>
      <c r="D117" s="12"/>
      <c r="F117" s="12"/>
      <c r="H117" s="12"/>
    </row>
    <row r="118" spans="1:8">
      <c r="A118" t="s">
        <v>539</v>
      </c>
      <c r="B118" s="12">
        <f>+B114-B116</f>
        <v>-63.934999999997672</v>
      </c>
      <c r="D118" s="12">
        <f>+D114-D116</f>
        <v>0</v>
      </c>
      <c r="F118" s="12">
        <f>+F114-F116</f>
        <v>0</v>
      </c>
      <c r="H118" s="12">
        <f>+H114-H116</f>
        <v>0</v>
      </c>
    </row>
    <row r="122" spans="1:8">
      <c r="B122" s="29" t="s">
        <v>0</v>
      </c>
    </row>
  </sheetData>
  <pageMargins left="0.2" right="0.2" top="0.45" bottom="0.39" header="0.31" footer="0.2"/>
  <pageSetup scale="44" orientation="landscape" r:id="rId1"/>
  <headerFooter alignWithMargins="0">
    <oddFooter>&amp;R&amp;16&amp;P</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6"/>
  <sheetViews>
    <sheetView workbookViewId="0"/>
  </sheetViews>
  <sheetFormatPr defaultRowHeight="15.75"/>
  <cols>
    <col min="1" max="1" width="50" customWidth="1"/>
    <col min="2" max="2" width="15.75" customWidth="1"/>
    <col min="3" max="3" width="11" customWidth="1"/>
    <col min="4" max="4" width="15.75" customWidth="1"/>
    <col min="5" max="5" width="6.125" customWidth="1"/>
    <col min="6" max="6" width="16" customWidth="1"/>
    <col min="7" max="7" width="11" customWidth="1"/>
    <col min="8" max="8" width="16" customWidth="1"/>
    <col min="9" max="9" width="11" customWidth="1"/>
    <col min="10" max="10" width="15.875" customWidth="1"/>
    <col min="11" max="11" width="11" customWidth="1"/>
    <col min="12" max="12" width="19.75" customWidth="1"/>
    <col min="13" max="256" width="11" customWidth="1"/>
  </cols>
  <sheetData>
    <row r="1" spans="1:14">
      <c r="A1" s="114" t="s">
        <v>619</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624</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7" spans="1:14">
      <c r="A7" s="34"/>
      <c r="B7" s="34"/>
      <c r="C7" s="34"/>
      <c r="D7" s="34"/>
      <c r="E7" s="34"/>
      <c r="F7" s="34"/>
      <c r="G7" s="34"/>
      <c r="H7" s="34"/>
      <c r="I7" s="34"/>
      <c r="J7" s="34"/>
      <c r="K7" s="34"/>
      <c r="L7" s="34"/>
    </row>
    <row r="9" spans="1:14" ht="16.5" thickBot="1">
      <c r="B9" s="18" t="s">
        <v>625</v>
      </c>
      <c r="C9" s="246"/>
      <c r="E9" s="2"/>
      <c r="F9" s="114" t="s">
        <v>206</v>
      </c>
      <c r="G9" s="114"/>
      <c r="H9" s="114"/>
      <c r="I9" s="114"/>
      <c r="J9" s="114"/>
      <c r="K9" s="114"/>
      <c r="L9" s="114"/>
    </row>
    <row r="10" spans="1:14" ht="16.5" thickBot="1">
      <c r="B10" s="247" t="s">
        <v>185</v>
      </c>
      <c r="C10" s="226" t="s">
        <v>169</v>
      </c>
      <c r="D10" s="247" t="s">
        <v>174</v>
      </c>
      <c r="E10" s="2"/>
      <c r="F10" s="226">
        <v>1999</v>
      </c>
      <c r="G10" s="226" t="s">
        <v>169</v>
      </c>
      <c r="H10" s="226">
        <v>1998</v>
      </c>
      <c r="I10" s="226" t="s">
        <v>169</v>
      </c>
      <c r="J10" s="226">
        <v>1997</v>
      </c>
      <c r="K10" s="226" t="s">
        <v>169</v>
      </c>
      <c r="L10" s="226">
        <v>1996</v>
      </c>
    </row>
    <row r="11" spans="1:14">
      <c r="A11" t="s">
        <v>328</v>
      </c>
    </row>
    <row r="12" spans="1:14">
      <c r="A12" t="s">
        <v>329</v>
      </c>
      <c r="B12" s="16" t="s">
        <v>0</v>
      </c>
      <c r="C12" s="47" t="s">
        <v>0</v>
      </c>
      <c r="D12" s="16" t="s">
        <v>0</v>
      </c>
      <c r="E12" s="44" t="s">
        <v>0</v>
      </c>
      <c r="F12" s="16" t="s">
        <v>0</v>
      </c>
      <c r="G12" s="47" t="s">
        <v>0</v>
      </c>
      <c r="M12" s="43"/>
      <c r="N12" s="43"/>
    </row>
    <row r="13" spans="1:14">
      <c r="A13" t="s">
        <v>330</v>
      </c>
      <c r="B13" s="12">
        <f>+'CBNARÉSULT         '!R50</f>
        <v>29093</v>
      </c>
      <c r="C13" s="46">
        <f t="shared" ref="C13:C18" si="0">+(B13-D13)/ABS(D13)</f>
        <v>-4.1132461026334007E-2</v>
      </c>
      <c r="D13" s="12">
        <f>+'CBNARÉSULT         '!T50</f>
        <v>30341</v>
      </c>
      <c r="E13" s="44"/>
      <c r="F13" s="12">
        <f>+'CBNARÉSULT         '!U50</f>
        <v>109520</v>
      </c>
      <c r="G13" s="46">
        <f t="shared" ref="G13:G18" si="1">+(F13-H13)/ABS(H13)</f>
        <v>1.4533432267017142E-2</v>
      </c>
      <c r="H13" s="12">
        <v>107951.1</v>
      </c>
      <c r="I13" s="46">
        <f>+(H13-J13)/ABS(J13)</f>
        <v>0.34662144293476921</v>
      </c>
      <c r="J13" s="12">
        <v>80164.399999999994</v>
      </c>
      <c r="K13" s="46">
        <f>+(J13-L13)/ABS(L13)</f>
        <v>0.20459753533878194</v>
      </c>
      <c r="L13" s="12">
        <v>66548.7</v>
      </c>
      <c r="M13" s="43"/>
      <c r="N13" s="43"/>
    </row>
    <row r="14" spans="1:14">
      <c r="A14" t="s">
        <v>354</v>
      </c>
      <c r="B14" s="12">
        <f>+'CBNARÉSULT         '!R51</f>
        <v>5308</v>
      </c>
      <c r="C14" s="46">
        <f t="shared" si="0"/>
        <v>13.785515320334262</v>
      </c>
      <c r="D14" s="12">
        <f>+'CBNARÉSULT         '!T51</f>
        <v>359</v>
      </c>
      <c r="E14" s="44"/>
      <c r="F14" s="12">
        <f>+'CBNARÉSULT         '!U51</f>
        <v>10587</v>
      </c>
      <c r="G14" s="43">
        <v>0</v>
      </c>
      <c r="H14" s="12">
        <v>1861</v>
      </c>
      <c r="I14" s="46"/>
      <c r="J14" s="12">
        <v>0</v>
      </c>
      <c r="K14" s="43">
        <v>0</v>
      </c>
      <c r="L14" s="12">
        <v>0</v>
      </c>
      <c r="M14" s="43"/>
      <c r="N14" s="43"/>
    </row>
    <row r="15" spans="1:14">
      <c r="A15" t="s">
        <v>332</v>
      </c>
      <c r="B15" s="221">
        <f>+'CBNARÉSULT         '!R52</f>
        <v>33</v>
      </c>
      <c r="C15" s="43">
        <v>0</v>
      </c>
      <c r="D15" s="240">
        <f>+'CBNARÉSULT         '!T52</f>
        <v>0</v>
      </c>
      <c r="E15" s="44"/>
      <c r="F15" s="240">
        <f>+'CBNARÉSULT         '!U52</f>
        <v>128</v>
      </c>
      <c r="G15" s="43">
        <v>0</v>
      </c>
      <c r="H15" s="240">
        <v>0</v>
      </c>
      <c r="I15" s="43">
        <v>0</v>
      </c>
      <c r="J15" s="240">
        <v>1754.4</v>
      </c>
      <c r="K15" s="43">
        <v>0</v>
      </c>
      <c r="L15" s="240">
        <v>0</v>
      </c>
      <c r="M15" s="43"/>
      <c r="N15" s="43"/>
    </row>
    <row r="16" spans="1:14">
      <c r="B16" s="12">
        <f>SUM(B13:B15)</f>
        <v>34434</v>
      </c>
      <c r="C16" s="46">
        <f t="shared" si="0"/>
        <v>0.121628664495114</v>
      </c>
      <c r="D16" s="12">
        <f>SUM(D13:D15)</f>
        <v>30700</v>
      </c>
      <c r="E16" s="44"/>
      <c r="F16" s="12">
        <f>SUM(F13:F15)</f>
        <v>120235</v>
      </c>
      <c r="G16" s="46">
        <f t="shared" si="1"/>
        <v>9.4915769755791884E-2</v>
      </c>
      <c r="H16" s="12">
        <f>SUM(H13:H15)</f>
        <v>109812.1</v>
      </c>
      <c r="I16" s="46">
        <f>+(H16-J16)/ABS(J16)</f>
        <v>0.34049937254940282</v>
      </c>
      <c r="J16" s="12">
        <f>SUM(J13:J15)</f>
        <v>81918.799999999988</v>
      </c>
      <c r="K16" s="46">
        <f>+(J16-L16)/ABS(L16)</f>
        <v>0.23096018404566868</v>
      </c>
      <c r="L16" s="12">
        <f>SUM(L13:L15)</f>
        <v>66548.7</v>
      </c>
      <c r="M16" s="43"/>
      <c r="N16" s="43"/>
    </row>
    <row r="17" spans="1:14">
      <c r="A17" t="s">
        <v>333</v>
      </c>
      <c r="B17" s="240">
        <f>+'CBNARÉSULT         '!R54</f>
        <v>14402</v>
      </c>
      <c r="C17" s="46">
        <f t="shared" si="0"/>
        <v>-2.6760373023381537E-2</v>
      </c>
      <c r="D17" s="240">
        <f>+'CBNARÉSULT         '!T54</f>
        <v>14798</v>
      </c>
      <c r="E17" s="44" t="s">
        <v>0</v>
      </c>
      <c r="F17" s="240">
        <f>+'CBNARÉSULT         '!U54</f>
        <v>56711</v>
      </c>
      <c r="G17" s="46">
        <f t="shared" si="1"/>
        <v>9.3607781428857867E-2</v>
      </c>
      <c r="H17" s="240">
        <v>51856.800000000003</v>
      </c>
      <c r="I17" s="46">
        <f>+(H17-J17)/ABS(J17)</f>
        <v>0.34463177219194208</v>
      </c>
      <c r="J17" s="240">
        <v>38565.800000000003</v>
      </c>
      <c r="K17" s="46">
        <f>+(J17-L17)/ABS(L17)</f>
        <v>0.35823287232206708</v>
      </c>
      <c r="L17" s="240">
        <v>28394.1</v>
      </c>
      <c r="M17" s="43"/>
      <c r="N17" s="43"/>
    </row>
    <row r="18" spans="1:14">
      <c r="B18" s="16">
        <f>+B16-B17</f>
        <v>20032</v>
      </c>
      <c r="C18" s="46">
        <f t="shared" si="0"/>
        <v>0.25971575902402211</v>
      </c>
      <c r="D18" s="16">
        <f>+D16-D17</f>
        <v>15902</v>
      </c>
      <c r="E18" s="44" t="s">
        <v>0</v>
      </c>
      <c r="F18" s="16">
        <f>+F16-F17</f>
        <v>63524</v>
      </c>
      <c r="G18" s="46">
        <f t="shared" si="1"/>
        <v>9.6086121545397862E-2</v>
      </c>
      <c r="H18" s="16">
        <f>+H16-H17</f>
        <v>57955.3</v>
      </c>
      <c r="I18" s="46">
        <f>+(H18-J18)/ABS(J18)</f>
        <v>0.33682328789241855</v>
      </c>
      <c r="J18" s="16">
        <f>+J16-J17</f>
        <v>43352.999999999985</v>
      </c>
      <c r="K18" s="46">
        <f>+(J18-L18)/ABS(L18)</f>
        <v>0.13624569514553914</v>
      </c>
      <c r="L18" s="16">
        <f>+L13-L17</f>
        <v>38154.6</v>
      </c>
      <c r="M18" s="43"/>
      <c r="N18" s="43"/>
    </row>
    <row r="19" spans="1:14">
      <c r="B19" s="12"/>
      <c r="C19" s="46"/>
      <c r="D19" s="12"/>
      <c r="E19" s="44"/>
      <c r="F19" s="12"/>
      <c r="G19" s="46"/>
      <c r="H19" s="12"/>
      <c r="I19" s="46"/>
      <c r="J19" s="12"/>
      <c r="K19" s="46"/>
      <c r="L19" s="12"/>
      <c r="M19" s="43"/>
      <c r="N19" s="43"/>
    </row>
    <row r="20" spans="1:14">
      <c r="A20" t="s">
        <v>334</v>
      </c>
      <c r="B20" s="12"/>
      <c r="C20" s="46"/>
      <c r="D20" s="12"/>
      <c r="E20" s="44" t="s">
        <v>0</v>
      </c>
      <c r="F20" s="12"/>
      <c r="G20" s="46"/>
      <c r="H20" s="12"/>
      <c r="I20" s="46"/>
      <c r="J20" s="12"/>
      <c r="K20" s="46"/>
      <c r="L20" s="12"/>
      <c r="M20" s="43"/>
      <c r="N20" s="43"/>
    </row>
    <row r="21" spans="1:14">
      <c r="A21" t="s">
        <v>335</v>
      </c>
      <c r="B21" s="12">
        <f>+'CBNARÉSULT         '!R58</f>
        <v>3662</v>
      </c>
      <c r="C21" s="46">
        <f>+(B21-D21)/ABS(D21)</f>
        <v>-0.14379237783493104</v>
      </c>
      <c r="D21" s="12">
        <f>+'CBNARÉSULT         '!T58</f>
        <v>4277</v>
      </c>
      <c r="E21" s="44" t="s">
        <v>0</v>
      </c>
      <c r="F21" s="12">
        <f>+'CBNARÉSULT         '!U58</f>
        <v>16409</v>
      </c>
      <c r="G21" s="46">
        <f>+(F21-H21)/ABS(H21)</f>
        <v>6.896933610418042E-2</v>
      </c>
      <c r="H21" s="12">
        <v>15350.3</v>
      </c>
      <c r="I21" s="46">
        <f>+(H21-J21)/ABS(J21)</f>
        <v>0.1086771248627722</v>
      </c>
      <c r="J21" s="12">
        <v>13845.6</v>
      </c>
      <c r="K21" s="46">
        <f>+(J21-L21)/ABS(L21)</f>
        <v>4.5455918330363346E-2</v>
      </c>
      <c r="L21" s="12">
        <v>13243.6</v>
      </c>
      <c r="M21" s="43"/>
      <c r="N21" s="43"/>
    </row>
    <row r="22" spans="1:14">
      <c r="A22" t="s">
        <v>336</v>
      </c>
      <c r="B22" s="12">
        <f>+'CBNARÉSULT         '!R59</f>
        <v>8738</v>
      </c>
      <c r="C22" s="46">
        <f>+(B22-D22)/ABS(D22)</f>
        <v>1.7943716021746083</v>
      </c>
      <c r="D22" s="12">
        <f>+'CBNARÉSULT         '!T59</f>
        <v>3127</v>
      </c>
      <c r="E22" s="44" t="s">
        <v>0</v>
      </c>
      <c r="F22" s="12">
        <f>+'CBNARÉSULT         '!U59</f>
        <v>13503</v>
      </c>
      <c r="G22" s="46">
        <f>+(F22-H22)/ABS(H22)</f>
        <v>0.27871739995075673</v>
      </c>
      <c r="H22" s="12">
        <v>10559.8</v>
      </c>
      <c r="I22" s="46">
        <f>+(H22-J22)/ABS(J22)</f>
        <v>-1.0763768536820843E-2</v>
      </c>
      <c r="J22" s="12">
        <v>10674.7</v>
      </c>
      <c r="K22" s="46">
        <f>+(J22-L22)/ABS(L22)</f>
        <v>4.0298395561563685E-4</v>
      </c>
      <c r="L22" s="12">
        <v>10670.4</v>
      </c>
      <c r="M22" s="43"/>
      <c r="N22" s="43"/>
    </row>
    <row r="23" spans="1:14">
      <c r="A23" t="s">
        <v>284</v>
      </c>
      <c r="B23" s="240">
        <f>+'CBNARÉSULT         '!R60</f>
        <v>-299</v>
      </c>
      <c r="C23" s="46">
        <f>+(B23-D23)/ABS(D23)</f>
        <v>-6.8627450980392153</v>
      </c>
      <c r="D23" s="240">
        <f>+'CBNARÉSULT         '!T60</f>
        <v>51</v>
      </c>
      <c r="E23" s="44" t="s">
        <v>0</v>
      </c>
      <c r="F23" s="240">
        <f>+'CBNARÉSULT         '!U60</f>
        <v>-413</v>
      </c>
      <c r="G23" s="46">
        <f>+(F23-H23)/ABS(H23)</f>
        <v>-6.4128440366972477</v>
      </c>
      <c r="H23" s="240">
        <v>76.3</v>
      </c>
      <c r="I23" s="46">
        <f>+(H23-J23)/ABS(J23)</f>
        <v>-0.12500000000000006</v>
      </c>
      <c r="J23" s="240">
        <v>87.2</v>
      </c>
      <c r="K23" s="46">
        <f>+(J23-L23)/ABS(L23)</f>
        <v>-0.13147410358565739</v>
      </c>
      <c r="L23" s="240">
        <v>100.4</v>
      </c>
      <c r="M23" s="43"/>
      <c r="N23" s="43"/>
    </row>
    <row r="24" spans="1:14" s="209" customFormat="1">
      <c r="B24" s="16">
        <f>SUM(B21:B23)</f>
        <v>12101</v>
      </c>
      <c r="C24" s="46">
        <f>+(B24-D24)/ABS(D24)</f>
        <v>0.6232059020791415</v>
      </c>
      <c r="D24" s="16">
        <f>SUM(D21:D23)</f>
        <v>7455</v>
      </c>
      <c r="E24" s="44" t="s">
        <v>0</v>
      </c>
      <c r="F24" s="16">
        <f>SUM(F21:F23)</f>
        <v>29499</v>
      </c>
      <c r="G24" s="46">
        <f>+(F24-H24)/ABS(H24)</f>
        <v>0.1351707046762923</v>
      </c>
      <c r="H24" s="16">
        <f>SUM(H21:H23)</f>
        <v>25986.399999999998</v>
      </c>
      <c r="I24" s="46">
        <f>+(H24-J24)/ABS(J24)</f>
        <v>5.6035761454840759E-2</v>
      </c>
      <c r="J24" s="16">
        <f>SUM(J21:J23)</f>
        <v>24607.500000000004</v>
      </c>
      <c r="K24" s="46">
        <f>+(J24-L24)/ABS(L24)</f>
        <v>2.4697681391165391E-2</v>
      </c>
      <c r="L24" s="16">
        <f>SUM(L21:L23)</f>
        <v>24014.400000000001</v>
      </c>
      <c r="M24" s="44"/>
      <c r="N24" s="44"/>
    </row>
    <row r="25" spans="1:14">
      <c r="B25" s="240"/>
      <c r="C25" s="46"/>
      <c r="D25" s="240"/>
      <c r="E25" s="44"/>
      <c r="F25" s="240"/>
      <c r="G25" s="46"/>
      <c r="H25" s="240"/>
      <c r="I25" s="46"/>
      <c r="J25" s="240"/>
      <c r="K25" s="46"/>
      <c r="L25" s="240"/>
      <c r="M25" s="43"/>
      <c r="N25" s="43"/>
    </row>
    <row r="26" spans="1:14" s="209" customFormat="1">
      <c r="A26" s="209" t="s">
        <v>337</v>
      </c>
      <c r="B26" s="16">
        <f>+B18+B24</f>
        <v>32133</v>
      </c>
      <c r="C26" s="46">
        <f>+(B26-D26)/ABS(D26)</f>
        <v>0.37573318491244595</v>
      </c>
      <c r="D26" s="16">
        <f>+D18+D24</f>
        <v>23357</v>
      </c>
      <c r="E26" s="44" t="s">
        <v>0</v>
      </c>
      <c r="F26" s="16">
        <f>+F18+F24</f>
        <v>93023</v>
      </c>
      <c r="G26" s="46">
        <f>+(F26-H26)/ABS(H26)</f>
        <v>0.10818580038288482</v>
      </c>
      <c r="H26" s="16">
        <f>+H18+H24</f>
        <v>83941.7</v>
      </c>
      <c r="I26" s="46">
        <f>+(H26-J26)/ABS(J26)</f>
        <v>0.23515424400938803</v>
      </c>
      <c r="J26" s="16">
        <f>+J18+J24</f>
        <v>67960.499999999985</v>
      </c>
      <c r="K26" s="46">
        <f>+(J26-L26)/ABS(L26)</f>
        <v>9.3157361385899487E-2</v>
      </c>
      <c r="L26" s="16">
        <f>+L18+L24</f>
        <v>62169</v>
      </c>
      <c r="M26" s="44"/>
      <c r="N26" s="44"/>
    </row>
    <row r="27" spans="1:14">
      <c r="B27" s="12"/>
      <c r="C27" s="46"/>
      <c r="D27" s="12"/>
      <c r="E27" s="44" t="s">
        <v>0</v>
      </c>
      <c r="F27" s="12"/>
      <c r="G27" s="46"/>
      <c r="H27" s="12"/>
      <c r="I27" s="46"/>
      <c r="J27" s="12"/>
      <c r="K27" s="46"/>
      <c r="L27" s="12"/>
      <c r="M27" s="43"/>
      <c r="N27" s="43"/>
    </row>
    <row r="28" spans="1:14">
      <c r="A28" t="s">
        <v>338</v>
      </c>
      <c r="B28" s="12">
        <f>+'CBNARÉSULT         '!R65</f>
        <v>0</v>
      </c>
      <c r="C28" s="43">
        <v>0</v>
      </c>
      <c r="D28" s="12">
        <f>+'CBNARÉSULT         '!T65</f>
        <v>1743</v>
      </c>
      <c r="E28" s="44" t="s">
        <v>0</v>
      </c>
      <c r="F28" s="12">
        <f>+'CBNARÉSULT         '!U65</f>
        <v>1743</v>
      </c>
      <c r="G28" s="46">
        <f>+(F28-H28)/ABS(H28)</f>
        <v>-0.72240360572711781</v>
      </c>
      <c r="H28" s="12">
        <v>6278.9</v>
      </c>
      <c r="I28" s="46">
        <f>+(H28-J28)/ABS(J28)</f>
        <v>0.97530436971088807</v>
      </c>
      <c r="J28" s="12">
        <v>3178.7</v>
      </c>
      <c r="K28" s="46">
        <f>+(J28-L28)/ABS(L28)</f>
        <v>-0.38203273844239671</v>
      </c>
      <c r="L28" s="12">
        <v>5143.8</v>
      </c>
      <c r="M28" s="43"/>
      <c r="N28" s="43"/>
    </row>
    <row r="29" spans="1:14">
      <c r="B29" s="12"/>
      <c r="C29" s="46"/>
      <c r="D29" s="12"/>
      <c r="E29" s="44" t="s">
        <v>0</v>
      </c>
      <c r="F29" s="12"/>
      <c r="G29" s="46"/>
      <c r="H29" s="12"/>
      <c r="I29" s="46"/>
      <c r="J29" s="12"/>
      <c r="K29" s="46"/>
      <c r="L29" s="12"/>
      <c r="M29" s="43"/>
      <c r="N29" s="43"/>
    </row>
    <row r="30" spans="1:14">
      <c r="A30" t="s">
        <v>339</v>
      </c>
      <c r="B30" s="240"/>
      <c r="C30" s="46"/>
      <c r="D30" s="240"/>
      <c r="E30" s="44" t="s">
        <v>0</v>
      </c>
      <c r="F30" s="240"/>
      <c r="G30" s="46"/>
      <c r="H30" s="240"/>
      <c r="I30" s="46"/>
      <c r="J30" s="240"/>
      <c r="K30" s="46"/>
      <c r="L30" s="240"/>
      <c r="M30" s="43"/>
      <c r="N30" s="43"/>
    </row>
    <row r="31" spans="1:14" s="209" customFormat="1">
      <c r="A31" s="209" t="s">
        <v>340</v>
      </c>
      <c r="B31" s="16">
        <f>+B26-B28</f>
        <v>32133</v>
      </c>
      <c r="C31" s="46">
        <f>+(B31-D31)/ABS(D31)</f>
        <v>0.4866753030443231</v>
      </c>
      <c r="D31" s="16">
        <f>+D26-D28</f>
        <v>21614</v>
      </c>
      <c r="E31" s="44" t="s">
        <v>0</v>
      </c>
      <c r="F31" s="16">
        <f>+F26-F28</f>
        <v>91280</v>
      </c>
      <c r="G31" s="46">
        <f>+(F31-H31)/ABS(H31)</f>
        <v>0.1753374846129678</v>
      </c>
      <c r="H31" s="16">
        <f>+H26-H28</f>
        <v>77662.8</v>
      </c>
      <c r="I31" s="46">
        <f>+(H31-J31)/ABS(J31)</f>
        <v>0.1988367103106122</v>
      </c>
      <c r="J31" s="16">
        <f>+J26-J28</f>
        <v>64781.799999999988</v>
      </c>
      <c r="K31" s="46">
        <f>+(J31-L31)/ABS(L31)</f>
        <v>0.13602056634610649</v>
      </c>
      <c r="L31" s="16">
        <f>+L26-L28</f>
        <v>57025.2</v>
      </c>
      <c r="M31" s="44"/>
      <c r="N31" s="44"/>
    </row>
    <row r="32" spans="1:14">
      <c r="B32" s="12"/>
      <c r="C32" s="46"/>
      <c r="D32" s="12"/>
      <c r="E32" s="44" t="s">
        <v>0</v>
      </c>
      <c r="F32" s="12"/>
      <c r="G32" s="46"/>
      <c r="H32" s="12"/>
      <c r="I32" s="46"/>
      <c r="J32" s="12"/>
      <c r="K32" s="46"/>
      <c r="L32" s="12"/>
      <c r="M32" s="43"/>
      <c r="N32" s="43"/>
    </row>
    <row r="33" spans="1:14">
      <c r="A33" t="s">
        <v>341</v>
      </c>
      <c r="B33" s="12"/>
      <c r="C33" s="46"/>
      <c r="D33" s="12"/>
      <c r="E33" s="44" t="s">
        <v>0</v>
      </c>
      <c r="F33" s="12"/>
      <c r="G33" s="46"/>
      <c r="H33" s="12"/>
      <c r="I33" s="46"/>
      <c r="J33" s="12"/>
      <c r="K33" s="46"/>
      <c r="L33" s="12"/>
      <c r="M33" s="43"/>
      <c r="N33" s="43"/>
    </row>
    <row r="34" spans="1:14">
      <c r="A34" t="s">
        <v>342</v>
      </c>
      <c r="B34" s="12">
        <f>+'CBNARÉSULT         '!R71</f>
        <v>7428</v>
      </c>
      <c r="C34" s="46">
        <f>+(B34-D34)/ABS(D34)</f>
        <v>-4.389239284335178E-2</v>
      </c>
      <c r="D34" s="12">
        <f>+'CBNARÉSULT         '!T71</f>
        <v>7769</v>
      </c>
      <c r="E34" s="44" t="s">
        <v>0</v>
      </c>
      <c r="F34" s="12">
        <f>+'CBNARÉSULT         '!U71</f>
        <v>29422</v>
      </c>
      <c r="G34" s="46">
        <f>+(F34-H34)/ABS(H34)</f>
        <v>5.4287454760454365E-2</v>
      </c>
      <c r="H34" s="12">
        <v>27907</v>
      </c>
      <c r="I34" s="46">
        <f>+(H34-J34)/ABS(J34)</f>
        <v>0.22372286779215084</v>
      </c>
      <c r="J34" s="12">
        <v>22805</v>
      </c>
      <c r="K34" s="46">
        <f>+(J34-L34)/ABS(L34)</f>
        <v>0.26549615440107444</v>
      </c>
      <c r="L34" s="12">
        <v>18020.599999999999</v>
      </c>
      <c r="M34" s="43"/>
      <c r="N34" s="43"/>
    </row>
    <row r="35" spans="1:14">
      <c r="A35" t="s">
        <v>343</v>
      </c>
      <c r="B35" s="12">
        <f>+'CBNARÉSULT         '!R72</f>
        <v>1700</v>
      </c>
      <c r="C35" s="46">
        <f>+(B35-D35)/ABS(D35)</f>
        <v>0.12433862433862433</v>
      </c>
      <c r="D35" s="12">
        <f>+'CBNARÉSULT         '!T72</f>
        <v>1512</v>
      </c>
      <c r="E35" s="44" t="s">
        <v>0</v>
      </c>
      <c r="F35" s="12">
        <f>+'CBNARÉSULT         '!U72</f>
        <v>5879</v>
      </c>
      <c r="G35" s="46">
        <f>+(F35-H35)/ABS(H35)</f>
        <v>0.32909818461329771</v>
      </c>
      <c r="H35" s="12">
        <v>4423.3</v>
      </c>
      <c r="I35" s="46">
        <f>+(H35-J35)/ABS(J35)</f>
        <v>0.72636796503005252</v>
      </c>
      <c r="J35" s="12">
        <v>2562.1999999999998</v>
      </c>
      <c r="K35" s="46">
        <f>+(J35-L35)/ABS(L35)</f>
        <v>0.89891054620914546</v>
      </c>
      <c r="L35" s="12">
        <v>1349.3</v>
      </c>
      <c r="M35" s="43"/>
      <c r="N35" s="43"/>
    </row>
    <row r="36" spans="1:14">
      <c r="A36" t="s">
        <v>344</v>
      </c>
      <c r="B36" s="12">
        <f>+'CBNARÉSULT         '!R73</f>
        <v>1524</v>
      </c>
      <c r="C36" s="46">
        <f>+(B36-D36)/ABS(D36)</f>
        <v>0.39688359303391385</v>
      </c>
      <c r="D36" s="12">
        <f>+'CBNARÉSULT         '!T73</f>
        <v>1091</v>
      </c>
      <c r="E36" s="44" t="s">
        <v>0</v>
      </c>
      <c r="F36" s="12">
        <f>+'CBNARÉSULT         '!U73</f>
        <v>5415</v>
      </c>
      <c r="G36" s="46">
        <f>+(F36-H36)/ABS(H36)</f>
        <v>0.52651312265666839</v>
      </c>
      <c r="H36" s="12">
        <v>3547.3</v>
      </c>
      <c r="I36" s="46">
        <f>+(H36-J36)/ABS(J36)</f>
        <v>0.93587644619078802</v>
      </c>
      <c r="J36" s="12">
        <v>1832.4</v>
      </c>
      <c r="K36" s="46">
        <f>+(J36-L36)/ABS(L36)</f>
        <v>0.43335419274092613</v>
      </c>
      <c r="L36" s="12">
        <v>1278.4000000000001</v>
      </c>
      <c r="M36" s="43"/>
      <c r="N36" s="43"/>
    </row>
    <row r="37" spans="1:14">
      <c r="A37" t="s">
        <v>345</v>
      </c>
      <c r="B37" s="240">
        <f>+'CBNARÉSULT         '!R74</f>
        <v>4391</v>
      </c>
      <c r="C37" s="46">
        <f>+(B37-D37)/ABS(D37)</f>
        <v>0.10855844483716233</v>
      </c>
      <c r="D37" s="240">
        <f>+'CBNARÉSULT         '!T74</f>
        <v>3961</v>
      </c>
      <c r="E37" s="44" t="s">
        <v>0</v>
      </c>
      <c r="F37" s="240">
        <f>+'CBNARÉSULT         '!U74</f>
        <v>15227</v>
      </c>
      <c r="G37" s="46">
        <f>+(F37-H37)/ABS(H37)</f>
        <v>-0.12018766864466021</v>
      </c>
      <c r="H37" s="240">
        <v>17307.099999999999</v>
      </c>
      <c r="I37" s="46">
        <f>+(H37-J37)/ABS(J37)</f>
        <v>1.1247176389707323</v>
      </c>
      <c r="J37" s="240">
        <v>8145.6</v>
      </c>
      <c r="K37" s="46">
        <f>+(J37-L37)/ABS(L37)</f>
        <v>-4.1491139300087118E-2</v>
      </c>
      <c r="L37" s="240">
        <v>8498.2000000000007</v>
      </c>
      <c r="M37" s="43"/>
      <c r="N37" s="43"/>
    </row>
    <row r="38" spans="1:14" s="209" customFormat="1">
      <c r="B38" s="16">
        <f>SUM(B34:B37)</f>
        <v>15043</v>
      </c>
      <c r="C38" s="46">
        <f>+(B38-D38)/ABS(D38)</f>
        <v>4.953603572176097E-2</v>
      </c>
      <c r="D38" s="16">
        <f>SUM(D34:D37)</f>
        <v>14333</v>
      </c>
      <c r="E38" s="44" t="s">
        <v>0</v>
      </c>
      <c r="F38" s="16">
        <f>SUM(F34:F37)</f>
        <v>55943</v>
      </c>
      <c r="G38" s="46">
        <f>+(F38-H38)/ABS(H38)</f>
        <v>5.1862659749890537E-2</v>
      </c>
      <c r="H38" s="16">
        <f>SUM(H34:H37)</f>
        <v>53184.7</v>
      </c>
      <c r="I38" s="46">
        <f>+(H38-J38)/ABS(J38)</f>
        <v>0.50472199902674164</v>
      </c>
      <c r="J38" s="16">
        <f>SUM(J34:J37)</f>
        <v>35345.200000000004</v>
      </c>
      <c r="K38" s="46">
        <f>+(J38-L38)/ABS(L38)</f>
        <v>0.21267390595783386</v>
      </c>
      <c r="L38" s="16">
        <f>SUM(L34:L37)</f>
        <v>29146.5</v>
      </c>
      <c r="M38" s="44"/>
      <c r="N38" s="44"/>
    </row>
    <row r="39" spans="1:14">
      <c r="B39" s="249"/>
      <c r="C39" s="112"/>
      <c r="D39" s="249"/>
      <c r="E39" s="42"/>
      <c r="F39" s="249"/>
      <c r="G39" s="112"/>
      <c r="H39" s="249"/>
      <c r="I39" s="112"/>
      <c r="J39" s="249"/>
      <c r="K39" s="112"/>
      <c r="L39" s="249"/>
      <c r="M39" s="43"/>
      <c r="N39" s="43"/>
    </row>
    <row r="40" spans="1:14" s="209" customFormat="1">
      <c r="A40" s="209" t="s">
        <v>346</v>
      </c>
      <c r="B40" s="16">
        <f>+B31-B38</f>
        <v>17090</v>
      </c>
      <c r="C40" s="113">
        <f>+(B40-D40)/ABS(D40)</f>
        <v>1.3472050542507896</v>
      </c>
      <c r="D40" s="16">
        <f>+D31-D38</f>
        <v>7281</v>
      </c>
      <c r="E40" s="44" t="s">
        <v>0</v>
      </c>
      <c r="F40" s="16">
        <f>+F31-F38</f>
        <v>35337</v>
      </c>
      <c r="G40" s="46">
        <f>+(F40-H40)/ABS(H40)</f>
        <v>0.44361694739379248</v>
      </c>
      <c r="H40" s="16">
        <f>+H31-H38</f>
        <v>24478.100000000006</v>
      </c>
      <c r="I40" s="46">
        <f>+(H40-J40)/ABS(J40)</f>
        <v>-0.16844676355285532</v>
      </c>
      <c r="J40" s="16">
        <f>+J31-J38</f>
        <v>29436.599999999984</v>
      </c>
      <c r="K40" s="46">
        <f>+(J40-L40)/ABS(L40)</f>
        <v>5.5881371799975862E-2</v>
      </c>
      <c r="L40" s="16">
        <f>+L31-L38</f>
        <v>27878.699999999997</v>
      </c>
      <c r="M40" s="44"/>
      <c r="N40" s="44"/>
    </row>
    <row r="41" spans="1:14">
      <c r="B41" s="12"/>
      <c r="C41" s="46"/>
      <c r="D41" s="12"/>
      <c r="E41" s="44" t="s">
        <v>0</v>
      </c>
      <c r="F41" s="12"/>
      <c r="G41" s="46"/>
      <c r="H41" s="12"/>
      <c r="I41" s="46"/>
      <c r="J41" s="12"/>
      <c r="K41" s="46"/>
      <c r="L41" s="12"/>
      <c r="M41" s="43"/>
      <c r="N41" s="43"/>
    </row>
    <row r="42" spans="1:14">
      <c r="A42" t="s">
        <v>347</v>
      </c>
      <c r="B42" s="12">
        <f>+'CBNARÉSULT         '!R79</f>
        <v>5773</v>
      </c>
      <c r="C42" s="46">
        <f>+(B42-D42)/ABS(D42)</f>
        <v>1.2603758809710259</v>
      </c>
      <c r="D42" s="12">
        <f>+'CBNARÉSULT         '!T79</f>
        <v>2554</v>
      </c>
      <c r="E42" s="44" t="s">
        <v>0</v>
      </c>
      <c r="F42" s="12">
        <f>+'CBNARÉSULT         '!U79</f>
        <v>12304</v>
      </c>
      <c r="G42" s="46">
        <f>+(F42-H42)/ABS(H42)</f>
        <v>0.44413145539906101</v>
      </c>
      <c r="H42" s="12">
        <v>8520</v>
      </c>
      <c r="I42" s="46">
        <f>+(H42-J42)/ABS(J42)</f>
        <v>-0.15255923133541541</v>
      </c>
      <c r="J42" s="12">
        <v>10053.799999999999</v>
      </c>
      <c r="K42" s="46">
        <f>+(J42-L42)/ABS(L42)</f>
        <v>2.5960773108557631E-2</v>
      </c>
      <c r="L42" s="12">
        <v>9799.4</v>
      </c>
      <c r="M42" s="43"/>
      <c r="N42" s="43"/>
    </row>
    <row r="43" spans="1:14" ht="16.5" thickBot="1">
      <c r="B43" s="76"/>
      <c r="C43" s="46"/>
      <c r="D43" s="76"/>
      <c r="E43" s="44" t="s">
        <v>0</v>
      </c>
      <c r="F43" s="76"/>
      <c r="G43" s="46"/>
      <c r="H43" s="76"/>
      <c r="I43" s="46"/>
      <c r="J43" s="76"/>
      <c r="K43" s="46"/>
      <c r="L43" s="76"/>
      <c r="M43" s="43"/>
      <c r="N43" s="43"/>
    </row>
    <row r="44" spans="1:14">
      <c r="A44" s="2" t="s">
        <v>359</v>
      </c>
      <c r="B44" s="4">
        <f>+B40-B42</f>
        <v>11317</v>
      </c>
      <c r="C44" s="112">
        <f>+(B44-D44)/ABS(D44)</f>
        <v>1.3941188914745082</v>
      </c>
      <c r="D44" s="4">
        <f>+D40-D42</f>
        <v>4727</v>
      </c>
      <c r="E44" s="42" t="s">
        <v>0</v>
      </c>
      <c r="F44" s="4">
        <f>+F40-F42</f>
        <v>23033</v>
      </c>
      <c r="G44" s="112">
        <f>+(F44-H44)/ABS(H44)</f>
        <v>0.44334225252379617</v>
      </c>
      <c r="H44" s="4">
        <f>+H40-H42</f>
        <v>15958.100000000006</v>
      </c>
      <c r="I44" s="112">
        <f>+(H44-J44)/ABS(J44)</f>
        <v>-0.17668757867800222</v>
      </c>
      <c r="J44" s="4">
        <f>+J40-J42</f>
        <v>19382.799999999985</v>
      </c>
      <c r="K44" s="112">
        <f>+(J44-L44)/ABS(L44)</f>
        <v>7.2099030382812901E-2</v>
      </c>
      <c r="L44" s="4">
        <f>+L40-L42</f>
        <v>18079.299999999996</v>
      </c>
      <c r="M44" s="43"/>
      <c r="N44" s="43"/>
    </row>
    <row r="45" spans="1:14">
      <c r="E45" t="s">
        <v>0</v>
      </c>
    </row>
    <row r="46" spans="1:14">
      <c r="E46" t="s">
        <v>0</v>
      </c>
    </row>
  </sheetData>
  <pageMargins left="0.24" right="0.27" top="0.62" bottom="0.75" header="0.38" footer="0.41"/>
  <pageSetup scale="62" orientation="landscape" r:id="rId1"/>
  <headerFooter alignWithMargins="0">
    <oddFooter xml:space="preserve">&amp;R&amp;P
</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6"/>
  <sheetViews>
    <sheetView workbookViewId="0"/>
  </sheetViews>
  <sheetFormatPr defaultRowHeight="15.75"/>
  <cols>
    <col min="1" max="1" width="33.5" customWidth="1"/>
    <col min="2" max="2" width="14.875" customWidth="1"/>
    <col min="3" max="3" width="12.75" customWidth="1"/>
    <col min="4" max="4" width="13.875" customWidth="1"/>
    <col min="5" max="5" width="14.625" customWidth="1"/>
    <col min="6" max="6" width="14.75" customWidth="1"/>
    <col min="7" max="7" width="9.375" customWidth="1"/>
    <col min="8" max="8" width="14.75" customWidth="1"/>
    <col min="9" max="9" width="13" customWidth="1"/>
    <col min="10" max="10" width="13.75" customWidth="1"/>
    <col min="11" max="11" width="13.25" customWidth="1"/>
    <col min="12" max="12" width="14.5" customWidth="1"/>
    <col min="13" max="13" width="8.75" customWidth="1"/>
    <col min="14" max="14" width="14.25" customWidth="1"/>
    <col min="15" max="15" width="13.375" customWidth="1"/>
    <col min="16" max="16" width="15.125" customWidth="1"/>
    <col min="17" max="17" width="11" customWidth="1"/>
    <col min="18" max="18" width="15.875" customWidth="1"/>
    <col min="19" max="19" width="11" customWidth="1"/>
    <col min="20" max="20" width="15.875" customWidth="1"/>
    <col min="21" max="256" width="11" customWidth="1"/>
  </cols>
  <sheetData>
    <row r="1" spans="1:27">
      <c r="A1" s="114" t="s">
        <v>626</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166</v>
      </c>
      <c r="J4" s="175" t="s">
        <v>167</v>
      </c>
      <c r="K4" s="176"/>
      <c r="L4" s="176"/>
      <c r="M4" s="176"/>
      <c r="N4" s="176"/>
      <c r="O4" s="176"/>
      <c r="P4" s="176"/>
    </row>
    <row r="5" spans="1:27" ht="16.5" thickBot="1">
      <c r="B5" s="174" t="s">
        <v>168</v>
      </c>
      <c r="C5" s="174" t="s">
        <v>169</v>
      </c>
      <c r="D5" s="173" t="s">
        <v>170</v>
      </c>
      <c r="E5" s="174" t="s">
        <v>169</v>
      </c>
      <c r="F5" s="173" t="s">
        <v>171</v>
      </c>
      <c r="G5" s="174" t="s">
        <v>169</v>
      </c>
      <c r="H5" s="174" t="s">
        <v>172</v>
      </c>
      <c r="I5" s="173" t="s">
        <v>173</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+promobkvar!B22</f>
        <v>1567981</v>
      </c>
      <c r="C11" s="57">
        <v>0</v>
      </c>
      <c r="D11" s="12">
        <f>+promobkvar!D22</f>
        <v>0</v>
      </c>
      <c r="E11" s="57">
        <v>0</v>
      </c>
      <c r="F11" s="43">
        <f>+promobkvar!F22</f>
        <v>0</v>
      </c>
      <c r="G11" s="43">
        <v>0</v>
      </c>
      <c r="H11" s="43">
        <f>+promobkvar!H22</f>
        <v>0</v>
      </c>
      <c r="I11" s="46">
        <f>+(-J11+B11)/ABS(J11)</f>
        <v>3.9222508983948856E-2</v>
      </c>
      <c r="J11" s="16">
        <f>+promobkvar!J22</f>
        <v>1508802</v>
      </c>
      <c r="K11" s="46">
        <f>+(-L11+J11)/ABS(L11)</f>
        <v>0.13142358364147239</v>
      </c>
      <c r="L11" s="16">
        <f>+promobkvar!L22</f>
        <v>1333543</v>
      </c>
      <c r="M11" s="46">
        <f>+(-N11+L11)/ABS(N11)</f>
        <v>1.7075952493140156E-2</v>
      </c>
      <c r="N11" s="16">
        <f>+promobkvar!N22</f>
        <v>1311153.7999999998</v>
      </c>
      <c r="O11" s="46">
        <f>+(-P11+N11)/ABS(P11)</f>
        <v>0.13652774118265545</v>
      </c>
      <c r="P11" s="16">
        <f>+promobkvar!P22</f>
        <v>1153648.743</v>
      </c>
      <c r="Q11" s="43"/>
      <c r="R11" s="43"/>
      <c r="S11" s="43"/>
      <c r="T11" s="43"/>
      <c r="U11" s="43"/>
      <c r="V11" s="43"/>
      <c r="W11" s="43"/>
      <c r="X11" s="43"/>
      <c r="Y11" s="43"/>
      <c r="Z11" s="43"/>
      <c r="AA11" s="43"/>
    </row>
    <row r="12" spans="1:27">
      <c r="A12" t="s">
        <v>181</v>
      </c>
      <c r="B12" s="12">
        <f>+promobkvar!B17</f>
        <v>90000</v>
      </c>
      <c r="C12" s="57">
        <v>0</v>
      </c>
      <c r="D12" s="12">
        <f>+promobkvar!D17</f>
        <v>0</v>
      </c>
      <c r="E12" s="57">
        <v>0</v>
      </c>
      <c r="F12" s="12">
        <f>+promobkvar!F17</f>
        <v>0</v>
      </c>
      <c r="G12" s="43">
        <v>0</v>
      </c>
      <c r="H12" s="12">
        <f>+promobkvar!H17</f>
        <v>0</v>
      </c>
      <c r="I12" s="46">
        <f>+(-J12+B12)/ABS(J12)</f>
        <v>-0.18181818181818182</v>
      </c>
      <c r="J12" s="16">
        <f>+promobkvar!J17</f>
        <v>110000</v>
      </c>
      <c r="K12" s="46">
        <f>+(-L12+J12)/ABS(L12)</f>
        <v>2.6666666666666665</v>
      </c>
      <c r="L12" s="16">
        <f>+promobkvar!L17</f>
        <v>30000</v>
      </c>
      <c r="M12" s="43">
        <v>0</v>
      </c>
      <c r="N12" s="16">
        <v>0</v>
      </c>
      <c r="O12" s="43">
        <v>0</v>
      </c>
      <c r="P12" s="16">
        <v>0</v>
      </c>
      <c r="Q12" s="43"/>
      <c r="R12" s="43"/>
      <c r="S12" s="43"/>
      <c r="T12" s="43"/>
      <c r="U12" s="43"/>
      <c r="V12" s="43"/>
      <c r="W12" s="43"/>
      <c r="X12" s="43"/>
      <c r="Y12" s="43"/>
      <c r="Z12" s="43"/>
      <c r="AA12" s="43"/>
    </row>
    <row r="13" spans="1:27">
      <c r="A13" t="s">
        <v>182</v>
      </c>
      <c r="B13" s="12">
        <f>+promobkvar!B19</f>
        <v>772879</v>
      </c>
      <c r="C13" s="57">
        <v>0</v>
      </c>
      <c r="D13" s="12">
        <f>+promobkvar!D19</f>
        <v>0</v>
      </c>
      <c r="E13" s="57">
        <v>0</v>
      </c>
      <c r="F13" s="43">
        <f>+promobkvar!F19</f>
        <v>0</v>
      </c>
      <c r="G13" s="43">
        <v>0</v>
      </c>
      <c r="H13" s="43">
        <f>+promobkvar!H19</f>
        <v>0</v>
      </c>
      <c r="I13" s="46">
        <f>+(-J13+B13)/ABS(J13)</f>
        <v>0.13698303673486201</v>
      </c>
      <c r="J13" s="12">
        <f>+promobkvar!J19</f>
        <v>679763</v>
      </c>
      <c r="K13" s="46">
        <f>+(-L13+J13)/ABS(L13)</f>
        <v>-2.2306377935541775E-2</v>
      </c>
      <c r="L13" s="12">
        <f>+promobkvar!L19</f>
        <v>695272</v>
      </c>
      <c r="M13" s="46">
        <f>+(-N13+L13)/ABS(N13)</f>
        <v>-4.6598295652987786E-5</v>
      </c>
      <c r="N13" s="12">
        <f>+promobkvar!N19</f>
        <v>695304.4</v>
      </c>
      <c r="O13" s="46">
        <f>+(-P13+N13)/ABS(P13)</f>
        <v>0.34951241161593927</v>
      </c>
      <c r="P13" s="12">
        <f>+promobkvar!P19</f>
        <v>515226.38400000002</v>
      </c>
      <c r="Q13" s="43"/>
      <c r="R13" s="43"/>
      <c r="S13" s="43"/>
      <c r="T13" s="43"/>
      <c r="U13" s="43"/>
      <c r="V13" s="43"/>
      <c r="W13" s="43"/>
      <c r="X13" s="43"/>
      <c r="Y13" s="43"/>
      <c r="Z13" s="43"/>
      <c r="AA13" s="43"/>
    </row>
    <row r="14" spans="1:27">
      <c r="A14" t="s">
        <v>183</v>
      </c>
      <c r="B14" s="12">
        <f>+promobkvar!B29</f>
        <v>1355039</v>
      </c>
      <c r="C14" s="57">
        <v>0</v>
      </c>
      <c r="D14" s="12">
        <f>+promobkvar!D29</f>
        <v>0</v>
      </c>
      <c r="E14" s="57">
        <v>0</v>
      </c>
      <c r="F14" s="43">
        <f>+promobkvar!F29</f>
        <v>0</v>
      </c>
      <c r="G14" s="43">
        <v>0</v>
      </c>
      <c r="H14" s="43">
        <f>+promobkvar!H29</f>
        <v>0</v>
      </c>
      <c r="I14" s="46">
        <f>+(-J14+B14)/ABS(J14)</f>
        <v>6.7198491631199411E-2</v>
      </c>
      <c r="J14" s="12">
        <f>+promobkvar!J29</f>
        <v>1269716</v>
      </c>
      <c r="K14" s="46">
        <f>+(-L14+J14)/ABS(L14)</f>
        <v>0.13691928037507028</v>
      </c>
      <c r="L14" s="12">
        <f>+promobkvar!L29</f>
        <v>1116804</v>
      </c>
      <c r="M14" s="46">
        <f>+(-N14+L14)/ABS(N14)</f>
        <v>4.499116233329372E-2</v>
      </c>
      <c r="N14" s="12">
        <f>+promobkvar!N29</f>
        <v>1068721</v>
      </c>
      <c r="O14" s="46">
        <f>+(-P14+N14)/ABS(P14)</f>
        <v>0.13537137815148226</v>
      </c>
      <c r="P14" s="12">
        <f>+promobkvar!P29</f>
        <v>941296.40800000005</v>
      </c>
      <c r="Q14" s="43"/>
      <c r="R14" s="43"/>
      <c r="S14" s="43"/>
      <c r="T14" s="43"/>
      <c r="U14" s="43"/>
      <c r="V14" s="43"/>
      <c r="W14" s="43"/>
      <c r="X14" s="43"/>
      <c r="Y14" s="43"/>
      <c r="Z14" s="43"/>
      <c r="AA14" s="43"/>
    </row>
    <row r="15" spans="1:27">
      <c r="A15" t="s">
        <v>184</v>
      </c>
      <c r="B15" s="12">
        <f>+promobkvar!B51</f>
        <v>95371</v>
      </c>
      <c r="C15" s="57">
        <v>0</v>
      </c>
      <c r="D15" s="12">
        <f>+promobkvar!D51</f>
        <v>0</v>
      </c>
      <c r="E15" s="57">
        <v>0</v>
      </c>
      <c r="F15" s="43">
        <f>+promobkvar!F51</f>
        <v>0</v>
      </c>
      <c r="G15" s="43">
        <v>0</v>
      </c>
      <c r="H15" s="43">
        <f>+promobkvar!H51</f>
        <v>0</v>
      </c>
      <c r="I15" s="46">
        <f>+(-J15+B15)/ABS(J15)</f>
        <v>0.10226182633519411</v>
      </c>
      <c r="J15" s="12">
        <f>+promobkvar!J51</f>
        <v>86523</v>
      </c>
      <c r="K15" s="46">
        <f>+(-L15+J15)/ABS(L15)</f>
        <v>-1.8646432338630101E-2</v>
      </c>
      <c r="L15" s="12">
        <f>+promobkvar!L51</f>
        <v>88167</v>
      </c>
      <c r="M15" s="46">
        <f>+(-N15+L15)/ABS(N15)</f>
        <v>6.3941217570530548E-2</v>
      </c>
      <c r="N15" s="12">
        <f>+promobkvar!N51</f>
        <v>82868.3</v>
      </c>
      <c r="O15" s="46">
        <f>+(-P15+N15)/ABS(P15)</f>
        <v>0.59930937443989496</v>
      </c>
      <c r="P15" s="12">
        <f>+promobkvar!P51</f>
        <v>51815.053</v>
      </c>
      <c r="Q15" s="43"/>
      <c r="R15" s="43"/>
      <c r="S15" s="43"/>
      <c r="T15" s="43"/>
      <c r="U15" s="43"/>
      <c r="V15" s="43"/>
      <c r="W15" s="43"/>
      <c r="X15" s="43"/>
      <c r="Y15" s="43"/>
      <c r="Z15" s="43"/>
      <c r="AA15" s="43"/>
    </row>
    <row r="16" spans="1:27">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row>
    <row r="17" spans="1:27" ht="16.5" thickBot="1">
      <c r="B17" s="187"/>
      <c r="C17" s="187"/>
      <c r="D17" s="187"/>
      <c r="E17" s="187"/>
      <c r="F17" s="187"/>
      <c r="G17" s="187"/>
      <c r="H17" s="187"/>
      <c r="I17" s="187"/>
      <c r="J17" s="187"/>
      <c r="K17" s="187"/>
      <c r="L17" s="187"/>
      <c r="M17" s="187"/>
      <c r="N17" s="187"/>
      <c r="O17" s="187"/>
      <c r="P17" s="187"/>
      <c r="Q17" s="43"/>
      <c r="R17" s="43"/>
      <c r="S17" s="43"/>
      <c r="T17" s="43"/>
      <c r="U17" s="43"/>
      <c r="V17" s="43"/>
      <c r="W17" s="43"/>
      <c r="X17" s="43"/>
      <c r="Y17" s="43"/>
      <c r="Z17" s="43"/>
      <c r="AA17" s="43"/>
    </row>
    <row r="18" spans="1:27">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row>
    <row r="19" spans="1:27">
      <c r="B19" s="51" t="s">
        <v>185</v>
      </c>
      <c r="C19" s="43"/>
      <c r="D19" s="51" t="s">
        <v>174</v>
      </c>
      <c r="E19" s="43"/>
      <c r="F19" s="51" t="s">
        <v>185</v>
      </c>
      <c r="G19" s="50" t="s">
        <v>0</v>
      </c>
      <c r="H19" s="51" t="s">
        <v>174</v>
      </c>
      <c r="I19" s="43"/>
      <c r="J19" s="51" t="s">
        <v>185</v>
      </c>
      <c r="K19" s="43"/>
      <c r="L19" s="51" t="s">
        <v>174</v>
      </c>
      <c r="M19" s="43"/>
      <c r="N19" s="51" t="s">
        <v>185</v>
      </c>
      <c r="O19" s="43"/>
      <c r="P19" s="51" t="s">
        <v>174</v>
      </c>
      <c r="Q19" s="43"/>
      <c r="R19" s="51" t="s">
        <v>185</v>
      </c>
      <c r="S19" s="43"/>
      <c r="T19" s="51" t="s">
        <v>174</v>
      </c>
      <c r="U19" s="43"/>
      <c r="V19" s="43"/>
      <c r="W19" s="43"/>
      <c r="X19" s="43"/>
      <c r="Y19" s="43"/>
      <c r="Z19" s="43"/>
      <c r="AA19" s="43"/>
    </row>
    <row r="20" spans="1:27">
      <c r="B20" s="50" t="s">
        <v>186</v>
      </c>
      <c r="C20" s="50" t="s">
        <v>169</v>
      </c>
      <c r="D20" s="50" t="s">
        <v>186</v>
      </c>
      <c r="E20" s="43"/>
      <c r="F20" s="50" t="s">
        <v>187</v>
      </c>
      <c r="G20" s="50" t="s">
        <v>169</v>
      </c>
      <c r="H20" s="50" t="s">
        <v>187</v>
      </c>
      <c r="I20" s="43"/>
      <c r="J20" s="50" t="s">
        <v>188</v>
      </c>
      <c r="K20" s="50" t="s">
        <v>169</v>
      </c>
      <c r="L20" s="50" t="s">
        <v>188</v>
      </c>
      <c r="M20" s="43"/>
      <c r="N20" s="50" t="s">
        <v>189</v>
      </c>
      <c r="O20" s="50" t="s">
        <v>169</v>
      </c>
      <c r="P20" s="50" t="s">
        <v>189</v>
      </c>
      <c r="Q20" s="43"/>
      <c r="R20" s="50" t="s">
        <v>190</v>
      </c>
      <c r="S20" s="50" t="s">
        <v>169</v>
      </c>
      <c r="T20" s="50" t="s">
        <v>190</v>
      </c>
      <c r="U20" s="43"/>
      <c r="V20" s="43"/>
      <c r="W20" s="43"/>
      <c r="X20" s="43"/>
      <c r="Y20" s="43"/>
      <c r="Z20" s="43"/>
      <c r="AA20" s="43"/>
    </row>
    <row r="21" spans="1:27" ht="16.5" thickBot="1">
      <c r="B21" s="326" t="s">
        <v>191</v>
      </c>
      <c r="C21" s="326"/>
      <c r="D21" s="326" t="s">
        <v>192</v>
      </c>
      <c r="E21" s="208"/>
      <c r="F21" s="326" t="s">
        <v>193</v>
      </c>
      <c r="G21" s="326"/>
      <c r="H21" s="326" t="s">
        <v>194</v>
      </c>
      <c r="I21" s="208"/>
      <c r="J21" s="326" t="s">
        <v>195</v>
      </c>
      <c r="K21" s="326"/>
      <c r="L21" s="326" t="s">
        <v>196</v>
      </c>
      <c r="M21" s="208"/>
      <c r="N21" s="326" t="s">
        <v>444</v>
      </c>
      <c r="O21" s="326"/>
      <c r="P21" s="326" t="s">
        <v>198</v>
      </c>
      <c r="Q21" s="208"/>
      <c r="R21" s="326" t="s">
        <v>199</v>
      </c>
      <c r="S21" s="326"/>
      <c r="T21" s="326" t="s">
        <v>200</v>
      </c>
      <c r="U21" s="43"/>
      <c r="V21" s="43"/>
      <c r="W21" s="43"/>
      <c r="X21" s="43"/>
      <c r="Y21" s="43"/>
      <c r="Z21" s="43"/>
      <c r="AA21" s="43"/>
    </row>
    <row r="22" spans="1:27">
      <c r="A22" s="2" t="s">
        <v>52</v>
      </c>
      <c r="B22" s="43"/>
      <c r="C22" s="43"/>
      <c r="D22" s="43"/>
      <c r="E22" s="43"/>
      <c r="F22" s="43"/>
      <c r="G22" s="43"/>
      <c r="H22" s="43"/>
      <c r="I22" s="43"/>
      <c r="J22" s="43"/>
      <c r="K22" s="43"/>
      <c r="L22" s="43"/>
      <c r="M22" s="43"/>
      <c r="N22" s="43"/>
      <c r="O22" s="43"/>
      <c r="P22" s="43"/>
      <c r="Q22" s="43"/>
      <c r="R22" s="43"/>
      <c r="S22" s="47" t="s">
        <v>0</v>
      </c>
      <c r="T22" s="43"/>
      <c r="U22" s="43"/>
      <c r="V22" s="43"/>
      <c r="W22" s="43"/>
      <c r="X22" s="43"/>
      <c r="Y22" s="43"/>
      <c r="Z22" s="43"/>
      <c r="AA22" s="43"/>
    </row>
    <row r="23" spans="1:27">
      <c r="A23" t="s">
        <v>201</v>
      </c>
      <c r="B23" s="12">
        <f>+'PROMOBKRÉSULT    '!B15</f>
        <v>29383.300000000003</v>
      </c>
      <c r="C23" s="46">
        <f>+(-D23+B23)/ABS(D23)</f>
        <v>0.9854385988621156</v>
      </c>
      <c r="D23" s="12">
        <f>+'PROMOBKRÉSULT    '!D55</f>
        <v>14799.400000000005</v>
      </c>
      <c r="E23" s="43"/>
      <c r="F23" s="43">
        <f>+'PROMOBKRÉSULT    '!D15</f>
        <v>0</v>
      </c>
      <c r="G23" s="43">
        <v>0</v>
      </c>
      <c r="H23" s="12">
        <f>+'PROMOBKRÉSULT    '!H55</f>
        <v>21033.899999999998</v>
      </c>
      <c r="I23" s="43"/>
      <c r="J23" s="43">
        <f>+'PROMOBKRÉSULT    '!F15</f>
        <v>0</v>
      </c>
      <c r="K23" s="43">
        <v>0</v>
      </c>
      <c r="L23" s="12">
        <f>+'PROMOBKRÉSULT    '!L55</f>
        <v>21329</v>
      </c>
      <c r="M23" s="43"/>
      <c r="N23" s="43">
        <f>+'PROMOBKRÉSULT    '!H15</f>
        <v>0</v>
      </c>
      <c r="O23" s="43">
        <v>0</v>
      </c>
      <c r="P23" s="12">
        <f>+'PROMOBKRÉSULT    '!P55</f>
        <v>20797.7</v>
      </c>
      <c r="Q23" s="43"/>
      <c r="R23" s="12">
        <f>+'PROMOBKRÉSULT    '!R55</f>
        <v>29383.300000000003</v>
      </c>
      <c r="S23" s="46">
        <f>+(-T23+R23)/ABS(T23)</f>
        <v>0.9854385988621156</v>
      </c>
      <c r="T23" s="12">
        <f>+'PROMOBKRÉSULT    '!T55</f>
        <v>14799.400000000005</v>
      </c>
      <c r="U23" s="43"/>
      <c r="V23" s="43"/>
      <c r="W23" s="43"/>
      <c r="X23" s="43"/>
      <c r="Y23" s="43"/>
      <c r="Z23" s="43"/>
      <c r="AA23" s="43"/>
    </row>
    <row r="24" spans="1:27">
      <c r="A24" t="s">
        <v>202</v>
      </c>
      <c r="B24" s="12">
        <f>+'PROMOBKRÉSULT    '!B21</f>
        <v>12785</v>
      </c>
      <c r="C24" s="46">
        <f>+(-D24+B24)/ABS(D24)</f>
        <v>0.1411205026821018</v>
      </c>
      <c r="D24" s="12">
        <f>+'PROMOBKRÉSULT    '!D61</f>
        <v>11203.9</v>
      </c>
      <c r="E24" s="43"/>
      <c r="F24" s="43">
        <f>+'PROMOBKRÉSULT    '!D21</f>
        <v>0</v>
      </c>
      <c r="G24" s="43">
        <v>0</v>
      </c>
      <c r="H24" s="12">
        <f>+'PROMOBKRÉSULT    '!H61</f>
        <v>8142.6</v>
      </c>
      <c r="I24" s="43"/>
      <c r="J24" s="43">
        <f>+'PROMOBKRÉSULT    '!F21</f>
        <v>0</v>
      </c>
      <c r="K24" s="43">
        <v>0</v>
      </c>
      <c r="L24" s="12">
        <f>+'PROMOBKRÉSULT    '!L61</f>
        <v>7605.6</v>
      </c>
      <c r="M24" s="43"/>
      <c r="N24" s="43">
        <f>+'PROMOBKRÉSULT    '!H21</f>
        <v>0</v>
      </c>
      <c r="O24" s="43">
        <v>0</v>
      </c>
      <c r="P24" s="12">
        <f>+'PROMOBKRÉSULT    '!P61</f>
        <v>9754.7999999999993</v>
      </c>
      <c r="Q24" s="43"/>
      <c r="R24" s="12">
        <f>+'PROMOBKRÉSULT    '!R61</f>
        <v>12785</v>
      </c>
      <c r="S24" s="46">
        <f>+(-T24+R24)/ABS(T24)</f>
        <v>0.1411205026821018</v>
      </c>
      <c r="T24" s="12">
        <f>+'PROMOBKRÉSULT    '!T61</f>
        <v>11203.9</v>
      </c>
      <c r="U24" s="43"/>
      <c r="V24" s="43"/>
      <c r="W24" s="43"/>
      <c r="X24" s="43"/>
      <c r="Y24" s="43"/>
      <c r="Z24" s="43"/>
      <c r="AA24" s="43"/>
    </row>
    <row r="25" spans="1:27">
      <c r="A25" t="s">
        <v>447</v>
      </c>
      <c r="B25" s="12">
        <f>+'PROMOBKRÉSULT    '!B25</f>
        <v>0</v>
      </c>
      <c r="C25" s="43">
        <v>0</v>
      </c>
      <c r="D25" s="12">
        <f>+'PROMOBKRÉSULT    '!D65</f>
        <v>3000</v>
      </c>
      <c r="E25" s="43"/>
      <c r="F25" s="43">
        <f>+'PROMOBKRÉSULT    '!D25</f>
        <v>0</v>
      </c>
      <c r="G25" s="43">
        <v>0</v>
      </c>
      <c r="H25" s="12">
        <f>+'PROMOBKRÉSULT    '!H65</f>
        <v>3000</v>
      </c>
      <c r="I25" s="43"/>
      <c r="J25" s="43">
        <f>+'PROMOBKRÉSULT    '!F25</f>
        <v>0</v>
      </c>
      <c r="K25" s="43">
        <v>0</v>
      </c>
      <c r="L25" s="12">
        <f>+'PROMOBKRÉSULT    '!L65</f>
        <v>3000</v>
      </c>
      <c r="M25" s="43"/>
      <c r="N25" s="43">
        <f>+'PROMOBKRÉSULT    '!H25</f>
        <v>0</v>
      </c>
      <c r="O25" s="43">
        <v>0</v>
      </c>
      <c r="P25" s="12">
        <f>+'PROMOBKRÉSULT    '!P65</f>
        <v>3000</v>
      </c>
      <c r="Q25" s="43"/>
      <c r="R25" s="12">
        <f>+'PROMOBKRÉSULT    '!R65</f>
        <v>0</v>
      </c>
      <c r="S25" s="43">
        <v>0</v>
      </c>
      <c r="T25" s="12">
        <f>+'PROMOBKRÉSULT    '!T65</f>
        <v>3000</v>
      </c>
      <c r="U25" s="43"/>
      <c r="V25" s="43"/>
      <c r="W25" s="43"/>
      <c r="X25" s="43"/>
      <c r="Y25" s="43"/>
      <c r="Z25" s="43"/>
      <c r="AA25" s="43"/>
    </row>
    <row r="26" spans="1:27">
      <c r="A26" t="s">
        <v>204</v>
      </c>
      <c r="B26" s="12">
        <f>+'PROMOBKRÉSULT    '!B35</f>
        <v>29734.600000000002</v>
      </c>
      <c r="C26" s="46">
        <f>+(-D26+B26)/ABS(D26)</f>
        <v>0.31093378008993927</v>
      </c>
      <c r="D26" s="12">
        <f>+'PROMOBKRÉSULT    '!D75</f>
        <v>22682</v>
      </c>
      <c r="E26" s="43"/>
      <c r="F26" s="43">
        <f>+'PROMOBKRÉSULT    '!D35</f>
        <v>0</v>
      </c>
      <c r="G26" s="43">
        <v>0</v>
      </c>
      <c r="H26" s="12">
        <f>+'PROMOBKRÉSULT    '!H75</f>
        <v>22475</v>
      </c>
      <c r="I26" s="43"/>
      <c r="J26" s="43">
        <f>+'PROMOBKRÉSULT    '!F35</f>
        <v>0</v>
      </c>
      <c r="K26" s="43">
        <v>0</v>
      </c>
      <c r="L26" s="12">
        <f>+'PROMOBKRÉSULT    '!L75</f>
        <v>24559.1</v>
      </c>
      <c r="M26" s="43"/>
      <c r="N26" s="43">
        <f>+'PROMOBKRÉSULT    '!H35</f>
        <v>0</v>
      </c>
      <c r="O26" s="43">
        <v>0</v>
      </c>
      <c r="P26" s="12">
        <f>+'PROMOBKRÉSULT    '!P75</f>
        <v>22627</v>
      </c>
      <c r="Q26" s="43"/>
      <c r="R26" s="12">
        <f>+'PROMOBKRÉSULT    '!R75</f>
        <v>29734.600000000002</v>
      </c>
      <c r="S26" s="46">
        <f>+(-T26+R26)/ABS(T26)</f>
        <v>0.31093378008993927</v>
      </c>
      <c r="T26" s="12">
        <f>+'PROMOBKRÉSULT    '!T75</f>
        <v>22682</v>
      </c>
      <c r="U26" s="43"/>
      <c r="V26" s="43"/>
      <c r="W26" s="43"/>
      <c r="X26" s="43"/>
      <c r="Y26" s="43"/>
      <c r="Z26" s="43"/>
      <c r="AA26" s="43"/>
    </row>
    <row r="27" spans="1:27">
      <c r="A27" t="s">
        <v>448</v>
      </c>
      <c r="B27" s="12">
        <f>+'PROMOBKRÉSULT    '!B41</f>
        <v>8849.2000000000007</v>
      </c>
      <c r="C27" s="46">
        <f>+(-D27+B27)/ABS(D27)</f>
        <v>15.060254083484487</v>
      </c>
      <c r="D27" s="12">
        <f>+'PROMOBKRÉSULT    '!D81</f>
        <v>551.00000000000296</v>
      </c>
      <c r="E27" s="43"/>
      <c r="F27" s="43">
        <f>+'PROMOBKRÉSULT    '!D41</f>
        <v>0</v>
      </c>
      <c r="G27" s="43">
        <v>0</v>
      </c>
      <c r="H27" s="12">
        <f>+'PROMOBKRÉSULT    '!H81</f>
        <v>2406</v>
      </c>
      <c r="I27" s="43"/>
      <c r="J27" s="43">
        <f>+'PROMOBKRÉSULT    '!F41</f>
        <v>0</v>
      </c>
      <c r="K27" s="43">
        <v>0</v>
      </c>
      <c r="L27" s="12">
        <f>+'PROMOBKRÉSULT    '!L81</f>
        <v>894</v>
      </c>
      <c r="M27" s="43"/>
      <c r="N27" s="43">
        <f>+'PROMOBKRÉSULT    '!H41</f>
        <v>0</v>
      </c>
      <c r="O27" s="43">
        <v>0</v>
      </c>
      <c r="P27" s="12">
        <f>+'PROMOBKRÉSULT    '!P81</f>
        <v>3202.5</v>
      </c>
      <c r="Q27" s="43"/>
      <c r="R27" s="12">
        <f>+'PROMOBKRÉSULT    '!R81</f>
        <v>8849.2000000000007</v>
      </c>
      <c r="S27" s="46">
        <f>+(-T27+R27)/ABS(T27)</f>
        <v>15.060254083484487</v>
      </c>
      <c r="T27" s="12">
        <f>+'PROMOBKRÉSULT    '!T81</f>
        <v>551.00000000000296</v>
      </c>
      <c r="U27" s="43"/>
      <c r="V27" s="43"/>
      <c r="W27" s="43"/>
      <c r="X27" s="43"/>
      <c r="Y27" s="43"/>
      <c r="Z27" s="43"/>
      <c r="AA27" s="43"/>
    </row>
    <row r="28" spans="1:27">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ht="16.5" thickBot="1">
      <c r="B29" s="187"/>
      <c r="C29" s="187"/>
      <c r="D29" s="187"/>
      <c r="E29" s="187"/>
      <c r="F29" s="187"/>
      <c r="G29" s="187"/>
      <c r="H29" s="187"/>
      <c r="I29" s="187"/>
      <c r="J29" s="187"/>
      <c r="K29" s="187"/>
      <c r="L29" s="187"/>
      <c r="M29" s="187"/>
      <c r="N29" s="187"/>
      <c r="O29" s="187"/>
      <c r="P29" s="187"/>
      <c r="Q29" s="187"/>
      <c r="R29" s="187"/>
      <c r="S29" s="187"/>
      <c r="T29" s="187"/>
      <c r="U29" s="43"/>
      <c r="V29" s="43"/>
      <c r="W29" s="43"/>
      <c r="X29" s="43"/>
      <c r="Y29" s="43"/>
      <c r="Z29" s="43"/>
      <c r="AA29" s="43"/>
    </row>
    <row r="30" spans="1:27">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c r="B31" s="51" t="s">
        <v>185</v>
      </c>
      <c r="C31" s="51" t="s">
        <v>174</v>
      </c>
      <c r="D31" s="43"/>
      <c r="E31" s="51" t="s">
        <v>185</v>
      </c>
      <c r="F31" s="51" t="s">
        <v>174</v>
      </c>
      <c r="G31" s="43"/>
      <c r="H31" s="51" t="s">
        <v>185</v>
      </c>
      <c r="I31" s="51" t="s">
        <v>174</v>
      </c>
      <c r="J31" s="43"/>
      <c r="K31" s="51" t="s">
        <v>185</v>
      </c>
      <c r="L31" s="51" t="s">
        <v>174</v>
      </c>
      <c r="M31" s="43"/>
      <c r="N31" s="51" t="s">
        <v>185</v>
      </c>
      <c r="O31" s="51" t="s">
        <v>174</v>
      </c>
      <c r="P31" s="43"/>
      <c r="U31" s="43"/>
      <c r="V31" s="43"/>
      <c r="W31" s="43"/>
      <c r="X31" s="43"/>
      <c r="Y31" s="43"/>
      <c r="Z31" s="43"/>
      <c r="AA31" s="43"/>
    </row>
    <row r="32" spans="1:27" ht="16.5" thickBot="1">
      <c r="B32" s="50" t="s">
        <v>186</v>
      </c>
      <c r="C32" s="50" t="s">
        <v>186</v>
      </c>
      <c r="D32" s="43"/>
      <c r="E32" s="50" t="s">
        <v>187</v>
      </c>
      <c r="F32" s="50" t="s">
        <v>187</v>
      </c>
      <c r="G32" s="43"/>
      <c r="H32" s="50" t="s">
        <v>188</v>
      </c>
      <c r="I32" s="50" t="s">
        <v>188</v>
      </c>
      <c r="J32" s="43"/>
      <c r="K32" s="50" t="s">
        <v>189</v>
      </c>
      <c r="L32" s="50" t="s">
        <v>189</v>
      </c>
      <c r="M32" s="43"/>
      <c r="N32" s="50" t="s">
        <v>190</v>
      </c>
      <c r="O32" s="50" t="s">
        <v>190</v>
      </c>
      <c r="P32" s="43"/>
      <c r="Q32" s="114" t="s">
        <v>206</v>
      </c>
      <c r="R32" s="114"/>
      <c r="S32" s="114"/>
      <c r="T32" s="114"/>
      <c r="U32" s="43"/>
      <c r="V32" s="43"/>
      <c r="W32" s="43"/>
      <c r="X32" s="43"/>
      <c r="Y32" s="43"/>
      <c r="Z32" s="43"/>
      <c r="AA32" s="43"/>
    </row>
    <row r="33" spans="1:27" ht="16.5" thickBot="1">
      <c r="B33" s="326" t="s">
        <v>191</v>
      </c>
      <c r="C33" s="326" t="s">
        <v>192</v>
      </c>
      <c r="D33" s="208"/>
      <c r="E33" s="326" t="s">
        <v>193</v>
      </c>
      <c r="F33" s="326" t="s">
        <v>194</v>
      </c>
      <c r="G33" s="208"/>
      <c r="H33" s="326" t="s">
        <v>195</v>
      </c>
      <c r="I33" s="326" t="s">
        <v>196</v>
      </c>
      <c r="J33" s="208"/>
      <c r="K33" s="326" t="s">
        <v>197</v>
      </c>
      <c r="L33" s="326" t="s">
        <v>198</v>
      </c>
      <c r="M33" s="208"/>
      <c r="N33" s="181" t="s">
        <v>627</v>
      </c>
      <c r="O33" s="181" t="s">
        <v>546</v>
      </c>
      <c r="P33" s="43"/>
      <c r="Q33" s="182" t="s">
        <v>174</v>
      </c>
      <c r="R33" s="182" t="s">
        <v>175</v>
      </c>
      <c r="S33" s="182" t="s">
        <v>176</v>
      </c>
      <c r="T33" s="182" t="s">
        <v>177</v>
      </c>
      <c r="U33" s="43"/>
      <c r="V33" s="43"/>
      <c r="W33" s="43"/>
      <c r="X33" s="43"/>
      <c r="Y33" s="43"/>
      <c r="Z33" s="43"/>
      <c r="AA33" s="43"/>
    </row>
    <row r="34" spans="1:27">
      <c r="B34" s="355"/>
      <c r="C34" s="355"/>
      <c r="D34" s="208"/>
      <c r="E34" s="355"/>
      <c r="F34" s="355"/>
      <c r="G34" s="208"/>
      <c r="H34" s="355"/>
      <c r="I34" s="355"/>
      <c r="J34" s="208"/>
      <c r="K34" s="355"/>
      <c r="L34" s="355"/>
      <c r="M34" s="208"/>
      <c r="N34" s="355"/>
      <c r="O34" s="355"/>
      <c r="P34" s="43"/>
      <c r="Q34" s="356"/>
      <c r="R34" s="356"/>
      <c r="S34" s="356"/>
      <c r="T34" s="356"/>
      <c r="U34" s="43"/>
      <c r="V34" s="43"/>
      <c r="W34" s="43"/>
      <c r="X34" s="43"/>
      <c r="Y34" s="43"/>
      <c r="Z34" s="43"/>
      <c r="AA34" s="43"/>
    </row>
    <row r="35" spans="1:27">
      <c r="A35" s="2" t="s">
        <v>207</v>
      </c>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row>
    <row r="36" spans="1:27">
      <c r="A36" s="183" t="s">
        <v>208</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2" t="s">
        <v>209</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t="s">
        <v>210</v>
      </c>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s="2"/>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row>
    <row r="41" spans="1:27">
      <c r="A41" t="s">
        <v>211</v>
      </c>
      <c r="B41" s="57"/>
      <c r="C41" s="57"/>
      <c r="D41" s="57"/>
      <c r="E41" s="57"/>
      <c r="F41" s="57"/>
      <c r="G41" s="57"/>
      <c r="H41" s="57"/>
      <c r="I41" s="57"/>
      <c r="J41" s="57"/>
      <c r="K41" s="57"/>
      <c r="L41" s="57"/>
      <c r="M41" s="57"/>
      <c r="N41" s="57"/>
      <c r="O41" s="57"/>
      <c r="P41" s="57"/>
      <c r="Q41" s="57"/>
      <c r="R41" s="57"/>
      <c r="S41" s="57"/>
      <c r="T41" s="57"/>
      <c r="U41" s="43"/>
      <c r="V41" s="43"/>
      <c r="W41" s="43"/>
      <c r="X41" s="43"/>
      <c r="Y41" s="43"/>
      <c r="Z41" s="43"/>
      <c r="AA41" s="43"/>
    </row>
    <row r="42" spans="1:27">
      <c r="A42" t="s">
        <v>212</v>
      </c>
      <c r="B42" s="58">
        <f>+promobkvar!B51/promobkvar!B22</f>
        <v>6.0824078863200508E-2</v>
      </c>
      <c r="C42" s="59">
        <v>6.3E-2</v>
      </c>
      <c r="D42" s="59"/>
      <c r="E42" s="364">
        <v>0</v>
      </c>
      <c r="F42" s="59">
        <v>5.7200000000000001E-2</v>
      </c>
      <c r="G42" s="59"/>
      <c r="H42" s="364">
        <v>0</v>
      </c>
      <c r="I42" s="59">
        <v>5.8400000000000001E-2</v>
      </c>
      <c r="J42" s="59"/>
      <c r="K42" s="364">
        <v>0</v>
      </c>
      <c r="L42" s="59">
        <v>5.7299999999999997E-2</v>
      </c>
      <c r="M42" s="59"/>
      <c r="N42" s="59">
        <f>+B42</f>
        <v>6.0824078863200508E-2</v>
      </c>
      <c r="O42" s="59">
        <f>+C42</f>
        <v>6.3E-2</v>
      </c>
      <c r="P42" s="59"/>
      <c r="Q42" s="59">
        <f>+promobkvar!J51/promobkvar!J22</f>
        <v>5.7345496625799804E-2</v>
      </c>
      <c r="R42" s="59">
        <v>6.6100000000000006E-2</v>
      </c>
      <c r="S42" s="59">
        <v>6.3200000000000006E-2</v>
      </c>
      <c r="T42" s="59">
        <v>4.4900000000000002E-2</v>
      </c>
      <c r="U42" s="43"/>
      <c r="V42" s="43"/>
      <c r="W42" s="43"/>
      <c r="X42" s="43"/>
      <c r="Y42" s="43"/>
      <c r="Z42" s="43"/>
      <c r="AA42" s="43"/>
    </row>
    <row r="43" spans="1:27">
      <c r="B43" s="58"/>
      <c r="C43" s="59"/>
      <c r="D43" s="59"/>
      <c r="E43" s="57"/>
      <c r="F43" s="59"/>
      <c r="G43" s="59"/>
      <c r="H43" s="57"/>
      <c r="I43" s="59"/>
      <c r="J43" s="59"/>
      <c r="K43" s="57"/>
      <c r="L43" s="59"/>
      <c r="M43" s="59"/>
      <c r="N43" s="59"/>
      <c r="O43" s="59"/>
      <c r="P43" s="59"/>
      <c r="Q43" s="59"/>
      <c r="R43" s="59"/>
      <c r="S43" s="59"/>
      <c r="T43" s="59"/>
      <c r="U43" s="43"/>
      <c r="V43" s="43"/>
      <c r="W43" s="43"/>
      <c r="X43" s="43"/>
      <c r="Y43" s="43"/>
      <c r="Z43" s="43"/>
      <c r="AA43" s="43"/>
    </row>
    <row r="44" spans="1:27">
      <c r="A44" t="s">
        <v>213</v>
      </c>
      <c r="B44" s="58">
        <f>+promobkvar!B29/promobkvar!B22</f>
        <v>0.86419350744683765</v>
      </c>
      <c r="C44" s="59">
        <v>0.86719999999999997</v>
      </c>
      <c r="D44" s="59"/>
      <c r="E44" s="364">
        <v>0</v>
      </c>
      <c r="F44" s="59">
        <v>0.85150000000000003</v>
      </c>
      <c r="G44" s="59"/>
      <c r="H44" s="364">
        <v>0</v>
      </c>
      <c r="I44" s="59">
        <v>0.85960000000000003</v>
      </c>
      <c r="J44" s="59"/>
      <c r="K44" s="364">
        <v>0</v>
      </c>
      <c r="L44" s="59">
        <v>0.84150000000000003</v>
      </c>
      <c r="M44" s="59"/>
      <c r="N44" s="59">
        <f>+B44</f>
        <v>0.86419350744683765</v>
      </c>
      <c r="O44" s="59">
        <f>+C44</f>
        <v>0.86719999999999997</v>
      </c>
      <c r="P44" s="59"/>
      <c r="Q44" s="59">
        <f>+promobkvar!J29/promobkvar!J22</f>
        <v>0.84153918141677964</v>
      </c>
      <c r="R44" s="59">
        <v>0.83750000000000002</v>
      </c>
      <c r="S44" s="59">
        <v>0.81510000000000005</v>
      </c>
      <c r="T44" s="59">
        <v>0.81589999999999996</v>
      </c>
      <c r="U44" s="43"/>
      <c r="V44" s="43"/>
      <c r="W44" s="43"/>
      <c r="X44" s="43"/>
      <c r="Y44" s="43"/>
      <c r="Z44" s="43"/>
      <c r="AA44" s="43"/>
    </row>
    <row r="45" spans="1:27">
      <c r="A45" t="s">
        <v>0</v>
      </c>
      <c r="B45" s="57"/>
      <c r="C45" s="58" t="s">
        <v>0</v>
      </c>
      <c r="D45" s="59"/>
      <c r="E45" s="57"/>
      <c r="F45" s="59"/>
      <c r="G45" s="59"/>
      <c r="H45" s="57"/>
      <c r="I45" s="59"/>
      <c r="J45" s="59"/>
      <c r="K45" s="57"/>
      <c r="L45" s="59"/>
      <c r="M45" s="59"/>
      <c r="N45" s="59"/>
      <c r="O45" s="59"/>
      <c r="P45" s="59"/>
      <c r="Q45" s="59"/>
      <c r="R45" s="59"/>
      <c r="S45" s="59"/>
      <c r="T45" s="59"/>
      <c r="U45" s="43"/>
      <c r="V45" s="43"/>
      <c r="W45" s="43"/>
      <c r="X45" s="43"/>
      <c r="Y45" s="43"/>
      <c r="Z45" s="43"/>
      <c r="AA45" s="43"/>
    </row>
    <row r="46" spans="1:27">
      <c r="A46" s="2" t="s">
        <v>214</v>
      </c>
      <c r="B46" s="57"/>
      <c r="C46" s="59"/>
      <c r="D46" s="59"/>
      <c r="E46" s="57"/>
      <c r="F46" s="59"/>
      <c r="G46" s="59"/>
      <c r="H46" s="57"/>
      <c r="I46" s="59"/>
      <c r="J46" s="59"/>
      <c r="K46" s="57"/>
      <c r="L46" s="59"/>
      <c r="M46" s="59"/>
      <c r="N46" s="59"/>
      <c r="O46" s="59"/>
      <c r="P46" s="59"/>
      <c r="Q46" s="59"/>
      <c r="R46" s="59"/>
      <c r="S46" s="59"/>
      <c r="T46" s="59"/>
      <c r="U46" s="43"/>
      <c r="V46" s="43"/>
      <c r="W46" s="43"/>
      <c r="X46" s="43"/>
      <c r="Y46" s="43"/>
      <c r="Z46" s="43"/>
      <c r="AA46" s="43"/>
    </row>
    <row r="47" spans="1:27">
      <c r="A47" s="2"/>
      <c r="B47" s="57"/>
      <c r="C47" s="59"/>
      <c r="D47" s="59"/>
      <c r="E47" s="57"/>
      <c r="F47" s="59"/>
      <c r="G47" s="59"/>
      <c r="H47" s="57"/>
      <c r="I47" s="59"/>
      <c r="J47" s="59"/>
      <c r="K47" s="57"/>
      <c r="L47" s="59"/>
      <c r="M47" s="59"/>
      <c r="N47" s="59"/>
      <c r="O47" s="59"/>
      <c r="P47" s="59"/>
      <c r="Q47" s="59"/>
      <c r="R47" s="59"/>
      <c r="S47" s="59"/>
      <c r="T47" s="59"/>
      <c r="U47" s="43"/>
      <c r="V47" s="43"/>
      <c r="W47" s="43"/>
      <c r="X47" s="43"/>
      <c r="Y47" s="43"/>
      <c r="Z47" s="43"/>
      <c r="AA47" s="43"/>
    </row>
    <row r="48" spans="1:27">
      <c r="A48" t="s">
        <v>215</v>
      </c>
      <c r="B48" s="57"/>
      <c r="C48" s="59"/>
      <c r="D48" s="59"/>
      <c r="E48" s="57"/>
      <c r="F48" s="59"/>
      <c r="G48" s="59"/>
      <c r="H48" s="57"/>
      <c r="I48" s="59"/>
      <c r="J48" s="59"/>
      <c r="K48" s="57"/>
      <c r="L48" s="59"/>
      <c r="M48" s="59"/>
      <c r="N48" s="59"/>
      <c r="O48" s="59"/>
      <c r="P48" s="59"/>
      <c r="Q48" s="59"/>
      <c r="R48" s="59"/>
      <c r="S48" s="59"/>
      <c r="T48" s="59"/>
      <c r="U48" s="43"/>
      <c r="V48" s="43"/>
      <c r="W48" s="43"/>
      <c r="X48" s="43"/>
      <c r="Y48" s="43"/>
      <c r="Z48" s="43"/>
      <c r="AA48" s="43"/>
    </row>
    <row r="49" spans="1:27">
      <c r="A49" t="s">
        <v>216</v>
      </c>
      <c r="B49" s="59">
        <f>+promobkvar!B62/promobkvar!B60</f>
        <v>7.7573366901773869E-2</v>
      </c>
      <c r="C49" s="59">
        <v>8.7300000000000003E-2</v>
      </c>
      <c r="D49" s="59"/>
      <c r="E49" s="57">
        <v>0</v>
      </c>
      <c r="F49" s="59">
        <v>9.7299999999999998E-2</v>
      </c>
      <c r="G49" s="59"/>
      <c r="H49" s="364">
        <v>0</v>
      </c>
      <c r="I49" s="59">
        <v>9.2499999999999999E-2</v>
      </c>
      <c r="J49" s="59"/>
      <c r="K49" s="57">
        <v>0</v>
      </c>
      <c r="L49" s="59">
        <v>8.5800000000000001E-2</v>
      </c>
      <c r="M49" s="59"/>
      <c r="N49" s="59">
        <f>+B49</f>
        <v>7.7573366901773869E-2</v>
      </c>
      <c r="O49" s="59">
        <f>+C49</f>
        <v>8.7300000000000003E-2</v>
      </c>
      <c r="P49" s="59"/>
      <c r="Q49" s="59">
        <f>+promobkvar!J62/promobkvar!J60</f>
        <v>8.5794303887250414E-2</v>
      </c>
      <c r="R49" s="59">
        <v>0.1615</v>
      </c>
      <c r="S49" s="59">
        <v>6.3200000000000006E-2</v>
      </c>
      <c r="T49" s="59">
        <v>9.4200000000000006E-2</v>
      </c>
      <c r="U49" s="43"/>
      <c r="V49" s="43"/>
      <c r="W49" s="43"/>
      <c r="X49" s="43"/>
      <c r="Y49" s="43"/>
      <c r="Z49" s="43"/>
      <c r="AA49" s="43"/>
    </row>
    <row r="50" spans="1:27">
      <c r="B50" s="57"/>
      <c r="C50" s="59"/>
      <c r="D50" s="59"/>
      <c r="E50" s="57"/>
      <c r="F50" s="59"/>
      <c r="G50" s="59"/>
      <c r="H50" s="57"/>
      <c r="I50" s="59"/>
      <c r="J50" s="59"/>
      <c r="K50" s="57"/>
      <c r="L50" s="59"/>
      <c r="M50" s="59"/>
      <c r="N50" s="59"/>
      <c r="O50" s="59"/>
      <c r="P50" s="59"/>
      <c r="Q50" s="59"/>
      <c r="R50" s="59"/>
      <c r="S50" s="59"/>
      <c r="T50" s="59"/>
      <c r="U50" s="43"/>
      <c r="V50" s="43"/>
      <c r="W50" s="43"/>
      <c r="X50" s="43"/>
      <c r="Y50" s="43"/>
      <c r="Z50" s="43"/>
      <c r="AA50" s="43"/>
    </row>
    <row r="51" spans="1:27">
      <c r="A51" t="s">
        <v>217</v>
      </c>
      <c r="B51" s="57"/>
      <c r="C51" s="59"/>
      <c r="D51" s="59"/>
      <c r="E51" s="57"/>
      <c r="F51" s="59"/>
      <c r="G51" s="59"/>
      <c r="H51" s="57"/>
      <c r="I51" s="59"/>
      <c r="J51" s="59"/>
      <c r="K51" s="57"/>
      <c r="L51" s="59"/>
      <c r="M51" s="59"/>
      <c r="N51" s="59"/>
      <c r="O51" s="59"/>
      <c r="P51" s="59"/>
      <c r="Q51" s="59"/>
      <c r="R51" s="59"/>
      <c r="S51" s="59"/>
      <c r="T51" s="59"/>
      <c r="U51" s="43"/>
      <c r="V51" s="43"/>
      <c r="W51" s="43"/>
      <c r="X51" s="43"/>
      <c r="Y51" s="43"/>
      <c r="Z51" s="43"/>
      <c r="AA51" s="43"/>
    </row>
    <row r="52" spans="1:27">
      <c r="A52" t="s">
        <v>218</v>
      </c>
      <c r="B52" s="59">
        <f>+promobkvar!B61/promobkvar!B62</f>
        <v>0.92361648756619497</v>
      </c>
      <c r="C52" s="59">
        <v>0.81420000000000003</v>
      </c>
      <c r="D52" s="59"/>
      <c r="E52" s="57">
        <v>0</v>
      </c>
      <c r="F52" s="59">
        <v>0.7389</v>
      </c>
      <c r="G52" s="59"/>
      <c r="H52" s="364">
        <v>0</v>
      </c>
      <c r="I52" s="59">
        <v>0.90359999999999996</v>
      </c>
      <c r="J52" s="59"/>
      <c r="K52" s="57">
        <v>0</v>
      </c>
      <c r="L52" s="59">
        <v>0.95150000000000001</v>
      </c>
      <c r="M52" s="59"/>
      <c r="N52" s="59">
        <f>+B52</f>
        <v>0.92361648756619497</v>
      </c>
      <c r="O52" s="59">
        <f>+C52</f>
        <v>0.81420000000000003</v>
      </c>
      <c r="P52" s="59"/>
      <c r="Q52" s="59">
        <f>+promobkvar!J61/promobkvar!J62</f>
        <v>0.95153061224489799</v>
      </c>
      <c r="R52" s="59">
        <v>0.62629999999999997</v>
      </c>
      <c r="S52" s="59">
        <v>1.1292</v>
      </c>
      <c r="T52" s="59">
        <v>0.94710000000000005</v>
      </c>
      <c r="U52" s="43"/>
      <c r="V52" s="43"/>
      <c r="W52" s="43"/>
      <c r="X52" s="43"/>
      <c r="Y52" s="43"/>
      <c r="Z52" s="43"/>
      <c r="AA52" s="43"/>
    </row>
    <row r="53" spans="1:27">
      <c r="B53" s="57"/>
      <c r="C53" s="59"/>
      <c r="D53" s="59"/>
      <c r="E53" s="57"/>
      <c r="F53" s="59"/>
      <c r="G53" s="59"/>
      <c r="H53" s="57"/>
      <c r="I53" s="59"/>
      <c r="J53" s="59"/>
      <c r="K53" s="57"/>
      <c r="L53" s="59"/>
      <c r="M53" s="59"/>
      <c r="N53" s="59"/>
      <c r="O53" s="59"/>
      <c r="P53" s="59"/>
      <c r="Q53" s="59"/>
      <c r="R53" s="59"/>
      <c r="S53" s="59"/>
      <c r="T53" s="59"/>
      <c r="U53" s="43"/>
      <c r="V53" s="43"/>
      <c r="W53" s="43"/>
      <c r="X53" s="43"/>
      <c r="Y53" s="43"/>
      <c r="Z53" s="43"/>
      <c r="AA53" s="43"/>
    </row>
    <row r="54" spans="1:27">
      <c r="A54" t="s">
        <v>219</v>
      </c>
      <c r="B54" s="57"/>
      <c r="C54" s="59"/>
      <c r="D54" s="59"/>
      <c r="E54" s="57"/>
      <c r="F54" s="59"/>
      <c r="G54" s="59"/>
      <c r="H54" s="57"/>
      <c r="I54" s="59"/>
      <c r="J54" s="59"/>
      <c r="K54" s="57"/>
      <c r="L54" s="59"/>
      <c r="M54" s="59"/>
      <c r="N54" s="59"/>
      <c r="O54" s="59"/>
      <c r="P54" s="59"/>
      <c r="Q54" s="59"/>
      <c r="R54" s="59"/>
      <c r="S54" s="59"/>
      <c r="T54" s="59"/>
      <c r="U54" s="43"/>
      <c r="V54" s="43"/>
      <c r="W54" s="43"/>
      <c r="X54" s="43"/>
      <c r="Y54" s="43"/>
      <c r="Z54" s="43"/>
      <c r="AA54" s="43"/>
    </row>
    <row r="55" spans="1:27">
      <c r="A55" t="s">
        <v>220</v>
      </c>
      <c r="B55" s="59">
        <f>+(promobkvar!B62-promobkvar!B61)/promobkvar!B51</f>
        <v>5.1724318713235677E-2</v>
      </c>
      <c r="C55" s="59">
        <v>0.13650000000000001</v>
      </c>
      <c r="D55" s="59"/>
      <c r="E55" s="57">
        <v>0</v>
      </c>
      <c r="F55" s="59">
        <v>0.23469999999999999</v>
      </c>
      <c r="G55" s="59"/>
      <c r="H55" s="364">
        <v>0</v>
      </c>
      <c r="I55" s="59">
        <v>7.3800000000000004E-2</v>
      </c>
      <c r="J55" s="59"/>
      <c r="K55" s="57">
        <v>0</v>
      </c>
      <c r="L55" s="59">
        <v>3.56E-2</v>
      </c>
      <c r="M55" s="59"/>
      <c r="N55" s="59">
        <f>+B55</f>
        <v>5.1724318713235677E-2</v>
      </c>
      <c r="O55" s="59">
        <f>+C55</f>
        <v>0.13650000000000001</v>
      </c>
      <c r="P55" s="59"/>
      <c r="Q55" s="59">
        <f>+(promobkvar!J62-promobkvar!J61)/promobkvar!J51</f>
        <v>3.5574355951596685E-2</v>
      </c>
      <c r="R55" s="59">
        <v>0.52939999999999998</v>
      </c>
      <c r="S55" s="59">
        <v>-7.3700000000000002E-2</v>
      </c>
      <c r="T55" s="59">
        <v>5.4399999999999997E-2</v>
      </c>
      <c r="U55" s="43"/>
      <c r="V55" s="43"/>
      <c r="W55" s="43"/>
      <c r="X55" s="43"/>
      <c r="Y55" s="43"/>
      <c r="Z55" s="43"/>
      <c r="AA55" s="43"/>
    </row>
    <row r="56" spans="1:27">
      <c r="A56" t="s">
        <v>0</v>
      </c>
      <c r="B56" s="57"/>
      <c r="C56" s="59"/>
      <c r="D56" s="59"/>
      <c r="E56" s="57"/>
      <c r="F56" s="59"/>
      <c r="G56" s="59"/>
      <c r="H56" s="57"/>
      <c r="I56" s="59"/>
      <c r="J56" s="59"/>
      <c r="K56" s="57"/>
      <c r="L56" s="59"/>
      <c r="M56" s="59"/>
      <c r="N56" s="59"/>
      <c r="O56" s="59"/>
      <c r="P56" s="59"/>
      <c r="Q56" s="59"/>
      <c r="R56" s="59"/>
      <c r="S56" s="59"/>
      <c r="T56" s="59"/>
      <c r="U56" s="43"/>
      <c r="V56" s="43"/>
      <c r="W56" s="43"/>
      <c r="X56" s="43"/>
      <c r="Y56" s="43"/>
      <c r="Z56" s="43"/>
      <c r="AA56" s="43"/>
    </row>
    <row r="57" spans="1:27">
      <c r="A57" s="2" t="s">
        <v>221</v>
      </c>
      <c r="B57" s="57"/>
      <c r="C57" s="59"/>
      <c r="D57" s="59"/>
      <c r="E57" s="57"/>
      <c r="F57" s="59"/>
      <c r="G57" s="59"/>
      <c r="H57" s="57"/>
      <c r="I57" s="59"/>
      <c r="J57" s="59"/>
      <c r="K57" s="57"/>
      <c r="L57" s="59"/>
      <c r="M57" s="59"/>
      <c r="N57" s="59"/>
      <c r="O57" s="59"/>
      <c r="P57" s="59"/>
      <c r="Q57" s="59"/>
      <c r="R57" s="59"/>
      <c r="S57" s="59"/>
      <c r="T57" s="59"/>
      <c r="U57" s="43"/>
      <c r="V57" s="43"/>
      <c r="W57" s="43"/>
      <c r="X57" s="43"/>
      <c r="Y57" s="43"/>
      <c r="Z57" s="43"/>
      <c r="AA57" s="43"/>
    </row>
    <row r="58" spans="1:27">
      <c r="A58" s="2"/>
      <c r="B58" s="57"/>
      <c r="C58" s="59"/>
      <c r="D58" s="59"/>
      <c r="E58" s="57"/>
      <c r="F58" s="59"/>
      <c r="G58" s="59"/>
      <c r="H58" s="57"/>
      <c r="I58" s="59"/>
      <c r="J58" s="59"/>
      <c r="K58" s="57"/>
      <c r="L58" s="59"/>
      <c r="M58" s="59"/>
      <c r="N58" s="59"/>
      <c r="O58" s="59"/>
      <c r="P58" s="59"/>
      <c r="Q58" s="59"/>
      <c r="R58" s="59"/>
      <c r="S58" s="59"/>
      <c r="T58" s="59"/>
      <c r="U58" s="43"/>
      <c r="V58" s="43"/>
      <c r="W58" s="43"/>
      <c r="X58" s="43"/>
      <c r="Y58" s="43"/>
      <c r="Z58" s="43"/>
      <c r="AA58" s="43"/>
    </row>
    <row r="59" spans="1:27">
      <c r="A59" t="s">
        <v>222</v>
      </c>
      <c r="B59" s="59">
        <f>+('PROMOBKRÉSULT    '!B41/((promobkvar!B22+promobkvar!J22)/2)*4)</f>
        <v>2.3008967483244675E-2</v>
      </c>
      <c r="C59" s="59">
        <v>1.6000000000000001E-3</v>
      </c>
      <c r="D59" s="59"/>
      <c r="E59" s="57">
        <v>0</v>
      </c>
      <c r="F59" s="59">
        <v>6.8999999999999999E-3</v>
      </c>
      <c r="G59" s="59"/>
      <c r="H59" s="364">
        <v>0</v>
      </c>
      <c r="I59" s="59">
        <v>2.5000000000000001E-3</v>
      </c>
      <c r="J59" s="59"/>
      <c r="K59" s="57">
        <v>0</v>
      </c>
      <c r="L59" s="59">
        <v>8.6999999999999994E-3</v>
      </c>
      <c r="M59" s="59"/>
      <c r="N59" s="59">
        <f>+'sysratfinclé '!G37</f>
        <v>2.3008967483244675E-2</v>
      </c>
      <c r="O59" s="59">
        <f>+'sysratfinclé '!G38</f>
        <v>1.6000000000000001E-3</v>
      </c>
      <c r="P59" s="59"/>
      <c r="Q59" s="59">
        <f>+'PROMOBKVARAN      '!F43/((promobkvar!J22+promobkvar!L22)/2)</f>
        <v>4.9631554227231407E-3</v>
      </c>
      <c r="R59" s="59">
        <v>7.6E-3</v>
      </c>
      <c r="S59" s="59">
        <v>1.26E-2</v>
      </c>
      <c r="T59" s="59">
        <v>1.0699999999999999E-2</v>
      </c>
      <c r="U59" s="43"/>
      <c r="V59" s="43"/>
      <c r="W59" s="43"/>
      <c r="X59" s="43"/>
      <c r="Y59" s="43"/>
      <c r="Z59" s="43"/>
      <c r="AA59" s="43"/>
    </row>
    <row r="60" spans="1:27" ht="7.15" customHeight="1">
      <c r="B60" s="57"/>
      <c r="C60" s="59"/>
      <c r="D60" s="59"/>
      <c r="E60" s="57"/>
      <c r="F60" s="59"/>
      <c r="G60" s="59"/>
      <c r="H60" s="57"/>
      <c r="I60" s="59"/>
      <c r="J60" s="59"/>
      <c r="K60" s="57"/>
      <c r="L60" s="59"/>
      <c r="M60" s="59"/>
      <c r="N60" s="59"/>
      <c r="O60" s="59"/>
      <c r="P60" s="59"/>
      <c r="Q60" s="59"/>
      <c r="R60" s="59"/>
      <c r="S60" s="59"/>
      <c r="T60" s="59"/>
      <c r="U60" s="43"/>
      <c r="V60" s="43"/>
      <c r="W60" s="43"/>
      <c r="X60" s="43"/>
      <c r="Y60" s="43"/>
      <c r="Z60" s="43"/>
      <c r="AA60" s="43"/>
    </row>
    <row r="61" spans="1:27">
      <c r="A61" t="s">
        <v>547</v>
      </c>
      <c r="B61" s="59">
        <f>+('PROMOBKRÉSULT    '!B41/((promobkvar!J51+promobkvar!B51)/2)*4)</f>
        <v>0.38920250255643402</v>
      </c>
      <c r="C61" s="59">
        <v>2.53E-2</v>
      </c>
      <c r="D61" s="59"/>
      <c r="E61" s="57">
        <v>0</v>
      </c>
      <c r="F61" s="59">
        <v>0.11459999999999999</v>
      </c>
      <c r="G61" s="59"/>
      <c r="H61" s="364">
        <v>0</v>
      </c>
      <c r="I61" s="59">
        <v>4.3400000000000001E-2</v>
      </c>
      <c r="J61" s="59"/>
      <c r="K61" s="57">
        <v>0</v>
      </c>
      <c r="L61" s="58">
        <v>0.1512</v>
      </c>
      <c r="M61" s="59"/>
      <c r="N61" s="59">
        <f>+'sysratfinclé '!G43</f>
        <v>0.38920250255643402</v>
      </c>
      <c r="O61" s="59">
        <f>+'sysratfinclé '!G44</f>
        <v>2.53E-2</v>
      </c>
      <c r="P61" s="59"/>
      <c r="Q61" s="59">
        <f>+'PROMOBKVARAN      '!F43/((promobkvar!J51+promobkvar!L51)/2)</f>
        <v>8.0754479363443848E-2</v>
      </c>
      <c r="R61" s="59">
        <v>0.1177</v>
      </c>
      <c r="S61" s="59">
        <v>0.22989999999999999</v>
      </c>
      <c r="T61" s="59">
        <v>0.24959999999999999</v>
      </c>
      <c r="U61" s="43"/>
      <c r="V61" s="43"/>
      <c r="W61" s="43"/>
      <c r="X61" s="43"/>
      <c r="Y61" s="43"/>
      <c r="Z61" s="43"/>
      <c r="AA61" s="43"/>
    </row>
    <row r="62" spans="1:27" ht="7.15" customHeight="1">
      <c r="B62" s="57"/>
      <c r="C62" s="59"/>
      <c r="D62" s="59"/>
      <c r="E62" s="57"/>
      <c r="F62" s="59"/>
      <c r="G62" s="59"/>
      <c r="H62" s="57"/>
      <c r="I62" s="59"/>
      <c r="J62" s="59"/>
      <c r="K62" s="57"/>
      <c r="L62" s="59"/>
      <c r="M62" s="59"/>
      <c r="N62" s="59"/>
      <c r="O62" s="59"/>
      <c r="P62" s="59"/>
      <c r="Q62" s="59"/>
      <c r="R62" s="59"/>
      <c r="S62" s="59"/>
      <c r="T62" s="59"/>
      <c r="U62" s="43"/>
      <c r="V62" s="43"/>
      <c r="W62" s="43"/>
      <c r="X62" s="43"/>
      <c r="Y62" s="43"/>
      <c r="Z62" s="43"/>
      <c r="AA62" s="43"/>
    </row>
    <row r="63" spans="1:27">
      <c r="A63" t="s">
        <v>201</v>
      </c>
      <c r="B63" s="57"/>
      <c r="C63" s="59"/>
      <c r="D63" s="59"/>
      <c r="E63" s="57"/>
      <c r="F63" s="59"/>
      <c r="G63" s="59"/>
      <c r="H63" s="57"/>
      <c r="I63" s="59"/>
      <c r="J63" s="59"/>
      <c r="K63" s="57"/>
      <c r="L63" s="59"/>
      <c r="M63" s="59"/>
      <c r="N63" s="59"/>
      <c r="O63" s="59"/>
      <c r="P63" s="59"/>
      <c r="Q63" s="59"/>
      <c r="R63" s="59"/>
      <c r="S63" s="59"/>
      <c r="T63" s="59"/>
      <c r="U63" s="43"/>
      <c r="V63" s="43"/>
      <c r="W63" s="43"/>
      <c r="X63" s="43"/>
      <c r="Y63" s="43"/>
      <c r="Z63" s="43"/>
      <c r="AA63" s="43"/>
    </row>
    <row r="64" spans="1:27">
      <c r="A64" t="s">
        <v>225</v>
      </c>
      <c r="B64" s="59">
        <f>+'PROMOBKRÉSULT    '!B15/'PROMOBKRÉSULT    '!B13</f>
        <v>0.72328301115818139</v>
      </c>
      <c r="C64" s="59">
        <v>0.45140000000000002</v>
      </c>
      <c r="D64" s="59"/>
      <c r="E64" s="57">
        <v>0</v>
      </c>
      <c r="F64" s="59">
        <v>0.63900000000000001</v>
      </c>
      <c r="G64" s="59"/>
      <c r="H64" s="364">
        <v>0</v>
      </c>
      <c r="I64" s="59">
        <v>0.65700000000000003</v>
      </c>
      <c r="J64" s="59"/>
      <c r="K64" s="57">
        <v>0</v>
      </c>
      <c r="L64" s="59">
        <v>0.65180000000000005</v>
      </c>
      <c r="M64" s="59"/>
      <c r="N64" s="59">
        <f>+'sysratfinclé '!G50</f>
        <v>0.72328301115818139</v>
      </c>
      <c r="O64" s="59">
        <f>+'sysratfinclé '!G51</f>
        <v>0.45142555599276479</v>
      </c>
      <c r="P64" s="59"/>
      <c r="Q64" s="59">
        <f>+'PROMOBKVARAN      '!F17/'PROMOBKVARAN      '!F15</f>
        <v>0.59936864862205186</v>
      </c>
      <c r="R64" s="59">
        <v>0.60509999999999997</v>
      </c>
      <c r="S64" s="59">
        <v>0.6119</v>
      </c>
      <c r="T64" s="59">
        <v>0.5373</v>
      </c>
      <c r="U64" s="43"/>
      <c r="V64" s="43"/>
      <c r="W64" s="43"/>
      <c r="X64" s="43"/>
      <c r="Y64" s="43"/>
      <c r="Z64" s="43"/>
      <c r="AA64" s="43"/>
    </row>
    <row r="65" spans="1:27" ht="7.15" customHeight="1">
      <c r="B65" s="57"/>
      <c r="C65" s="59"/>
      <c r="D65" s="59"/>
      <c r="E65" s="57"/>
      <c r="F65" s="59"/>
      <c r="G65" s="59"/>
      <c r="H65" s="57"/>
      <c r="I65" s="59"/>
      <c r="J65" s="59"/>
      <c r="K65" s="57"/>
      <c r="L65" s="59"/>
      <c r="M65" s="59"/>
      <c r="N65" s="59"/>
      <c r="O65" s="59"/>
      <c r="P65" s="59"/>
      <c r="Q65" s="59"/>
      <c r="R65" s="59"/>
      <c r="S65" s="59"/>
      <c r="T65" s="59"/>
      <c r="U65" s="43"/>
      <c r="V65" s="43"/>
      <c r="W65" s="43"/>
      <c r="X65" s="43"/>
      <c r="Y65" s="43"/>
      <c r="Z65" s="43"/>
      <c r="AA65" s="43"/>
    </row>
    <row r="66" spans="1:27">
      <c r="A66" t="s">
        <v>226</v>
      </c>
      <c r="B66" s="59">
        <f>+('PROMOBKRÉSULT    '!B10/((promobkvar!B60+promobkvar!J60)/2)*4)</f>
        <v>0.18007308371436184</v>
      </c>
      <c r="C66" s="56">
        <v>0.1552</v>
      </c>
      <c r="D66" s="56"/>
      <c r="E66" s="49">
        <v>0</v>
      </c>
      <c r="F66" s="56">
        <v>0.1605</v>
      </c>
      <c r="G66" s="56"/>
      <c r="H66" s="364">
        <v>0</v>
      </c>
      <c r="I66" s="56">
        <v>0.15959999999999999</v>
      </c>
      <c r="J66" s="56"/>
      <c r="K66" s="49">
        <v>0</v>
      </c>
      <c r="L66" s="56">
        <v>0.15670000000000001</v>
      </c>
      <c r="M66" s="56"/>
      <c r="N66" s="59">
        <f>+'sysratfinclé '!G56</f>
        <v>0.18007308371436184</v>
      </c>
      <c r="O66" s="59">
        <f>+'sysratfinclé '!G57</f>
        <v>0.1837</v>
      </c>
      <c r="P66" s="56"/>
      <c r="Q66" s="56">
        <f>+'PROMOBKVARAN      '!F12/((promobkvar!J60+promobkvar!L60)/2)</f>
        <v>0.15261020563614949</v>
      </c>
      <c r="R66" s="56">
        <v>0.19159999999999999</v>
      </c>
      <c r="S66" s="56">
        <v>0.2084</v>
      </c>
      <c r="T66" s="56">
        <v>0.22220000000000001</v>
      </c>
    </row>
    <row r="67" spans="1:27" ht="7.15" customHeight="1">
      <c r="B67" s="9"/>
      <c r="C67" s="56"/>
      <c r="D67" s="56"/>
      <c r="E67" s="49"/>
      <c r="F67" s="56"/>
      <c r="G67" s="56"/>
      <c r="H67" s="49"/>
      <c r="I67" s="56"/>
      <c r="J67" s="56"/>
      <c r="K67" s="49"/>
      <c r="L67" s="56"/>
      <c r="M67" s="56"/>
      <c r="N67" s="56"/>
      <c r="O67" s="56"/>
      <c r="P67" s="56"/>
      <c r="Q67" s="56"/>
      <c r="R67" s="56"/>
      <c r="S67" s="56"/>
      <c r="T67" s="56"/>
    </row>
    <row r="68" spans="1:27">
      <c r="A68" t="s">
        <v>227</v>
      </c>
      <c r="B68" s="59">
        <f>+('PROMOBKRÉSULT    '!B14/((promobkvar!J29+promobkvar!B29)/2)*4)</f>
        <v>3.4263312194852472E-2</v>
      </c>
      <c r="C68" s="56">
        <v>6.25E-2</v>
      </c>
      <c r="D68" s="56"/>
      <c r="E68" s="49">
        <v>0</v>
      </c>
      <c r="F68" s="56">
        <v>3.9600000000000003E-2</v>
      </c>
      <c r="G68" s="56"/>
      <c r="H68" s="364">
        <v>0</v>
      </c>
      <c r="I68" s="56">
        <v>3.6499999999999998E-2</v>
      </c>
      <c r="J68" s="56"/>
      <c r="K68" s="49">
        <v>0</v>
      </c>
      <c r="L68" s="56">
        <v>3.5700000000000003E-2</v>
      </c>
      <c r="M68" s="56"/>
      <c r="N68" s="59">
        <f>+'sysratfinclé '!G62</f>
        <v>3.4263312194852472E-2</v>
      </c>
      <c r="O68" s="59">
        <f>+'sysratfinclé '!G63</f>
        <v>6.25E-2</v>
      </c>
      <c r="P68" s="56"/>
      <c r="Q68" s="56">
        <f>+'PROMOBKVARAN      '!F16/((promobkvar!J29+promobkvar!L29)/2)</f>
        <v>4.3670449022006938E-2</v>
      </c>
      <c r="R68" s="56">
        <v>5.5399999999999998E-2</v>
      </c>
      <c r="S68" s="56">
        <v>4.8800000000000003E-2</v>
      </c>
      <c r="T68" s="56">
        <v>5.3999999999999999E-2</v>
      </c>
    </row>
    <row r="69" spans="1:27" ht="6" customHeight="1">
      <c r="B69" s="9"/>
      <c r="C69" s="56"/>
      <c r="D69" s="56"/>
      <c r="E69" s="49"/>
      <c r="F69" s="56"/>
      <c r="G69" s="56"/>
      <c r="H69" s="49"/>
      <c r="I69" s="56"/>
      <c r="J69" s="56"/>
      <c r="K69" s="49"/>
      <c r="L69" s="56"/>
      <c r="M69" s="56"/>
      <c r="N69" s="56"/>
      <c r="O69" s="56"/>
      <c r="P69" s="56"/>
      <c r="Q69" s="56"/>
      <c r="R69" s="56"/>
      <c r="S69" s="56"/>
      <c r="T69" s="56"/>
    </row>
    <row r="70" spans="1:27">
      <c r="A70" t="s">
        <v>204</v>
      </c>
      <c r="B70" s="9"/>
      <c r="C70" s="56"/>
      <c r="D70" s="56"/>
      <c r="E70" s="49"/>
      <c r="F70" s="56"/>
      <c r="G70" s="56"/>
      <c r="H70" s="49"/>
      <c r="I70" s="56"/>
      <c r="J70" s="56"/>
      <c r="K70" s="49"/>
      <c r="L70" s="56"/>
      <c r="M70" s="56"/>
      <c r="N70" s="56"/>
      <c r="O70" s="56"/>
      <c r="P70" s="56"/>
      <c r="Q70" s="56"/>
      <c r="R70" s="56"/>
      <c r="S70" s="56"/>
      <c r="T70" s="56"/>
    </row>
    <row r="71" spans="1:27">
      <c r="A71" t="s">
        <v>228</v>
      </c>
      <c r="B71" s="59">
        <f>+'PROMOBKRÉSULT    '!B35/'PROMOBKRÉSULT    '!B23</f>
        <v>0.70514106568204082</v>
      </c>
      <c r="C71" s="56">
        <v>0.87229999999999996</v>
      </c>
      <c r="D71" s="56"/>
      <c r="E71" s="57">
        <v>0</v>
      </c>
      <c r="F71" s="56">
        <v>0.77029999999999998</v>
      </c>
      <c r="G71" s="56"/>
      <c r="H71" s="364">
        <v>0</v>
      </c>
      <c r="I71" s="56">
        <v>0.8488</v>
      </c>
      <c r="J71" s="56"/>
      <c r="K71" s="57">
        <v>0</v>
      </c>
      <c r="L71" s="56">
        <v>0.74060000000000004</v>
      </c>
      <c r="M71" s="56"/>
      <c r="N71" s="59">
        <f>+'sysratfinclé '!G70</f>
        <v>0.70514106568204082</v>
      </c>
      <c r="O71" s="59">
        <f>+'sysratfinclé '!G71</f>
        <v>0.87227390369683833</v>
      </c>
      <c r="P71" s="56"/>
      <c r="Q71" s="56">
        <f>+'PROMOBKVARAN      '!F37/'PROMOBKVARAN      '!F25</f>
        <v>0.80531609383352998</v>
      </c>
      <c r="R71" s="56">
        <v>0.76649999999999996</v>
      </c>
      <c r="S71" s="56">
        <v>0.69699999999999995</v>
      </c>
      <c r="T71" s="56">
        <v>0.71340000000000003</v>
      </c>
    </row>
    <row r="72" spans="1:27">
      <c r="A72" t="s">
        <v>452</v>
      </c>
      <c r="B72" s="9"/>
      <c r="C72" s="9"/>
      <c r="D72" s="9"/>
      <c r="E72" s="49"/>
      <c r="F72" s="9"/>
      <c r="G72" s="9"/>
      <c r="H72" s="49"/>
      <c r="I72" s="9"/>
      <c r="J72" s="9"/>
      <c r="K72" s="49"/>
      <c r="L72" s="9"/>
      <c r="M72" s="9"/>
      <c r="N72" s="9"/>
      <c r="O72" s="9"/>
      <c r="P72" s="9"/>
      <c r="Q72" s="9"/>
      <c r="R72" s="9"/>
      <c r="S72" s="9"/>
      <c r="T72" s="9"/>
    </row>
    <row r="73" spans="1:27">
      <c r="B73" s="9"/>
      <c r="C73" s="9"/>
      <c r="D73" s="9"/>
      <c r="E73" s="49"/>
      <c r="F73" s="9"/>
      <c r="G73" s="9"/>
      <c r="H73" s="49"/>
      <c r="I73" s="9"/>
      <c r="J73" s="9"/>
      <c r="K73" s="49"/>
      <c r="L73" s="9"/>
      <c r="M73" s="9"/>
      <c r="N73" s="9"/>
      <c r="O73" s="9"/>
      <c r="P73" s="9"/>
      <c r="Q73" s="9"/>
      <c r="R73" s="9"/>
      <c r="S73" s="9"/>
      <c r="T73" s="9"/>
    </row>
    <row r="74" spans="1:27">
      <c r="A74" t="s">
        <v>453</v>
      </c>
      <c r="B74" s="49">
        <f>+('PROMOBKRÉSULT    '!B23/((164+164)/2)*4)</f>
        <v>1028.4951219512195</v>
      </c>
      <c r="C74" s="49">
        <v>626.59</v>
      </c>
      <c r="D74" s="9"/>
      <c r="E74" s="49">
        <v>0</v>
      </c>
      <c r="F74" s="49">
        <v>720.41</v>
      </c>
      <c r="G74" s="9"/>
      <c r="H74" s="364">
        <v>0</v>
      </c>
      <c r="I74" s="49">
        <v>721.11</v>
      </c>
      <c r="J74" s="9"/>
      <c r="K74" s="49">
        <v>0</v>
      </c>
      <c r="L74" s="49">
        <v>754.38</v>
      </c>
      <c r="M74" s="9"/>
      <c r="N74" s="57">
        <f>+'sysratfinclé '!G76</f>
        <v>1028.4951219512195</v>
      </c>
      <c r="O74" s="57">
        <f>+'sysratfinclé '!G77</f>
        <v>626.59</v>
      </c>
      <c r="P74" s="9"/>
      <c r="Q74" s="49">
        <v>697.06</v>
      </c>
      <c r="R74" s="49">
        <v>723.95</v>
      </c>
      <c r="S74" s="49">
        <v>592.62</v>
      </c>
      <c r="T74" s="49">
        <v>579.70000000000005</v>
      </c>
    </row>
    <row r="75" spans="1:27" ht="16.5" thickBot="1">
      <c r="B75" s="19"/>
      <c r="C75" s="19"/>
      <c r="D75" s="19"/>
      <c r="E75" s="19"/>
      <c r="F75" s="19"/>
      <c r="G75" s="19"/>
      <c r="H75" s="19"/>
      <c r="I75" s="19"/>
      <c r="J75" s="19"/>
      <c r="K75" s="19"/>
      <c r="L75" s="19"/>
      <c r="M75" s="19"/>
      <c r="N75" s="19"/>
      <c r="O75" s="19"/>
      <c r="P75" s="19"/>
      <c r="Q75" s="19"/>
      <c r="R75" s="19"/>
      <c r="S75" s="19"/>
      <c r="T75" s="19"/>
    </row>
    <row r="76" spans="1:27">
      <c r="A76" t="s">
        <v>0</v>
      </c>
    </row>
  </sheetData>
  <pageMargins left="0.2" right="0.2" top="0.55000000000000004" bottom="0.45" header="0.39" footer="0.22"/>
  <pageSetup scale="44"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jours.&amp;R&amp;P</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0"/>
  <sheetViews>
    <sheetView workbookViewId="0"/>
  </sheetViews>
  <sheetFormatPr defaultRowHeight="15.75"/>
  <cols>
    <col min="1" max="1" width="33.25" customWidth="1"/>
    <col min="2" max="2" width="17.62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11.5" style="13" customWidth="1"/>
    <col min="10" max="10" width="15.75" style="12" customWidth="1"/>
    <col min="11" max="11" width="9.75" style="13" customWidth="1"/>
    <col min="12" max="12" width="15.75" style="12" customWidth="1"/>
    <col min="13" max="13" width="10.375" style="13" customWidth="1"/>
    <col min="14" max="14" width="15.75" style="12" customWidth="1"/>
    <col min="15" max="15" width="9.75" style="13" customWidth="1"/>
    <col min="16" max="18" width="15.75" style="12" customWidth="1"/>
    <col min="19" max="21" width="15.75" customWidth="1"/>
    <col min="22" max="256" width="11" customWidth="1"/>
  </cols>
  <sheetData>
    <row r="1" spans="1:21">
      <c r="A1" s="114" t="s">
        <v>628</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6" spans="1:21" s="2" customFormat="1" ht="16.5" thickBot="1">
      <c r="B6" s="400" t="s">
        <v>0</v>
      </c>
      <c r="C6" s="399"/>
      <c r="D6" s="400"/>
      <c r="E6" s="399"/>
      <c r="F6" s="400"/>
      <c r="G6" s="399"/>
      <c r="H6" s="400"/>
      <c r="I6" s="506" t="s">
        <v>166</v>
      </c>
      <c r="J6" s="123" t="s">
        <v>167</v>
      </c>
      <c r="K6" s="230"/>
      <c r="L6" s="123"/>
      <c r="M6" s="230"/>
      <c r="N6" s="123"/>
      <c r="O6" s="230"/>
      <c r="P6" s="123"/>
      <c r="Q6" s="4"/>
      <c r="R6" s="4"/>
    </row>
    <row r="7" spans="1:21" ht="16.5" thickBot="1">
      <c r="B7" s="223" t="s">
        <v>168</v>
      </c>
      <c r="C7" s="224" t="s">
        <v>169</v>
      </c>
      <c r="D7" s="225" t="s">
        <v>170</v>
      </c>
      <c r="E7" s="224" t="s">
        <v>169</v>
      </c>
      <c r="F7" s="225" t="s">
        <v>171</v>
      </c>
      <c r="G7" s="224" t="s">
        <v>169</v>
      </c>
      <c r="H7" s="225" t="s">
        <v>172</v>
      </c>
      <c r="I7" s="445" t="s">
        <v>173</v>
      </c>
      <c r="J7" s="228" t="s">
        <v>174</v>
      </c>
      <c r="K7" s="227" t="s">
        <v>169</v>
      </c>
      <c r="L7" s="228" t="s">
        <v>175</v>
      </c>
      <c r="M7" s="227" t="s">
        <v>169</v>
      </c>
      <c r="N7" s="228" t="s">
        <v>176</v>
      </c>
      <c r="O7" s="227" t="s">
        <v>169</v>
      </c>
      <c r="P7" s="228" t="s">
        <v>177</v>
      </c>
      <c r="Q7" s="14"/>
      <c r="R7" s="14"/>
      <c r="S7" s="9"/>
      <c r="T7" s="9"/>
      <c r="U7" s="9"/>
    </row>
    <row r="8" spans="1:21">
      <c r="A8" s="87" t="s">
        <v>243</v>
      </c>
      <c r="B8" s="125"/>
      <c r="C8" s="124"/>
      <c r="D8" s="125"/>
      <c r="E8" s="124"/>
      <c r="F8" s="125"/>
      <c r="G8" s="124"/>
      <c r="H8" s="125"/>
      <c r="I8" s="124"/>
      <c r="J8" s="219"/>
      <c r="K8" s="124"/>
      <c r="L8" s="219"/>
      <c r="M8" s="124"/>
      <c r="N8" s="219"/>
      <c r="O8" s="124"/>
      <c r="P8" s="219"/>
      <c r="Q8" s="14"/>
      <c r="R8" s="14"/>
      <c r="S8" s="9"/>
      <c r="T8" s="9"/>
      <c r="U8" s="9"/>
    </row>
    <row r="9" spans="1:21">
      <c r="A9" s="1" t="s">
        <v>264</v>
      </c>
      <c r="B9"/>
      <c r="F9" s="16" t="s">
        <v>0</v>
      </c>
    </row>
    <row r="10" spans="1:21">
      <c r="A10" s="1" t="s">
        <v>265</v>
      </c>
      <c r="B10" s="12">
        <v>85272</v>
      </c>
      <c r="C10" s="44">
        <v>0</v>
      </c>
      <c r="D10" s="12">
        <v>0</v>
      </c>
      <c r="E10" s="44">
        <v>0</v>
      </c>
      <c r="F10" s="12">
        <v>0</v>
      </c>
      <c r="G10" s="44">
        <v>0</v>
      </c>
      <c r="H10" s="12">
        <v>0</v>
      </c>
      <c r="I10" s="47">
        <f t="shared" ref="I10:I15" si="0">+(B10-J10)/ABS(J10)</f>
        <v>7.3170731707317069E-2</v>
      </c>
      <c r="J10" s="12">
        <v>79458</v>
      </c>
      <c r="K10" s="47">
        <f t="shared" ref="K10:K15" si="1">+(J10-L10)/L10</f>
        <v>-7.8167923680135861E-3</v>
      </c>
      <c r="L10" s="12">
        <v>80084</v>
      </c>
      <c r="M10" s="47">
        <f>+(L10-N10)/N10</f>
        <v>0.21953596598627015</v>
      </c>
      <c r="N10" s="12">
        <v>65667.600000000006</v>
      </c>
      <c r="O10" s="47">
        <f>+(N10-P10)/P10</f>
        <v>0.5151261002687435</v>
      </c>
      <c r="P10" s="12">
        <f>43341343/1000</f>
        <v>43341.343000000001</v>
      </c>
    </row>
    <row r="11" spans="1:21">
      <c r="A11" s="1" t="s">
        <v>266</v>
      </c>
      <c r="B11" s="12">
        <v>271439</v>
      </c>
      <c r="C11" s="44">
        <v>0</v>
      </c>
      <c r="D11" s="12">
        <v>0</v>
      </c>
      <c r="E11" s="44">
        <v>0</v>
      </c>
      <c r="F11" s="12">
        <v>0</v>
      </c>
      <c r="G11" s="44">
        <v>0</v>
      </c>
      <c r="H11" s="12">
        <v>0</v>
      </c>
      <c r="I11" s="47">
        <f t="shared" si="0"/>
        <v>3.2538942883770468E-2</v>
      </c>
      <c r="J11" s="12">
        <v>262885</v>
      </c>
      <c r="K11" s="47">
        <f t="shared" si="1"/>
        <v>0.19381939556322517</v>
      </c>
      <c r="L11" s="12">
        <v>220205</v>
      </c>
      <c r="M11" s="47">
        <f>+(L11-N11)/N11</f>
        <v>8.9333186904949152E-2</v>
      </c>
      <c r="N11" s="12">
        <v>202146.6</v>
      </c>
      <c r="O11" s="47">
        <f>+(N11-P11)/P11</f>
        <v>-0.28452275500656415</v>
      </c>
      <c r="P11" s="12">
        <f>282533933/1000</f>
        <v>282533.93300000002</v>
      </c>
    </row>
    <row r="12" spans="1:21">
      <c r="A12" s="1" t="s">
        <v>267</v>
      </c>
      <c r="B12" s="12">
        <v>108675</v>
      </c>
      <c r="C12" s="44">
        <v>0</v>
      </c>
      <c r="D12" s="12">
        <v>0</v>
      </c>
      <c r="E12" s="44">
        <v>0</v>
      </c>
      <c r="F12" s="12">
        <v>0</v>
      </c>
      <c r="G12" s="44">
        <v>0</v>
      </c>
      <c r="H12" s="12">
        <v>0</v>
      </c>
      <c r="I12" s="47">
        <f t="shared" si="0"/>
        <v>-6.2952679864799618E-2</v>
      </c>
      <c r="J12" s="12">
        <v>115976</v>
      </c>
      <c r="K12" s="47">
        <f t="shared" si="1"/>
        <v>4.7026641508752604E-2</v>
      </c>
      <c r="L12" s="12">
        <v>110767</v>
      </c>
      <c r="M12" s="47">
        <f>+(L12-N12)/N12</f>
        <v>-0.40902928684116874</v>
      </c>
      <c r="N12" s="12">
        <v>187432.3</v>
      </c>
      <c r="O12" s="47">
        <f>+(N12-P12)/P12</f>
        <v>3.1524460192092173E-2</v>
      </c>
      <c r="P12" s="12">
        <f>181704174/1000</f>
        <v>181704.174</v>
      </c>
    </row>
    <row r="13" spans="1:21">
      <c r="A13" s="1" t="s">
        <v>268</v>
      </c>
      <c r="B13" s="12">
        <f>+B75</f>
        <v>0</v>
      </c>
      <c r="C13" s="44">
        <v>0</v>
      </c>
      <c r="D13" s="12">
        <f>+D75</f>
        <v>0</v>
      </c>
      <c r="E13" s="44">
        <v>0</v>
      </c>
      <c r="F13" s="12">
        <v>0</v>
      </c>
      <c r="G13" s="44">
        <v>0</v>
      </c>
      <c r="H13" s="12">
        <v>0</v>
      </c>
      <c r="I13" s="44">
        <v>0</v>
      </c>
      <c r="J13" s="12">
        <v>25411</v>
      </c>
      <c r="K13" s="44">
        <v>0</v>
      </c>
      <c r="L13" s="12">
        <v>16848</v>
      </c>
      <c r="M13" s="44">
        <v>0</v>
      </c>
      <c r="N13" s="12">
        <v>0</v>
      </c>
      <c r="O13" s="44">
        <v>0</v>
      </c>
      <c r="P13" s="12">
        <v>0</v>
      </c>
    </row>
    <row r="14" spans="1:21">
      <c r="A14" s="1" t="s">
        <v>269</v>
      </c>
      <c r="B14" s="221">
        <v>35629</v>
      </c>
      <c r="C14" s="44">
        <v>0</v>
      </c>
      <c r="D14" s="221">
        <v>0</v>
      </c>
      <c r="E14" s="44">
        <v>0</v>
      </c>
      <c r="F14" s="221">
        <v>0</v>
      </c>
      <c r="G14" s="44">
        <v>0</v>
      </c>
      <c r="H14" s="221">
        <v>0</v>
      </c>
      <c r="I14" s="47">
        <f t="shared" si="0"/>
        <v>0.22352335164835166</v>
      </c>
      <c r="J14" s="221">
        <v>29120</v>
      </c>
      <c r="K14" s="47">
        <f t="shared" si="1"/>
        <v>-0.21653034868704263</v>
      </c>
      <c r="L14" s="221">
        <f>29261+95+7812</f>
        <v>37168</v>
      </c>
      <c r="M14" s="47">
        <f>+(L14-N14)/N14</f>
        <v>0.90963552102921363</v>
      </c>
      <c r="N14" s="221">
        <v>19463.400000000001</v>
      </c>
      <c r="O14" s="47">
        <f>+(N14-P14)/P14</f>
        <v>-0.26945249662096343</v>
      </c>
      <c r="P14" s="221">
        <f>26642210/1000</f>
        <v>26642.21</v>
      </c>
    </row>
    <row r="15" spans="1:21" ht="15.6" customHeight="1">
      <c r="A15" s="1"/>
      <c r="B15" s="12">
        <f>SUM(B10:B14)</f>
        <v>501015</v>
      </c>
      <c r="C15" s="44">
        <v>0</v>
      </c>
      <c r="D15" s="12">
        <f>SUM(D10:D14)</f>
        <v>0</v>
      </c>
      <c r="E15" s="44">
        <v>0</v>
      </c>
      <c r="F15" s="12">
        <f>SUM(F10:F14)</f>
        <v>0</v>
      </c>
      <c r="G15" s="44">
        <v>0</v>
      </c>
      <c r="H15" s="12">
        <f>SUM(H10:H14)</f>
        <v>0</v>
      </c>
      <c r="I15" s="47">
        <f t="shared" si="0"/>
        <v>-2.3076923076923078E-2</v>
      </c>
      <c r="J15" s="12">
        <f>SUM(J10:J14)</f>
        <v>512850</v>
      </c>
      <c r="K15" s="47">
        <f t="shared" si="1"/>
        <v>0.10273248013210858</v>
      </c>
      <c r="L15" s="12">
        <f>SUM(L10:L14)</f>
        <v>465072</v>
      </c>
      <c r="M15" s="47">
        <f>+(L15-N15)/N15</f>
        <v>-2.0302715405766811E-2</v>
      </c>
      <c r="N15" s="12">
        <f>SUM(N10:N14)</f>
        <v>474709.9</v>
      </c>
      <c r="O15" s="47">
        <f>+(N15-P15)/P15</f>
        <v>-0.11139900242906663</v>
      </c>
      <c r="P15" s="12">
        <f>SUM(P10:P14)</f>
        <v>534221.66</v>
      </c>
    </row>
    <row r="16" spans="1:21" ht="7.9" customHeight="1">
      <c r="A16" s="1"/>
      <c r="C16" s="44" t="s">
        <v>0</v>
      </c>
      <c r="E16" s="44" t="s">
        <v>0</v>
      </c>
      <c r="G16" s="44" t="s">
        <v>0</v>
      </c>
      <c r="I16" s="47" t="s">
        <v>0</v>
      </c>
      <c r="K16" s="47" t="s">
        <v>0</v>
      </c>
      <c r="M16" s="47" t="s">
        <v>0</v>
      </c>
      <c r="O16" s="47" t="s">
        <v>0</v>
      </c>
    </row>
    <row r="17" spans="1:16" ht="15.6" customHeight="1">
      <c r="A17" s="1" t="s">
        <v>270</v>
      </c>
      <c r="B17" s="12">
        <v>90000</v>
      </c>
      <c r="C17" s="44">
        <v>0</v>
      </c>
      <c r="D17" s="12">
        <v>0</v>
      </c>
      <c r="E17" s="44">
        <v>0</v>
      </c>
      <c r="F17" s="12">
        <v>0</v>
      </c>
      <c r="G17" s="44">
        <v>0</v>
      </c>
      <c r="H17" s="12">
        <v>0</v>
      </c>
      <c r="I17" s="47">
        <f t="shared" ref="I17:I22" si="2">+(B17-J17)/ABS(J17)</f>
        <v>-0.18181818181818182</v>
      </c>
      <c r="J17" s="12">
        <v>110000</v>
      </c>
      <c r="K17" s="44">
        <v>0</v>
      </c>
      <c r="L17" s="12">
        <v>30000</v>
      </c>
      <c r="M17" s="47"/>
      <c r="N17" s="12">
        <v>0</v>
      </c>
      <c r="O17" s="47"/>
    </row>
    <row r="18" spans="1:16">
      <c r="A18" s="1" t="s">
        <v>271</v>
      </c>
      <c r="B18" s="12">
        <v>19324</v>
      </c>
      <c r="C18" s="44">
        <v>0</v>
      </c>
      <c r="D18" s="12">
        <v>0</v>
      </c>
      <c r="E18" s="44">
        <v>0</v>
      </c>
      <c r="F18" s="12">
        <v>0</v>
      </c>
      <c r="G18" s="44">
        <v>0</v>
      </c>
      <c r="H18" s="12">
        <v>0</v>
      </c>
      <c r="I18" s="47">
        <f t="shared" si="2"/>
        <v>0</v>
      </c>
      <c r="J18" s="12">
        <v>19324</v>
      </c>
      <c r="K18" s="44">
        <v>0</v>
      </c>
      <c r="L18" s="12">
        <v>117</v>
      </c>
      <c r="M18" s="44">
        <v>0</v>
      </c>
      <c r="N18" s="12">
        <v>0</v>
      </c>
      <c r="O18" s="44">
        <v>0</v>
      </c>
      <c r="P18" s="12">
        <v>0</v>
      </c>
    </row>
    <row r="19" spans="1:16">
      <c r="A19" s="1" t="s">
        <v>272</v>
      </c>
      <c r="B19" s="12">
        <v>772879</v>
      </c>
      <c r="C19" s="44">
        <v>0</v>
      </c>
      <c r="D19" s="12">
        <v>0</v>
      </c>
      <c r="E19" s="44">
        <v>0</v>
      </c>
      <c r="F19" s="12">
        <v>0</v>
      </c>
      <c r="G19" s="44">
        <v>0</v>
      </c>
      <c r="H19" s="12">
        <v>0</v>
      </c>
      <c r="I19" s="47">
        <f t="shared" si="2"/>
        <v>0.13698303673486201</v>
      </c>
      <c r="J19" s="12">
        <v>679763</v>
      </c>
      <c r="K19" s="47">
        <f>+(J19-L19)/L19</f>
        <v>-2.2306377935541775E-2</v>
      </c>
      <c r="L19" s="12">
        <v>695272</v>
      </c>
      <c r="M19" s="47">
        <f>+(L19-N19)/N19</f>
        <v>-4.6598295652987786E-5</v>
      </c>
      <c r="N19" s="12">
        <v>695304.4</v>
      </c>
      <c r="O19" s="47">
        <f>+(N19-P19)/P19</f>
        <v>0.34951241161593927</v>
      </c>
      <c r="P19" s="12">
        <f>515226384/1000</f>
        <v>515226.38400000002</v>
      </c>
    </row>
    <row r="20" spans="1:16">
      <c r="A20" s="1" t="s">
        <v>273</v>
      </c>
      <c r="B20" s="12">
        <v>114146</v>
      </c>
      <c r="C20" s="44">
        <v>0</v>
      </c>
      <c r="D20" s="12">
        <v>0</v>
      </c>
      <c r="E20" s="44">
        <v>0</v>
      </c>
      <c r="F20" s="12">
        <v>0</v>
      </c>
      <c r="G20" s="44">
        <v>0</v>
      </c>
      <c r="H20" s="12">
        <v>0</v>
      </c>
      <c r="I20" s="47">
        <f t="shared" si="2"/>
        <v>0.12933098521875061</v>
      </c>
      <c r="J20" s="12">
        <v>101074</v>
      </c>
      <c r="K20" s="47">
        <f>+(J20-L20)/L20</f>
        <v>0.13751617804287886</v>
      </c>
      <c r="L20" s="12">
        <v>88855</v>
      </c>
      <c r="M20" s="47">
        <f>+(L20-N20)/N20</f>
        <v>0.82372536262076257</v>
      </c>
      <c r="N20" s="12">
        <v>48721.7</v>
      </c>
      <c r="O20" s="47">
        <f>+(N20-P20)/P20</f>
        <v>0.19871463500031591</v>
      </c>
      <c r="P20" s="12">
        <f>40644953/1000</f>
        <v>40644.953000000001</v>
      </c>
    </row>
    <row r="21" spans="1:16" ht="16.5" thickBot="1">
      <c r="A21" s="1" t="s">
        <v>274</v>
      </c>
      <c r="B21" s="99">
        <v>70617</v>
      </c>
      <c r="C21" s="44">
        <v>0</v>
      </c>
      <c r="D21" s="99">
        <v>0</v>
      </c>
      <c r="E21" s="44">
        <v>0</v>
      </c>
      <c r="F21" s="99">
        <v>0</v>
      </c>
      <c r="G21" s="44">
        <v>0</v>
      </c>
      <c r="H21" s="99">
        <v>0</v>
      </c>
      <c r="I21" s="47">
        <f t="shared" si="2"/>
        <v>-0.17687169982865336</v>
      </c>
      <c r="J21" s="99">
        <v>85791</v>
      </c>
      <c r="K21" s="47">
        <f>+(J21-L21)/L21</f>
        <v>0.58207166171833224</v>
      </c>
      <c r="L21" s="99">
        <v>54227</v>
      </c>
      <c r="M21" s="47">
        <f>+(L21-N21)/N21</f>
        <v>-0.41324137423594343</v>
      </c>
      <c r="N21" s="99">
        <v>92417.9</v>
      </c>
      <c r="O21" s="47">
        <f>+(N21-P21)/P21</f>
        <v>0.45412343991682508</v>
      </c>
      <c r="P21" s="99">
        <f>63555746/1000</f>
        <v>63555.745999999999</v>
      </c>
    </row>
    <row r="22" spans="1:16">
      <c r="A22" s="1" t="s">
        <v>275</v>
      </c>
      <c r="B22" s="4">
        <f>SUM(B15:B21)</f>
        <v>1567981</v>
      </c>
      <c r="C22" s="44">
        <v>0</v>
      </c>
      <c r="D22" s="4">
        <f>SUM(D15:D21)</f>
        <v>0</v>
      </c>
      <c r="E22" s="44">
        <v>0</v>
      </c>
      <c r="F22" s="4">
        <f>SUM(F15:F21)</f>
        <v>0</v>
      </c>
      <c r="G22" s="44">
        <v>0</v>
      </c>
      <c r="H22" s="4">
        <f>SUM(H15:H21)</f>
        <v>0</v>
      </c>
      <c r="I22" s="47">
        <f t="shared" si="2"/>
        <v>3.9222508983948856E-2</v>
      </c>
      <c r="J22" s="4">
        <f>SUM(J15:J21)</f>
        <v>1508802</v>
      </c>
      <c r="K22" s="47">
        <f>+(J22-L22)/L22</f>
        <v>0.13142358364147239</v>
      </c>
      <c r="L22" s="4">
        <f>SUM(L15:L21)</f>
        <v>1333543</v>
      </c>
      <c r="M22" s="47">
        <f>+(L22-N22)/N22</f>
        <v>1.7075952493140156E-2</v>
      </c>
      <c r="N22" s="4">
        <f>SUM(N15:N21)-0.1</f>
        <v>1311153.7999999998</v>
      </c>
      <c r="O22" s="47">
        <f>+(N22-P22)/P22</f>
        <v>0.13652774118265545</v>
      </c>
      <c r="P22" s="4">
        <f>SUM(P15:P21)</f>
        <v>1153648.743</v>
      </c>
    </row>
    <row r="23" spans="1:16" ht="7.9" customHeight="1">
      <c r="A23" s="1"/>
      <c r="C23" s="44" t="s">
        <v>0</v>
      </c>
      <c r="E23" s="44" t="s">
        <v>0</v>
      </c>
      <c r="G23" s="44" t="s">
        <v>0</v>
      </c>
      <c r="I23" s="47" t="s">
        <v>0</v>
      </c>
      <c r="K23" s="47" t="s">
        <v>0</v>
      </c>
      <c r="M23" s="47" t="s">
        <v>0</v>
      </c>
      <c r="O23" s="47" t="s">
        <v>0</v>
      </c>
    </row>
    <row r="24" spans="1:16">
      <c r="A24" s="87" t="s">
        <v>276</v>
      </c>
      <c r="C24" s="44" t="s">
        <v>0</v>
      </c>
      <c r="E24" s="44" t="s">
        <v>0</v>
      </c>
      <c r="G24" s="44" t="s">
        <v>0</v>
      </c>
      <c r="I24" s="47" t="s">
        <v>0</v>
      </c>
      <c r="K24" s="47" t="s">
        <v>0</v>
      </c>
      <c r="M24" s="47" t="s">
        <v>0</v>
      </c>
      <c r="O24" s="47" t="s">
        <v>0</v>
      </c>
    </row>
    <row r="25" spans="1:16">
      <c r="A25" s="1" t="s">
        <v>277</v>
      </c>
      <c r="C25" s="44" t="s">
        <v>0</v>
      </c>
      <c r="E25" s="44" t="s">
        <v>0</v>
      </c>
      <c r="G25" s="44" t="s">
        <v>0</v>
      </c>
      <c r="I25" s="47" t="s">
        <v>0</v>
      </c>
      <c r="K25" s="47" t="s">
        <v>0</v>
      </c>
      <c r="M25" s="47" t="s">
        <v>0</v>
      </c>
      <c r="O25" s="47" t="s">
        <v>0</v>
      </c>
    </row>
    <row r="26" spans="1:16">
      <c r="A26" s="1" t="s">
        <v>278</v>
      </c>
      <c r="B26" s="12">
        <v>418877</v>
      </c>
      <c r="C26" s="44">
        <v>0</v>
      </c>
      <c r="D26" s="12">
        <v>0</v>
      </c>
      <c r="E26" s="44">
        <v>0</v>
      </c>
      <c r="F26" s="12">
        <v>0</v>
      </c>
      <c r="G26" s="44">
        <v>0</v>
      </c>
      <c r="H26" s="12">
        <v>0</v>
      </c>
      <c r="I26" s="47">
        <f>+(B26-J26)/ABS(J26)</f>
        <v>0.11362288941056364</v>
      </c>
      <c r="J26" s="12">
        <v>376139</v>
      </c>
      <c r="K26" s="47">
        <f>+(J26-L26)/L26</f>
        <v>0.10098056433672872</v>
      </c>
      <c r="L26" s="12">
        <v>341640</v>
      </c>
      <c r="M26" s="47">
        <f>+(L26-N26)/N26</f>
        <v>-1.3709081023884201E-3</v>
      </c>
      <c r="N26" s="12">
        <v>342109</v>
      </c>
      <c r="O26" s="47">
        <f>+(N26-P26)/P26</f>
        <v>-1.66786911732365E-2</v>
      </c>
      <c r="P26" s="12">
        <f>347911712/1000</f>
        <v>347911.712</v>
      </c>
    </row>
    <row r="27" spans="1:16">
      <c r="A27" s="1" t="s">
        <v>279</v>
      </c>
      <c r="B27" s="12">
        <v>398361</v>
      </c>
      <c r="C27" s="44">
        <v>0</v>
      </c>
      <c r="D27" s="12">
        <v>0</v>
      </c>
      <c r="E27" s="44">
        <v>0</v>
      </c>
      <c r="F27" s="12">
        <v>0</v>
      </c>
      <c r="G27" s="44">
        <v>0</v>
      </c>
      <c r="H27" s="12">
        <v>0</v>
      </c>
      <c r="I27" s="47">
        <f>+(B27-J27)/ABS(J27)</f>
        <v>1.8443193991005941E-2</v>
      </c>
      <c r="J27" s="12">
        <v>391147</v>
      </c>
      <c r="K27" s="47">
        <f>+(J27-L27)/L27</f>
        <v>0.16903723672924095</v>
      </c>
      <c r="L27" s="12">
        <v>334589</v>
      </c>
      <c r="M27" s="47">
        <f>+(L27-N27)/N27</f>
        <v>0.1581525578671292</v>
      </c>
      <c r="N27" s="12">
        <v>288898.90000000002</v>
      </c>
      <c r="O27" s="47">
        <f>+(N27-P27)/P27</f>
        <v>0.21706055098980115</v>
      </c>
      <c r="P27" s="12">
        <f>237374303/1000</f>
        <v>237374.30300000001</v>
      </c>
    </row>
    <row r="28" spans="1:16">
      <c r="A28" s="1" t="s">
        <v>280</v>
      </c>
      <c r="B28" s="221">
        <v>537801</v>
      </c>
      <c r="C28" s="44">
        <v>0</v>
      </c>
      <c r="D28" s="221">
        <v>0</v>
      </c>
      <c r="E28" s="44">
        <v>0</v>
      </c>
      <c r="F28" s="221">
        <v>0</v>
      </c>
      <c r="G28" s="44">
        <v>0</v>
      </c>
      <c r="H28" s="221">
        <v>0</v>
      </c>
      <c r="I28" s="47">
        <f>+(B28-J28)/ABS(J28)</f>
        <v>7.0399856696455224E-2</v>
      </c>
      <c r="J28" s="221">
        <v>502430</v>
      </c>
      <c r="K28" s="47">
        <f>+(J28-L28)/L28</f>
        <v>0.14039607331328377</v>
      </c>
      <c r="L28" s="221">
        <v>440575</v>
      </c>
      <c r="M28" s="47">
        <f>+(L28-N28)/N28</f>
        <v>6.5383010012723484E-3</v>
      </c>
      <c r="N28" s="221">
        <v>437713.1</v>
      </c>
      <c r="O28" s="47">
        <f>+(N28-P28)/P28</f>
        <v>0.22949528611093103</v>
      </c>
      <c r="P28" s="221">
        <f>356010393/1000</f>
        <v>356010.39299999998</v>
      </c>
    </row>
    <row r="29" spans="1:16">
      <c r="A29" s="1"/>
      <c r="B29" s="12">
        <f>SUM(B26:B28)</f>
        <v>1355039</v>
      </c>
      <c r="C29" s="44">
        <v>0</v>
      </c>
      <c r="D29" s="12">
        <f>SUM(D26:D28)</f>
        <v>0</v>
      </c>
      <c r="E29" s="44">
        <v>0</v>
      </c>
      <c r="F29" s="12">
        <f>SUM(F26:F28)</f>
        <v>0</v>
      </c>
      <c r="G29" s="44">
        <v>0</v>
      </c>
      <c r="H29" s="12">
        <f>SUM(H26:H28)</f>
        <v>0</v>
      </c>
      <c r="I29" s="47">
        <f>+(B29-J29)/ABS(J29)</f>
        <v>6.7198491631199411E-2</v>
      </c>
      <c r="J29" s="12">
        <f>SUM(J26:J28)</f>
        <v>1269716</v>
      </c>
      <c r="K29" s="47">
        <f>+(J29-L29)/L29</f>
        <v>0.13691928037507028</v>
      </c>
      <c r="L29" s="12">
        <f>SUM(L26:L28)</f>
        <v>1116804</v>
      </c>
      <c r="M29" s="47">
        <f>+(L29-N29)/N29</f>
        <v>4.499116233329372E-2</v>
      </c>
      <c r="N29" s="12">
        <f>SUM(N26:N28)</f>
        <v>1068721</v>
      </c>
      <c r="O29" s="47">
        <f>+(N29-P29)/P29</f>
        <v>0.13537137815148226</v>
      </c>
      <c r="P29" s="12">
        <f>SUM(P26:P28)</f>
        <v>941296.40800000005</v>
      </c>
    </row>
    <row r="30" spans="1:16" ht="7.9" customHeight="1">
      <c r="A30" s="1"/>
      <c r="C30" s="44" t="s">
        <v>0</v>
      </c>
      <c r="E30" s="44" t="s">
        <v>0</v>
      </c>
      <c r="G30" s="44" t="s">
        <v>0</v>
      </c>
      <c r="I30" s="47" t="s">
        <v>0</v>
      </c>
      <c r="K30" s="47" t="s">
        <v>0</v>
      </c>
      <c r="M30" s="47" t="s">
        <v>0</v>
      </c>
      <c r="O30" s="47" t="s">
        <v>0</v>
      </c>
    </row>
    <row r="31" spans="1:16">
      <c r="A31" s="1" t="s">
        <v>281</v>
      </c>
      <c r="C31" s="44" t="s">
        <v>0</v>
      </c>
      <c r="E31" s="44" t="s">
        <v>0</v>
      </c>
      <c r="G31" s="44" t="s">
        <v>0</v>
      </c>
      <c r="I31" s="47" t="s">
        <v>0</v>
      </c>
      <c r="K31" s="47" t="s">
        <v>0</v>
      </c>
      <c r="M31" s="47" t="s">
        <v>0</v>
      </c>
      <c r="O31" s="47" t="s">
        <v>0</v>
      </c>
    </row>
    <row r="32" spans="1:16">
      <c r="A32" s="1" t="s">
        <v>282</v>
      </c>
      <c r="B32" s="12">
        <v>0</v>
      </c>
      <c r="C32" s="44">
        <v>0</v>
      </c>
      <c r="D32" s="12">
        <v>0</v>
      </c>
      <c r="E32" s="44">
        <v>0</v>
      </c>
      <c r="F32" s="12">
        <v>0</v>
      </c>
      <c r="G32" s="44">
        <v>0</v>
      </c>
      <c r="H32" s="12">
        <v>0</v>
      </c>
      <c r="I32" s="44">
        <v>0</v>
      </c>
      <c r="J32" s="12">
        <v>1500</v>
      </c>
      <c r="K32" s="47">
        <f>+(J32-L32)/L32</f>
        <v>0</v>
      </c>
      <c r="L32" s="12">
        <v>1500</v>
      </c>
      <c r="M32" s="47">
        <f>+(L32-N32)/N32</f>
        <v>0</v>
      </c>
      <c r="N32" s="12">
        <v>1500</v>
      </c>
      <c r="O32" s="47">
        <f>+(N32-P32)/P32</f>
        <v>-0.91208527915473392</v>
      </c>
      <c r="P32" s="12">
        <f>17061989/1000</f>
        <v>17061.989000000001</v>
      </c>
    </row>
    <row r="33" spans="1:21">
      <c r="A33" s="1" t="s">
        <v>283</v>
      </c>
      <c r="B33" s="12">
        <f>+B140</f>
        <v>0</v>
      </c>
      <c r="C33" s="44">
        <v>0</v>
      </c>
      <c r="D33" s="12">
        <f>+D140</f>
        <v>0</v>
      </c>
      <c r="E33" s="44">
        <v>0</v>
      </c>
      <c r="F33" s="12">
        <f>+F140</f>
        <v>0</v>
      </c>
      <c r="G33" s="44">
        <v>0</v>
      </c>
      <c r="H33" s="12">
        <f>+H140</f>
        <v>0</v>
      </c>
      <c r="I33" s="44">
        <v>0</v>
      </c>
      <c r="J33" s="12">
        <f>+J140</f>
        <v>0</v>
      </c>
      <c r="K33" s="44">
        <v>0</v>
      </c>
      <c r="L33" s="12">
        <f>+L140</f>
        <v>0</v>
      </c>
      <c r="M33" s="44">
        <v>0</v>
      </c>
      <c r="N33" s="12">
        <v>0</v>
      </c>
      <c r="O33" s="44">
        <v>0</v>
      </c>
      <c r="P33" s="12">
        <v>0</v>
      </c>
    </row>
    <row r="34" spans="1:21" ht="18">
      <c r="A34" s="1" t="s">
        <v>284</v>
      </c>
      <c r="B34" s="221">
        <v>45182</v>
      </c>
      <c r="C34" s="44">
        <v>0</v>
      </c>
      <c r="D34" s="221">
        <v>0</v>
      </c>
      <c r="E34" s="44">
        <v>0</v>
      </c>
      <c r="F34" s="221">
        <v>0</v>
      </c>
      <c r="G34" s="44">
        <v>0</v>
      </c>
      <c r="H34" s="221">
        <v>0</v>
      </c>
      <c r="I34" s="47">
        <f>+(B34-J34)/ABS(J34)</f>
        <v>-0.29251679376164602</v>
      </c>
      <c r="J34" s="221">
        <v>63863</v>
      </c>
      <c r="K34" s="47">
        <f>+(J34-L34)/L34</f>
        <v>4.1810766721044043E-2</v>
      </c>
      <c r="L34" s="221">
        <f>62800-1500</f>
        <v>61300</v>
      </c>
      <c r="M34" s="47">
        <f>+(L34-N34)/N34</f>
        <v>-2.646181602192918E-2</v>
      </c>
      <c r="N34" s="221">
        <v>62966.2</v>
      </c>
      <c r="O34" s="47">
        <f>+(N34-P34)/P34</f>
        <v>-0.17792048122115151</v>
      </c>
      <c r="P34" s="221">
        <f>76593807/1000</f>
        <v>76593.807000000001</v>
      </c>
      <c r="Q34" s="6"/>
      <c r="R34" s="6"/>
      <c r="S34" s="7"/>
      <c r="T34" s="7"/>
      <c r="U34" s="7"/>
    </row>
    <row r="35" spans="1:21">
      <c r="A35" s="1"/>
      <c r="B35" s="12">
        <f>SUM(B32:B34)</f>
        <v>45182</v>
      </c>
      <c r="C35" s="44">
        <v>0</v>
      </c>
      <c r="D35" s="12">
        <f>SUM(D32:D34)</f>
        <v>0</v>
      </c>
      <c r="E35" s="44">
        <v>0</v>
      </c>
      <c r="F35" s="12">
        <f>SUM(F32:F34)</f>
        <v>0</v>
      </c>
      <c r="G35" s="44">
        <v>0</v>
      </c>
      <c r="H35" s="12">
        <f>SUM(H32:H34)</f>
        <v>0</v>
      </c>
      <c r="I35" s="47">
        <f>+(B35-J35)/ABS(J35)</f>
        <v>-0.30875265823172132</v>
      </c>
      <c r="J35" s="12">
        <f>SUM(J32:J34)</f>
        <v>65363</v>
      </c>
      <c r="K35" s="47">
        <f>+(J35-L35)/L35</f>
        <v>4.0812101910828028E-2</v>
      </c>
      <c r="L35" s="12">
        <f>SUM(L32:L34)</f>
        <v>62800</v>
      </c>
      <c r="M35" s="47">
        <f>+(L35-N35)/N35</f>
        <v>-2.5846102298568818E-2</v>
      </c>
      <c r="N35" s="12">
        <f>SUM(N32:N34)</f>
        <v>64466.2</v>
      </c>
      <c r="O35" s="47">
        <f>+(N35-P35)/P35</f>
        <v>-0.31166886884395284</v>
      </c>
      <c r="P35" s="12">
        <f>SUM(P32:P34)</f>
        <v>93655.796000000002</v>
      </c>
    </row>
    <row r="36" spans="1:21" ht="7.15" customHeight="1">
      <c r="A36" s="1"/>
      <c r="C36" s="44" t="s">
        <v>0</v>
      </c>
      <c r="E36" s="44" t="s">
        <v>0</v>
      </c>
      <c r="G36" s="44" t="s">
        <v>0</v>
      </c>
      <c r="I36" s="47" t="s">
        <v>0</v>
      </c>
      <c r="K36" s="47" t="s">
        <v>0</v>
      </c>
      <c r="M36" s="47" t="s">
        <v>0</v>
      </c>
      <c r="O36" s="47" t="s">
        <v>0</v>
      </c>
    </row>
    <row r="37" spans="1:21">
      <c r="A37" s="1" t="s">
        <v>285</v>
      </c>
      <c r="C37" s="44" t="s">
        <v>0</v>
      </c>
      <c r="E37" s="44" t="s">
        <v>0</v>
      </c>
      <c r="G37" s="44" t="s">
        <v>0</v>
      </c>
      <c r="I37" s="47" t="s">
        <v>0</v>
      </c>
      <c r="K37" s="47" t="s">
        <v>0</v>
      </c>
      <c r="M37" s="47" t="s">
        <v>0</v>
      </c>
      <c r="O37" s="47" t="s">
        <v>0</v>
      </c>
    </row>
    <row r="38" spans="1:21">
      <c r="A38" s="1" t="s">
        <v>282</v>
      </c>
      <c r="B38" s="12">
        <v>1500</v>
      </c>
      <c r="C38" s="44">
        <v>0</v>
      </c>
      <c r="D38" s="12">
        <v>0</v>
      </c>
      <c r="E38" s="44">
        <v>0</v>
      </c>
      <c r="F38" s="12">
        <v>0</v>
      </c>
      <c r="G38" s="44">
        <v>0</v>
      </c>
      <c r="H38" s="12">
        <v>0</v>
      </c>
      <c r="I38" s="47">
        <f>+(B38-J38)/ABS(J38)</f>
        <v>-0.873991935483871</v>
      </c>
      <c r="J38" s="12">
        <v>11904</v>
      </c>
      <c r="K38" s="44">
        <v>0</v>
      </c>
      <c r="L38" s="12">
        <v>19155</v>
      </c>
      <c r="M38" s="44">
        <v>0</v>
      </c>
      <c r="N38" s="12">
        <v>0</v>
      </c>
      <c r="O38" s="44">
        <v>0</v>
      </c>
      <c r="P38" s="12">
        <v>0</v>
      </c>
    </row>
    <row r="39" spans="1:21">
      <c r="A39" s="1" t="s">
        <v>286</v>
      </c>
      <c r="B39" s="12">
        <f>+B147</f>
        <v>0</v>
      </c>
      <c r="C39" s="44">
        <v>0</v>
      </c>
      <c r="D39" s="12">
        <f>+D147</f>
        <v>0</v>
      </c>
      <c r="E39" s="44">
        <v>0</v>
      </c>
      <c r="F39" s="12">
        <f>+F147</f>
        <v>0</v>
      </c>
      <c r="G39" s="44">
        <v>0</v>
      </c>
      <c r="H39" s="12">
        <f>+H147</f>
        <v>0</v>
      </c>
      <c r="I39" s="44">
        <v>0</v>
      </c>
      <c r="J39" s="12">
        <f>+J147</f>
        <v>0</v>
      </c>
      <c r="K39" s="44">
        <v>0</v>
      </c>
      <c r="L39" s="12">
        <f>+L147</f>
        <v>0</v>
      </c>
      <c r="M39" s="44">
        <v>0</v>
      </c>
      <c r="N39" s="12">
        <v>0</v>
      </c>
      <c r="O39" s="44">
        <v>0</v>
      </c>
      <c r="P39" s="12">
        <v>0</v>
      </c>
    </row>
    <row r="40" spans="1:21">
      <c r="A40" s="1" t="s">
        <v>284</v>
      </c>
      <c r="B40" s="221">
        <v>37771</v>
      </c>
      <c r="C40" s="44">
        <v>0</v>
      </c>
      <c r="D40" s="221">
        <v>0</v>
      </c>
      <c r="E40" s="44">
        <v>0</v>
      </c>
      <c r="F40" s="221">
        <v>0</v>
      </c>
      <c r="G40" s="44">
        <v>0</v>
      </c>
      <c r="H40" s="221">
        <v>0</v>
      </c>
      <c r="I40" s="47">
        <f>+(B40-J40)/ABS(J40)</f>
        <v>0.64343210198842626</v>
      </c>
      <c r="J40" s="221">
        <v>22983</v>
      </c>
      <c r="K40" s="47">
        <f>+(J40-L40)/L40</f>
        <v>0.18128083881578946</v>
      </c>
      <c r="L40" s="221">
        <f>38611-19155</f>
        <v>19456</v>
      </c>
      <c r="M40" s="47">
        <f>+(L40-N40)/N40</f>
        <v>-0.44246557677704068</v>
      </c>
      <c r="N40" s="221">
        <v>34896.5</v>
      </c>
      <c r="O40" s="47">
        <f>+(N40-P40)/P40</f>
        <v>0.43783447167818579</v>
      </c>
      <c r="P40" s="221">
        <f>24270179/1000</f>
        <v>24270.179</v>
      </c>
    </row>
    <row r="41" spans="1:21">
      <c r="A41" s="1"/>
      <c r="B41" s="12">
        <f>SUM(B38:B40)</f>
        <v>39271</v>
      </c>
      <c r="C41" s="44">
        <v>0</v>
      </c>
      <c r="D41" s="12">
        <f>SUM(D38:D40)</f>
        <v>0</v>
      </c>
      <c r="E41" s="44">
        <v>0</v>
      </c>
      <c r="F41" s="12">
        <f>SUM(F38:F40)</f>
        <v>0</v>
      </c>
      <c r="G41" s="44">
        <v>0</v>
      </c>
      <c r="H41" s="12">
        <f>SUM(H38:H40)</f>
        <v>0</v>
      </c>
      <c r="I41" s="47">
        <f>+(B41-J41)/ABS(J41)</f>
        <v>0.12566285435835697</v>
      </c>
      <c r="J41" s="12">
        <f>SUM(J38:J40)</f>
        <v>34887</v>
      </c>
      <c r="K41" s="47">
        <f>+(J41-L41)/L41</f>
        <v>-9.6449198414959469E-2</v>
      </c>
      <c r="L41" s="12">
        <f>SUM(L38:L40)</f>
        <v>38611</v>
      </c>
      <c r="M41" s="47">
        <f>+(L41-N41)/N41</f>
        <v>0.10644333958993023</v>
      </c>
      <c r="N41" s="12">
        <f>SUM(N38:N40)</f>
        <v>34896.5</v>
      </c>
      <c r="O41" s="47">
        <f>+(N41-P41)/P41</f>
        <v>0.43783447167818579</v>
      </c>
      <c r="P41" s="12">
        <f>SUM(P38:P40)</f>
        <v>24270.179</v>
      </c>
    </row>
    <row r="42" spans="1:21" ht="8.4499999999999993" customHeight="1">
      <c r="A42" s="1"/>
      <c r="C42" s="44" t="s">
        <v>0</v>
      </c>
      <c r="E42" s="44" t="s">
        <v>0</v>
      </c>
      <c r="G42" s="44" t="s">
        <v>0</v>
      </c>
      <c r="I42" s="47" t="s">
        <v>0</v>
      </c>
      <c r="K42" s="47" t="s">
        <v>0</v>
      </c>
      <c r="M42" s="47" t="s">
        <v>0</v>
      </c>
      <c r="O42" s="47" t="s">
        <v>0</v>
      </c>
    </row>
    <row r="43" spans="1:21" ht="18">
      <c r="A43" s="1" t="s">
        <v>287</v>
      </c>
      <c r="B43" s="221">
        <v>33118</v>
      </c>
      <c r="C43" s="44">
        <v>0</v>
      </c>
      <c r="D43" s="221">
        <v>0</v>
      </c>
      <c r="E43" s="44">
        <v>0</v>
      </c>
      <c r="F43" s="221">
        <v>0</v>
      </c>
      <c r="G43" s="44">
        <v>0</v>
      </c>
      <c r="H43" s="221">
        <v>0</v>
      </c>
      <c r="I43" s="47">
        <f>+(B43-J43)/ABS(J43)</f>
        <v>-0.36692600309674461</v>
      </c>
      <c r="J43" s="221">
        <v>52313</v>
      </c>
      <c r="K43" s="47">
        <f>+(J43-L43)/L43</f>
        <v>0.92603365119104597</v>
      </c>
      <c r="L43" s="221">
        <v>27161</v>
      </c>
      <c r="M43" s="47">
        <f>+(L43-N43)/N43</f>
        <v>-0.54883483743868555</v>
      </c>
      <c r="N43" s="221">
        <v>60201.9</v>
      </c>
      <c r="O43" s="44">
        <v>0</v>
      </c>
      <c r="P43" s="221">
        <f>42611307/1000</f>
        <v>42611.307000000001</v>
      </c>
      <c r="Q43" s="6"/>
      <c r="R43" s="6"/>
    </row>
    <row r="44" spans="1:21">
      <c r="A44" s="1"/>
      <c r="B44" s="12">
        <f t="shared" ref="B44:L44" si="3">+B29+B35+B41+B43</f>
        <v>1472610</v>
      </c>
      <c r="C44" s="44">
        <v>0</v>
      </c>
      <c r="D44" s="12">
        <f t="shared" si="3"/>
        <v>0</v>
      </c>
      <c r="E44" s="44">
        <v>0</v>
      </c>
      <c r="F44" s="12">
        <f t="shared" si="3"/>
        <v>0</v>
      </c>
      <c r="G44" s="44">
        <v>0</v>
      </c>
      <c r="H44" s="12">
        <f t="shared" si="3"/>
        <v>0</v>
      </c>
      <c r="I44" s="47">
        <f>+(B44-J44)/ABS(J44)</f>
        <v>3.5387571636788566E-2</v>
      </c>
      <c r="J44" s="12">
        <f t="shared" si="3"/>
        <v>1422279</v>
      </c>
      <c r="K44" s="47">
        <f>+(J44-L44)/L44</f>
        <v>0.14204786345649828</v>
      </c>
      <c r="L44" s="12">
        <f t="shared" si="3"/>
        <v>1245376</v>
      </c>
      <c r="M44" s="47">
        <f>+(L44-N44)/N44</f>
        <v>1.3914027812424196E-2</v>
      </c>
      <c r="N44" s="12">
        <f>+N29+N35+N41+N43</f>
        <v>1228285.5999999999</v>
      </c>
      <c r="O44" s="47">
        <f>+(N44-P44)/P44</f>
        <v>0.1147649696570813</v>
      </c>
      <c r="P44" s="12">
        <f>+P29+P35+P41+P43</f>
        <v>1101833.69</v>
      </c>
    </row>
    <row r="45" spans="1:21" ht="8.4499999999999993" customHeight="1">
      <c r="A45" s="1"/>
      <c r="C45" s="44" t="s">
        <v>0</v>
      </c>
      <c r="E45" s="44" t="s">
        <v>0</v>
      </c>
      <c r="G45" s="44" t="s">
        <v>0</v>
      </c>
      <c r="I45" s="47" t="s">
        <v>0</v>
      </c>
      <c r="K45" s="47" t="s">
        <v>0</v>
      </c>
      <c r="M45" s="47" t="s">
        <v>0</v>
      </c>
      <c r="O45" s="47" t="s">
        <v>0</v>
      </c>
    </row>
    <row r="46" spans="1:21">
      <c r="A46" s="87" t="s">
        <v>288</v>
      </c>
      <c r="C46" s="44" t="s">
        <v>0</v>
      </c>
      <c r="E46" s="44" t="s">
        <v>0</v>
      </c>
      <c r="G46" s="44" t="s">
        <v>0</v>
      </c>
      <c r="I46" s="47" t="s">
        <v>0</v>
      </c>
      <c r="K46" s="47" t="s">
        <v>0</v>
      </c>
      <c r="M46" s="47" t="s">
        <v>0</v>
      </c>
      <c r="O46" s="47" t="s">
        <v>0</v>
      </c>
    </row>
    <row r="47" spans="1:21">
      <c r="A47" s="1" t="s">
        <v>289</v>
      </c>
      <c r="B47" s="12">
        <v>43960</v>
      </c>
      <c r="C47" s="44">
        <v>0</v>
      </c>
      <c r="D47" s="12">
        <v>0</v>
      </c>
      <c r="E47" s="44">
        <v>0</v>
      </c>
      <c r="F47" s="12">
        <v>0</v>
      </c>
      <c r="G47" s="44">
        <v>0</v>
      </c>
      <c r="H47" s="12">
        <v>0</v>
      </c>
      <c r="I47" s="47">
        <f t="shared" ref="I47:I52" si="4">+(B47-J47)/ABS(J47)</f>
        <v>0</v>
      </c>
      <c r="J47" s="12">
        <v>43960</v>
      </c>
      <c r="K47" s="47">
        <f t="shared" ref="K47:K52" si="5">+(J47-L47)/L47</f>
        <v>0</v>
      </c>
      <c r="L47" s="12">
        <v>43960</v>
      </c>
      <c r="M47" s="47">
        <f>+(L47-N47)/N47</f>
        <v>0.20174958993985784</v>
      </c>
      <c r="N47" s="12">
        <v>36580</v>
      </c>
      <c r="O47" s="47">
        <f>+(N47-P47)/P47</f>
        <v>0.4632</v>
      </c>
      <c r="P47" s="12">
        <f>25000000/1000</f>
        <v>25000</v>
      </c>
    </row>
    <row r="48" spans="1:21">
      <c r="A48" s="1" t="s">
        <v>290</v>
      </c>
      <c r="B48" s="12">
        <v>6969</v>
      </c>
      <c r="C48" s="44">
        <v>0</v>
      </c>
      <c r="D48" s="12">
        <v>0</v>
      </c>
      <c r="E48" s="44">
        <v>0</v>
      </c>
      <c r="F48" s="12">
        <v>0</v>
      </c>
      <c r="G48" s="44">
        <v>0</v>
      </c>
      <c r="H48" s="12">
        <v>0</v>
      </c>
      <c r="I48" s="47">
        <f t="shared" si="4"/>
        <v>0</v>
      </c>
      <c r="J48" s="12">
        <v>6969</v>
      </c>
      <c r="K48" s="47">
        <f t="shared" si="5"/>
        <v>6.6085360256998626E-2</v>
      </c>
      <c r="L48" s="12">
        <v>6537</v>
      </c>
      <c r="M48" s="47">
        <f>+(L48-N48)/N48</f>
        <v>-0.39204270674454073</v>
      </c>
      <c r="N48" s="12">
        <v>10752.4</v>
      </c>
      <c r="O48" s="47">
        <f>+(N48-P48)/P48</f>
        <v>0.97211953695798303</v>
      </c>
      <c r="P48" s="12">
        <f>5452205/1000</f>
        <v>5452.2049999999999</v>
      </c>
    </row>
    <row r="49" spans="1:21">
      <c r="A49" s="1" t="s">
        <v>302</v>
      </c>
      <c r="B49" s="12">
        <v>21551</v>
      </c>
      <c r="C49" s="44">
        <v>0</v>
      </c>
      <c r="D49" s="12">
        <v>0</v>
      </c>
      <c r="E49" s="44">
        <v>0</v>
      </c>
      <c r="F49" s="12">
        <v>0</v>
      </c>
      <c r="G49" s="44">
        <v>0</v>
      </c>
      <c r="H49" s="12">
        <v>0</v>
      </c>
      <c r="I49" s="47">
        <f t="shared" si="4"/>
        <v>0</v>
      </c>
      <c r="J49" s="12">
        <v>21551</v>
      </c>
      <c r="K49" s="47">
        <f t="shared" si="5"/>
        <v>5.3220604046525267E-2</v>
      </c>
      <c r="L49" s="12">
        <v>20462</v>
      </c>
      <c r="M49" s="44">
        <v>0</v>
      </c>
      <c r="N49" s="12">
        <v>11651</v>
      </c>
      <c r="O49" s="44">
        <v>0</v>
      </c>
      <c r="P49" s="12">
        <v>0</v>
      </c>
    </row>
    <row r="50" spans="1:21" ht="18">
      <c r="A50" s="1" t="s">
        <v>292</v>
      </c>
      <c r="B50" s="221">
        <v>22891</v>
      </c>
      <c r="C50" s="44">
        <v>0</v>
      </c>
      <c r="D50" s="221">
        <v>0</v>
      </c>
      <c r="E50" s="44">
        <v>0</v>
      </c>
      <c r="F50" s="221">
        <v>0</v>
      </c>
      <c r="G50" s="44">
        <v>0</v>
      </c>
      <c r="H50" s="221">
        <v>0</v>
      </c>
      <c r="I50" s="47">
        <f t="shared" si="4"/>
        <v>0.63006480096845408</v>
      </c>
      <c r="J50" s="221">
        <v>14043</v>
      </c>
      <c r="K50" s="47">
        <f t="shared" si="5"/>
        <v>-0.18392608089260809</v>
      </c>
      <c r="L50" s="221">
        <f>10123+7085</f>
        <v>17208</v>
      </c>
      <c r="M50" s="47">
        <f>+(L50-N50)/N50</f>
        <v>-0.27954481701828354</v>
      </c>
      <c r="N50" s="221">
        <v>23884.9</v>
      </c>
      <c r="O50" s="47">
        <f>+(N50-P50)/P50</f>
        <v>0.11805785445835684</v>
      </c>
      <c r="P50" s="221">
        <f>21362848/1000</f>
        <v>21362.848000000002</v>
      </c>
      <c r="Q50" s="6"/>
      <c r="R50" s="6"/>
      <c r="S50" s="7"/>
      <c r="T50" s="7"/>
      <c r="U50" s="7"/>
    </row>
    <row r="51" spans="1:21" ht="16.5" thickBot="1">
      <c r="A51" s="1" t="s">
        <v>275</v>
      </c>
      <c r="B51" s="76">
        <f>SUM(B47:B50)</f>
        <v>95371</v>
      </c>
      <c r="C51" s="44">
        <v>0</v>
      </c>
      <c r="D51" s="76">
        <f>SUM(D47:D50)</f>
        <v>0</v>
      </c>
      <c r="E51" s="44">
        <v>0</v>
      </c>
      <c r="F51" s="76">
        <f>SUM(F47:F50)</f>
        <v>0</v>
      </c>
      <c r="G51" s="44">
        <v>0</v>
      </c>
      <c r="H51" s="76">
        <f>SUM(H47:H50)</f>
        <v>0</v>
      </c>
      <c r="I51" s="47">
        <f t="shared" si="4"/>
        <v>0.10226182633519411</v>
      </c>
      <c r="J51" s="76">
        <f>SUM(J47:J50)</f>
        <v>86523</v>
      </c>
      <c r="K51" s="47">
        <f t="shared" si="5"/>
        <v>-1.8646432338630101E-2</v>
      </c>
      <c r="L51" s="76">
        <f>SUM(L47:L50)</f>
        <v>88167</v>
      </c>
      <c r="M51" s="47">
        <f>+(L51-N51)/N51</f>
        <v>6.3941217570530548E-2</v>
      </c>
      <c r="N51" s="76">
        <f>SUM(N47:N50)</f>
        <v>82868.3</v>
      </c>
      <c r="O51" s="47">
        <f>+(N51-P51)/P51</f>
        <v>0.59930937443989496</v>
      </c>
      <c r="P51" s="76">
        <f>SUM(P47:P50)</f>
        <v>51815.053</v>
      </c>
    </row>
    <row r="52" spans="1:21">
      <c r="A52" s="1" t="s">
        <v>0</v>
      </c>
      <c r="B52" s="4">
        <f>+B29+B35+B41+B43+B51</f>
        <v>1567981</v>
      </c>
      <c r="C52" s="44">
        <v>0</v>
      </c>
      <c r="D52" s="4">
        <f>+D29+D35+D41+D43+D51</f>
        <v>0</v>
      </c>
      <c r="E52" s="44">
        <v>0</v>
      </c>
      <c r="F52" s="4">
        <f>+F29+F35+F41+F43+F51</f>
        <v>0</v>
      </c>
      <c r="G52" s="44">
        <v>0</v>
      </c>
      <c r="H52" s="4">
        <f>+H29+H35+H41+H43+H51</f>
        <v>0</v>
      </c>
      <c r="I52" s="47">
        <f t="shared" si="4"/>
        <v>3.9222508983948856E-2</v>
      </c>
      <c r="J52" s="4">
        <f>+J29+J35+J41+J43+J51</f>
        <v>1508802</v>
      </c>
      <c r="K52" s="47">
        <f t="shared" si="5"/>
        <v>0.13142358364147239</v>
      </c>
      <c r="L52" s="4">
        <f>+L29+L35+L41+L43+L51</f>
        <v>1333543</v>
      </c>
      <c r="M52" s="47">
        <f>+(L52-N52)/N52</f>
        <v>1.7075952493140156E-2</v>
      </c>
      <c r="N52" s="4">
        <f>+N29+N35+N41+N43+N51-0.1</f>
        <v>1311153.7999999998</v>
      </c>
      <c r="O52" s="47">
        <f>+(N52-P52)/P52</f>
        <v>0.13652774118265545</v>
      </c>
      <c r="P52" s="4">
        <f>+P29+P35+P41+P43+P51</f>
        <v>1153648.743</v>
      </c>
    </row>
    <row r="55" spans="1:21">
      <c r="A55" s="18" t="s">
        <v>319</v>
      </c>
    </row>
    <row r="56" spans="1:21">
      <c r="A56" t="s">
        <v>294</v>
      </c>
      <c r="B56" s="12">
        <v>8755</v>
      </c>
      <c r="D56" s="12">
        <v>0</v>
      </c>
      <c r="E56" s="43"/>
      <c r="F56" s="12">
        <v>0</v>
      </c>
      <c r="G56" s="43"/>
      <c r="H56" s="12">
        <v>0</v>
      </c>
      <c r="J56" s="12">
        <v>10361</v>
      </c>
      <c r="K56" s="12"/>
      <c r="L56" s="12">
        <v>3755</v>
      </c>
      <c r="M56" s="12"/>
      <c r="N56" s="16">
        <v>7413.8</v>
      </c>
      <c r="O56" s="12"/>
      <c r="P56" s="16">
        <f>57989758/1000</f>
        <v>57989.758000000002</v>
      </c>
    </row>
    <row r="57" spans="1:21">
      <c r="A57" t="s">
        <v>295</v>
      </c>
      <c r="B57" s="12">
        <v>45675</v>
      </c>
      <c r="D57" s="12">
        <v>0</v>
      </c>
      <c r="E57" s="43"/>
      <c r="F57" s="12">
        <v>0</v>
      </c>
      <c r="G57" s="43"/>
      <c r="H57" s="12">
        <v>0</v>
      </c>
      <c r="J57" s="12">
        <v>39752</v>
      </c>
      <c r="K57" s="12"/>
      <c r="L57" s="12">
        <v>5182</v>
      </c>
      <c r="M57" s="12"/>
      <c r="N57" s="12">
        <v>14464.8</v>
      </c>
      <c r="O57" s="12"/>
      <c r="P57" s="12">
        <f>27834145/1000</f>
        <v>27834.145</v>
      </c>
    </row>
    <row r="58" spans="1:21">
      <c r="A58" t="s">
        <v>284</v>
      </c>
      <c r="B58" s="12">
        <v>97125</v>
      </c>
      <c r="D58" s="12">
        <v>0</v>
      </c>
      <c r="E58" s="43"/>
      <c r="F58" s="12">
        <v>0</v>
      </c>
      <c r="G58" s="43"/>
      <c r="H58" s="12">
        <v>0</v>
      </c>
      <c r="J58" s="12">
        <v>105933</v>
      </c>
      <c r="K58" s="12"/>
      <c r="L58" s="12">
        <f>26034+5444+29638</f>
        <v>61116</v>
      </c>
      <c r="M58" s="12"/>
      <c r="N58" s="12">
        <v>42997</v>
      </c>
      <c r="O58" s="12"/>
      <c r="P58" s="12">
        <f>55854078/1000</f>
        <v>55854.078000000001</v>
      </c>
    </row>
    <row r="59" spans="1:21">
      <c r="D59" s="43"/>
      <c r="E59" s="43"/>
      <c r="F59" s="43"/>
      <c r="G59" s="43"/>
      <c r="H59" s="43"/>
      <c r="J59" s="43"/>
      <c r="K59" s="12"/>
      <c r="L59" s="43"/>
      <c r="M59" s="12"/>
      <c r="O59" s="12"/>
    </row>
    <row r="60" spans="1:21" ht="18.75">
      <c r="A60" s="122" t="s">
        <v>303</v>
      </c>
      <c r="B60" s="12">
        <v>832528</v>
      </c>
      <c r="D60" s="12">
        <v>0</v>
      </c>
      <c r="E60" s="43"/>
      <c r="F60" s="12">
        <v>0</v>
      </c>
      <c r="G60" s="43"/>
      <c r="H60" s="12">
        <v>0</v>
      </c>
      <c r="J60" s="12">
        <v>740189</v>
      </c>
      <c r="K60" s="12"/>
      <c r="L60" s="12">
        <v>773504</v>
      </c>
      <c r="M60" s="12"/>
      <c r="N60" s="12">
        <v>748693.2</v>
      </c>
      <c r="O60" s="12"/>
      <c r="P60" s="12">
        <f>565677865/1000</f>
        <v>565677.86499999999</v>
      </c>
    </row>
    <row r="61" spans="1:21">
      <c r="A61" t="s">
        <v>217</v>
      </c>
      <c r="B61" s="12">
        <v>59649</v>
      </c>
      <c r="D61" s="12">
        <v>0</v>
      </c>
      <c r="E61" s="43"/>
      <c r="F61" s="12">
        <v>0</v>
      </c>
      <c r="G61" s="43"/>
      <c r="H61" s="12">
        <v>0</v>
      </c>
      <c r="J61" s="12">
        <v>60426</v>
      </c>
      <c r="K61" s="12"/>
      <c r="L61" s="12">
        <v>78232</v>
      </c>
      <c r="M61" s="12"/>
      <c r="N61" s="16">
        <v>53388.800000000003</v>
      </c>
      <c r="O61" s="12"/>
      <c r="P61" s="16">
        <f>50451480/1000</f>
        <v>50451.48</v>
      </c>
    </row>
    <row r="62" spans="1:21">
      <c r="A62" t="s">
        <v>297</v>
      </c>
      <c r="B62" s="12">
        <v>64582</v>
      </c>
      <c r="D62" s="12">
        <v>0</v>
      </c>
      <c r="E62" s="43"/>
      <c r="F62" s="12">
        <v>0</v>
      </c>
      <c r="G62" s="43"/>
      <c r="H62" s="12">
        <v>0</v>
      </c>
      <c r="J62" s="12">
        <v>63504</v>
      </c>
      <c r="K62" s="12"/>
      <c r="L62" s="12">
        <v>124910</v>
      </c>
      <c r="M62" s="12"/>
      <c r="N62" s="12">
        <v>47281.3</v>
      </c>
      <c r="O62" s="12"/>
      <c r="P62" s="12">
        <f>53268235/1000</f>
        <v>53268.235000000001</v>
      </c>
    </row>
    <row r="67" spans="1:15">
      <c r="B67" s="17" t="s">
        <v>548</v>
      </c>
      <c r="D67" s="17" t="s">
        <v>549</v>
      </c>
      <c r="F67" s="17" t="s">
        <v>138</v>
      </c>
      <c r="H67" s="17" t="s">
        <v>528</v>
      </c>
    </row>
    <row r="69" spans="1:15">
      <c r="A69" t="s">
        <v>414</v>
      </c>
      <c r="B69" s="4">
        <f t="shared" ref="B69:M69" si="6">SUM(B70:B78)</f>
        <v>568057.50540999998</v>
      </c>
      <c r="C69" s="11" t="s">
        <v>0</v>
      </c>
      <c r="D69" s="4">
        <f t="shared" si="6"/>
        <v>0</v>
      </c>
      <c r="E69" s="11">
        <f t="shared" si="6"/>
        <v>0</v>
      </c>
      <c r="F69" s="4">
        <f t="shared" si="6"/>
        <v>0</v>
      </c>
      <c r="G69" s="11">
        <f t="shared" si="6"/>
        <v>0</v>
      </c>
      <c r="H69" s="4">
        <f t="shared" si="6"/>
        <v>0</v>
      </c>
      <c r="I69" s="11">
        <f t="shared" si="6"/>
        <v>0</v>
      </c>
      <c r="J69" s="4">
        <f t="shared" si="6"/>
        <v>0</v>
      </c>
      <c r="K69" s="11">
        <f t="shared" si="6"/>
        <v>0</v>
      </c>
      <c r="L69" s="4">
        <f t="shared" si="6"/>
        <v>0</v>
      </c>
      <c r="M69" s="11">
        <f t="shared" si="6"/>
        <v>0</v>
      </c>
      <c r="O69" s="11">
        <f>SUM(O70:O78)</f>
        <v>0</v>
      </c>
    </row>
    <row r="70" spans="1:15">
      <c r="A70" t="s">
        <v>461</v>
      </c>
      <c r="B70" s="12">
        <f>38407223.5/1000</f>
        <v>38407.2235</v>
      </c>
      <c r="D70" s="12">
        <v>0</v>
      </c>
      <c r="F70" s="12">
        <v>0</v>
      </c>
      <c r="H70" s="12">
        <v>0</v>
      </c>
    </row>
    <row r="71" spans="1:15">
      <c r="A71" t="s">
        <v>462</v>
      </c>
      <c r="B71" s="12">
        <f>23222644/1000</f>
        <v>23222.644</v>
      </c>
      <c r="D71" s="12">
        <v>0</v>
      </c>
      <c r="F71" s="12">
        <v>0</v>
      </c>
      <c r="H71" s="12">
        <v>0</v>
      </c>
    </row>
    <row r="72" spans="1:15">
      <c r="A72" t="s">
        <v>463</v>
      </c>
      <c r="B72" s="12">
        <f>11776912.17/1000</f>
        <v>11776.91217</v>
      </c>
      <c r="D72" s="12">
        <v>0</v>
      </c>
      <c r="F72" s="12">
        <v>0</v>
      </c>
      <c r="H72" s="12">
        <v>0</v>
      </c>
    </row>
    <row r="73" spans="1:15">
      <c r="A73" t="s">
        <v>464</v>
      </c>
      <c r="B73" s="12">
        <f>237438175.1/1000</f>
        <v>237438.17509999999</v>
      </c>
      <c r="D73" s="12">
        <v>0</v>
      </c>
      <c r="F73" s="12">
        <v>0</v>
      </c>
      <c r="H73" s="12">
        <v>0</v>
      </c>
    </row>
    <row r="74" spans="1:15">
      <c r="A74" t="s">
        <v>465</v>
      </c>
      <c r="B74" s="12">
        <v>0</v>
      </c>
      <c r="D74" s="12">
        <v>0</v>
      </c>
      <c r="F74" s="12">
        <v>0</v>
      </c>
      <c r="H74" s="12">
        <v>0</v>
      </c>
    </row>
    <row r="75" spans="1:15">
      <c r="A75" t="s">
        <v>466</v>
      </c>
      <c r="B75" s="12">
        <v>0</v>
      </c>
      <c r="D75" s="12">
        <v>0</v>
      </c>
      <c r="F75" s="12">
        <v>0</v>
      </c>
      <c r="H75" s="12">
        <v>0</v>
      </c>
    </row>
    <row r="76" spans="1:15">
      <c r="A76" t="s">
        <v>467</v>
      </c>
      <c r="B76" s="12">
        <f>233910592.88/1000</f>
        <v>233910.59287999998</v>
      </c>
      <c r="D76" s="12">
        <v>0</v>
      </c>
      <c r="F76" s="12">
        <v>0</v>
      </c>
      <c r="H76" s="12">
        <v>0</v>
      </c>
    </row>
    <row r="77" spans="1:15">
      <c r="A77" t="s">
        <v>468</v>
      </c>
      <c r="B77" s="12">
        <v>0</v>
      </c>
      <c r="D77" s="12">
        <v>0</v>
      </c>
      <c r="F77" s="12">
        <v>0</v>
      </c>
      <c r="H77" s="12">
        <v>0</v>
      </c>
    </row>
    <row r="78" spans="1:15">
      <c r="A78" t="s">
        <v>469</v>
      </c>
      <c r="B78" s="12">
        <f>23301957.76/1000</f>
        <v>23301.957760000001</v>
      </c>
      <c r="D78" s="12">
        <v>0</v>
      </c>
      <c r="F78" s="12">
        <v>0</v>
      </c>
      <c r="H78" s="12">
        <v>0</v>
      </c>
    </row>
    <row r="79" spans="1:15">
      <c r="B79" s="16" t="s">
        <v>0</v>
      </c>
      <c r="D79" s="16" t="s">
        <v>0</v>
      </c>
      <c r="F79" s="16" t="s">
        <v>0</v>
      </c>
      <c r="H79" s="16" t="s">
        <v>0</v>
      </c>
    </row>
    <row r="80" spans="1:15">
      <c r="A80" t="s">
        <v>470</v>
      </c>
      <c r="B80" s="4">
        <f>SUM(B81:B82)</f>
        <v>3000</v>
      </c>
      <c r="C80" s="11" t="s">
        <v>0</v>
      </c>
      <c r="D80" s="4">
        <f>SUM(D81:D82)</f>
        <v>0</v>
      </c>
      <c r="E80" s="11">
        <f t="shared" ref="E80:M80" si="7">SUM(E81:E82)</f>
        <v>0</v>
      </c>
      <c r="F80" s="4">
        <f>SUM(F81:F82)</f>
        <v>0</v>
      </c>
      <c r="G80" s="11">
        <f t="shared" si="7"/>
        <v>0</v>
      </c>
      <c r="H80" s="4">
        <f>SUM(H81:H82)</f>
        <v>0</v>
      </c>
      <c r="I80" s="11">
        <f t="shared" si="7"/>
        <v>0</v>
      </c>
      <c r="J80" s="4">
        <f t="shared" si="7"/>
        <v>0</v>
      </c>
      <c r="K80" s="11">
        <f t="shared" si="7"/>
        <v>0</v>
      </c>
      <c r="L80" s="4">
        <f t="shared" si="7"/>
        <v>0</v>
      </c>
      <c r="M80" s="11">
        <f t="shared" si="7"/>
        <v>0</v>
      </c>
      <c r="O80" s="11">
        <f>SUM(O81:O82)</f>
        <v>0</v>
      </c>
    </row>
    <row r="81" spans="1:15">
      <c r="A81" t="s">
        <v>471</v>
      </c>
      <c r="B81" s="12">
        <v>0</v>
      </c>
      <c r="D81" s="12">
        <v>0</v>
      </c>
      <c r="F81" s="12">
        <v>0</v>
      </c>
      <c r="H81" s="12">
        <v>0</v>
      </c>
    </row>
    <row r="82" spans="1:15">
      <c r="A82" t="s">
        <v>472</v>
      </c>
      <c r="B82" s="12">
        <f>3000000/1000</f>
        <v>3000</v>
      </c>
      <c r="D82" s="12">
        <v>0</v>
      </c>
      <c r="F82" s="12">
        <v>0</v>
      </c>
      <c r="H82" s="12">
        <v>0</v>
      </c>
    </row>
    <row r="84" spans="1:15">
      <c r="A84" t="s">
        <v>473</v>
      </c>
      <c r="B84" s="4">
        <f t="shared" ref="B84:M84" si="8">SUM(B85:B95)</f>
        <v>772782.98057999997</v>
      </c>
      <c r="C84" s="11" t="s">
        <v>0</v>
      </c>
      <c r="D84" s="4">
        <f t="shared" si="8"/>
        <v>0</v>
      </c>
      <c r="E84" s="11">
        <f t="shared" si="8"/>
        <v>0</v>
      </c>
      <c r="F84" s="4">
        <f t="shared" si="8"/>
        <v>0</v>
      </c>
      <c r="G84" s="11">
        <f t="shared" si="8"/>
        <v>0</v>
      </c>
      <c r="H84" s="4">
        <f t="shared" si="8"/>
        <v>0</v>
      </c>
      <c r="I84" s="11">
        <f t="shared" si="8"/>
        <v>0</v>
      </c>
      <c r="J84" s="4">
        <f t="shared" si="8"/>
        <v>0</v>
      </c>
      <c r="K84" s="11">
        <f t="shared" si="8"/>
        <v>0</v>
      </c>
      <c r="L84" s="4">
        <f t="shared" si="8"/>
        <v>0</v>
      </c>
      <c r="M84" s="11">
        <f t="shared" si="8"/>
        <v>0</v>
      </c>
      <c r="O84" s="11">
        <f>SUM(O85:O95)</f>
        <v>0</v>
      </c>
    </row>
    <row r="85" spans="1:15">
      <c r="A85" t="s">
        <v>474</v>
      </c>
      <c r="B85" s="12">
        <v>0</v>
      </c>
      <c r="D85" s="12">
        <v>0</v>
      </c>
      <c r="F85" s="12">
        <v>0</v>
      </c>
      <c r="H85" s="12">
        <v>0</v>
      </c>
    </row>
    <row r="86" spans="1:15">
      <c r="A86" t="s">
        <v>475</v>
      </c>
      <c r="B86" s="12">
        <f>54052793.86/1000</f>
        <v>54052.793859999998</v>
      </c>
      <c r="D86" s="12">
        <v>0</v>
      </c>
      <c r="F86" s="12">
        <v>0</v>
      </c>
      <c r="H86" s="12">
        <v>0</v>
      </c>
    </row>
    <row r="87" spans="1:15">
      <c r="A87" t="s">
        <v>476</v>
      </c>
      <c r="B87" s="12">
        <f>724240524.73/1000</f>
        <v>724240.52473000006</v>
      </c>
      <c r="D87" s="12">
        <v>0</v>
      </c>
      <c r="F87" s="12">
        <v>0</v>
      </c>
      <c r="H87" s="12">
        <v>0</v>
      </c>
    </row>
    <row r="88" spans="1:15">
      <c r="A88" t="s">
        <v>477</v>
      </c>
      <c r="B88" s="12">
        <v>0</v>
      </c>
      <c r="D88" s="12">
        <v>0</v>
      </c>
      <c r="F88" s="12">
        <v>0</v>
      </c>
      <c r="H88" s="12">
        <v>0</v>
      </c>
    </row>
    <row r="89" spans="1:15">
      <c r="A89" t="s">
        <v>478</v>
      </c>
      <c r="B89" s="12">
        <v>0</v>
      </c>
      <c r="D89" s="12">
        <v>0</v>
      </c>
      <c r="F89" s="12">
        <v>0</v>
      </c>
      <c r="H89" s="12">
        <v>0</v>
      </c>
    </row>
    <row r="90" spans="1:15">
      <c r="A90" t="s">
        <v>479</v>
      </c>
      <c r="B90" s="12">
        <v>0</v>
      </c>
      <c r="D90" s="12">
        <v>0</v>
      </c>
      <c r="F90" s="12">
        <v>0</v>
      </c>
      <c r="H90" s="12">
        <v>0</v>
      </c>
    </row>
    <row r="91" spans="1:15">
      <c r="A91" t="s">
        <v>480</v>
      </c>
      <c r="B91" s="12">
        <v>0</v>
      </c>
      <c r="D91" s="12">
        <v>0</v>
      </c>
      <c r="F91" s="12">
        <v>0</v>
      </c>
      <c r="H91" s="12">
        <v>0</v>
      </c>
    </row>
    <row r="92" spans="1:15">
      <c r="A92" t="s">
        <v>481</v>
      </c>
      <c r="B92" s="12">
        <v>0</v>
      </c>
      <c r="D92" s="12">
        <v>0</v>
      </c>
      <c r="F92" s="12">
        <v>0</v>
      </c>
      <c r="H92" s="12">
        <v>0</v>
      </c>
    </row>
    <row r="93" spans="1:15">
      <c r="A93" t="s">
        <v>482</v>
      </c>
      <c r="B93" s="12">
        <v>0</v>
      </c>
      <c r="D93" s="12">
        <v>0</v>
      </c>
      <c r="F93" s="12">
        <v>0</v>
      </c>
      <c r="H93" s="12">
        <v>0</v>
      </c>
    </row>
    <row r="94" spans="1:15">
      <c r="A94" t="s">
        <v>483</v>
      </c>
      <c r="B94" s="12">
        <f>51724948.26/1000</f>
        <v>51724.948259999997</v>
      </c>
      <c r="D94" s="12">
        <v>0</v>
      </c>
      <c r="F94" s="12">
        <v>0</v>
      </c>
      <c r="H94" s="12">
        <v>0</v>
      </c>
    </row>
    <row r="95" spans="1:15">
      <c r="A95" t="s">
        <v>484</v>
      </c>
      <c r="B95" s="12">
        <f>-57235286.27/1000</f>
        <v>-57235.286270000004</v>
      </c>
      <c r="D95" s="12">
        <v>0</v>
      </c>
      <c r="F95" s="12">
        <v>0</v>
      </c>
      <c r="H95" s="12">
        <v>0</v>
      </c>
    </row>
    <row r="97" spans="1:15">
      <c r="A97" t="s">
        <v>485</v>
      </c>
      <c r="B97" s="4">
        <f t="shared" ref="B97:M97" si="9">SUM(B98:B101)</f>
        <v>24823.040150000001</v>
      </c>
      <c r="C97" s="11" t="s">
        <v>0</v>
      </c>
      <c r="D97" s="4">
        <f t="shared" si="9"/>
        <v>0</v>
      </c>
      <c r="E97" s="11">
        <f t="shared" si="9"/>
        <v>0</v>
      </c>
      <c r="F97" s="4">
        <f t="shared" si="9"/>
        <v>0</v>
      </c>
      <c r="G97" s="11">
        <f t="shared" si="9"/>
        <v>0</v>
      </c>
      <c r="H97" s="4">
        <f t="shared" si="9"/>
        <v>0</v>
      </c>
      <c r="I97" s="11">
        <f t="shared" si="9"/>
        <v>0</v>
      </c>
      <c r="J97" s="4">
        <f t="shared" si="9"/>
        <v>0</v>
      </c>
      <c r="K97" s="11">
        <f t="shared" si="9"/>
        <v>0</v>
      </c>
      <c r="L97" s="4">
        <f t="shared" si="9"/>
        <v>0</v>
      </c>
      <c r="M97" s="11">
        <f t="shared" si="9"/>
        <v>0</v>
      </c>
      <c r="O97" s="11">
        <f>SUM(O98:O101)</f>
        <v>0</v>
      </c>
    </row>
    <row r="98" spans="1:15">
      <c r="A98" t="s">
        <v>486</v>
      </c>
      <c r="B98" s="12">
        <f>20254816.29/1000</f>
        <v>20254.816289999999</v>
      </c>
      <c r="D98" s="12">
        <v>0</v>
      </c>
      <c r="F98" s="12">
        <v>0</v>
      </c>
      <c r="H98" s="12">
        <v>0</v>
      </c>
    </row>
    <row r="99" spans="1:15">
      <c r="A99" t="s">
        <v>487</v>
      </c>
      <c r="B99" s="12">
        <f>441815.31/1000</f>
        <v>441.81531000000001</v>
      </c>
      <c r="D99" s="12">
        <v>0</v>
      </c>
      <c r="F99" s="12">
        <v>0</v>
      </c>
      <c r="H99" s="12">
        <v>0</v>
      </c>
    </row>
    <row r="100" spans="1:15">
      <c r="A100" t="s">
        <v>488</v>
      </c>
      <c r="B100" s="12">
        <v>0</v>
      </c>
      <c r="D100" s="12">
        <v>0</v>
      </c>
      <c r="F100" s="12">
        <v>0</v>
      </c>
      <c r="H100" s="12">
        <v>0</v>
      </c>
    </row>
    <row r="101" spans="1:15">
      <c r="A101" t="s">
        <v>489</v>
      </c>
      <c r="B101" s="12">
        <f>4126408.55/1000</f>
        <v>4126.4085500000001</v>
      </c>
      <c r="D101" s="12">
        <v>0</v>
      </c>
      <c r="F101" s="12">
        <v>0</v>
      </c>
      <c r="H101" s="12">
        <v>0</v>
      </c>
    </row>
    <row r="103" spans="1:15">
      <c r="A103" t="s">
        <v>490</v>
      </c>
      <c r="B103" s="4">
        <f>20347804.3/1000</f>
        <v>20347.8043</v>
      </c>
      <c r="C103" s="11" t="s">
        <v>0</v>
      </c>
      <c r="D103" s="4">
        <v>0</v>
      </c>
      <c r="E103" s="11">
        <v>0</v>
      </c>
      <c r="F103" s="4">
        <v>0</v>
      </c>
      <c r="G103" s="11">
        <v>0</v>
      </c>
      <c r="H103" s="4">
        <v>0</v>
      </c>
      <c r="I103" s="11">
        <v>0</v>
      </c>
      <c r="J103" s="4">
        <v>0</v>
      </c>
      <c r="K103" s="11">
        <v>0</v>
      </c>
      <c r="L103" s="4">
        <v>0</v>
      </c>
      <c r="M103" s="11">
        <v>0</v>
      </c>
      <c r="N103" s="12">
        <v>0</v>
      </c>
      <c r="O103" s="11">
        <v>0</v>
      </c>
    </row>
    <row r="104" spans="1:15">
      <c r="B104" s="16" t="s">
        <v>0</v>
      </c>
      <c r="D104" s="16" t="s">
        <v>0</v>
      </c>
      <c r="F104" s="16" t="s">
        <v>0</v>
      </c>
      <c r="H104" s="16" t="s">
        <v>0</v>
      </c>
    </row>
    <row r="105" spans="1:15">
      <c r="A105" t="s">
        <v>491</v>
      </c>
      <c r="B105" s="4">
        <v>0</v>
      </c>
      <c r="D105" s="4">
        <v>0</v>
      </c>
      <c r="F105" s="4">
        <v>0</v>
      </c>
      <c r="H105" s="4">
        <v>0</v>
      </c>
    </row>
    <row r="107" spans="1:15">
      <c r="A107" t="s">
        <v>492</v>
      </c>
      <c r="B107" s="4">
        <f t="shared" ref="B107:M107" si="10">SUM(B108:B111)</f>
        <v>54480.869909999994</v>
      </c>
      <c r="C107" s="11" t="s">
        <v>0</v>
      </c>
      <c r="D107" s="4">
        <f t="shared" si="10"/>
        <v>0</v>
      </c>
      <c r="E107" s="11">
        <f t="shared" si="10"/>
        <v>0</v>
      </c>
      <c r="F107" s="4">
        <f t="shared" si="10"/>
        <v>0</v>
      </c>
      <c r="G107" s="11">
        <f t="shared" si="10"/>
        <v>0</v>
      </c>
      <c r="H107" s="4">
        <f t="shared" si="10"/>
        <v>0</v>
      </c>
      <c r="I107" s="11">
        <f t="shared" si="10"/>
        <v>0</v>
      </c>
      <c r="J107" s="4">
        <f t="shared" si="10"/>
        <v>0</v>
      </c>
      <c r="K107" s="11">
        <f t="shared" si="10"/>
        <v>0</v>
      </c>
      <c r="L107" s="4">
        <f t="shared" si="10"/>
        <v>0</v>
      </c>
      <c r="M107" s="11">
        <f t="shared" si="10"/>
        <v>0</v>
      </c>
      <c r="O107" s="11">
        <f>SUM(O108:O111)</f>
        <v>0</v>
      </c>
    </row>
    <row r="108" spans="1:15">
      <c r="A108" t="s">
        <v>493</v>
      </c>
      <c r="B108" s="12">
        <f>85095417.96/1000</f>
        <v>85095.417959999992</v>
      </c>
      <c r="D108" s="12">
        <v>0</v>
      </c>
      <c r="F108" s="12">
        <v>0</v>
      </c>
      <c r="H108" s="12">
        <v>0</v>
      </c>
    </row>
    <row r="109" spans="1:15">
      <c r="A109" t="s">
        <v>494</v>
      </c>
      <c r="B109" s="12">
        <f>1684805.4/1000</f>
        <v>1684.8054</v>
      </c>
      <c r="D109" s="12">
        <v>0</v>
      </c>
      <c r="F109" s="12">
        <v>0</v>
      </c>
      <c r="H109" s="12">
        <v>0</v>
      </c>
    </row>
    <row r="110" spans="1:15">
      <c r="A110" t="s">
        <v>495</v>
      </c>
      <c r="B110" s="12">
        <f>-32735948.8/1000</f>
        <v>-32735.948800000002</v>
      </c>
      <c r="D110" s="12">
        <v>0</v>
      </c>
      <c r="F110" s="12">
        <v>0</v>
      </c>
      <c r="H110" s="12">
        <v>0</v>
      </c>
    </row>
    <row r="111" spans="1:15">
      <c r="A111" t="s">
        <v>496</v>
      </c>
      <c r="B111" s="12">
        <f>436595.35/1000</f>
        <v>436.59535</v>
      </c>
      <c r="D111" s="12">
        <v>0</v>
      </c>
      <c r="F111" s="12">
        <v>0</v>
      </c>
      <c r="H111" s="12">
        <v>0</v>
      </c>
    </row>
    <row r="113" spans="1:15">
      <c r="A113" t="s">
        <v>497</v>
      </c>
      <c r="B113" s="12">
        <f>7793978.39/1000</f>
        <v>7793.9783899999993</v>
      </c>
      <c r="D113" s="12">
        <v>0</v>
      </c>
      <c r="F113" s="12">
        <v>0</v>
      </c>
      <c r="H113" s="12">
        <v>0</v>
      </c>
    </row>
    <row r="115" spans="1:15">
      <c r="A115" s="2" t="s">
        <v>498</v>
      </c>
      <c r="B115" s="4">
        <f t="shared" ref="B115:M115" si="11">+B69+B80+B84+B97+B103+B105+B107+B113</f>
        <v>1451286.1787399999</v>
      </c>
      <c r="C115" s="11" t="s">
        <v>0</v>
      </c>
      <c r="D115" s="4">
        <f t="shared" si="11"/>
        <v>0</v>
      </c>
      <c r="E115" s="11">
        <f t="shared" si="11"/>
        <v>0</v>
      </c>
      <c r="F115" s="4">
        <f t="shared" si="11"/>
        <v>0</v>
      </c>
      <c r="G115" s="11">
        <f t="shared" si="11"/>
        <v>0</v>
      </c>
      <c r="H115" s="4">
        <f t="shared" si="11"/>
        <v>0</v>
      </c>
      <c r="I115" s="11">
        <f t="shared" si="11"/>
        <v>0</v>
      </c>
      <c r="J115" s="4">
        <f t="shared" si="11"/>
        <v>0</v>
      </c>
      <c r="K115" s="11">
        <f t="shared" si="11"/>
        <v>0</v>
      </c>
      <c r="L115" s="4">
        <f t="shared" si="11"/>
        <v>0</v>
      </c>
      <c r="M115" s="11">
        <f t="shared" si="11"/>
        <v>0</v>
      </c>
      <c r="O115" s="11">
        <f>+O69+O80+O84+O97+O103+O105+O107+O113</f>
        <v>0</v>
      </c>
    </row>
    <row r="118" spans="1:15">
      <c r="A118" t="s">
        <v>276</v>
      </c>
    </row>
    <row r="120" spans="1:15">
      <c r="A120" t="s">
        <v>499</v>
      </c>
      <c r="B120" s="4">
        <f>SUM(B121:B122)</f>
        <v>429225.07114000001</v>
      </c>
      <c r="C120" s="11"/>
      <c r="D120" s="4">
        <f>SUM(D121:D122)</f>
        <v>0</v>
      </c>
      <c r="E120" s="11"/>
      <c r="F120" s="4">
        <f>SUM(F121:F122)</f>
        <v>0</v>
      </c>
      <c r="G120" s="11"/>
      <c r="H120" s="4">
        <f>SUM(H121:H122)</f>
        <v>0</v>
      </c>
      <c r="I120" s="11"/>
      <c r="J120" s="4"/>
      <c r="K120" s="11"/>
      <c r="L120" s="4"/>
      <c r="M120" s="11"/>
      <c r="O120" s="11"/>
    </row>
    <row r="121" spans="1:15">
      <c r="A121" t="s">
        <v>500</v>
      </c>
      <c r="B121" s="12">
        <f>427201685.79/1000</f>
        <v>427201.68579000002</v>
      </c>
      <c r="D121" s="12">
        <v>0</v>
      </c>
      <c r="F121" s="12">
        <v>0</v>
      </c>
      <c r="H121" s="12">
        <v>0</v>
      </c>
    </row>
    <row r="122" spans="1:15">
      <c r="A122" t="s">
        <v>501</v>
      </c>
      <c r="B122" s="12">
        <f>2023385.35/1000</f>
        <v>2023.38535</v>
      </c>
      <c r="D122" s="12">
        <v>0</v>
      </c>
      <c r="F122" s="12">
        <v>0</v>
      </c>
      <c r="H122" s="12">
        <v>0</v>
      </c>
    </row>
    <row r="123" spans="1:15">
      <c r="A123" t="s">
        <v>0</v>
      </c>
    </row>
    <row r="124" spans="1:15">
      <c r="A124" t="s">
        <v>502</v>
      </c>
      <c r="B124" s="4">
        <f>313682501.15/1000</f>
        <v>313682.50114999997</v>
      </c>
      <c r="C124" s="11"/>
      <c r="D124" s="4">
        <v>0</v>
      </c>
      <c r="E124" s="11"/>
      <c r="F124" s="4">
        <v>0</v>
      </c>
      <c r="G124" s="11"/>
      <c r="H124" s="4">
        <v>0</v>
      </c>
      <c r="I124" s="11"/>
      <c r="J124" s="4"/>
      <c r="K124" s="11"/>
      <c r="L124" s="4"/>
      <c r="M124" s="11"/>
      <c r="O124" s="11"/>
    </row>
    <row r="126" spans="1:15">
      <c r="A126" t="s">
        <v>503</v>
      </c>
      <c r="B126" s="4">
        <f>433021883.56/1000</f>
        <v>433021.88355999999</v>
      </c>
      <c r="C126" s="11"/>
      <c r="D126" s="4">
        <v>0</v>
      </c>
      <c r="E126" s="11"/>
      <c r="F126" s="4">
        <v>0</v>
      </c>
      <c r="G126" s="11"/>
      <c r="H126" s="4">
        <v>0</v>
      </c>
      <c r="I126" s="11"/>
      <c r="J126" s="4"/>
      <c r="K126" s="11"/>
      <c r="L126" s="4"/>
      <c r="M126" s="11"/>
      <c r="O126" s="11"/>
    </row>
    <row r="128" spans="1:15">
      <c r="A128" t="s">
        <v>504</v>
      </c>
      <c r="B128" s="4">
        <f>SUM(B129:B141)</f>
        <v>133614.61556000001</v>
      </c>
      <c r="C128" s="11"/>
      <c r="D128" s="4">
        <f>SUM(D129:D141)</f>
        <v>0</v>
      </c>
      <c r="E128" s="11"/>
      <c r="F128" s="4">
        <f>SUM(F129:F141)</f>
        <v>0</v>
      </c>
      <c r="G128" s="11"/>
      <c r="H128" s="4">
        <f>SUM(H129:H141)</f>
        <v>0</v>
      </c>
      <c r="I128" s="11"/>
      <c r="J128" s="4"/>
      <c r="K128" s="11"/>
      <c r="L128" s="4"/>
      <c r="M128" s="11"/>
      <c r="O128" s="11"/>
    </row>
    <row r="129" spans="1:15">
      <c r="A129" t="s">
        <v>505</v>
      </c>
      <c r="B129" s="12">
        <f>32833583.37/1000</f>
        <v>32833.58337</v>
      </c>
      <c r="D129" s="12">
        <v>0</v>
      </c>
      <c r="F129" s="12">
        <v>0</v>
      </c>
      <c r="H129" s="12">
        <v>0</v>
      </c>
    </row>
    <row r="130" spans="1:15">
      <c r="A130" t="s">
        <v>506</v>
      </c>
      <c r="B130" s="12">
        <f>10496232.19/1000</f>
        <v>10496.232189999999</v>
      </c>
      <c r="D130" s="12">
        <v>0</v>
      </c>
      <c r="F130" s="12">
        <v>0</v>
      </c>
      <c r="H130" s="12">
        <v>0</v>
      </c>
    </row>
    <row r="131" spans="1:15">
      <c r="A131" t="s">
        <v>507</v>
      </c>
      <c r="B131" s="12">
        <f>286184.37/1000</f>
        <v>286.18437</v>
      </c>
      <c r="D131" s="12">
        <v>0</v>
      </c>
      <c r="F131" s="12">
        <v>0</v>
      </c>
      <c r="H131" s="12">
        <v>0</v>
      </c>
    </row>
    <row r="132" spans="1:15">
      <c r="A132" t="s">
        <v>508</v>
      </c>
      <c r="B132" s="12">
        <v>0</v>
      </c>
      <c r="D132" s="12">
        <v>0</v>
      </c>
      <c r="F132" s="12">
        <v>0</v>
      </c>
      <c r="H132" s="12">
        <v>0</v>
      </c>
    </row>
    <row r="133" spans="1:15">
      <c r="A133" t="s">
        <v>509</v>
      </c>
      <c r="B133" s="12">
        <v>0</v>
      </c>
      <c r="D133" s="12">
        <v>0</v>
      </c>
      <c r="F133" s="12">
        <v>0</v>
      </c>
      <c r="H133" s="12">
        <v>0</v>
      </c>
    </row>
    <row r="134" spans="1:15">
      <c r="A134" t="s">
        <v>510</v>
      </c>
      <c r="B134" s="12">
        <f>10570145.92/1000</f>
        <v>10570.145919999999</v>
      </c>
      <c r="D134" s="12">
        <v>0</v>
      </c>
      <c r="F134" s="12">
        <v>0</v>
      </c>
      <c r="H134" s="12">
        <v>0</v>
      </c>
    </row>
    <row r="135" spans="1:15">
      <c r="A135" t="s">
        <v>511</v>
      </c>
      <c r="B135" s="12">
        <v>0</v>
      </c>
      <c r="D135" s="12">
        <v>0</v>
      </c>
      <c r="F135" s="12">
        <v>0</v>
      </c>
      <c r="H135" s="12">
        <v>0</v>
      </c>
    </row>
    <row r="136" spans="1:15">
      <c r="A136" t="s">
        <v>512</v>
      </c>
      <c r="B136" s="12">
        <f>7870079.21/1000</f>
        <v>7870.0792099999999</v>
      </c>
      <c r="D136" s="12">
        <v>0</v>
      </c>
      <c r="F136" s="12">
        <v>0</v>
      </c>
      <c r="H136" s="12">
        <v>0</v>
      </c>
    </row>
    <row r="137" spans="1:15">
      <c r="A137" t="s">
        <v>513</v>
      </c>
      <c r="B137" s="12">
        <f>5043390.5/1000</f>
        <v>5043.3905000000004</v>
      </c>
      <c r="D137" s="12">
        <v>0</v>
      </c>
      <c r="F137" s="12">
        <v>0</v>
      </c>
      <c r="H137" s="12">
        <v>0</v>
      </c>
    </row>
    <row r="138" spans="1:15">
      <c r="A138" t="s">
        <v>514</v>
      </c>
      <c r="B138" s="12">
        <v>0</v>
      </c>
      <c r="D138" s="12">
        <v>0</v>
      </c>
      <c r="F138" s="12">
        <v>0</v>
      </c>
      <c r="H138" s="12">
        <v>0</v>
      </c>
    </row>
    <row r="139" spans="1:15">
      <c r="A139" t="s">
        <v>515</v>
      </c>
      <c r="B139" s="12">
        <f>66515000/1000</f>
        <v>66515</v>
      </c>
      <c r="D139" s="12">
        <v>0</v>
      </c>
      <c r="F139" s="12">
        <v>0</v>
      </c>
      <c r="H139" s="12">
        <v>0</v>
      </c>
    </row>
    <row r="140" spans="1:15">
      <c r="A140" t="s">
        <v>516</v>
      </c>
      <c r="B140" s="12">
        <v>0</v>
      </c>
      <c r="D140" s="12">
        <v>0</v>
      </c>
      <c r="F140" s="12">
        <v>0</v>
      </c>
      <c r="H140" s="12">
        <v>0</v>
      </c>
    </row>
    <row r="141" spans="1:15">
      <c r="A141" t="s">
        <v>273</v>
      </c>
      <c r="B141" s="12">
        <v>0</v>
      </c>
      <c r="D141" s="12">
        <v>0</v>
      </c>
      <c r="F141" s="12">
        <v>0</v>
      </c>
      <c r="H141" s="12">
        <v>0</v>
      </c>
    </row>
    <row r="143" spans="1:15">
      <c r="A143" t="s">
        <v>517</v>
      </c>
      <c r="B143" s="4">
        <f>SUM(B144:B150)</f>
        <v>37900.120280000003</v>
      </c>
      <c r="C143" s="11"/>
      <c r="D143" s="4">
        <f>SUM(D144:D150)</f>
        <v>0</v>
      </c>
      <c r="E143" s="11"/>
      <c r="F143" s="4">
        <f>SUM(F144:F150)</f>
        <v>0</v>
      </c>
      <c r="G143" s="11"/>
      <c r="H143" s="4">
        <f>SUM(H144:H150)</f>
        <v>0</v>
      </c>
      <c r="I143" s="11"/>
      <c r="J143" s="4"/>
      <c r="K143" s="11"/>
      <c r="L143" s="4"/>
      <c r="M143" s="11"/>
      <c r="O143" s="11"/>
    </row>
    <row r="144" spans="1:15">
      <c r="A144" t="s">
        <v>629</v>
      </c>
      <c r="B144" s="12">
        <v>0</v>
      </c>
      <c r="D144" s="12">
        <v>0</v>
      </c>
      <c r="F144" s="12">
        <v>0</v>
      </c>
      <c r="H144" s="12">
        <v>0</v>
      </c>
    </row>
    <row r="145" spans="1:15">
      <c r="A145" t="s">
        <v>630</v>
      </c>
      <c r="B145" s="12">
        <f>20949839.78/1000</f>
        <v>20949.839780000002</v>
      </c>
      <c r="D145" s="12">
        <v>0</v>
      </c>
      <c r="F145" s="12">
        <v>0</v>
      </c>
      <c r="H145" s="12">
        <v>0</v>
      </c>
    </row>
    <row r="146" spans="1:15">
      <c r="A146" t="s">
        <v>631</v>
      </c>
      <c r="B146" s="12">
        <v>0</v>
      </c>
      <c r="D146" s="12">
        <v>0</v>
      </c>
      <c r="F146" s="12">
        <v>0</v>
      </c>
      <c r="H146" s="12">
        <v>0</v>
      </c>
    </row>
    <row r="147" spans="1:15">
      <c r="A147" t="s">
        <v>632</v>
      </c>
      <c r="B147" s="12">
        <v>0</v>
      </c>
      <c r="D147" s="12">
        <v>0</v>
      </c>
      <c r="F147" s="12">
        <v>0</v>
      </c>
      <c r="H147" s="12">
        <v>0</v>
      </c>
    </row>
    <row r="148" spans="1:15">
      <c r="A148" t="s">
        <v>633</v>
      </c>
      <c r="B148" s="12">
        <v>0</v>
      </c>
      <c r="D148" s="12">
        <v>0</v>
      </c>
      <c r="F148" s="12">
        <v>0</v>
      </c>
      <c r="H148" s="12">
        <v>0</v>
      </c>
    </row>
    <row r="149" spans="1:15">
      <c r="A149" t="s">
        <v>523</v>
      </c>
      <c r="B149" s="12">
        <f>3906164.6/1000</f>
        <v>3906.1646000000001</v>
      </c>
      <c r="D149" s="12">
        <v>0</v>
      </c>
      <c r="F149" s="12">
        <v>0</v>
      </c>
      <c r="H149" s="12">
        <v>0</v>
      </c>
    </row>
    <row r="150" spans="1:15">
      <c r="A150" t="s">
        <v>524</v>
      </c>
      <c r="B150" s="12">
        <f>13044115.9/1000</f>
        <v>13044.115900000001</v>
      </c>
      <c r="D150" s="12">
        <v>0</v>
      </c>
      <c r="F150" s="12">
        <v>0</v>
      </c>
      <c r="H150" s="12">
        <v>0</v>
      </c>
    </row>
    <row r="152" spans="1:15">
      <c r="A152" t="s">
        <v>525</v>
      </c>
      <c r="B152" s="4">
        <v>0</v>
      </c>
      <c r="C152" s="11"/>
      <c r="D152" s="4">
        <v>0</v>
      </c>
      <c r="E152" s="11"/>
      <c r="F152" s="4">
        <v>0</v>
      </c>
      <c r="G152" s="11"/>
      <c r="H152" s="4">
        <v>0</v>
      </c>
      <c r="I152" s="11"/>
      <c r="J152" s="4"/>
      <c r="K152" s="11"/>
      <c r="L152" s="4"/>
      <c r="M152" s="11"/>
      <c r="O152" s="11"/>
    </row>
    <row r="154" spans="1:15">
      <c r="A154" t="s">
        <v>374</v>
      </c>
      <c r="B154" s="4">
        <v>0</v>
      </c>
      <c r="C154" s="11"/>
      <c r="D154" s="4">
        <v>0</v>
      </c>
      <c r="E154" s="11"/>
      <c r="F154" s="4">
        <v>0</v>
      </c>
      <c r="G154" s="11"/>
      <c r="H154" s="4">
        <v>0</v>
      </c>
      <c r="I154" s="11"/>
      <c r="J154" s="4"/>
      <c r="K154" s="11"/>
      <c r="L154" s="4"/>
      <c r="M154" s="11"/>
      <c r="O154" s="11"/>
    </row>
    <row r="156" spans="1:15">
      <c r="A156" t="s">
        <v>375</v>
      </c>
      <c r="B156" s="4">
        <f>7793978.39/1000</f>
        <v>7793.9783899999993</v>
      </c>
      <c r="C156" s="11"/>
      <c r="D156" s="4">
        <v>0</v>
      </c>
      <c r="E156" s="11"/>
      <c r="F156" s="4">
        <v>0</v>
      </c>
      <c r="G156" s="11"/>
      <c r="H156" s="4">
        <v>0</v>
      </c>
      <c r="I156" s="11"/>
      <c r="J156" s="4"/>
      <c r="K156" s="11"/>
      <c r="L156" s="4"/>
      <c r="M156" s="11"/>
      <c r="O156" s="11"/>
    </row>
    <row r="158" spans="1:15">
      <c r="A158" t="s">
        <v>376</v>
      </c>
      <c r="B158" s="4">
        <f>+B161+B162+B163+B164</f>
        <v>68788.880910000007</v>
      </c>
      <c r="C158" s="11"/>
      <c r="D158" s="4">
        <f>+D162+D163+D164</f>
        <v>0</v>
      </c>
      <c r="E158" s="11"/>
      <c r="F158" s="4">
        <f>+F162+F163+F164</f>
        <v>0</v>
      </c>
      <c r="G158" s="11"/>
      <c r="H158" s="4">
        <f>+H162+H163+H164</f>
        <v>0</v>
      </c>
      <c r="I158" s="11"/>
      <c r="J158" s="4"/>
      <c r="K158" s="11"/>
      <c r="L158" s="4"/>
      <c r="M158" s="11"/>
      <c r="O158" s="11"/>
    </row>
    <row r="159" spans="1:15">
      <c r="A159" t="s">
        <v>377</v>
      </c>
      <c r="B159" s="12">
        <f>65000000/1000</f>
        <v>65000</v>
      </c>
      <c r="D159" s="12">
        <v>0</v>
      </c>
      <c r="F159" s="12">
        <v>0</v>
      </c>
      <c r="H159" s="12">
        <v>0</v>
      </c>
    </row>
    <row r="160" spans="1:15">
      <c r="A160" t="s">
        <v>378</v>
      </c>
      <c r="B160" s="12">
        <f>-23740000/1000</f>
        <v>-23740</v>
      </c>
      <c r="D160" s="12">
        <v>0</v>
      </c>
      <c r="F160" s="12">
        <v>0</v>
      </c>
      <c r="H160" s="12">
        <v>0</v>
      </c>
    </row>
    <row r="161" spans="1:15">
      <c r="A161" t="s">
        <v>302</v>
      </c>
      <c r="B161" s="12">
        <f>2700000/1000</f>
        <v>2700</v>
      </c>
      <c r="D161" s="12">
        <v>0</v>
      </c>
      <c r="F161" s="12">
        <v>0</v>
      </c>
      <c r="H161" s="12">
        <v>0</v>
      </c>
    </row>
    <row r="162" spans="1:15">
      <c r="A162" t="s">
        <v>289</v>
      </c>
      <c r="B162" s="4">
        <f>+B159+B160</f>
        <v>41260</v>
      </c>
      <c r="D162" s="4">
        <f>+D159+D160</f>
        <v>0</v>
      </c>
      <c r="F162" s="4">
        <f>+F159+F160</f>
        <v>0</v>
      </c>
      <c r="H162" s="4">
        <f>+H159+H160</f>
        <v>0</v>
      </c>
    </row>
    <row r="163" spans="1:15">
      <c r="A163" t="s">
        <v>379</v>
      </c>
      <c r="B163" s="12">
        <f>24828880.91/1000</f>
        <v>24828.88091</v>
      </c>
      <c r="D163" s="12">
        <v>0</v>
      </c>
      <c r="F163" s="12">
        <v>0</v>
      </c>
      <c r="H163" s="12">
        <v>0</v>
      </c>
    </row>
    <row r="164" spans="1:15">
      <c r="A164" t="s">
        <v>380</v>
      </c>
      <c r="B164" s="12">
        <v>0</v>
      </c>
      <c r="D164" s="12">
        <v>0</v>
      </c>
      <c r="F164" s="12">
        <v>0</v>
      </c>
      <c r="H164" s="12">
        <v>0</v>
      </c>
    </row>
    <row r="166" spans="1:15">
      <c r="A166" t="s">
        <v>381</v>
      </c>
      <c r="B166" s="4">
        <f>SUM(B167:B168)</f>
        <v>27259.120999999999</v>
      </c>
      <c r="C166" s="11"/>
      <c r="D166" s="4">
        <f>SUM(D167:D168)</f>
        <v>0</v>
      </c>
      <c r="E166" s="11"/>
      <c r="F166" s="4">
        <f>SUM(F167:F168)</f>
        <v>0</v>
      </c>
      <c r="G166" s="11"/>
      <c r="H166" s="4">
        <f>SUM(H167:H168)</f>
        <v>0</v>
      </c>
      <c r="I166" s="11"/>
      <c r="J166" s="4"/>
      <c r="K166" s="11"/>
      <c r="L166" s="4"/>
      <c r="M166" s="11"/>
      <c r="O166" s="11"/>
    </row>
    <row r="167" spans="1:15">
      <c r="A167" t="s">
        <v>382</v>
      </c>
      <c r="B167" s="12">
        <f>8848321/1000</f>
        <v>8848.3209999999999</v>
      </c>
      <c r="D167" s="12">
        <v>0</v>
      </c>
      <c r="F167" s="12">
        <v>0</v>
      </c>
      <c r="H167" s="12">
        <v>0</v>
      </c>
    </row>
    <row r="168" spans="1:15">
      <c r="A168" t="s">
        <v>383</v>
      </c>
      <c r="B168" s="12">
        <f>18410800/1000</f>
        <v>18410.8</v>
      </c>
      <c r="D168" s="12">
        <v>0</v>
      </c>
      <c r="F168" s="12">
        <v>0</v>
      </c>
      <c r="H168" s="12">
        <v>0</v>
      </c>
    </row>
    <row r="170" spans="1:15">
      <c r="A170" t="s">
        <v>384</v>
      </c>
      <c r="B170" s="4">
        <f t="shared" ref="B170:M170" si="12">+B120+B124+B126+B128+B143+B152+B154+B156+B158+B166</f>
        <v>1451286.1719900002</v>
      </c>
      <c r="C170" s="11">
        <f t="shared" si="12"/>
        <v>0</v>
      </c>
      <c r="D170" s="4">
        <f t="shared" si="12"/>
        <v>0</v>
      </c>
      <c r="E170" s="11">
        <f t="shared" si="12"/>
        <v>0</v>
      </c>
      <c r="F170" s="4">
        <f t="shared" si="12"/>
        <v>0</v>
      </c>
      <c r="G170" s="11">
        <f t="shared" si="12"/>
        <v>0</v>
      </c>
      <c r="H170" s="4">
        <f t="shared" si="12"/>
        <v>0</v>
      </c>
      <c r="I170" s="11">
        <f t="shared" si="12"/>
        <v>0</v>
      </c>
      <c r="J170" s="4">
        <f t="shared" si="12"/>
        <v>0</v>
      </c>
      <c r="K170" s="11">
        <f t="shared" si="12"/>
        <v>0</v>
      </c>
      <c r="L170" s="4">
        <f t="shared" si="12"/>
        <v>0</v>
      </c>
      <c r="M170" s="11">
        <f t="shared" si="12"/>
        <v>0</v>
      </c>
      <c r="O170" s="11">
        <f>+O120+O124+O126+O128+O143+O152+O154+O156+O158+O166</f>
        <v>0</v>
      </c>
    </row>
  </sheetData>
  <pageMargins left="0.2" right="0.25" top="0.52" bottom="0.53" header="0.31" footer="0.25"/>
  <pageSetup scale="54" orientation="landscape" r:id="rId1"/>
  <headerFooter alignWithMargins="0">
    <oddFooter>&amp;R&amp;P</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7"/>
  <sheetViews>
    <sheetView workbookViewId="0"/>
  </sheetViews>
  <sheetFormatPr defaultRowHeight="15.75"/>
  <cols>
    <col min="1" max="1" width="33.25" customWidth="1"/>
    <col min="2" max="2" width="18.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9.75" style="13" customWidth="1"/>
    <col min="18" max="18" width="15.75" style="12" customWidth="1"/>
    <col min="19" max="21" width="15.75" customWidth="1"/>
    <col min="22" max="256" width="11" customWidth="1"/>
  </cols>
  <sheetData>
    <row r="1" spans="1:21">
      <c r="A1" s="114" t="s">
        <v>628</v>
      </c>
      <c r="B1" s="37"/>
      <c r="C1" s="38"/>
      <c r="D1" s="37"/>
      <c r="E1" s="38"/>
      <c r="F1" s="37"/>
      <c r="G1" s="38"/>
      <c r="H1" s="37"/>
      <c r="I1" s="38"/>
      <c r="J1" s="37"/>
      <c r="K1" s="38"/>
      <c r="L1" s="37"/>
      <c r="M1" s="38"/>
      <c r="N1" s="37"/>
      <c r="O1" s="38"/>
      <c r="P1" s="37"/>
      <c r="Q1" s="38"/>
    </row>
    <row r="2" spans="1:21">
      <c r="A2" s="114" t="s">
        <v>305</v>
      </c>
      <c r="B2" s="37"/>
      <c r="C2" s="38"/>
      <c r="D2" s="37"/>
      <c r="E2" s="38"/>
      <c r="F2" s="37"/>
      <c r="G2" s="38"/>
      <c r="H2" s="37"/>
      <c r="I2" s="38"/>
      <c r="J2" s="37"/>
      <c r="K2" s="38"/>
      <c r="L2" s="37"/>
      <c r="M2" s="38"/>
      <c r="N2" s="37"/>
      <c r="O2" s="38"/>
      <c r="P2" s="37"/>
      <c r="Q2" s="38"/>
    </row>
    <row r="3" spans="1:21">
      <c r="A3" s="114" t="s">
        <v>526</v>
      </c>
      <c r="B3" s="37"/>
      <c r="C3" s="38"/>
      <c r="D3" s="37"/>
      <c r="E3" s="38"/>
      <c r="F3" s="37"/>
      <c r="G3" s="38"/>
      <c r="H3" s="37"/>
      <c r="I3" s="38"/>
      <c r="J3" s="37"/>
      <c r="K3" s="38"/>
      <c r="L3" s="37"/>
      <c r="M3" s="38"/>
      <c r="N3" s="37"/>
      <c r="O3" s="38"/>
      <c r="P3" s="37"/>
      <c r="Q3" s="38"/>
    </row>
    <row r="4" spans="1:21">
      <c r="A4" s="114" t="s">
        <v>179</v>
      </c>
      <c r="B4" s="37"/>
      <c r="C4" s="38"/>
      <c r="D4" s="37"/>
      <c r="E4" s="38"/>
      <c r="F4" s="37"/>
      <c r="G4" s="38"/>
      <c r="H4" s="37"/>
      <c r="I4" s="38"/>
      <c r="J4" s="37"/>
      <c r="K4" s="38"/>
      <c r="L4" s="37"/>
      <c r="M4" s="38"/>
      <c r="N4" s="37"/>
      <c r="O4" s="38"/>
      <c r="P4" s="37"/>
      <c r="Q4" s="38"/>
    </row>
    <row r="6" spans="1:21" s="2" customFormat="1" ht="16.5" thickBot="1">
      <c r="B6" s="400" t="s">
        <v>0</v>
      </c>
      <c r="C6" s="399"/>
      <c r="D6" s="400"/>
      <c r="E6" s="399"/>
      <c r="F6" s="400"/>
      <c r="G6" s="399"/>
      <c r="H6" s="400"/>
      <c r="I6" s="11"/>
      <c r="J6" s="123" t="s">
        <v>167</v>
      </c>
      <c r="K6" s="230"/>
      <c r="L6" s="123"/>
      <c r="M6" s="230"/>
      <c r="N6" s="123"/>
      <c r="O6" s="230"/>
      <c r="P6" s="123"/>
      <c r="Q6" s="230"/>
      <c r="R6" s="4"/>
    </row>
    <row r="7" spans="1:21" s="2" customFormat="1" ht="16.5" thickBot="1">
      <c r="B7" s="223" t="s">
        <v>168</v>
      </c>
      <c r="C7" s="224" t="s">
        <v>301</v>
      </c>
      <c r="D7" s="225" t="s">
        <v>170</v>
      </c>
      <c r="E7" s="224" t="s">
        <v>301</v>
      </c>
      <c r="F7" s="225" t="s">
        <v>171</v>
      </c>
      <c r="G7" s="224" t="s">
        <v>301</v>
      </c>
      <c r="H7" s="225" t="s">
        <v>172</v>
      </c>
      <c r="I7" s="224" t="s">
        <v>301</v>
      </c>
      <c r="J7" s="228" t="s">
        <v>174</v>
      </c>
      <c r="K7" s="227" t="s">
        <v>301</v>
      </c>
      <c r="L7" s="228" t="s">
        <v>175</v>
      </c>
      <c r="M7" s="227" t="s">
        <v>301</v>
      </c>
      <c r="N7" s="228" t="s">
        <v>176</v>
      </c>
      <c r="O7" s="227" t="s">
        <v>301</v>
      </c>
      <c r="P7" s="228" t="s">
        <v>177</v>
      </c>
      <c r="Q7" s="227" t="s">
        <v>301</v>
      </c>
      <c r="R7" s="80"/>
      <c r="S7" s="18"/>
      <c r="T7" s="18"/>
      <c r="U7" s="18"/>
    </row>
    <row r="8" spans="1:21">
      <c r="A8" s="87" t="s">
        <v>243</v>
      </c>
      <c r="B8" s="125"/>
      <c r="C8" s="124"/>
      <c r="D8" s="125"/>
      <c r="E8" s="124"/>
      <c r="F8" s="125"/>
      <c r="G8" s="124"/>
      <c r="H8" s="125"/>
      <c r="I8" s="124"/>
      <c r="J8" s="219"/>
      <c r="K8" s="124"/>
      <c r="L8" s="219"/>
      <c r="M8" s="124"/>
      <c r="N8" s="219"/>
      <c r="O8" s="124"/>
      <c r="P8" s="219"/>
      <c r="Q8" s="124"/>
      <c r="R8" s="14"/>
      <c r="S8" s="9"/>
      <c r="T8" s="9"/>
      <c r="U8" s="9"/>
    </row>
    <row r="9" spans="1:21">
      <c r="A9" s="1" t="s">
        <v>264</v>
      </c>
      <c r="B9"/>
    </row>
    <row r="10" spans="1:21">
      <c r="A10" s="1" t="s">
        <v>265</v>
      </c>
      <c r="B10" s="12">
        <f>+promobkvar!B10</f>
        <v>85272</v>
      </c>
      <c r="C10" s="47">
        <f t="shared" ref="C10:C15" si="0">+B10/$B$22</f>
        <v>5.4383312042684193E-2</v>
      </c>
      <c r="D10" s="12">
        <f>+promobkvar!D10</f>
        <v>0</v>
      </c>
      <c r="E10" s="44">
        <v>0</v>
      </c>
      <c r="F10" s="12">
        <f>+promobkvar!F10</f>
        <v>0</v>
      </c>
      <c r="G10" s="44">
        <v>0</v>
      </c>
      <c r="H10" s="12">
        <f>+promobkvar!H10</f>
        <v>0</v>
      </c>
      <c r="I10" s="44">
        <v>0</v>
      </c>
      <c r="J10" s="12">
        <f>+promobkvar!J10</f>
        <v>79458</v>
      </c>
      <c r="K10" s="47">
        <f t="shared" ref="K10:K15" si="1">+J10/$J$22</f>
        <v>5.2662973670501496E-2</v>
      </c>
      <c r="L10" s="12">
        <f>+promobkvar!L10</f>
        <v>80084</v>
      </c>
      <c r="M10" s="47">
        <f t="shared" ref="M10:M15" si="2">+L10/$L$22</f>
        <v>6.0053556578228071E-2</v>
      </c>
      <c r="N10" s="12">
        <f>+promobkvar!N10</f>
        <v>65667.600000000006</v>
      </c>
      <c r="O10" s="47">
        <f t="shared" ref="O10:O15" si="3">+N10/$N$22</f>
        <v>5.0083823111840654E-2</v>
      </c>
      <c r="P10" s="12">
        <f>+promobkvar!P10</f>
        <v>43341.343000000001</v>
      </c>
      <c r="Q10" s="47">
        <f t="shared" ref="Q10:Q15" si="4">+P10/$P$22</f>
        <v>3.7568924911488416E-2</v>
      </c>
    </row>
    <row r="11" spans="1:21">
      <c r="A11" s="1" t="s">
        <v>266</v>
      </c>
      <c r="B11" s="12">
        <f>+promobkvar!B11</f>
        <v>271439</v>
      </c>
      <c r="C11" s="47">
        <f t="shared" si="0"/>
        <v>0.17311370482167832</v>
      </c>
      <c r="D11" s="12">
        <f>+promobkvar!D11</f>
        <v>0</v>
      </c>
      <c r="E11" s="44">
        <v>0</v>
      </c>
      <c r="F11" s="12">
        <f>+promobkvar!F11</f>
        <v>0</v>
      </c>
      <c r="G11" s="44">
        <v>0</v>
      </c>
      <c r="H11" s="12">
        <f>+promobkvar!H11</f>
        <v>0</v>
      </c>
      <c r="I11" s="44">
        <v>0</v>
      </c>
      <c r="J11" s="12">
        <f>+promobkvar!J11</f>
        <v>262885</v>
      </c>
      <c r="K11" s="47">
        <f t="shared" si="1"/>
        <v>0.17423426002881756</v>
      </c>
      <c r="L11" s="12">
        <f>+promobkvar!L11</f>
        <v>220205</v>
      </c>
      <c r="M11" s="47">
        <f t="shared" si="2"/>
        <v>0.1651277836560201</v>
      </c>
      <c r="N11" s="12">
        <f>+promobkvar!N11</f>
        <v>202146.6</v>
      </c>
      <c r="O11" s="47">
        <f t="shared" si="3"/>
        <v>0.15417457859065975</v>
      </c>
      <c r="P11" s="12">
        <f>+promobkvar!P11</f>
        <v>282533.93300000002</v>
      </c>
      <c r="Q11" s="47">
        <f t="shared" si="4"/>
        <v>0.24490464252167959</v>
      </c>
    </row>
    <row r="12" spans="1:21">
      <c r="A12" s="1" t="s">
        <v>267</v>
      </c>
      <c r="B12" s="12">
        <f>+promobkvar!B12</f>
        <v>108675</v>
      </c>
      <c r="C12" s="47">
        <f t="shared" si="0"/>
        <v>6.9308875553976731E-2</v>
      </c>
      <c r="D12" s="12">
        <f>+promobkvar!D12</f>
        <v>0</v>
      </c>
      <c r="E12" s="44">
        <v>0</v>
      </c>
      <c r="F12" s="12">
        <f>+promobkvar!F12</f>
        <v>0</v>
      </c>
      <c r="G12" s="44">
        <v>0</v>
      </c>
      <c r="H12" s="12">
        <f>+promobkvar!H12</f>
        <v>0</v>
      </c>
      <c r="I12" s="44">
        <v>0</v>
      </c>
      <c r="J12" s="12">
        <f>+promobkvar!J12</f>
        <v>115976</v>
      </c>
      <c r="K12" s="47">
        <f t="shared" si="1"/>
        <v>7.686628199061242E-2</v>
      </c>
      <c r="L12" s="12">
        <f>+promobkvar!L12</f>
        <v>110767</v>
      </c>
      <c r="M12" s="47">
        <f t="shared" si="2"/>
        <v>8.3062188470862955E-2</v>
      </c>
      <c r="N12" s="12">
        <f>+promobkvar!N12</f>
        <v>187432.3</v>
      </c>
      <c r="O12" s="47">
        <f t="shared" si="3"/>
        <v>0.14295217365406152</v>
      </c>
      <c r="P12" s="12">
        <f>+promobkvar!P12</f>
        <v>181704.174</v>
      </c>
      <c r="Q12" s="47">
        <f t="shared" si="4"/>
        <v>0.1575038980474146</v>
      </c>
    </row>
    <row r="13" spans="1:21">
      <c r="A13" s="1" t="s">
        <v>268</v>
      </c>
      <c r="B13" s="12">
        <f>+promobkvar!B13</f>
        <v>0</v>
      </c>
      <c r="C13" s="47">
        <f t="shared" si="0"/>
        <v>0</v>
      </c>
      <c r="D13" s="12">
        <f>+promobkvar!D13</f>
        <v>0</v>
      </c>
      <c r="E13" s="44">
        <v>0</v>
      </c>
      <c r="F13" s="12">
        <f>+promobkvar!F13</f>
        <v>0</v>
      </c>
      <c r="G13" s="44">
        <v>0</v>
      </c>
      <c r="H13" s="12">
        <f>+promobkvar!H13</f>
        <v>0</v>
      </c>
      <c r="I13" s="44">
        <v>0</v>
      </c>
      <c r="J13" s="12">
        <f>+promobkvar!J13</f>
        <v>25411</v>
      </c>
      <c r="K13" s="47">
        <f t="shared" si="1"/>
        <v>1.6841838756841521E-2</v>
      </c>
      <c r="L13" s="12">
        <f>+promobkvar!L13</f>
        <v>16848</v>
      </c>
      <c r="M13" s="47">
        <f t="shared" si="2"/>
        <v>1.2634013301408354E-2</v>
      </c>
      <c r="N13" s="12">
        <f>+promobkvar!N13</f>
        <v>0</v>
      </c>
      <c r="O13" s="47">
        <f t="shared" si="3"/>
        <v>0</v>
      </c>
      <c r="P13" s="12">
        <f>+promobkvar!P13</f>
        <v>0</v>
      </c>
      <c r="Q13" s="47">
        <f t="shared" si="4"/>
        <v>0</v>
      </c>
    </row>
    <row r="14" spans="1:21">
      <c r="A14" s="1" t="s">
        <v>269</v>
      </c>
      <c r="B14" s="221">
        <f>+promobkvar!B14</f>
        <v>35629</v>
      </c>
      <c r="C14" s="328">
        <f t="shared" si="0"/>
        <v>2.2722851871291808E-2</v>
      </c>
      <c r="D14" s="221">
        <f>+promobkvar!D14</f>
        <v>0</v>
      </c>
      <c r="E14" s="545">
        <v>0</v>
      </c>
      <c r="F14" s="221">
        <f>+promobkvar!F14</f>
        <v>0</v>
      </c>
      <c r="G14" s="545">
        <v>0</v>
      </c>
      <c r="H14" s="221">
        <f>+promobkvar!H14</f>
        <v>0</v>
      </c>
      <c r="I14" s="545">
        <v>0</v>
      </c>
      <c r="J14" s="221">
        <f>+promobkvar!J14</f>
        <v>29120</v>
      </c>
      <c r="K14" s="328">
        <f t="shared" si="1"/>
        <v>1.9300080461187089E-2</v>
      </c>
      <c r="L14" s="221">
        <f>+promobkvar!L14</f>
        <v>37168</v>
      </c>
      <c r="M14" s="328">
        <f t="shared" si="2"/>
        <v>2.7871617188197157E-2</v>
      </c>
      <c r="N14" s="221">
        <f>+promobkvar!N14</f>
        <v>19463.400000000001</v>
      </c>
      <c r="O14" s="328">
        <f t="shared" si="3"/>
        <v>1.4844481643230443E-2</v>
      </c>
      <c r="P14" s="221">
        <f>+promobkvar!P14</f>
        <v>26642.21</v>
      </c>
      <c r="Q14" s="328">
        <f t="shared" si="4"/>
        <v>2.3093866449087785E-2</v>
      </c>
    </row>
    <row r="15" spans="1:21" ht="15.6" customHeight="1">
      <c r="A15" s="1"/>
      <c r="B15" s="12">
        <f>SUM(B10:B14)</f>
        <v>501015</v>
      </c>
      <c r="C15" s="47">
        <f t="shared" si="0"/>
        <v>0.31952874428963107</v>
      </c>
      <c r="D15" s="12">
        <f>SUM(D10:D14)</f>
        <v>0</v>
      </c>
      <c r="E15" s="44">
        <v>0</v>
      </c>
      <c r="F15" s="12">
        <f>SUM(F10:F14)</f>
        <v>0</v>
      </c>
      <c r="G15" s="44">
        <v>0</v>
      </c>
      <c r="H15" s="12">
        <f>SUM(H10:H14)</f>
        <v>0</v>
      </c>
      <c r="I15" s="44">
        <v>0</v>
      </c>
      <c r="J15" s="12">
        <f>SUM(J10:J14)</f>
        <v>512850</v>
      </c>
      <c r="K15" s="47">
        <f t="shared" si="1"/>
        <v>0.3399054349079601</v>
      </c>
      <c r="L15" s="12">
        <f>SUM(L10:L14)</f>
        <v>465072</v>
      </c>
      <c r="M15" s="47">
        <f t="shared" si="2"/>
        <v>0.34874915919471661</v>
      </c>
      <c r="N15" s="12">
        <f>SUM(N10:N14)</f>
        <v>474709.9</v>
      </c>
      <c r="O15" s="47">
        <f t="shared" si="3"/>
        <v>0.36205505699979235</v>
      </c>
      <c r="P15" s="12">
        <f>SUM(P10:P14)</f>
        <v>534221.66</v>
      </c>
      <c r="Q15" s="47">
        <f t="shared" si="4"/>
        <v>0.46307133192967043</v>
      </c>
    </row>
    <row r="16" spans="1:21" ht="7.9" customHeight="1">
      <c r="A16" s="1"/>
      <c r="C16" s="47" t="s">
        <v>0</v>
      </c>
      <c r="E16" s="44" t="s">
        <v>0</v>
      </c>
      <c r="G16" s="44" t="s">
        <v>0</v>
      </c>
      <c r="I16" s="44" t="s">
        <v>0</v>
      </c>
      <c r="K16" s="47" t="s">
        <v>0</v>
      </c>
      <c r="M16" s="47" t="s">
        <v>0</v>
      </c>
      <c r="O16" s="47" t="s">
        <v>0</v>
      </c>
      <c r="Q16" s="47" t="s">
        <v>0</v>
      </c>
    </row>
    <row r="17" spans="1:17" ht="15.6" customHeight="1">
      <c r="A17" s="1" t="s">
        <v>270</v>
      </c>
      <c r="B17" s="12">
        <f>+promobkvar!B17</f>
        <v>90000</v>
      </c>
      <c r="C17" s="47">
        <f t="shared" ref="C17:C22" si="5">+B17/$B$22</f>
        <v>5.7398654703086326E-2</v>
      </c>
      <c r="D17" s="12">
        <f>+promobkvar!D17</f>
        <v>0</v>
      </c>
      <c r="E17" s="44">
        <v>0</v>
      </c>
      <c r="F17" s="12">
        <f>+promobkvar!F17</f>
        <v>0</v>
      </c>
      <c r="G17" s="44">
        <v>0</v>
      </c>
      <c r="H17" s="12">
        <f>+promobkvar!H17</f>
        <v>0</v>
      </c>
      <c r="I17" s="44">
        <v>0</v>
      </c>
      <c r="J17" s="12">
        <f>+promobkvar!J17</f>
        <v>110000</v>
      </c>
      <c r="K17" s="47">
        <f t="shared" ref="K17:K22" si="6">+J17/$J$22</f>
        <v>7.2905523720143528E-2</v>
      </c>
      <c r="L17" s="12">
        <f>+promobkvar!L17</f>
        <v>30000</v>
      </c>
      <c r="M17" s="47">
        <v>0</v>
      </c>
      <c r="N17" s="12">
        <f>+promobkvar!N17</f>
        <v>0</v>
      </c>
      <c r="O17" s="47">
        <v>0</v>
      </c>
      <c r="P17" s="12">
        <f>+promobkvar!P17</f>
        <v>0</v>
      </c>
      <c r="Q17" s="47">
        <v>0</v>
      </c>
    </row>
    <row r="18" spans="1:17">
      <c r="A18" s="1" t="s">
        <v>271</v>
      </c>
      <c r="B18" s="12">
        <f>+promobkvar!B18</f>
        <v>19324</v>
      </c>
      <c r="C18" s="47">
        <f t="shared" si="5"/>
        <v>1.2324128927582669E-2</v>
      </c>
      <c r="D18" s="12">
        <f>+promobkvar!D18</f>
        <v>0</v>
      </c>
      <c r="E18" s="44">
        <v>0</v>
      </c>
      <c r="F18" s="12">
        <f>+promobkvar!F18</f>
        <v>0</v>
      </c>
      <c r="G18" s="44">
        <v>0</v>
      </c>
      <c r="H18" s="12">
        <f>+promobkvar!H18</f>
        <v>0</v>
      </c>
      <c r="I18" s="44">
        <v>0</v>
      </c>
      <c r="J18" s="12">
        <f>+promobkvar!J18</f>
        <v>19324</v>
      </c>
      <c r="K18" s="47">
        <f t="shared" si="6"/>
        <v>1.2807512185164124E-2</v>
      </c>
      <c r="L18" s="12">
        <f>+promobkvar!L18</f>
        <v>117</v>
      </c>
      <c r="M18" s="47">
        <f>+L18/$L$22</f>
        <v>8.7736203482002449E-5</v>
      </c>
      <c r="N18" s="12">
        <f>+promobkvar!N18</f>
        <v>0</v>
      </c>
      <c r="O18" s="47">
        <f>+N18/$N$22</f>
        <v>0</v>
      </c>
      <c r="P18" s="12">
        <f>+promobkvar!P18</f>
        <v>0</v>
      </c>
      <c r="Q18" s="47">
        <f>+P18/$P$22</f>
        <v>0</v>
      </c>
    </row>
    <row r="19" spans="1:17">
      <c r="A19" s="1" t="s">
        <v>272</v>
      </c>
      <c r="B19" s="12">
        <f>+promobkvar!B19</f>
        <v>772879</v>
      </c>
      <c r="C19" s="47">
        <f t="shared" si="5"/>
        <v>0.49291349831407394</v>
      </c>
      <c r="D19" s="12">
        <f>+promobkvar!D19</f>
        <v>0</v>
      </c>
      <c r="E19" s="44">
        <v>0</v>
      </c>
      <c r="F19" s="12">
        <f>+promobkvar!F19</f>
        <v>0</v>
      </c>
      <c r="G19" s="44">
        <v>0</v>
      </c>
      <c r="H19" s="12">
        <f>+promobkvar!H19</f>
        <v>0</v>
      </c>
      <c r="I19" s="44">
        <v>0</v>
      </c>
      <c r="J19" s="12">
        <f>+promobkvar!J19</f>
        <v>679763</v>
      </c>
      <c r="K19" s="47">
        <f t="shared" si="6"/>
        <v>0.4505316138234175</v>
      </c>
      <c r="L19" s="12">
        <f>+promobkvar!L19</f>
        <v>695272</v>
      </c>
      <c r="M19" s="47">
        <f>+L19/$L$22</f>
        <v>0.52137201425075907</v>
      </c>
      <c r="N19" s="12">
        <f>+promobkvar!N19</f>
        <v>695304.4</v>
      </c>
      <c r="O19" s="47">
        <f>+N19/$N$22</f>
        <v>0.53029960861192582</v>
      </c>
      <c r="P19" s="12">
        <f>+promobkvar!P19</f>
        <v>515226.38400000002</v>
      </c>
      <c r="Q19" s="47">
        <f>+P19/$P$22</f>
        <v>0.44660594234271184</v>
      </c>
    </row>
    <row r="20" spans="1:17">
      <c r="A20" s="1" t="s">
        <v>273</v>
      </c>
      <c r="B20" s="12">
        <f>+promobkvar!B20</f>
        <v>114146</v>
      </c>
      <c r="C20" s="47">
        <f t="shared" si="5"/>
        <v>7.2798075997094355E-2</v>
      </c>
      <c r="D20" s="12">
        <f>+promobkvar!D20</f>
        <v>0</v>
      </c>
      <c r="E20" s="44">
        <v>0</v>
      </c>
      <c r="F20" s="12">
        <f>+promobkvar!F20</f>
        <v>0</v>
      </c>
      <c r="G20" s="44">
        <v>0</v>
      </c>
      <c r="H20" s="12">
        <f>+promobkvar!H20</f>
        <v>0</v>
      </c>
      <c r="I20" s="44">
        <v>0</v>
      </c>
      <c r="J20" s="12">
        <f>+promobkvar!J20</f>
        <v>101074</v>
      </c>
      <c r="K20" s="47">
        <f t="shared" si="6"/>
        <v>6.6989571858998065E-2</v>
      </c>
      <c r="L20" s="12">
        <f>+promobkvar!L20</f>
        <v>88855</v>
      </c>
      <c r="M20" s="47">
        <f>+L20/$L$22</f>
        <v>6.663077231105409E-2</v>
      </c>
      <c r="N20" s="12">
        <f>+promobkvar!N20</f>
        <v>48721.7</v>
      </c>
      <c r="O20" s="47">
        <f>+N20/$N$22</f>
        <v>3.7159405924811727E-2</v>
      </c>
      <c r="P20" s="12">
        <f>+promobkvar!P20</f>
        <v>40644.953000000001</v>
      </c>
      <c r="Q20" s="47">
        <f>+P20/$P$22</f>
        <v>3.5231653695825163E-2</v>
      </c>
    </row>
    <row r="21" spans="1:17" ht="16.5" thickBot="1">
      <c r="A21" s="1" t="s">
        <v>274</v>
      </c>
      <c r="B21" s="99">
        <f>+promobkvar!B21</f>
        <v>70617</v>
      </c>
      <c r="C21" s="329">
        <f t="shared" si="5"/>
        <v>4.5036897768531634E-2</v>
      </c>
      <c r="D21" s="99">
        <f>+promobkvar!D21</f>
        <v>0</v>
      </c>
      <c r="E21" s="232">
        <v>0</v>
      </c>
      <c r="F21" s="99">
        <f>+promobkvar!F21</f>
        <v>0</v>
      </c>
      <c r="G21" s="232">
        <v>0</v>
      </c>
      <c r="H21" s="99">
        <f>+promobkvar!H21</f>
        <v>0</v>
      </c>
      <c r="I21" s="232">
        <v>0</v>
      </c>
      <c r="J21" s="99">
        <f>+promobkvar!J21</f>
        <v>85791</v>
      </c>
      <c r="K21" s="329">
        <f t="shared" si="6"/>
        <v>5.6860343504316672E-2</v>
      </c>
      <c r="L21" s="99">
        <f>+promobkvar!L21</f>
        <v>54227</v>
      </c>
      <c r="M21" s="329">
        <f>+L21/$L$22</f>
        <v>4.0663855608705529E-2</v>
      </c>
      <c r="N21" s="99">
        <f>+promobkvar!N21</f>
        <v>92417.9</v>
      </c>
      <c r="O21" s="329">
        <f>+N21/$N$22</f>
        <v>7.0485928463470238E-2</v>
      </c>
      <c r="P21" s="99">
        <f>+promobkvar!P21</f>
        <v>63555.745999999999</v>
      </c>
      <c r="Q21" s="329">
        <f>+P21/$P$22</f>
        <v>5.5091072031792608E-2</v>
      </c>
    </row>
    <row r="22" spans="1:17">
      <c r="A22" s="1" t="s">
        <v>275</v>
      </c>
      <c r="B22" s="4">
        <f>SUM(B15:B21)</f>
        <v>1567981</v>
      </c>
      <c r="C22" s="112">
        <f t="shared" si="5"/>
        <v>1</v>
      </c>
      <c r="D22" s="4">
        <f>SUM(D15:D21)</f>
        <v>0</v>
      </c>
      <c r="E22" s="42">
        <v>0</v>
      </c>
      <c r="F22" s="4">
        <f>SUM(F15:F21)</f>
        <v>0</v>
      </c>
      <c r="G22" s="42">
        <v>0</v>
      </c>
      <c r="H22" s="4">
        <f>SUM(H15:H21)</f>
        <v>0</v>
      </c>
      <c r="I22" s="42">
        <v>0</v>
      </c>
      <c r="J22" s="4">
        <f>SUM(J15:J21)</f>
        <v>1508802</v>
      </c>
      <c r="K22" s="47">
        <f t="shared" si="6"/>
        <v>1</v>
      </c>
      <c r="L22" s="4">
        <f>SUM(L15:L21)</f>
        <v>1333543</v>
      </c>
      <c r="M22" s="47">
        <f>+L22/$L$22</f>
        <v>1</v>
      </c>
      <c r="N22" s="4">
        <f>SUM(N15:N21)</f>
        <v>1311153.8999999999</v>
      </c>
      <c r="O22" s="47">
        <f>+N22/$N$22</f>
        <v>1</v>
      </c>
      <c r="P22" s="4">
        <f>SUM(P15:P21)</f>
        <v>1153648.743</v>
      </c>
      <c r="Q22" s="47">
        <f>+P22/$P$22</f>
        <v>1</v>
      </c>
    </row>
    <row r="23" spans="1:17" ht="7.9" customHeight="1">
      <c r="A23" s="1"/>
      <c r="C23" s="47" t="s">
        <v>0</v>
      </c>
      <c r="E23" s="44" t="s">
        <v>0</v>
      </c>
      <c r="G23" s="44" t="s">
        <v>0</v>
      </c>
      <c r="I23" s="44" t="s">
        <v>0</v>
      </c>
      <c r="K23" s="47" t="s">
        <v>0</v>
      </c>
      <c r="M23" s="47" t="s">
        <v>0</v>
      </c>
      <c r="O23" s="47" t="s">
        <v>0</v>
      </c>
      <c r="Q23" s="47" t="s">
        <v>0</v>
      </c>
    </row>
    <row r="24" spans="1:17">
      <c r="A24" s="87" t="s">
        <v>276</v>
      </c>
      <c r="C24" s="47" t="s">
        <v>0</v>
      </c>
      <c r="E24" s="44" t="s">
        <v>0</v>
      </c>
      <c r="G24" s="44" t="s">
        <v>0</v>
      </c>
      <c r="I24" s="44" t="s">
        <v>0</v>
      </c>
      <c r="K24" s="47" t="s">
        <v>0</v>
      </c>
      <c r="M24" s="47" t="s">
        <v>0</v>
      </c>
      <c r="O24" s="47" t="s">
        <v>0</v>
      </c>
      <c r="Q24" s="47" t="s">
        <v>0</v>
      </c>
    </row>
    <row r="25" spans="1:17">
      <c r="A25" s="1" t="s">
        <v>277</v>
      </c>
      <c r="C25" s="47" t="s">
        <v>0</v>
      </c>
      <c r="E25" s="44" t="s">
        <v>0</v>
      </c>
      <c r="G25" s="44" t="s">
        <v>0</v>
      </c>
      <c r="I25" s="44" t="s">
        <v>0</v>
      </c>
      <c r="K25" s="47" t="s">
        <v>0</v>
      </c>
      <c r="M25" s="47" t="s">
        <v>0</v>
      </c>
      <c r="O25" s="47" t="s">
        <v>0</v>
      </c>
      <c r="Q25" s="47" t="s">
        <v>0</v>
      </c>
    </row>
    <row r="26" spans="1:17">
      <c r="A26" s="1" t="s">
        <v>278</v>
      </c>
      <c r="B26" s="12">
        <f>+promobkvar!B26</f>
        <v>418877</v>
      </c>
      <c r="C26" s="47">
        <f>+B26/$B$22</f>
        <v>0.26714418095627435</v>
      </c>
      <c r="D26" s="12">
        <f>+promobkvar!D26</f>
        <v>0</v>
      </c>
      <c r="E26" s="44">
        <v>0</v>
      </c>
      <c r="F26" s="12">
        <f>+promobkvar!F26</f>
        <v>0</v>
      </c>
      <c r="G26" s="44">
        <v>0</v>
      </c>
      <c r="H26" s="12">
        <f>+promobkvar!H26</f>
        <v>0</v>
      </c>
      <c r="I26" s="44">
        <v>0</v>
      </c>
      <c r="J26" s="12">
        <f>+promobkvar!J26</f>
        <v>376139</v>
      </c>
      <c r="K26" s="47">
        <f>+J26/$J$22</f>
        <v>0.24929646169610062</v>
      </c>
      <c r="L26" s="12">
        <f>+promobkvar!L26</f>
        <v>341640</v>
      </c>
      <c r="M26" s="47">
        <f>+L26/$L$22</f>
        <v>0.25618971416744718</v>
      </c>
      <c r="N26" s="12">
        <f>+promobkvar!N26</f>
        <v>342109</v>
      </c>
      <c r="O26" s="47">
        <f>+N26/$N$22</f>
        <v>0.26092207787354332</v>
      </c>
      <c r="P26" s="12">
        <f>+promobkvar!P26</f>
        <v>347911.712</v>
      </c>
      <c r="Q26" s="47">
        <f>+P26/$P$22</f>
        <v>0.30157508003283112</v>
      </c>
    </row>
    <row r="27" spans="1:17">
      <c r="A27" s="1" t="s">
        <v>279</v>
      </c>
      <c r="B27" s="12">
        <f>+promobkvar!B27</f>
        <v>398361</v>
      </c>
      <c r="C27" s="47">
        <f>+B27/$B$22</f>
        <v>0.25405983873529081</v>
      </c>
      <c r="D27" s="12">
        <f>+promobkvar!D27</f>
        <v>0</v>
      </c>
      <c r="E27" s="44">
        <v>0</v>
      </c>
      <c r="F27" s="12">
        <f>+promobkvar!F27</f>
        <v>0</v>
      </c>
      <c r="G27" s="44">
        <v>0</v>
      </c>
      <c r="H27" s="12">
        <f>+promobkvar!H27</f>
        <v>0</v>
      </c>
      <c r="I27" s="44">
        <v>0</v>
      </c>
      <c r="J27" s="12">
        <f>+promobkvar!J27</f>
        <v>391147</v>
      </c>
      <c r="K27" s="47">
        <f>+J27/$J$22</f>
        <v>0.25924342624148167</v>
      </c>
      <c r="L27" s="12">
        <f>+promobkvar!L27</f>
        <v>334589</v>
      </c>
      <c r="M27" s="47">
        <f>+L27/$L$22</f>
        <v>0.25090229561401467</v>
      </c>
      <c r="N27" s="12">
        <f>+promobkvar!N27</f>
        <v>288898.90000000002</v>
      </c>
      <c r="O27" s="47">
        <f>+N27/$N$22</f>
        <v>0.22033942773613382</v>
      </c>
      <c r="P27" s="12">
        <f>+promobkvar!P27</f>
        <v>237374.30300000001</v>
      </c>
      <c r="Q27" s="47">
        <f>+P27/$P$22</f>
        <v>0.20575959921970807</v>
      </c>
    </row>
    <row r="28" spans="1:17">
      <c r="A28" s="1" t="s">
        <v>280</v>
      </c>
      <c r="B28" s="221">
        <f>+promobkvar!B28</f>
        <v>537801</v>
      </c>
      <c r="C28" s="328">
        <f>+B28/$B$22</f>
        <v>0.34298948775527255</v>
      </c>
      <c r="D28" s="221">
        <f>+promobkvar!D28</f>
        <v>0</v>
      </c>
      <c r="E28" s="545">
        <v>0</v>
      </c>
      <c r="F28" s="221">
        <f>+promobkvar!F28</f>
        <v>0</v>
      </c>
      <c r="G28" s="545">
        <v>0</v>
      </c>
      <c r="H28" s="221">
        <f>+promobkvar!H28</f>
        <v>0</v>
      </c>
      <c r="I28" s="545">
        <v>0</v>
      </c>
      <c r="J28" s="221">
        <f>+promobkvar!J28</f>
        <v>502430</v>
      </c>
      <c r="K28" s="328">
        <f>+J28/$J$22</f>
        <v>0.33299929347919738</v>
      </c>
      <c r="L28" s="221">
        <f>+promobkvar!L28</f>
        <v>440575</v>
      </c>
      <c r="M28" s="328">
        <f>+L28/$L$22</f>
        <v>0.33037929785541226</v>
      </c>
      <c r="N28" s="221">
        <f>+promobkvar!N28</f>
        <v>437713.1</v>
      </c>
      <c r="O28" s="328">
        <f>+N28/$N$22</f>
        <v>0.33383807957250483</v>
      </c>
      <c r="P28" s="221">
        <f>+promobkvar!P28</f>
        <v>356010.39299999998</v>
      </c>
      <c r="Q28" s="328">
        <f>+P28/$P$22</f>
        <v>0.30859513795699595</v>
      </c>
    </row>
    <row r="29" spans="1:17">
      <c r="A29" s="1"/>
      <c r="B29" s="12">
        <f>SUM(B26:B28)</f>
        <v>1355039</v>
      </c>
      <c r="C29" s="47">
        <f>+B29/$B$22</f>
        <v>0.86419350744683765</v>
      </c>
      <c r="D29" s="12">
        <f>SUM(D26:D28)</f>
        <v>0</v>
      </c>
      <c r="E29" s="44">
        <v>0</v>
      </c>
      <c r="F29" s="12">
        <f>SUM(F26:F28)</f>
        <v>0</v>
      </c>
      <c r="G29" s="44">
        <v>0</v>
      </c>
      <c r="H29" s="12">
        <f>SUM(H26:H28)</f>
        <v>0</v>
      </c>
      <c r="I29" s="44">
        <v>0</v>
      </c>
      <c r="J29" s="12">
        <f>SUM(J26:J28)</f>
        <v>1269716</v>
      </c>
      <c r="K29" s="47">
        <f>+J29/$J$22</f>
        <v>0.84153918141677964</v>
      </c>
      <c r="L29" s="12">
        <f>SUM(L26:L28)</f>
        <v>1116804</v>
      </c>
      <c r="M29" s="47">
        <f>+L29/$L$22</f>
        <v>0.83747130763687405</v>
      </c>
      <c r="N29" s="12">
        <f>SUM(N26:N28)</f>
        <v>1068721</v>
      </c>
      <c r="O29" s="47">
        <f>+N29/$N$22</f>
        <v>0.81509958518218195</v>
      </c>
      <c r="P29" s="12">
        <f>SUM(P26:P28)</f>
        <v>941296.40800000005</v>
      </c>
      <c r="Q29" s="47">
        <f>+P29/$P$22</f>
        <v>0.81592981720953517</v>
      </c>
    </row>
    <row r="30" spans="1:17" ht="7.9" customHeight="1">
      <c r="A30" s="1"/>
      <c r="C30" s="47" t="s">
        <v>0</v>
      </c>
      <c r="E30" s="44" t="s">
        <v>0</v>
      </c>
      <c r="G30" s="44" t="s">
        <v>0</v>
      </c>
      <c r="I30" s="44" t="s">
        <v>0</v>
      </c>
      <c r="K30" s="47" t="s">
        <v>0</v>
      </c>
      <c r="M30" s="47" t="s">
        <v>0</v>
      </c>
      <c r="O30" s="47" t="s">
        <v>0</v>
      </c>
      <c r="Q30" s="47" t="s">
        <v>0</v>
      </c>
    </row>
    <row r="31" spans="1:17">
      <c r="A31" s="1" t="s">
        <v>281</v>
      </c>
      <c r="C31" s="47" t="s">
        <v>0</v>
      </c>
      <c r="E31" s="44" t="s">
        <v>0</v>
      </c>
      <c r="G31" s="44" t="s">
        <v>0</v>
      </c>
      <c r="I31" s="44" t="s">
        <v>0</v>
      </c>
      <c r="K31" s="47" t="s">
        <v>0</v>
      </c>
      <c r="M31" s="47" t="s">
        <v>0</v>
      </c>
      <c r="O31" s="47" t="s">
        <v>0</v>
      </c>
      <c r="Q31" s="47" t="s">
        <v>0</v>
      </c>
    </row>
    <row r="32" spans="1:17">
      <c r="A32" s="1" t="s">
        <v>282</v>
      </c>
      <c r="B32" s="12">
        <f>+promobkvar!B32</f>
        <v>0</v>
      </c>
      <c r="C32" s="47">
        <f>+B32/$B$22</f>
        <v>0</v>
      </c>
      <c r="D32" s="12">
        <f>+promobkvar!D32</f>
        <v>0</v>
      </c>
      <c r="E32" s="44">
        <v>0</v>
      </c>
      <c r="F32" s="12">
        <f>+promobkvar!F32</f>
        <v>0</v>
      </c>
      <c r="G32" s="44">
        <v>0</v>
      </c>
      <c r="H32" s="12">
        <f>+promobkvar!H32</f>
        <v>0</v>
      </c>
      <c r="I32" s="44">
        <v>0</v>
      </c>
      <c r="J32" s="12">
        <f>+promobkvar!J32</f>
        <v>1500</v>
      </c>
      <c r="K32" s="47">
        <f>+J32/$J$22</f>
        <v>9.9416623254741177E-4</v>
      </c>
      <c r="L32" s="12">
        <f>+promobkvar!L32</f>
        <v>1500</v>
      </c>
      <c r="M32" s="47">
        <f>+L32/$L$22</f>
        <v>1.124823121564134E-3</v>
      </c>
      <c r="N32" s="12">
        <f>+promobkvar!N32</f>
        <v>1500</v>
      </c>
      <c r="O32" s="47">
        <f>+N32/$N$22</f>
        <v>1.1440304604974291E-3</v>
      </c>
      <c r="P32" s="12">
        <f>+promobkvar!P32</f>
        <v>17061.989000000001</v>
      </c>
      <c r="Q32" s="47">
        <f>+P32/$P$22</f>
        <v>1.4789587474980676E-2</v>
      </c>
    </row>
    <row r="33" spans="1:21">
      <c r="A33" s="1" t="s">
        <v>283</v>
      </c>
      <c r="B33" s="12">
        <f>+promobkvar!B33</f>
        <v>0</v>
      </c>
      <c r="C33" s="47">
        <f>+B33/$B$22</f>
        <v>0</v>
      </c>
      <c r="D33" s="12">
        <f>+promobkvar!D33</f>
        <v>0</v>
      </c>
      <c r="E33" s="44">
        <v>0</v>
      </c>
      <c r="F33" s="12">
        <f>+promobkvar!F33</f>
        <v>0</v>
      </c>
      <c r="G33" s="44">
        <v>0</v>
      </c>
      <c r="H33" s="12">
        <f>+promobkvar!H33</f>
        <v>0</v>
      </c>
      <c r="I33" s="44">
        <v>0</v>
      </c>
      <c r="J33" s="12">
        <f>+promobkvar!J33</f>
        <v>0</v>
      </c>
      <c r="K33" s="47">
        <f>+J33/$J$22</f>
        <v>0</v>
      </c>
      <c r="L33" s="12">
        <f>+promobkvar!L33</f>
        <v>0</v>
      </c>
      <c r="M33" s="47">
        <f>+L33/$L$22</f>
        <v>0</v>
      </c>
      <c r="N33" s="12">
        <f>+promobkvar!N33</f>
        <v>0</v>
      </c>
      <c r="O33" s="47">
        <f>+N33/$N$22</f>
        <v>0</v>
      </c>
      <c r="P33" s="12">
        <f>+promobkvar!P33</f>
        <v>0</v>
      </c>
      <c r="Q33" s="47">
        <f>+P33/$P$22</f>
        <v>0</v>
      </c>
    </row>
    <row r="34" spans="1:21" ht="18">
      <c r="A34" s="1" t="s">
        <v>284</v>
      </c>
      <c r="B34" s="221">
        <f>+promobkvar!B34</f>
        <v>45182</v>
      </c>
      <c r="C34" s="328">
        <f>+B34/$B$22</f>
        <v>2.8815400186609403E-2</v>
      </c>
      <c r="D34" s="221">
        <f>+promobkvar!D34</f>
        <v>0</v>
      </c>
      <c r="E34" s="545">
        <v>0</v>
      </c>
      <c r="F34" s="221">
        <f>+promobkvar!F34</f>
        <v>0</v>
      </c>
      <c r="G34" s="545">
        <v>0</v>
      </c>
      <c r="H34" s="221">
        <f>+promobkvar!H34</f>
        <v>0</v>
      </c>
      <c r="I34" s="545">
        <v>0</v>
      </c>
      <c r="J34" s="221">
        <f>+promobkvar!J34</f>
        <v>63863</v>
      </c>
      <c r="K34" s="328">
        <f>+J34/$J$22</f>
        <v>4.2326958739450242E-2</v>
      </c>
      <c r="L34" s="221">
        <f>+promobkvar!L34</f>
        <v>61300</v>
      </c>
      <c r="M34" s="328">
        <f>+L34/$L$22</f>
        <v>4.5967771567920944E-2</v>
      </c>
      <c r="N34" s="221">
        <f>+promobkvar!N34</f>
        <v>62966.2</v>
      </c>
      <c r="O34" s="328">
        <f>+N34/$N$22</f>
        <v>4.8023500521182143E-2</v>
      </c>
      <c r="P34" s="221">
        <f>+promobkvar!P34</f>
        <v>76593.807000000001</v>
      </c>
      <c r="Q34" s="328">
        <f>+P34/$P$22</f>
        <v>6.6392658480103769E-2</v>
      </c>
      <c r="R34" s="6"/>
      <c r="S34" s="7"/>
      <c r="T34" s="7"/>
      <c r="U34" s="7"/>
    </row>
    <row r="35" spans="1:21">
      <c r="A35" s="1"/>
      <c r="B35" s="12">
        <f>SUM(B32:B34)</f>
        <v>45182</v>
      </c>
      <c r="C35" s="47">
        <f>+B35/$B$22</f>
        <v>2.8815400186609403E-2</v>
      </c>
      <c r="D35" s="12">
        <f>SUM(D32:D34)</f>
        <v>0</v>
      </c>
      <c r="E35" s="44">
        <v>0</v>
      </c>
      <c r="F35" s="12">
        <f>SUM(F32:F34)</f>
        <v>0</v>
      </c>
      <c r="G35" s="44">
        <v>0</v>
      </c>
      <c r="H35" s="12">
        <f>SUM(H32:H34)</f>
        <v>0</v>
      </c>
      <c r="I35" s="44">
        <v>0</v>
      </c>
      <c r="J35" s="12">
        <f>SUM(J32:J34)</f>
        <v>65363</v>
      </c>
      <c r="K35" s="47">
        <f>+J35/$J$22</f>
        <v>4.3321124971997652E-2</v>
      </c>
      <c r="L35" s="12">
        <f>SUM(L32:L34)</f>
        <v>62800</v>
      </c>
      <c r="M35" s="47">
        <f>+L35/$L$22</f>
        <v>4.7092594689485082E-2</v>
      </c>
      <c r="N35" s="12">
        <f>SUM(N32:N34)</f>
        <v>64466.2</v>
      </c>
      <c r="O35" s="47">
        <f>+N35/$N$22</f>
        <v>4.9167530981679572E-2</v>
      </c>
      <c r="P35" s="12">
        <f>SUM(P32:P34)</f>
        <v>93655.796000000002</v>
      </c>
      <c r="Q35" s="47">
        <f>+P35/$P$22</f>
        <v>8.1182245955084442E-2</v>
      </c>
    </row>
    <row r="36" spans="1:21" ht="7.15" customHeight="1">
      <c r="A36" s="1"/>
      <c r="C36" s="47" t="s">
        <v>0</v>
      </c>
      <c r="E36" s="44" t="s">
        <v>0</v>
      </c>
      <c r="G36" s="44" t="s">
        <v>0</v>
      </c>
      <c r="I36" s="44" t="s">
        <v>0</v>
      </c>
      <c r="K36" s="47" t="s">
        <v>0</v>
      </c>
      <c r="M36" s="47" t="s">
        <v>0</v>
      </c>
      <c r="O36" s="47" t="s">
        <v>0</v>
      </c>
      <c r="Q36" s="47" t="s">
        <v>0</v>
      </c>
    </row>
    <row r="37" spans="1:21">
      <c r="A37" s="1" t="s">
        <v>285</v>
      </c>
      <c r="C37" s="47" t="s">
        <v>0</v>
      </c>
      <c r="E37" s="44" t="s">
        <v>0</v>
      </c>
      <c r="G37" s="44" t="s">
        <v>0</v>
      </c>
      <c r="I37" s="44" t="s">
        <v>0</v>
      </c>
      <c r="K37" s="47" t="s">
        <v>0</v>
      </c>
      <c r="M37" s="47" t="s">
        <v>0</v>
      </c>
      <c r="O37" s="47" t="s">
        <v>0</v>
      </c>
      <c r="Q37" s="47" t="s">
        <v>0</v>
      </c>
    </row>
    <row r="38" spans="1:21">
      <c r="A38" s="1" t="s">
        <v>282</v>
      </c>
      <c r="B38" s="12">
        <f>+promobkvar!B38</f>
        <v>1500</v>
      </c>
      <c r="C38" s="47">
        <f>+B38/$B$22</f>
        <v>9.5664424505143876E-4</v>
      </c>
      <c r="D38" s="12">
        <f>+promobkvar!D38</f>
        <v>0</v>
      </c>
      <c r="E38" s="44">
        <v>0</v>
      </c>
      <c r="F38" s="12">
        <f>+promobkvar!F38</f>
        <v>0</v>
      </c>
      <c r="G38" s="44">
        <v>0</v>
      </c>
      <c r="H38" s="12">
        <f>+promobkvar!H38</f>
        <v>0</v>
      </c>
      <c r="I38" s="44">
        <v>0</v>
      </c>
      <c r="J38" s="12">
        <f>+promobkvar!J38</f>
        <v>11904</v>
      </c>
      <c r="K38" s="47">
        <f>+J38/$J$22</f>
        <v>7.8897032214962602E-3</v>
      </c>
      <c r="L38" s="12">
        <f>+promobkvar!L38</f>
        <v>19155</v>
      </c>
      <c r="M38" s="47">
        <f>+L38/$L$22</f>
        <v>1.4363991262373992E-2</v>
      </c>
      <c r="N38" s="12">
        <f>+promobkvar!N38</f>
        <v>0</v>
      </c>
      <c r="O38" s="47">
        <f>+N38/$N$22</f>
        <v>0</v>
      </c>
      <c r="P38" s="12">
        <f>+promobkvar!P38</f>
        <v>0</v>
      </c>
      <c r="Q38" s="47">
        <f t="shared" ref="Q38:Q44" si="7">+P38/$P$22</f>
        <v>0</v>
      </c>
    </row>
    <row r="39" spans="1:21">
      <c r="A39" s="1" t="s">
        <v>286</v>
      </c>
      <c r="B39" s="12">
        <f>+promobkvar!B39</f>
        <v>0</v>
      </c>
      <c r="C39" s="47">
        <f>+B39/$B$22</f>
        <v>0</v>
      </c>
      <c r="D39" s="12">
        <f>+promobkvar!D39</f>
        <v>0</v>
      </c>
      <c r="E39" s="44">
        <v>0</v>
      </c>
      <c r="F39" s="12">
        <f>+promobkvar!F39</f>
        <v>0</v>
      </c>
      <c r="G39" s="44">
        <v>0</v>
      </c>
      <c r="H39" s="12">
        <f>+promobkvar!H39</f>
        <v>0</v>
      </c>
      <c r="I39" s="44">
        <v>0</v>
      </c>
      <c r="J39" s="12">
        <f>+promobkvar!J39</f>
        <v>0</v>
      </c>
      <c r="K39" s="47">
        <f>+J39/$J$22</f>
        <v>0</v>
      </c>
      <c r="L39" s="12">
        <f>+promobkvar!L39</f>
        <v>0</v>
      </c>
      <c r="M39" s="47">
        <f>+L39/$L$22</f>
        <v>0</v>
      </c>
      <c r="N39" s="12">
        <f>+promobkvar!N39</f>
        <v>0</v>
      </c>
      <c r="O39" s="47">
        <f>+N39/$N$22</f>
        <v>0</v>
      </c>
      <c r="P39" s="12">
        <f>+promobkvar!P39</f>
        <v>0</v>
      </c>
      <c r="Q39" s="47">
        <f t="shared" si="7"/>
        <v>0</v>
      </c>
    </row>
    <row r="40" spans="1:21">
      <c r="A40" s="1" t="s">
        <v>284</v>
      </c>
      <c r="B40" s="221">
        <f>+promobkvar!B40</f>
        <v>37771</v>
      </c>
      <c r="C40" s="328">
        <f>+B40/$B$22</f>
        <v>2.4088939853225261E-2</v>
      </c>
      <c r="D40" s="221">
        <f>+promobkvar!D40</f>
        <v>0</v>
      </c>
      <c r="E40" s="545">
        <v>0</v>
      </c>
      <c r="F40" s="221">
        <f>+promobkvar!F40</f>
        <v>0</v>
      </c>
      <c r="G40" s="545">
        <v>0</v>
      </c>
      <c r="H40" s="221">
        <f>+promobkvar!H40</f>
        <v>0</v>
      </c>
      <c r="I40" s="545">
        <v>0</v>
      </c>
      <c r="J40" s="221">
        <f>+promobkvar!J40</f>
        <v>22983</v>
      </c>
      <c r="K40" s="328">
        <f>+J40/$J$22</f>
        <v>1.5232615015091443E-2</v>
      </c>
      <c r="L40" s="221">
        <f>+promobkvar!L40</f>
        <v>19456</v>
      </c>
      <c r="M40" s="328">
        <f>+L40/$L$22</f>
        <v>1.4589705768767862E-2</v>
      </c>
      <c r="N40" s="221">
        <f>+promobkvar!N40</f>
        <v>34896.5</v>
      </c>
      <c r="O40" s="328">
        <f>+N40/$N$22</f>
        <v>2.6615105976499024E-2</v>
      </c>
      <c r="P40" s="221">
        <f>+promobkvar!P40</f>
        <v>24270.179</v>
      </c>
      <c r="Q40" s="328">
        <f t="shared" si="7"/>
        <v>2.1037754470122974E-2</v>
      </c>
    </row>
    <row r="41" spans="1:21">
      <c r="A41" s="1"/>
      <c r="B41" s="12">
        <f>SUM(B38:B40)</f>
        <v>39271</v>
      </c>
      <c r="C41" s="47">
        <f>+B41/$B$22</f>
        <v>2.5045584098276702E-2</v>
      </c>
      <c r="D41" s="12">
        <f>SUM(D38:D40)</f>
        <v>0</v>
      </c>
      <c r="E41" s="44">
        <v>0</v>
      </c>
      <c r="F41" s="12">
        <f>SUM(F38:F40)</f>
        <v>0</v>
      </c>
      <c r="G41" s="44">
        <v>0</v>
      </c>
      <c r="H41" s="12">
        <f>SUM(H38:H40)</f>
        <v>0</v>
      </c>
      <c r="I41" s="44">
        <v>0</v>
      </c>
      <c r="J41" s="12">
        <f>SUM(J38:J40)</f>
        <v>34887</v>
      </c>
      <c r="K41" s="47">
        <f>+J41/$J$22</f>
        <v>2.3122318236587704E-2</v>
      </c>
      <c r="L41" s="12">
        <f>SUM(L38:L40)</f>
        <v>38611</v>
      </c>
      <c r="M41" s="47">
        <f>+L41/$L$22</f>
        <v>2.8953697031141853E-2</v>
      </c>
      <c r="N41" s="12">
        <f>SUM(N38:N40)</f>
        <v>34896.5</v>
      </c>
      <c r="O41" s="47">
        <f>+N41/$N$22</f>
        <v>2.6615105976499024E-2</v>
      </c>
      <c r="P41" s="12">
        <f>SUM(P38:P40)</f>
        <v>24270.179</v>
      </c>
      <c r="Q41" s="47">
        <f t="shared" si="7"/>
        <v>2.1037754470122974E-2</v>
      </c>
    </row>
    <row r="42" spans="1:21" ht="8.4499999999999993" customHeight="1">
      <c r="A42" s="1"/>
      <c r="C42" s="47" t="s">
        <v>0</v>
      </c>
      <c r="E42" s="44" t="s">
        <v>0</v>
      </c>
      <c r="G42" s="44" t="s">
        <v>0</v>
      </c>
      <c r="I42" s="44" t="s">
        <v>0</v>
      </c>
      <c r="K42" s="47" t="s">
        <v>0</v>
      </c>
      <c r="M42" s="47" t="s">
        <v>0</v>
      </c>
      <c r="O42" s="47" t="s">
        <v>0</v>
      </c>
      <c r="Q42" s="47" t="s">
        <v>0</v>
      </c>
    </row>
    <row r="43" spans="1:21" ht="18">
      <c r="A43" s="1" t="s">
        <v>287</v>
      </c>
      <c r="B43" s="221">
        <f>+promobkvar!B43</f>
        <v>33118</v>
      </c>
      <c r="C43" s="328">
        <f>+B43/$B$22</f>
        <v>2.1121429405075699E-2</v>
      </c>
      <c r="D43" s="221">
        <f>+promobkvar!D43</f>
        <v>0</v>
      </c>
      <c r="E43" s="545">
        <v>0</v>
      </c>
      <c r="F43" s="221">
        <f>+promobkvar!F43</f>
        <v>0</v>
      </c>
      <c r="G43" s="545">
        <v>0</v>
      </c>
      <c r="H43" s="221">
        <f>+promobkvar!H43</f>
        <v>0</v>
      </c>
      <c r="I43" s="545">
        <v>0</v>
      </c>
      <c r="J43" s="221">
        <f>+promobkvar!J43</f>
        <v>52313</v>
      </c>
      <c r="K43" s="328">
        <f>+J43/$J$22</f>
        <v>3.4671878748835171E-2</v>
      </c>
      <c r="L43" s="221">
        <f>+promobkvar!L43</f>
        <v>27161</v>
      </c>
      <c r="M43" s="328">
        <f>+L43/$L$22</f>
        <v>2.0367547203202295E-2</v>
      </c>
      <c r="N43" s="221">
        <f>+promobkvar!N43</f>
        <v>60201.9</v>
      </c>
      <c r="O43" s="328">
        <f>+N43/$N$22</f>
        <v>4.5915204919880118E-2</v>
      </c>
      <c r="P43" s="221">
        <f>+promobkvar!P43</f>
        <v>42611.307000000001</v>
      </c>
      <c r="Q43" s="328">
        <f t="shared" si="7"/>
        <v>3.6936118778400126E-2</v>
      </c>
      <c r="R43" s="6"/>
    </row>
    <row r="44" spans="1:21">
      <c r="A44" s="1"/>
      <c r="B44" s="12">
        <f>+B29+B35+B41+B43</f>
        <v>1472610</v>
      </c>
      <c r="C44" s="47">
        <f>+B44/$B$22</f>
        <v>0.93917592113679949</v>
      </c>
      <c r="D44" s="12">
        <f t="shared" ref="D44:J44" si="8">+D29+D35+D41+D43</f>
        <v>0</v>
      </c>
      <c r="E44" s="44">
        <v>0</v>
      </c>
      <c r="F44" s="12">
        <f t="shared" si="8"/>
        <v>0</v>
      </c>
      <c r="G44" s="44">
        <v>0</v>
      </c>
      <c r="H44" s="12">
        <f t="shared" si="8"/>
        <v>0</v>
      </c>
      <c r="I44" s="44">
        <v>0</v>
      </c>
      <c r="J44" s="12">
        <f t="shared" si="8"/>
        <v>1422279</v>
      </c>
      <c r="K44" s="47">
        <f>+J44/$J$22</f>
        <v>0.9426545033742002</v>
      </c>
      <c r="L44" s="12">
        <f>+L29+L35+L41+L43</f>
        <v>1245376</v>
      </c>
      <c r="M44" s="47">
        <f>+L44/$L$22</f>
        <v>0.93388514656070332</v>
      </c>
      <c r="N44" s="12">
        <f>+N29+N35+N41+N43</f>
        <v>1228285.5999999999</v>
      </c>
      <c r="O44" s="47">
        <f>+N44/$N$22</f>
        <v>0.93679742706024061</v>
      </c>
      <c r="P44" s="12">
        <f>+P29+P35+P41+P43</f>
        <v>1101833.69</v>
      </c>
      <c r="Q44" s="47">
        <f t="shared" si="7"/>
        <v>0.95508593641314266</v>
      </c>
    </row>
    <row r="45" spans="1:21" ht="8.4499999999999993" customHeight="1">
      <c r="A45" s="1"/>
      <c r="C45" s="47" t="s">
        <v>0</v>
      </c>
      <c r="E45" s="44" t="s">
        <v>0</v>
      </c>
      <c r="G45" s="44" t="s">
        <v>0</v>
      </c>
      <c r="I45" s="44" t="s">
        <v>0</v>
      </c>
      <c r="K45" s="47" t="s">
        <v>0</v>
      </c>
      <c r="M45" s="47" t="s">
        <v>0</v>
      </c>
      <c r="O45" s="47" t="s">
        <v>0</v>
      </c>
      <c r="Q45" s="47" t="s">
        <v>0</v>
      </c>
    </row>
    <row r="46" spans="1:21">
      <c r="A46" s="87" t="s">
        <v>288</v>
      </c>
      <c r="C46" s="47" t="s">
        <v>0</v>
      </c>
      <c r="E46" s="44" t="s">
        <v>0</v>
      </c>
      <c r="G46" s="44" t="s">
        <v>0</v>
      </c>
      <c r="I46" s="44" t="s">
        <v>0</v>
      </c>
      <c r="K46" s="47" t="s">
        <v>0</v>
      </c>
      <c r="M46" s="47" t="s">
        <v>0</v>
      </c>
      <c r="O46" s="47" t="s">
        <v>0</v>
      </c>
      <c r="Q46" s="47" t="s">
        <v>0</v>
      </c>
    </row>
    <row r="47" spans="1:21">
      <c r="A47" s="1" t="s">
        <v>289</v>
      </c>
      <c r="B47" s="12">
        <f>+promobkvar!B47</f>
        <v>43960</v>
      </c>
      <c r="C47" s="47">
        <f t="shared" ref="C47:C52" si="9">+B47/$B$22</f>
        <v>2.8036054008307498E-2</v>
      </c>
      <c r="D47" s="12">
        <f>+promobkvar!D47</f>
        <v>0</v>
      </c>
      <c r="E47" s="44">
        <v>0</v>
      </c>
      <c r="F47" s="12">
        <f>+promobkvar!F47</f>
        <v>0</v>
      </c>
      <c r="G47" s="44">
        <v>0</v>
      </c>
      <c r="H47" s="12">
        <f>+promobkvar!H47</f>
        <v>0</v>
      </c>
      <c r="I47" s="44">
        <v>0</v>
      </c>
      <c r="J47" s="12">
        <f>+promobkvar!J47</f>
        <v>43960</v>
      </c>
      <c r="K47" s="47">
        <f t="shared" ref="K47:K52" si="10">+J47/$J$22</f>
        <v>2.9135698388522816E-2</v>
      </c>
      <c r="L47" s="12">
        <f>+promobkvar!L47</f>
        <v>43960</v>
      </c>
      <c r="M47" s="47">
        <f t="shared" ref="M47:M52" si="11">+L47/$L$22</f>
        <v>3.2964816282639552E-2</v>
      </c>
      <c r="N47" s="12">
        <f>+promobkvar!N47</f>
        <v>36580</v>
      </c>
      <c r="O47" s="47">
        <f t="shared" ref="O47:O52" si="12">+N47/$N$22</f>
        <v>2.7899089496663972E-2</v>
      </c>
      <c r="P47" s="12">
        <f>+promobkvar!P47</f>
        <v>25000</v>
      </c>
      <c r="Q47" s="47">
        <f>+P47/$P$22</f>
        <v>2.1670374237992819E-2</v>
      </c>
    </row>
    <row r="48" spans="1:21">
      <c r="A48" s="1" t="s">
        <v>290</v>
      </c>
      <c r="B48" s="12">
        <f>+promobkvar!B48</f>
        <v>6969</v>
      </c>
      <c r="C48" s="47">
        <f t="shared" si="9"/>
        <v>4.4445691625089843E-3</v>
      </c>
      <c r="D48" s="12">
        <f>+promobkvar!D48</f>
        <v>0</v>
      </c>
      <c r="E48" s="44">
        <v>0</v>
      </c>
      <c r="F48" s="12">
        <f>+promobkvar!F48</f>
        <v>0</v>
      </c>
      <c r="G48" s="44">
        <v>0</v>
      </c>
      <c r="H48" s="12">
        <f>+promobkvar!H48</f>
        <v>0</v>
      </c>
      <c r="I48" s="44">
        <v>0</v>
      </c>
      <c r="J48" s="12">
        <f>+promobkvar!J48</f>
        <v>6969</v>
      </c>
      <c r="K48" s="47">
        <f t="shared" si="10"/>
        <v>4.618896316415275E-3</v>
      </c>
      <c r="L48" s="12">
        <f>+promobkvar!L48</f>
        <v>6537</v>
      </c>
      <c r="M48" s="47">
        <f t="shared" si="11"/>
        <v>4.9019791637764957E-3</v>
      </c>
      <c r="N48" s="12">
        <f>+promobkvar!N48</f>
        <v>10752.4</v>
      </c>
      <c r="O48" s="47">
        <f t="shared" si="12"/>
        <v>8.2007154156350376E-3</v>
      </c>
      <c r="P48" s="12">
        <f>+promobkvar!P48</f>
        <v>5452.2049999999999</v>
      </c>
      <c r="Q48" s="47">
        <f>+P48/$P$22</f>
        <v>4.7260529108902258E-3</v>
      </c>
    </row>
    <row r="49" spans="1:21">
      <c r="A49" s="1" t="s">
        <v>302</v>
      </c>
      <c r="B49" s="12">
        <f>+promobkvar!B49</f>
        <v>21551</v>
      </c>
      <c r="C49" s="47">
        <f t="shared" si="9"/>
        <v>1.3744426750069039E-2</v>
      </c>
      <c r="D49" s="12">
        <f>+promobkvar!D49</f>
        <v>0</v>
      </c>
      <c r="E49" s="44">
        <v>0</v>
      </c>
      <c r="F49" s="12">
        <f>+promobkvar!F49</f>
        <v>0</v>
      </c>
      <c r="G49" s="44">
        <v>0</v>
      </c>
      <c r="H49" s="12">
        <f>+promobkvar!H49</f>
        <v>0</v>
      </c>
      <c r="I49" s="44">
        <v>0</v>
      </c>
      <c r="J49" s="12">
        <f>+promobkvar!J49</f>
        <v>21551</v>
      </c>
      <c r="K49" s="47">
        <f t="shared" si="10"/>
        <v>1.4283517651752847E-2</v>
      </c>
      <c r="L49" s="12">
        <f>+promobkvar!L49</f>
        <v>20462</v>
      </c>
      <c r="M49" s="47">
        <f t="shared" si="11"/>
        <v>1.5344087142296873E-2</v>
      </c>
      <c r="N49" s="12">
        <f>+promobkvar!N49</f>
        <v>11651</v>
      </c>
      <c r="O49" s="47">
        <f t="shared" si="12"/>
        <v>8.8860659301703646E-3</v>
      </c>
      <c r="Q49" s="47"/>
    </row>
    <row r="50" spans="1:21" ht="18">
      <c r="A50" s="1" t="s">
        <v>292</v>
      </c>
      <c r="B50" s="221">
        <f>+promobkvar!B50</f>
        <v>22891</v>
      </c>
      <c r="C50" s="328">
        <f t="shared" si="9"/>
        <v>1.459902894231499E-2</v>
      </c>
      <c r="D50" s="221">
        <f>+promobkvar!D50</f>
        <v>0</v>
      </c>
      <c r="E50" s="545">
        <v>0</v>
      </c>
      <c r="F50" s="221">
        <f>+promobkvar!F50</f>
        <v>0</v>
      </c>
      <c r="G50" s="545">
        <v>0</v>
      </c>
      <c r="H50" s="221">
        <f>+promobkvar!H50</f>
        <v>0</v>
      </c>
      <c r="I50" s="545">
        <v>0</v>
      </c>
      <c r="J50" s="221">
        <f>+promobkvar!J50</f>
        <v>14043</v>
      </c>
      <c r="K50" s="328">
        <f t="shared" si="10"/>
        <v>9.307384269108869E-3</v>
      </c>
      <c r="L50" s="221">
        <f>+promobkvar!L50</f>
        <v>17208</v>
      </c>
      <c r="M50" s="328">
        <f t="shared" si="11"/>
        <v>1.2903970850583747E-2</v>
      </c>
      <c r="N50" s="221">
        <f>+promobkvar!N50</f>
        <v>23884.9</v>
      </c>
      <c r="O50" s="328">
        <f t="shared" si="12"/>
        <v>1.8216702097290031E-2</v>
      </c>
      <c r="P50" s="221">
        <f>+promobkvar!P50</f>
        <v>21362.848000000002</v>
      </c>
      <c r="Q50" s="328">
        <f>+P50/$P$22</f>
        <v>1.8517636437974258E-2</v>
      </c>
      <c r="R50" s="6"/>
      <c r="S50" s="7"/>
      <c r="T50" s="7"/>
      <c r="U50" s="7"/>
    </row>
    <row r="51" spans="1:21" ht="16.5" thickBot="1">
      <c r="A51" s="1" t="s">
        <v>275</v>
      </c>
      <c r="B51" s="76">
        <f>SUM(B47:B50)</f>
        <v>95371</v>
      </c>
      <c r="C51" s="231">
        <f t="shared" si="9"/>
        <v>6.0824078863200508E-2</v>
      </c>
      <c r="D51" s="76">
        <f>SUM(D47:D50)</f>
        <v>0</v>
      </c>
      <c r="E51" s="232">
        <v>0</v>
      </c>
      <c r="F51" s="76">
        <f>SUM(F47:F50)</f>
        <v>0</v>
      </c>
      <c r="G51" s="232">
        <v>0</v>
      </c>
      <c r="H51" s="76">
        <f>SUM(H47:H50)</f>
        <v>0</v>
      </c>
      <c r="I51" s="232">
        <v>0</v>
      </c>
      <c r="J51" s="76">
        <f>SUM(J47:J50)</f>
        <v>86523</v>
      </c>
      <c r="K51" s="231">
        <f t="shared" si="10"/>
        <v>5.7345496625799804E-2</v>
      </c>
      <c r="L51" s="76">
        <f>SUM(L47:L50)</f>
        <v>88167</v>
      </c>
      <c r="M51" s="231">
        <f t="shared" si="11"/>
        <v>6.611485343929667E-2</v>
      </c>
      <c r="N51" s="76">
        <f>SUM(N47:N50)</f>
        <v>82868.3</v>
      </c>
      <c r="O51" s="231">
        <f t="shared" si="12"/>
        <v>6.3202572939759408E-2</v>
      </c>
      <c r="P51" s="76">
        <f>SUM(P47:P50)</f>
        <v>51815.053</v>
      </c>
      <c r="Q51" s="231">
        <f>+P51/$P$22</f>
        <v>4.4914063586857303E-2</v>
      </c>
    </row>
    <row r="52" spans="1:21">
      <c r="A52" s="1" t="s">
        <v>0</v>
      </c>
      <c r="B52" s="4">
        <f>+B29+B35+B41+B43+B51</f>
        <v>1567981</v>
      </c>
      <c r="C52" s="112">
        <f t="shared" si="9"/>
        <v>1</v>
      </c>
      <c r="D52" s="4">
        <f>+D29+D35+D41+D43+D51</f>
        <v>0</v>
      </c>
      <c r="E52" s="42">
        <v>0</v>
      </c>
      <c r="F52" s="4">
        <f>+F29+F35+F41+F43+F51</f>
        <v>0</v>
      </c>
      <c r="G52" s="42">
        <v>0</v>
      </c>
      <c r="H52" s="4">
        <f>+H29+H35+H41+H43+H51</f>
        <v>0</v>
      </c>
      <c r="I52" s="42">
        <v>0</v>
      </c>
      <c r="J52" s="4">
        <f>+J29+J35+J41+J43+J51</f>
        <v>1508802</v>
      </c>
      <c r="K52" s="47">
        <f t="shared" si="10"/>
        <v>1</v>
      </c>
      <c r="L52" s="4">
        <f>+L29+L35+L41+L43+L51</f>
        <v>1333543</v>
      </c>
      <c r="M52" s="47">
        <f t="shared" si="11"/>
        <v>1</v>
      </c>
      <c r="N52" s="4">
        <f>+N29+N35+N41+N43+N51</f>
        <v>1311153.8999999999</v>
      </c>
      <c r="O52" s="47">
        <f t="shared" si="12"/>
        <v>1</v>
      </c>
      <c r="P52" s="4">
        <f>+P29+P35+P41+P43+P51</f>
        <v>1153648.743</v>
      </c>
      <c r="Q52" s="47">
        <f>+P52/$P$22</f>
        <v>1</v>
      </c>
    </row>
    <row r="55" spans="1:21">
      <c r="A55" s="185" t="s">
        <v>293</v>
      </c>
      <c r="B55"/>
      <c r="C55"/>
      <c r="D55"/>
      <c r="E55"/>
      <c r="F55"/>
      <c r="G55"/>
      <c r="H55"/>
      <c r="I55"/>
      <c r="J55"/>
      <c r="K55"/>
      <c r="L55"/>
      <c r="M55"/>
      <c r="N55"/>
      <c r="O55"/>
      <c r="P55"/>
      <c r="Q55"/>
      <c r="R55"/>
    </row>
    <row r="56" spans="1:21">
      <c r="A56" t="s">
        <v>294</v>
      </c>
      <c r="B56" s="3">
        <f>+promobkvar!B56</f>
        <v>8755</v>
      </c>
      <c r="C56"/>
      <c r="D56" s="3">
        <f>+promobkvar!D56</f>
        <v>0</v>
      </c>
      <c r="E56"/>
      <c r="F56" s="3">
        <f>+promobkvar!F56</f>
        <v>0</v>
      </c>
      <c r="G56"/>
      <c r="H56" s="3">
        <f>+promobkvar!H56</f>
        <v>0</v>
      </c>
      <c r="I56"/>
      <c r="J56" s="3">
        <f>+promobkvar!J56</f>
        <v>10361</v>
      </c>
      <c r="K56"/>
      <c r="L56" s="3">
        <f>+promobkvar!L56</f>
        <v>3755</v>
      </c>
      <c r="M56"/>
      <c r="N56" s="3">
        <f>+promobkvar!N56</f>
        <v>7413.8</v>
      </c>
      <c r="O56"/>
      <c r="P56" s="3">
        <f>+promobkvar!P56</f>
        <v>57989.758000000002</v>
      </c>
      <c r="Q56"/>
      <c r="R56"/>
    </row>
    <row r="57" spans="1:21">
      <c r="A57" t="s">
        <v>295</v>
      </c>
      <c r="B57" s="3">
        <f>+promobkvar!B57</f>
        <v>45675</v>
      </c>
      <c r="C57"/>
      <c r="D57" s="3">
        <f>+promobkvar!D57</f>
        <v>0</v>
      </c>
      <c r="E57"/>
      <c r="F57" s="3">
        <f>+promobkvar!F57</f>
        <v>0</v>
      </c>
      <c r="G57"/>
      <c r="H57" s="3">
        <f>+promobkvar!H57</f>
        <v>0</v>
      </c>
      <c r="I57"/>
      <c r="J57" s="3">
        <f>+promobkvar!J57</f>
        <v>39752</v>
      </c>
      <c r="K57"/>
      <c r="L57" s="3">
        <f>+promobkvar!L57</f>
        <v>5182</v>
      </c>
      <c r="M57"/>
      <c r="N57" s="3">
        <f>+promobkvar!N57</f>
        <v>14464.8</v>
      </c>
      <c r="O57"/>
      <c r="P57" s="3">
        <f>+promobkvar!P57</f>
        <v>27834.145</v>
      </c>
      <c r="Q57"/>
      <c r="R57"/>
    </row>
    <row r="58" spans="1:21">
      <c r="A58" t="s">
        <v>284</v>
      </c>
      <c r="B58" s="3">
        <f>+promobkvar!B58</f>
        <v>97125</v>
      </c>
      <c r="C58"/>
      <c r="D58" s="3">
        <f>+promobkvar!D58</f>
        <v>0</v>
      </c>
      <c r="E58"/>
      <c r="F58" s="3">
        <f>+promobkvar!F58</f>
        <v>0</v>
      </c>
      <c r="G58"/>
      <c r="H58" s="3">
        <f>+promobkvar!H58</f>
        <v>0</v>
      </c>
      <c r="I58"/>
      <c r="J58" s="3">
        <f>+promobkvar!J58</f>
        <v>105933</v>
      </c>
      <c r="K58"/>
      <c r="L58" s="3">
        <f>+promobkvar!L58</f>
        <v>61116</v>
      </c>
      <c r="M58"/>
      <c r="N58" s="3">
        <f>+promobkvar!N58</f>
        <v>42997</v>
      </c>
      <c r="O58"/>
      <c r="P58" s="3">
        <f>+promobkvar!P58</f>
        <v>55854.078000000001</v>
      </c>
      <c r="Q58"/>
      <c r="R58"/>
    </row>
    <row r="59" spans="1:21">
      <c r="B59" s="3"/>
      <c r="C59"/>
      <c r="D59" s="3"/>
      <c r="E59"/>
      <c r="F59" s="3"/>
      <c r="G59"/>
      <c r="H59" s="3"/>
      <c r="I59"/>
      <c r="J59" s="3"/>
      <c r="K59"/>
      <c r="L59" s="3"/>
      <c r="M59"/>
      <c r="N59" s="3"/>
      <c r="O59"/>
      <c r="P59" s="3"/>
      <c r="Q59"/>
      <c r="R59"/>
    </row>
    <row r="60" spans="1:21" ht="18.75">
      <c r="A60" s="122" t="s">
        <v>303</v>
      </c>
      <c r="B60" s="3">
        <f>+promobkvar!B60</f>
        <v>832528</v>
      </c>
      <c r="C60"/>
      <c r="D60" s="3">
        <f>+promobkvar!D60</f>
        <v>0</v>
      </c>
      <c r="E60"/>
      <c r="F60" s="3">
        <f>+promobkvar!F60</f>
        <v>0</v>
      </c>
      <c r="G60"/>
      <c r="H60" s="3">
        <f>+promobkvar!H60</f>
        <v>0</v>
      </c>
      <c r="I60"/>
      <c r="J60" s="3">
        <f>+promobkvar!J60</f>
        <v>740189</v>
      </c>
      <c r="K60"/>
      <c r="L60" s="3">
        <f>+promobkvar!L60</f>
        <v>773504</v>
      </c>
      <c r="M60"/>
      <c r="N60" s="3">
        <f>+promobkvar!N60</f>
        <v>748693.2</v>
      </c>
      <c r="O60"/>
      <c r="P60" s="3">
        <f>+promobkvar!P60</f>
        <v>565677.86499999999</v>
      </c>
      <c r="Q60"/>
      <c r="R60"/>
    </row>
    <row r="61" spans="1:21">
      <c r="A61" t="s">
        <v>217</v>
      </c>
      <c r="B61" s="3">
        <f>+promobkvar!B61</f>
        <v>59649</v>
      </c>
      <c r="C61"/>
      <c r="D61" s="3">
        <f>+promobkvar!D61</f>
        <v>0</v>
      </c>
      <c r="E61"/>
      <c r="F61" s="3">
        <f>+promobkvar!F61</f>
        <v>0</v>
      </c>
      <c r="G61"/>
      <c r="H61" s="3">
        <f>+promobkvar!H61</f>
        <v>0</v>
      </c>
      <c r="I61"/>
      <c r="J61" s="3">
        <f>+promobkvar!J61</f>
        <v>60426</v>
      </c>
      <c r="K61"/>
      <c r="L61" s="3">
        <f>+promobkvar!L61</f>
        <v>78232</v>
      </c>
      <c r="M61"/>
      <c r="N61" s="3">
        <f>+promobkvar!N61</f>
        <v>53388.800000000003</v>
      </c>
      <c r="O61"/>
      <c r="P61" s="3">
        <f>+promobkvar!P61</f>
        <v>50451.48</v>
      </c>
      <c r="Q61"/>
      <c r="R61"/>
    </row>
    <row r="62" spans="1:21">
      <c r="A62" t="s">
        <v>297</v>
      </c>
      <c r="B62" s="3">
        <f>+promobkvar!B62</f>
        <v>64582</v>
      </c>
      <c r="C62"/>
      <c r="D62" s="3">
        <f>+promobkvar!D62</f>
        <v>0</v>
      </c>
      <c r="E62"/>
      <c r="F62" s="3">
        <f>+promobkvar!F62</f>
        <v>0</v>
      </c>
      <c r="G62"/>
      <c r="H62" s="3">
        <f>+promobkvar!H62</f>
        <v>0</v>
      </c>
      <c r="I62"/>
      <c r="J62" s="3">
        <f>+promobkvar!J62</f>
        <v>63504</v>
      </c>
      <c r="K62"/>
      <c r="L62" s="3">
        <f>+promobkvar!L62</f>
        <v>124910</v>
      </c>
      <c r="M62"/>
      <c r="N62" s="3">
        <f>+promobkvar!N62</f>
        <v>47281.3</v>
      </c>
      <c r="O62"/>
      <c r="P62" s="3">
        <f>+promobkvar!P62</f>
        <v>53268.235000000001</v>
      </c>
      <c r="Q62"/>
      <c r="R62"/>
    </row>
    <row r="63" spans="1:21">
      <c r="B63"/>
      <c r="C63"/>
      <c r="D63"/>
      <c r="E63"/>
      <c r="F63"/>
      <c r="G63"/>
      <c r="H63"/>
      <c r="I63"/>
      <c r="J63"/>
      <c r="K63"/>
      <c r="L63"/>
      <c r="M63"/>
      <c r="N63"/>
      <c r="O63"/>
      <c r="P63"/>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row r="156" spans="2:18">
      <c r="B156"/>
      <c r="C156"/>
      <c r="D156"/>
      <c r="E156"/>
      <c r="F156"/>
      <c r="G156"/>
      <c r="H156"/>
      <c r="I156"/>
      <c r="J156"/>
      <c r="K156"/>
      <c r="L156"/>
      <c r="M156"/>
      <c r="N156"/>
      <c r="O156"/>
      <c r="P156"/>
      <c r="Q156"/>
      <c r="R156"/>
    </row>
    <row r="157" spans="2:18">
      <c r="B157"/>
      <c r="C157"/>
      <c r="D157"/>
      <c r="E157"/>
      <c r="F157"/>
      <c r="G157"/>
      <c r="H157"/>
      <c r="I157"/>
      <c r="J157"/>
      <c r="K157"/>
      <c r="L157"/>
      <c r="M157"/>
      <c r="N157"/>
      <c r="O157"/>
      <c r="P157"/>
      <c r="Q157"/>
      <c r="R157"/>
    </row>
  </sheetData>
  <pageMargins left="0.2" right="0.2" top="0.5" bottom="0.56999999999999995" header="0.38" footer="0.32"/>
  <pageSetup scale="52" orientation="landscape" r:id="rId1"/>
  <headerFooter alignWithMargins="0">
    <oddFooter>&amp;R&amp;P</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1"/>
  <sheetViews>
    <sheetView workbookViewId="0"/>
  </sheetViews>
  <sheetFormatPr defaultRowHeight="15.75"/>
  <cols>
    <col min="1" max="1" width="33.25" customWidth="1"/>
    <col min="2" max="2" width="18.375" style="12" customWidth="1"/>
    <col min="3" max="3" width="15.75" style="13" customWidth="1"/>
    <col min="4" max="4" width="15.75" style="12" customWidth="1"/>
    <col min="5" max="5" width="14.75" style="13" customWidth="1"/>
    <col min="6" max="6" width="10.875" style="12" customWidth="1"/>
    <col min="7" max="7" width="8" style="13" customWidth="1"/>
    <col min="8" max="8" width="18.125"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628</v>
      </c>
      <c r="B1" s="37"/>
      <c r="C1" s="38"/>
      <c r="D1" s="37"/>
      <c r="E1" s="38"/>
      <c r="F1" s="37"/>
      <c r="G1" s="38"/>
      <c r="H1" s="37"/>
      <c r="I1" s="37"/>
      <c r="J1" s="38"/>
      <c r="K1" s="37"/>
    </row>
    <row r="2" spans="1:15">
      <c r="A2" s="114" t="s">
        <v>305</v>
      </c>
      <c r="B2" s="37"/>
      <c r="C2" s="38"/>
      <c r="D2" s="37"/>
      <c r="E2" s="38"/>
      <c r="F2" s="37"/>
      <c r="G2" s="38"/>
      <c r="H2" s="37"/>
      <c r="I2" s="37"/>
      <c r="J2" s="38"/>
      <c r="K2" s="37"/>
    </row>
    <row r="3" spans="1:15">
      <c r="A3" s="114" t="s">
        <v>306</v>
      </c>
      <c r="B3" s="37"/>
      <c r="C3" s="38"/>
      <c r="D3" s="37"/>
      <c r="E3" s="38"/>
      <c r="F3" s="37"/>
      <c r="G3" s="38"/>
      <c r="H3" s="37"/>
      <c r="I3" s="37"/>
      <c r="J3" s="38"/>
      <c r="K3" s="37"/>
    </row>
    <row r="4" spans="1:15">
      <c r="A4" s="114" t="s">
        <v>179</v>
      </c>
      <c r="B4" s="37"/>
      <c r="C4" s="38"/>
      <c r="D4" s="37"/>
      <c r="E4" s="38"/>
      <c r="F4" s="37"/>
      <c r="G4" s="38"/>
      <c r="H4" s="37"/>
      <c r="I4" s="37"/>
      <c r="J4" s="38"/>
      <c r="K4" s="37"/>
    </row>
    <row r="5" spans="1:15">
      <c r="A5" s="34"/>
      <c r="B5" s="37"/>
      <c r="C5" s="38"/>
      <c r="D5" s="37"/>
      <c r="E5" s="38"/>
      <c r="F5" s="37"/>
      <c r="G5" s="38"/>
      <c r="H5" s="37"/>
      <c r="I5" s="37"/>
      <c r="J5" s="38"/>
      <c r="K5" s="37"/>
    </row>
    <row r="6" spans="1:15">
      <c r="B6" s="238" t="s">
        <v>0</v>
      </c>
      <c r="C6" s="215"/>
      <c r="D6" s="216"/>
    </row>
    <row r="7" spans="1:15" ht="16.5" thickBot="1">
      <c r="B7" s="429" t="s">
        <v>307</v>
      </c>
      <c r="C7" s="38"/>
      <c r="D7" s="37"/>
      <c r="E7" s="38"/>
      <c r="H7" s="377" t="s">
        <v>308</v>
      </c>
      <c r="I7" s="215"/>
      <c r="J7" s="216"/>
      <c r="K7" s="37"/>
    </row>
    <row r="8" spans="1:15" ht="16.5" thickTop="1">
      <c r="A8" s="87" t="s">
        <v>243</v>
      </c>
      <c r="B8" s="402" t="s">
        <v>313</v>
      </c>
      <c r="C8" s="403" t="s">
        <v>310</v>
      </c>
      <c r="D8" s="408" t="s">
        <v>311</v>
      </c>
      <c r="E8" s="407" t="s">
        <v>312</v>
      </c>
      <c r="F8" s="125" t="s">
        <v>0</v>
      </c>
      <c r="G8" s="124" t="s">
        <v>0</v>
      </c>
      <c r="H8" s="402" t="s">
        <v>313</v>
      </c>
      <c r="I8" s="404" t="s">
        <v>310</v>
      </c>
      <c r="J8" s="406" t="s">
        <v>311</v>
      </c>
      <c r="K8" s="407" t="s">
        <v>312</v>
      </c>
      <c r="L8" s="14"/>
      <c r="M8" s="9"/>
      <c r="N8" s="9"/>
      <c r="O8" s="9"/>
    </row>
    <row r="9" spans="1:15">
      <c r="A9" s="1" t="s">
        <v>264</v>
      </c>
      <c r="B9" s="126"/>
      <c r="C9" s="127"/>
      <c r="D9" s="365"/>
      <c r="E9" s="372" t="s">
        <v>0</v>
      </c>
      <c r="H9" s="135"/>
      <c r="I9" s="78"/>
      <c r="J9" s="370" t="s">
        <v>0</v>
      </c>
      <c r="K9" s="372" t="s">
        <v>0</v>
      </c>
    </row>
    <row r="10" spans="1:15">
      <c r="A10" s="1" t="s">
        <v>265</v>
      </c>
      <c r="B10" s="129">
        <v>40439</v>
      </c>
      <c r="C10" s="92">
        <v>44833</v>
      </c>
      <c r="D10" s="366">
        <f t="shared" ref="D10:D15" si="0">SUM(B10:C10)</f>
        <v>85272</v>
      </c>
      <c r="E10" s="373">
        <f>+B10/D10</f>
        <v>0.47423538793507836</v>
      </c>
      <c r="F10" s="88" t="s">
        <v>0</v>
      </c>
      <c r="G10" s="100" t="s">
        <v>0</v>
      </c>
      <c r="H10" s="129">
        <v>29123</v>
      </c>
      <c r="I10" s="92">
        <v>50335</v>
      </c>
      <c r="J10" s="366">
        <f t="shared" ref="J10:J15" si="1">SUM(H10:I10)</f>
        <v>79458</v>
      </c>
      <c r="K10" s="373">
        <f t="shared" ref="K10:K15" si="2">+H10/J10</f>
        <v>0.36652067759067686</v>
      </c>
    </row>
    <row r="11" spans="1:15">
      <c r="A11" s="1" t="s">
        <v>266</v>
      </c>
      <c r="B11" s="129">
        <v>28759</v>
      </c>
      <c r="C11" s="92">
        <v>242680</v>
      </c>
      <c r="D11" s="366">
        <f t="shared" si="0"/>
        <v>271439</v>
      </c>
      <c r="E11" s="373">
        <f>+B11/D11</f>
        <v>0.10595013981041781</v>
      </c>
      <c r="F11" s="88" t="s">
        <v>0</v>
      </c>
      <c r="G11" s="100" t="s">
        <v>0</v>
      </c>
      <c r="H11" s="129">
        <v>31578</v>
      </c>
      <c r="I11" s="92">
        <v>231307</v>
      </c>
      <c r="J11" s="366">
        <f t="shared" si="1"/>
        <v>262885</v>
      </c>
      <c r="K11" s="373">
        <f t="shared" si="2"/>
        <v>0.12012096544116249</v>
      </c>
    </row>
    <row r="12" spans="1:15">
      <c r="A12" s="1" t="s">
        <v>267</v>
      </c>
      <c r="B12" s="129">
        <v>108675</v>
      </c>
      <c r="C12" s="93">
        <v>0</v>
      </c>
      <c r="D12" s="366">
        <f t="shared" si="0"/>
        <v>108675</v>
      </c>
      <c r="E12" s="373">
        <f>+B12/D12</f>
        <v>1</v>
      </c>
      <c r="F12" s="88" t="s">
        <v>0</v>
      </c>
      <c r="G12" s="100" t="s">
        <v>0</v>
      </c>
      <c r="H12" s="129">
        <v>115976</v>
      </c>
      <c r="I12" s="93">
        <v>0</v>
      </c>
      <c r="J12" s="366">
        <f t="shared" si="1"/>
        <v>115976</v>
      </c>
      <c r="K12" s="373">
        <f t="shared" si="2"/>
        <v>1</v>
      </c>
    </row>
    <row r="13" spans="1:15">
      <c r="A13" s="1" t="s">
        <v>268</v>
      </c>
      <c r="B13" s="129">
        <v>0</v>
      </c>
      <c r="C13" s="93">
        <v>0</v>
      </c>
      <c r="D13" s="366">
        <f t="shared" si="0"/>
        <v>0</v>
      </c>
      <c r="E13" s="136">
        <v>0</v>
      </c>
      <c r="F13" s="88" t="s">
        <v>0</v>
      </c>
      <c r="G13" s="100" t="s">
        <v>0</v>
      </c>
      <c r="H13" s="129">
        <v>25411</v>
      </c>
      <c r="I13" s="93">
        <v>0</v>
      </c>
      <c r="J13" s="366">
        <f t="shared" si="1"/>
        <v>25411</v>
      </c>
      <c r="K13" s="373">
        <f t="shared" si="2"/>
        <v>1</v>
      </c>
    </row>
    <row r="14" spans="1:15" ht="18">
      <c r="A14" s="1" t="s">
        <v>269</v>
      </c>
      <c r="B14" s="130">
        <v>11271</v>
      </c>
      <c r="C14" s="137">
        <v>24358</v>
      </c>
      <c r="D14" s="367">
        <f t="shared" si="0"/>
        <v>35629</v>
      </c>
      <c r="E14" s="373">
        <f>+B14/D14</f>
        <v>0.31634342810631788</v>
      </c>
      <c r="F14" s="88" t="s">
        <v>0</v>
      </c>
      <c r="G14" s="100" t="s">
        <v>0</v>
      </c>
      <c r="H14" s="130">
        <f>4873+16+8656</f>
        <v>13545</v>
      </c>
      <c r="I14" s="137">
        <v>15575</v>
      </c>
      <c r="J14" s="367">
        <f t="shared" si="1"/>
        <v>29120</v>
      </c>
      <c r="K14" s="373">
        <f t="shared" si="2"/>
        <v>0.46514423076923078</v>
      </c>
    </row>
    <row r="15" spans="1:15" ht="15.6" customHeight="1">
      <c r="A15" s="1"/>
      <c r="B15" s="129">
        <f>SUM(B10:B14)</f>
        <v>189144</v>
      </c>
      <c r="C15" s="92">
        <f>SUM(C10:C14)</f>
        <v>311871</v>
      </c>
      <c r="D15" s="366">
        <f t="shared" si="0"/>
        <v>501015</v>
      </c>
      <c r="E15" s="373">
        <f>+B15/D15</f>
        <v>0.37752163108888953</v>
      </c>
      <c r="F15" s="88" t="s">
        <v>0</v>
      </c>
      <c r="G15" s="100" t="s">
        <v>0</v>
      </c>
      <c r="H15" s="129">
        <f>SUM(H10:H14)</f>
        <v>215633</v>
      </c>
      <c r="I15" s="92">
        <f>SUM(I10:I14)</f>
        <v>297217</v>
      </c>
      <c r="J15" s="366">
        <f t="shared" si="1"/>
        <v>512850</v>
      </c>
      <c r="K15" s="373">
        <f t="shared" si="2"/>
        <v>0.42046017354002146</v>
      </c>
    </row>
    <row r="16" spans="1:15" ht="7.9" customHeight="1">
      <c r="A16" s="1"/>
      <c r="B16" s="129"/>
      <c r="C16" s="93" t="s">
        <v>0</v>
      </c>
      <c r="D16" s="366"/>
      <c r="E16" s="373" t="s">
        <v>0</v>
      </c>
      <c r="F16" s="88"/>
      <c r="G16" s="100" t="s">
        <v>0</v>
      </c>
      <c r="H16" s="129"/>
      <c r="I16" s="93" t="s">
        <v>0</v>
      </c>
      <c r="J16" s="371" t="s">
        <v>0</v>
      </c>
      <c r="K16" s="373" t="s">
        <v>0</v>
      </c>
    </row>
    <row r="17" spans="1:11" ht="15.6" customHeight="1">
      <c r="A17" s="1" t="s">
        <v>270</v>
      </c>
      <c r="B17" s="129">
        <v>0</v>
      </c>
      <c r="C17" s="92">
        <v>90000</v>
      </c>
      <c r="D17" s="366">
        <f t="shared" ref="D17:D22" si="3">SUM(B17:C17)</f>
        <v>90000</v>
      </c>
      <c r="E17" s="136">
        <v>0</v>
      </c>
      <c r="F17"/>
      <c r="G17"/>
      <c r="H17" s="129">
        <v>0</v>
      </c>
      <c r="I17" s="92">
        <v>110000</v>
      </c>
      <c r="J17" s="366">
        <f t="shared" ref="J17:J22" si="4">SUM(H17:I17)</f>
        <v>110000</v>
      </c>
      <c r="K17" s="136">
        <v>0</v>
      </c>
    </row>
    <row r="18" spans="1:11">
      <c r="A18" s="1" t="s">
        <v>271</v>
      </c>
      <c r="B18" s="129">
        <v>0</v>
      </c>
      <c r="C18" s="92">
        <v>19324</v>
      </c>
      <c r="D18" s="366">
        <f t="shared" si="3"/>
        <v>19324</v>
      </c>
      <c r="E18" s="136">
        <v>0</v>
      </c>
      <c r="F18"/>
      <c r="G18"/>
      <c r="H18" s="129">
        <v>0</v>
      </c>
      <c r="I18" s="92">
        <v>19324</v>
      </c>
      <c r="J18" s="366">
        <f t="shared" si="4"/>
        <v>19324</v>
      </c>
      <c r="K18" s="136">
        <v>0</v>
      </c>
    </row>
    <row r="19" spans="1:11">
      <c r="A19" s="1" t="s">
        <v>314</v>
      </c>
      <c r="B19" s="129">
        <v>422645</v>
      </c>
      <c r="C19" s="92">
        <v>350234</v>
      </c>
      <c r="D19" s="366">
        <f t="shared" si="3"/>
        <v>772879</v>
      </c>
      <c r="E19" s="373">
        <f>+B19/D19</f>
        <v>0.54684497832131551</v>
      </c>
      <c r="F19"/>
      <c r="G19"/>
      <c r="H19" s="129">
        <v>321233</v>
      </c>
      <c r="I19" s="92">
        <v>358530</v>
      </c>
      <c r="J19" s="366">
        <f t="shared" si="4"/>
        <v>679763</v>
      </c>
      <c r="K19" s="373">
        <f>+H19/J19</f>
        <v>0.47256617379880927</v>
      </c>
    </row>
    <row r="20" spans="1:11">
      <c r="A20" s="1" t="s">
        <v>273</v>
      </c>
      <c r="B20" s="129">
        <v>0</v>
      </c>
      <c r="C20" s="92">
        <v>114146</v>
      </c>
      <c r="D20" s="366">
        <f t="shared" si="3"/>
        <v>114146</v>
      </c>
      <c r="E20" s="373">
        <f>+B20/D20</f>
        <v>0</v>
      </c>
      <c r="F20"/>
      <c r="G20"/>
      <c r="H20" s="129">
        <v>0</v>
      </c>
      <c r="I20" s="92">
        <v>101074</v>
      </c>
      <c r="J20" s="366">
        <f t="shared" si="4"/>
        <v>101074</v>
      </c>
      <c r="K20" s="136">
        <v>0</v>
      </c>
    </row>
    <row r="21" spans="1:11" ht="18">
      <c r="A21" s="1" t="s">
        <v>274</v>
      </c>
      <c r="B21" s="130">
        <v>36674</v>
      </c>
      <c r="C21" s="137">
        <v>33943</v>
      </c>
      <c r="D21" s="367">
        <f t="shared" si="3"/>
        <v>70617</v>
      </c>
      <c r="E21" s="373">
        <f>+B21/D21</f>
        <v>0.51933670362660544</v>
      </c>
      <c r="F21"/>
      <c r="G21"/>
      <c r="H21" s="130">
        <v>54044</v>
      </c>
      <c r="I21" s="137">
        <v>31747</v>
      </c>
      <c r="J21" s="367">
        <f t="shared" si="4"/>
        <v>85791</v>
      </c>
      <c r="K21" s="373">
        <f>+H21/J21</f>
        <v>0.62994952850532104</v>
      </c>
    </row>
    <row r="22" spans="1:11">
      <c r="A22" s="1" t="s">
        <v>275</v>
      </c>
      <c r="B22" s="132">
        <f>SUM(B15:B21)</f>
        <v>648463</v>
      </c>
      <c r="C22" s="95">
        <f>SUM(C15:C21)</f>
        <v>919518</v>
      </c>
      <c r="D22" s="368">
        <f t="shared" si="3"/>
        <v>1567981</v>
      </c>
      <c r="E22" s="431">
        <f>+B22/D22</f>
        <v>0.41356559805252741</v>
      </c>
      <c r="F22"/>
      <c r="G22"/>
      <c r="H22" s="132">
        <f>SUM(H15:H21)</f>
        <v>590910</v>
      </c>
      <c r="I22" s="95">
        <f>SUM(I15:I21)</f>
        <v>917892</v>
      </c>
      <c r="J22" s="368">
        <f t="shared" si="4"/>
        <v>1508802</v>
      </c>
      <c r="K22" s="431">
        <f>+H22/J22</f>
        <v>0.39164184564972743</v>
      </c>
    </row>
    <row r="23" spans="1:11" ht="7.9" customHeight="1">
      <c r="A23" s="1"/>
      <c r="B23" s="129"/>
      <c r="C23" s="93" t="s">
        <v>0</v>
      </c>
      <c r="D23" s="366"/>
      <c r="E23" s="373" t="s">
        <v>0</v>
      </c>
      <c r="F23"/>
      <c r="G23"/>
      <c r="H23" s="129"/>
      <c r="I23" s="93" t="s">
        <v>0</v>
      </c>
      <c r="J23" s="371" t="s">
        <v>0</v>
      </c>
      <c r="K23" s="373" t="s">
        <v>0</v>
      </c>
    </row>
    <row r="24" spans="1:11">
      <c r="A24" s="87" t="s">
        <v>276</v>
      </c>
      <c r="B24" s="129"/>
      <c r="C24" s="93" t="s">
        <v>0</v>
      </c>
      <c r="D24" s="366"/>
      <c r="E24" s="373" t="s">
        <v>0</v>
      </c>
      <c r="F24"/>
      <c r="G24"/>
      <c r="H24" s="129"/>
      <c r="I24" s="93" t="s">
        <v>0</v>
      </c>
      <c r="J24" s="371" t="s">
        <v>0</v>
      </c>
      <c r="K24" s="373" t="s">
        <v>0</v>
      </c>
    </row>
    <row r="25" spans="1:11">
      <c r="A25" s="1" t="s">
        <v>277</v>
      </c>
      <c r="B25" s="129"/>
      <c r="C25" s="93" t="s">
        <v>0</v>
      </c>
      <c r="D25" s="366"/>
      <c r="E25" s="373" t="s">
        <v>0</v>
      </c>
      <c r="F25"/>
      <c r="G25"/>
      <c r="H25" s="129"/>
      <c r="I25" s="93" t="s">
        <v>0</v>
      </c>
      <c r="J25" s="371" t="s">
        <v>0</v>
      </c>
      <c r="K25" s="373" t="s">
        <v>0</v>
      </c>
    </row>
    <row r="26" spans="1:11">
      <c r="A26" s="1" t="s">
        <v>278</v>
      </c>
      <c r="B26" s="129">
        <v>202249</v>
      </c>
      <c r="C26" s="92">
        <v>216628</v>
      </c>
      <c r="D26" s="366">
        <f>SUM(B26:C26)</f>
        <v>418877</v>
      </c>
      <c r="E26" s="373">
        <f>+B26/D26</f>
        <v>0.48283625025962273</v>
      </c>
      <c r="F26"/>
      <c r="G26"/>
      <c r="H26" s="129">
        <v>147350</v>
      </c>
      <c r="I26" s="92">
        <v>228789</v>
      </c>
      <c r="J26" s="366">
        <f>SUM(H26:I26)</f>
        <v>376139</v>
      </c>
      <c r="K26" s="373">
        <f>+H26/J26</f>
        <v>0.39174347781006491</v>
      </c>
    </row>
    <row r="27" spans="1:11">
      <c r="A27" s="1" t="s">
        <v>279</v>
      </c>
      <c r="B27" s="129">
        <v>145383</v>
      </c>
      <c r="C27" s="92">
        <v>252978</v>
      </c>
      <c r="D27" s="366">
        <f>SUM(B27:C27)</f>
        <v>398361</v>
      </c>
      <c r="E27" s="373">
        <f>+B27/D27</f>
        <v>0.36495289448515289</v>
      </c>
      <c r="F27"/>
      <c r="G27"/>
      <c r="H27" s="129">
        <v>141079</v>
      </c>
      <c r="I27" s="92">
        <v>250068</v>
      </c>
      <c r="J27" s="366">
        <f>SUM(H27:I27)</f>
        <v>391147</v>
      </c>
      <c r="K27" s="373">
        <f>+H27/J27</f>
        <v>0.36068025576062196</v>
      </c>
    </row>
    <row r="28" spans="1:11" ht="18">
      <c r="A28" s="1" t="s">
        <v>280</v>
      </c>
      <c r="B28" s="130">
        <v>227578</v>
      </c>
      <c r="C28" s="137">
        <v>310223</v>
      </c>
      <c r="D28" s="367">
        <f>SUM(B28:C28)</f>
        <v>537801</v>
      </c>
      <c r="E28" s="373">
        <f>+B28/D28</f>
        <v>0.42316395841584525</v>
      </c>
      <c r="F28"/>
      <c r="G28"/>
      <c r="H28" s="130">
        <v>195166</v>
      </c>
      <c r="I28" s="137">
        <v>307264</v>
      </c>
      <c r="J28" s="367">
        <f>SUM(H28:I28)</f>
        <v>502430</v>
      </c>
      <c r="K28" s="373">
        <f>+H28/J28</f>
        <v>0.38844416137571403</v>
      </c>
    </row>
    <row r="29" spans="1:11">
      <c r="A29" s="1"/>
      <c r="B29" s="129">
        <f>SUM(B26:B28)</f>
        <v>575210</v>
      </c>
      <c r="C29" s="92">
        <f>SUM(C26:C28)</f>
        <v>779829</v>
      </c>
      <c r="D29" s="366">
        <f>SUM(B29:C29)</f>
        <v>1355039</v>
      </c>
      <c r="E29" s="373">
        <f>+B29/D29</f>
        <v>0.42449700709721272</v>
      </c>
      <c r="F29"/>
      <c r="G29"/>
      <c r="H29" s="129">
        <f>SUM(H26:H28)</f>
        <v>483595</v>
      </c>
      <c r="I29" s="92">
        <f>SUM(I26:I28)</f>
        <v>786121</v>
      </c>
      <c r="J29" s="366">
        <f>SUM(H29:I29)</f>
        <v>1269716</v>
      </c>
      <c r="K29" s="373">
        <f>+H29/J29</f>
        <v>0.38086863519086156</v>
      </c>
    </row>
    <row r="30" spans="1:11" ht="7.9" customHeight="1">
      <c r="A30" s="1"/>
      <c r="B30" s="129"/>
      <c r="C30" s="93" t="s">
        <v>0</v>
      </c>
      <c r="D30" s="366"/>
      <c r="E30" s="373" t="s">
        <v>0</v>
      </c>
      <c r="F30"/>
      <c r="G30"/>
      <c r="H30" s="129"/>
      <c r="I30" s="93" t="s">
        <v>0</v>
      </c>
      <c r="J30" s="371" t="s">
        <v>0</v>
      </c>
      <c r="K30" s="373" t="s">
        <v>0</v>
      </c>
    </row>
    <row r="31" spans="1:11">
      <c r="A31" s="1" t="s">
        <v>281</v>
      </c>
      <c r="B31" s="129"/>
      <c r="C31" s="93" t="s">
        <v>0</v>
      </c>
      <c r="D31" s="366"/>
      <c r="E31" s="373" t="s">
        <v>0</v>
      </c>
      <c r="F31"/>
      <c r="G31"/>
      <c r="H31" s="129"/>
      <c r="I31" s="93" t="s">
        <v>0</v>
      </c>
      <c r="J31" s="371" t="s">
        <v>0</v>
      </c>
      <c r="K31" s="373" t="s">
        <v>0</v>
      </c>
    </row>
    <row r="32" spans="1:11">
      <c r="A32" s="1" t="s">
        <v>282</v>
      </c>
      <c r="B32" s="129">
        <v>0</v>
      </c>
      <c r="C32" s="92">
        <v>0</v>
      </c>
      <c r="D32" s="366">
        <f>SUM(B32:C32)</f>
        <v>0</v>
      </c>
      <c r="E32" s="136">
        <v>0</v>
      </c>
      <c r="F32"/>
      <c r="G32"/>
      <c r="H32" s="129">
        <v>0</v>
      </c>
      <c r="I32" s="92">
        <v>1500</v>
      </c>
      <c r="J32" s="371">
        <f>SUM(H32:I32)</f>
        <v>1500</v>
      </c>
      <c r="K32" s="136">
        <v>0</v>
      </c>
    </row>
    <row r="33" spans="1:15">
      <c r="A33" s="1" t="s">
        <v>283</v>
      </c>
      <c r="B33" s="129">
        <v>0</v>
      </c>
      <c r="C33" s="93">
        <v>0</v>
      </c>
      <c r="D33" s="366">
        <f>SUM(B33:C33)</f>
        <v>0</v>
      </c>
      <c r="E33" s="136">
        <v>0</v>
      </c>
      <c r="F33"/>
      <c r="G33"/>
      <c r="H33" s="129">
        <v>0</v>
      </c>
      <c r="I33" s="93">
        <v>0</v>
      </c>
      <c r="J33" s="371">
        <f>SUM(H33:I33)</f>
        <v>0</v>
      </c>
      <c r="K33" s="136">
        <v>0</v>
      </c>
    </row>
    <row r="34" spans="1:15" ht="18">
      <c r="A34" s="1" t="s">
        <v>284</v>
      </c>
      <c r="B34" s="130">
        <v>17280</v>
      </c>
      <c r="C34" s="137">
        <v>27902</v>
      </c>
      <c r="D34" s="367">
        <f>SUM(B34:C34)</f>
        <v>45182</v>
      </c>
      <c r="E34" s="373">
        <f>+B34/D34</f>
        <v>0.38245318932318179</v>
      </c>
      <c r="F34"/>
      <c r="G34"/>
      <c r="H34" s="130">
        <v>36199</v>
      </c>
      <c r="I34" s="137">
        <f>29164-1500</f>
        <v>27664</v>
      </c>
      <c r="J34" s="367">
        <f>SUM(H34:I34)</f>
        <v>63863</v>
      </c>
      <c r="K34" s="373">
        <f>+H34/J34</f>
        <v>0.56682272990620552</v>
      </c>
      <c r="L34" s="6"/>
      <c r="M34" s="7"/>
      <c r="N34" s="7"/>
      <c r="O34" s="7"/>
    </row>
    <row r="35" spans="1:15">
      <c r="A35" s="1"/>
      <c r="B35" s="129">
        <f>SUM(B32:B34)</f>
        <v>17280</v>
      </c>
      <c r="C35" s="92">
        <f>SUM(C32:C34)</f>
        <v>27902</v>
      </c>
      <c r="D35" s="366">
        <f>SUM(B35:C35)</f>
        <v>45182</v>
      </c>
      <c r="E35" s="373">
        <f>+B35/D35</f>
        <v>0.38245318932318179</v>
      </c>
      <c r="F35"/>
      <c r="G35"/>
      <c r="H35" s="129">
        <f>SUM(H32:H34)</f>
        <v>36199</v>
      </c>
      <c r="I35" s="92">
        <f>SUM(I32:I34)</f>
        <v>29164</v>
      </c>
      <c r="J35" s="366">
        <f>SUM(H35:I35)</f>
        <v>65363</v>
      </c>
      <c r="K35" s="373">
        <f>+H35/J35</f>
        <v>0.55381484937961845</v>
      </c>
    </row>
    <row r="36" spans="1:15" ht="7.15" customHeight="1">
      <c r="A36" s="1"/>
      <c r="B36" s="129"/>
      <c r="C36" s="93" t="s">
        <v>0</v>
      </c>
      <c r="D36" s="366"/>
      <c r="E36" s="373" t="s">
        <v>275</v>
      </c>
      <c r="F36"/>
      <c r="G36"/>
      <c r="H36" s="129"/>
      <c r="I36" s="93" t="s">
        <v>0</v>
      </c>
      <c r="J36" s="371" t="s">
        <v>0</v>
      </c>
      <c r="K36" s="373" t="s">
        <v>275</v>
      </c>
    </row>
    <row r="37" spans="1:15">
      <c r="A37" s="1" t="s">
        <v>285</v>
      </c>
      <c r="B37" s="129"/>
      <c r="C37" s="93" t="s">
        <v>0</v>
      </c>
      <c r="D37" s="366"/>
      <c r="E37" s="373" t="s">
        <v>0</v>
      </c>
      <c r="F37"/>
      <c r="G37"/>
      <c r="H37" s="129"/>
      <c r="I37" s="93" t="s">
        <v>0</v>
      </c>
      <c r="J37" s="371" t="s">
        <v>0</v>
      </c>
      <c r="K37" s="373" t="s">
        <v>0</v>
      </c>
    </row>
    <row r="38" spans="1:15">
      <c r="A38" s="1" t="s">
        <v>282</v>
      </c>
      <c r="B38" s="129">
        <v>0</v>
      </c>
      <c r="C38" s="92">
        <v>1500</v>
      </c>
      <c r="D38" s="366">
        <f>SUM(B38:C38)</f>
        <v>1500</v>
      </c>
      <c r="E38" s="373">
        <f>+B38/D38</f>
        <v>0</v>
      </c>
      <c r="F38"/>
      <c r="G38"/>
      <c r="H38" s="129">
        <v>3581</v>
      </c>
      <c r="I38" s="92">
        <v>8323</v>
      </c>
      <c r="J38" s="371">
        <f>SUM(H38:I38)</f>
        <v>11904</v>
      </c>
      <c r="K38" s="373">
        <f>+H38/J38</f>
        <v>0.30082325268817206</v>
      </c>
    </row>
    <row r="39" spans="1:15">
      <c r="A39" s="1" t="s">
        <v>286</v>
      </c>
      <c r="B39" s="129">
        <v>0</v>
      </c>
      <c r="C39" s="93">
        <v>0</v>
      </c>
      <c r="D39" s="366">
        <f>SUM(B39:C39)</f>
        <v>0</v>
      </c>
      <c r="E39" s="136">
        <v>0</v>
      </c>
      <c r="F39"/>
      <c r="G39"/>
      <c r="H39" s="129">
        <v>0</v>
      </c>
      <c r="I39" s="93">
        <v>0</v>
      </c>
      <c r="J39" s="371">
        <f>SUM(H39:I39)</f>
        <v>0</v>
      </c>
      <c r="K39" s="136">
        <v>0</v>
      </c>
    </row>
    <row r="40" spans="1:15" ht="18">
      <c r="A40" s="1" t="s">
        <v>284</v>
      </c>
      <c r="B40" s="130">
        <v>2368</v>
      </c>
      <c r="C40" s="137">
        <v>35403</v>
      </c>
      <c r="D40" s="367">
        <f>SUM(B40:C40)</f>
        <v>37771</v>
      </c>
      <c r="E40" s="136">
        <f>+B40/D40</f>
        <v>6.2693600910751629E-2</v>
      </c>
      <c r="F40"/>
      <c r="G40"/>
      <c r="H40" s="130">
        <v>0</v>
      </c>
      <c r="I40" s="137">
        <f>31306-8323</f>
        <v>22983</v>
      </c>
      <c r="J40" s="367">
        <f>SUM(H40:I40)</f>
        <v>22983</v>
      </c>
      <c r="K40" s="373">
        <f>+H40/J40</f>
        <v>0</v>
      </c>
    </row>
    <row r="41" spans="1:15">
      <c r="A41" s="1"/>
      <c r="B41" s="129">
        <f>SUM(B38:B40)</f>
        <v>2368</v>
      </c>
      <c r="C41" s="92">
        <f>SUM(C38:C40)</f>
        <v>36903</v>
      </c>
      <c r="D41" s="366">
        <f>SUM(B41:C41)</f>
        <v>39271</v>
      </c>
      <c r="E41" s="373">
        <f>+B41/D41</f>
        <v>6.0298948333375776E-2</v>
      </c>
      <c r="F41"/>
      <c r="G41"/>
      <c r="H41" s="129">
        <f>SUM(H38:H40)</f>
        <v>3581</v>
      </c>
      <c r="I41" s="92">
        <f>SUM(I38:I40)</f>
        <v>31306</v>
      </c>
      <c r="J41" s="366">
        <f>SUM(H41:I41)</f>
        <v>34887</v>
      </c>
      <c r="K41" s="373">
        <f>+H41/J41</f>
        <v>0.10264568463897727</v>
      </c>
    </row>
    <row r="42" spans="1:15" ht="8.4499999999999993" customHeight="1">
      <c r="A42" s="1"/>
      <c r="B42" s="129"/>
      <c r="C42" s="93" t="s">
        <v>0</v>
      </c>
      <c r="D42" s="366"/>
      <c r="E42" s="373" t="s">
        <v>0</v>
      </c>
      <c r="F42"/>
      <c r="G42"/>
      <c r="H42" s="129"/>
      <c r="I42" s="93" t="s">
        <v>0</v>
      </c>
      <c r="J42" s="371" t="s">
        <v>0</v>
      </c>
      <c r="K42" s="373" t="s">
        <v>0</v>
      </c>
    </row>
    <row r="43" spans="1:15" ht="18">
      <c r="A43" s="1" t="s">
        <v>287</v>
      </c>
      <c r="B43" s="130">
        <v>31848</v>
      </c>
      <c r="C43" s="137">
        <v>1270</v>
      </c>
      <c r="D43" s="367">
        <f>SUM(B43:C43)</f>
        <v>33118</v>
      </c>
      <c r="E43" s="373">
        <f>+B43/D43</f>
        <v>0.96165227368802464</v>
      </c>
      <c r="F43"/>
      <c r="G43"/>
      <c r="H43" s="130">
        <v>52313</v>
      </c>
      <c r="I43" s="131">
        <v>0</v>
      </c>
      <c r="J43" s="367">
        <f>SUM(H43:I43)</f>
        <v>52313</v>
      </c>
      <c r="K43" s="373">
        <f>+H43/J43</f>
        <v>1</v>
      </c>
      <c r="L43" s="6"/>
    </row>
    <row r="44" spans="1:15">
      <c r="A44" s="1"/>
      <c r="B44" s="129">
        <f>+B29+B35+B41+B43</f>
        <v>626706</v>
      </c>
      <c r="C44" s="92">
        <f>+C29+C35+C41+C43</f>
        <v>845904</v>
      </c>
      <c r="D44" s="366">
        <f>SUM(B44:C44)</f>
        <v>1472610</v>
      </c>
      <c r="E44" s="373">
        <f>+B44/D44</f>
        <v>0.42557499949070021</v>
      </c>
      <c r="F44"/>
      <c r="G44"/>
      <c r="H44" s="129">
        <f>+H29+H35+H41+H43</f>
        <v>575688</v>
      </c>
      <c r="I44" s="92">
        <f>+I29+I35+I41+I43</f>
        <v>846591</v>
      </c>
      <c r="J44" s="366">
        <f>SUM(H44:I44)</f>
        <v>1422279</v>
      </c>
      <c r="K44" s="373">
        <f>+H44/J44</f>
        <v>0.40476446604358218</v>
      </c>
    </row>
    <row r="45" spans="1:15" ht="8.4499999999999993" customHeight="1">
      <c r="A45" s="1"/>
      <c r="B45" s="129"/>
      <c r="C45" s="93" t="s">
        <v>0</v>
      </c>
      <c r="D45" s="366"/>
      <c r="E45" s="373" t="s">
        <v>0</v>
      </c>
      <c r="F45"/>
      <c r="G45"/>
      <c r="H45" s="129"/>
      <c r="I45" s="93" t="s">
        <v>0</v>
      </c>
      <c r="J45" s="371" t="s">
        <v>0</v>
      </c>
      <c r="K45" s="373" t="s">
        <v>0</v>
      </c>
    </row>
    <row r="46" spans="1:15">
      <c r="A46" s="87" t="s">
        <v>288</v>
      </c>
      <c r="B46" s="129"/>
      <c r="C46" s="93" t="s">
        <v>0</v>
      </c>
      <c r="D46" s="366"/>
      <c r="E46" s="373" t="s">
        <v>0</v>
      </c>
      <c r="F46"/>
      <c r="G46"/>
      <c r="H46" s="129"/>
      <c r="I46" s="93" t="s">
        <v>0</v>
      </c>
      <c r="J46" s="371" t="s">
        <v>0</v>
      </c>
      <c r="K46" s="373" t="s">
        <v>0</v>
      </c>
    </row>
    <row r="47" spans="1:15">
      <c r="A47" s="1" t="s">
        <v>289</v>
      </c>
      <c r="B47" s="129">
        <v>0</v>
      </c>
      <c r="C47" s="92">
        <v>43960</v>
      </c>
      <c r="D47" s="366">
        <f>SUM(B47:C47)</f>
        <v>43960</v>
      </c>
      <c r="E47" s="136">
        <f>+B47/D47</f>
        <v>0</v>
      </c>
      <c r="F47"/>
      <c r="G47"/>
      <c r="H47" s="129">
        <v>0</v>
      </c>
      <c r="I47" s="92">
        <v>43960</v>
      </c>
      <c r="J47" s="366">
        <f>SUM(H47:I47)</f>
        <v>43960</v>
      </c>
      <c r="K47" s="136">
        <f>+H47/J47</f>
        <v>0</v>
      </c>
    </row>
    <row r="48" spans="1:15">
      <c r="A48" s="1" t="s">
        <v>290</v>
      </c>
      <c r="B48" s="129">
        <v>0</v>
      </c>
      <c r="C48" s="92">
        <v>6969</v>
      </c>
      <c r="D48" s="366">
        <f>SUM(B48:C48)</f>
        <v>6969</v>
      </c>
      <c r="E48" s="136">
        <v>0</v>
      </c>
      <c r="F48"/>
      <c r="G48"/>
      <c r="H48" s="129">
        <v>0</v>
      </c>
      <c r="I48" s="92">
        <v>6969</v>
      </c>
      <c r="J48" s="366">
        <f>SUM(H48:I48)</f>
        <v>6969</v>
      </c>
      <c r="K48" s="136">
        <v>0</v>
      </c>
    </row>
    <row r="49" spans="1:15">
      <c r="A49" s="1" t="s">
        <v>302</v>
      </c>
      <c r="B49" s="129">
        <v>0</v>
      </c>
      <c r="C49" s="92">
        <v>21551</v>
      </c>
      <c r="D49" s="366">
        <f>SUM(B49:C49)</f>
        <v>21551</v>
      </c>
      <c r="E49" s="136">
        <v>0</v>
      </c>
      <c r="F49"/>
      <c r="G49"/>
      <c r="H49" s="129">
        <v>0</v>
      </c>
      <c r="I49" s="92">
        <v>21551</v>
      </c>
      <c r="J49" s="366">
        <f>SUM(H49:I49)</f>
        <v>21551</v>
      </c>
      <c r="K49" s="136">
        <v>0</v>
      </c>
    </row>
    <row r="50" spans="1:15" ht="18">
      <c r="A50" s="1" t="s">
        <v>292</v>
      </c>
      <c r="B50" s="130">
        <v>0</v>
      </c>
      <c r="C50" s="137">
        <v>22891</v>
      </c>
      <c r="D50" s="367">
        <f>SUM(B50:C50)</f>
        <v>22891</v>
      </c>
      <c r="E50" s="136">
        <v>0</v>
      </c>
      <c r="F50"/>
      <c r="G50"/>
      <c r="H50" s="130">
        <v>0</v>
      </c>
      <c r="I50" s="137">
        <v>14043</v>
      </c>
      <c r="J50" s="367">
        <f>SUM(H50:I50)</f>
        <v>14043</v>
      </c>
      <c r="K50" s="136">
        <v>0</v>
      </c>
      <c r="L50" s="6"/>
      <c r="M50" s="7"/>
      <c r="N50" s="7"/>
      <c r="O50" s="7"/>
    </row>
    <row r="51" spans="1:15">
      <c r="A51" s="1" t="s">
        <v>275</v>
      </c>
      <c r="B51" s="129">
        <f>SUM(B47:B50)</f>
        <v>0</v>
      </c>
      <c r="C51" s="92">
        <f>SUM(C47:C50)</f>
        <v>95371</v>
      </c>
      <c r="D51" s="366">
        <f>SUM(B51:C51)</f>
        <v>95371</v>
      </c>
      <c r="E51" s="136">
        <v>0</v>
      </c>
      <c r="F51"/>
      <c r="G51"/>
      <c r="H51" s="129">
        <f>SUM(H47:H50)</f>
        <v>0</v>
      </c>
      <c r="I51" s="92">
        <f>SUM(I47:I50)</f>
        <v>86523</v>
      </c>
      <c r="J51" s="366">
        <f>SUM(H51:I51)</f>
        <v>86523</v>
      </c>
      <c r="K51" s="136">
        <v>0</v>
      </c>
    </row>
    <row r="52" spans="1:15">
      <c r="A52" s="1" t="s">
        <v>0</v>
      </c>
      <c r="B52" s="129"/>
      <c r="C52" s="93" t="s">
        <v>0</v>
      </c>
      <c r="D52" s="366"/>
      <c r="E52" s="373" t="s">
        <v>0</v>
      </c>
      <c r="F52"/>
      <c r="G52"/>
      <c r="H52" s="129"/>
      <c r="I52" s="93" t="s">
        <v>0</v>
      </c>
      <c r="J52" s="371" t="s">
        <v>0</v>
      </c>
      <c r="K52" s="373" t="s">
        <v>0</v>
      </c>
    </row>
    <row r="53" spans="1:15" ht="16.5" thickBot="1">
      <c r="A53" s="1" t="s">
        <v>0</v>
      </c>
      <c r="B53" s="133">
        <f>+B29+B35+B41+B43+B51</f>
        <v>626706</v>
      </c>
      <c r="C53" s="134">
        <f>+C29+C35+C41+C43+C51</f>
        <v>941275</v>
      </c>
      <c r="D53" s="369">
        <f>SUM(B53:C53)</f>
        <v>1567981</v>
      </c>
      <c r="E53" s="430">
        <f>+B53/D53</f>
        <v>0.39968979215947131</v>
      </c>
      <c r="F53"/>
      <c r="G53"/>
      <c r="H53" s="133">
        <f>+H29+H35+H41+H43+H51</f>
        <v>575688</v>
      </c>
      <c r="I53" s="134">
        <f>+I29+I35+I41+I43+I51</f>
        <v>933114</v>
      </c>
      <c r="J53" s="369">
        <f>SUM(H53:I53)</f>
        <v>1508802</v>
      </c>
      <c r="K53" s="430">
        <f>+H53/J53</f>
        <v>0.38155304672183626</v>
      </c>
    </row>
    <row r="54" spans="1:15" ht="16.5" thickTop="1">
      <c r="A54" s="1"/>
      <c r="B54" s="95"/>
      <c r="C54" s="95"/>
      <c r="D54" s="384"/>
      <c r="E54" s="261"/>
      <c r="F54"/>
      <c r="G54"/>
      <c r="H54" s="95"/>
      <c r="I54" s="95"/>
      <c r="J54" s="384"/>
      <c r="K54" s="254"/>
    </row>
    <row r="55" spans="1:15">
      <c r="A55" s="1"/>
      <c r="B55" s="91" t="s">
        <v>634</v>
      </c>
      <c r="C55"/>
      <c r="D55" s="91"/>
      <c r="E55" s="100" t="s">
        <v>0</v>
      </c>
      <c r="F55"/>
      <c r="G55"/>
      <c r="H55" s="91" t="s">
        <v>530</v>
      </c>
      <c r="I55"/>
      <c r="J55" s="89" t="s">
        <v>0</v>
      </c>
    </row>
    <row r="56" spans="1:15">
      <c r="C56" s="43"/>
      <c r="E56" s="115" t="s">
        <v>0</v>
      </c>
      <c r="F56"/>
      <c r="G56"/>
      <c r="H56"/>
      <c r="J56" s="43"/>
    </row>
    <row r="57" spans="1:15">
      <c r="A57" s="18" t="s">
        <v>319</v>
      </c>
      <c r="C57" s="43"/>
      <c r="E57" s="115" t="s">
        <v>0</v>
      </c>
      <c r="F57"/>
      <c r="G57"/>
      <c r="H57"/>
      <c r="J57" s="43"/>
    </row>
    <row r="58" spans="1:15">
      <c r="A58" t="s">
        <v>294</v>
      </c>
      <c r="B58" s="12">
        <f>+'promobkcomp  '!B56</f>
        <v>8755</v>
      </c>
      <c r="C58" s="43"/>
      <c r="E58" s="115" t="s">
        <v>0</v>
      </c>
      <c r="F58"/>
      <c r="G58"/>
      <c r="H58" s="3">
        <f>57989758/1000</f>
        <v>57989.758000000002</v>
      </c>
      <c r="I58" s="43">
        <v>0</v>
      </c>
      <c r="J58" s="12">
        <f>+H58+I58</f>
        <v>57989.758000000002</v>
      </c>
    </row>
    <row r="59" spans="1:15">
      <c r="A59" t="s">
        <v>295</v>
      </c>
      <c r="B59" s="12">
        <f>+'promobkcomp  '!B57</f>
        <v>45675</v>
      </c>
      <c r="C59" s="43"/>
      <c r="E59" s="115" t="s">
        <v>0</v>
      </c>
      <c r="F59"/>
      <c r="G59"/>
      <c r="H59" s="3">
        <f>27834145/1000</f>
        <v>27834.145</v>
      </c>
      <c r="I59" s="43">
        <v>0</v>
      </c>
      <c r="J59" s="12">
        <f>+H59+I59</f>
        <v>27834.145</v>
      </c>
    </row>
    <row r="60" spans="1:15">
      <c r="A60" t="s">
        <v>284</v>
      </c>
      <c r="B60" s="12">
        <f>+'promobkcomp  '!B58</f>
        <v>97125</v>
      </c>
      <c r="C60" s="43"/>
      <c r="E60" s="115" t="s">
        <v>0</v>
      </c>
      <c r="F60"/>
      <c r="G60"/>
      <c r="H60" s="3">
        <f>+(12776142+3358942)/1000</f>
        <v>16135.084000000001</v>
      </c>
      <c r="I60" s="12">
        <f>+(21091529+18627465)/1000</f>
        <v>39718.993999999999</v>
      </c>
      <c r="J60" s="12">
        <f>+H60+I60</f>
        <v>55854.078000000001</v>
      </c>
    </row>
    <row r="61" spans="1:15">
      <c r="C61" s="43"/>
      <c r="E61" s="115" t="s">
        <v>0</v>
      </c>
      <c r="F61"/>
      <c r="G61"/>
      <c r="H61"/>
      <c r="J61" s="43"/>
    </row>
    <row r="62" spans="1:15" ht="18.75">
      <c r="A62" s="122" t="s">
        <v>303</v>
      </c>
      <c r="B62" s="12">
        <f>+'promobkcomp  '!B60</f>
        <v>832528</v>
      </c>
      <c r="C62" s="43"/>
      <c r="E62" s="115" t="s">
        <v>0</v>
      </c>
      <c r="F62"/>
      <c r="G62"/>
      <c r="H62" s="41">
        <v>0</v>
      </c>
      <c r="I62" s="43">
        <v>0</v>
      </c>
      <c r="J62" s="12">
        <f>+J19+J63</f>
        <v>730214.48</v>
      </c>
    </row>
    <row r="63" spans="1:15">
      <c r="A63" t="s">
        <v>217</v>
      </c>
      <c r="B63" s="12">
        <f>+'promobkcomp  '!B61</f>
        <v>59649</v>
      </c>
      <c r="C63" s="43"/>
      <c r="E63" s="115" t="s">
        <v>0</v>
      </c>
      <c r="F63"/>
      <c r="G63"/>
      <c r="H63" s="41">
        <v>0</v>
      </c>
      <c r="I63" s="43">
        <v>0</v>
      </c>
      <c r="J63" s="12">
        <f>50451480/1000</f>
        <v>50451.48</v>
      </c>
    </row>
    <row r="64" spans="1:15">
      <c r="A64" t="s">
        <v>320</v>
      </c>
      <c r="B64" s="12">
        <f>+'promobkcomp  '!B62</f>
        <v>64582</v>
      </c>
      <c r="C64" s="43"/>
      <c r="E64" s="115" t="s">
        <v>0</v>
      </c>
      <c r="F64"/>
      <c r="G64"/>
      <c r="H64" s="41">
        <v>0</v>
      </c>
      <c r="I64" s="43">
        <v>0</v>
      </c>
      <c r="J64" s="12">
        <f>53268235/1000</f>
        <v>53268.235000000001</v>
      </c>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sheetData>
  <pageMargins left="0.7" right="0.28999999999999998" top="0.52" bottom="0.62" header="0.31" footer="0.38"/>
  <pageSetup scale="63" orientation="landscape" r:id="rId1"/>
  <headerFooter alignWithMargins="0">
    <oddFooter>&amp;R&amp;P</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20"/>
  <sheetViews>
    <sheetView workbookViewId="0"/>
  </sheetViews>
  <sheetFormatPr defaultRowHeight="15.75"/>
  <cols>
    <col min="1" max="1" width="50" customWidth="1"/>
    <col min="2" max="2" width="15.75" style="27" customWidth="1"/>
    <col min="3" max="3" width="8.7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 style="27" customWidth="1"/>
    <col min="14" max="14" width="15.75" style="27" customWidth="1"/>
    <col min="15" max="15" width="11" style="27" customWidth="1"/>
    <col min="16" max="16" width="15.75" style="27" customWidth="1"/>
    <col min="17" max="17" width="11" style="27" customWidth="1"/>
    <col min="18" max="18" width="15.75" style="27" customWidth="1"/>
    <col min="19" max="19" width="11" style="27" customWidth="1"/>
    <col min="20" max="20" width="17.25" style="27" customWidth="1"/>
    <col min="21" max="21" width="12.625" style="27" customWidth="1"/>
    <col min="22" max="256" width="11" customWidth="1"/>
  </cols>
  <sheetData>
    <row r="1" spans="1:22">
      <c r="A1" s="114" t="s">
        <v>628</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6" spans="1:22" s="2" customFormat="1" ht="16.5" thickBot="1">
      <c r="B6" s="377" t="s">
        <v>185</v>
      </c>
      <c r="C6" s="399"/>
      <c r="D6" s="400"/>
      <c r="E6" s="399"/>
      <c r="F6" s="400"/>
      <c r="G6" s="399"/>
      <c r="H6" s="400"/>
      <c r="I6" s="401"/>
      <c r="J6" s="377" t="s">
        <v>174</v>
      </c>
      <c r="K6" s="399"/>
      <c r="L6" s="400"/>
      <c r="M6" s="399"/>
      <c r="N6" s="400"/>
      <c r="O6" s="399"/>
      <c r="P6" s="400"/>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7" t="s">
        <v>0</v>
      </c>
      <c r="D9" s="29" t="s">
        <v>0</v>
      </c>
      <c r="E9" s="29" t="s">
        <v>0</v>
      </c>
      <c r="F9" s="29" t="s">
        <v>0</v>
      </c>
      <c r="G9" s="29" t="s">
        <v>0</v>
      </c>
      <c r="H9" s="29" t="s">
        <v>0</v>
      </c>
      <c r="J9" s="16" t="s">
        <v>0</v>
      </c>
      <c r="K9" s="47" t="s">
        <v>0</v>
      </c>
      <c r="L9" s="16" t="s">
        <v>0</v>
      </c>
      <c r="M9" s="47" t="s">
        <v>0</v>
      </c>
      <c r="N9" s="16" t="s">
        <v>0</v>
      </c>
      <c r="O9" s="47" t="s">
        <v>0</v>
      </c>
      <c r="P9" s="16" t="s">
        <v>0</v>
      </c>
    </row>
    <row r="10" spans="1:22">
      <c r="A10" t="s">
        <v>330</v>
      </c>
      <c r="B10" s="12">
        <f>+B50</f>
        <v>35400.5</v>
      </c>
      <c r="C10" s="43">
        <v>0</v>
      </c>
      <c r="D10" s="12">
        <f>+F50</f>
        <v>0</v>
      </c>
      <c r="E10" s="43">
        <v>0</v>
      </c>
      <c r="F10" s="12">
        <f>+J50</f>
        <v>0</v>
      </c>
      <c r="G10" s="43">
        <v>0</v>
      </c>
      <c r="H10" s="12">
        <f>+N50</f>
        <v>0</v>
      </c>
      <c r="J10" s="12">
        <f>+D50</f>
        <v>29025.600000000002</v>
      </c>
      <c r="K10" s="46">
        <f t="shared" ref="K10:K15" si="0">+(-J10+L10)/ABS(J10)</f>
        <v>2.3276004630395059E-2</v>
      </c>
      <c r="L10" s="12">
        <f>+H50</f>
        <v>29701.199999999997</v>
      </c>
      <c r="M10" s="46">
        <f t="shared" ref="M10:M15" si="1">+(-L10+N10)/ABS(L10)</f>
        <v>-2.9571195776601476E-2</v>
      </c>
      <c r="N10" s="12">
        <f>+L50</f>
        <v>28822.9</v>
      </c>
      <c r="O10" s="46">
        <f t="shared" ref="O10:O15" si="2">+(-N10+P10)/ABS(N10)</f>
        <v>-3.0187802060167385E-2</v>
      </c>
      <c r="P10" s="12">
        <f>+P50</f>
        <v>27952.800000000003</v>
      </c>
    </row>
    <row r="11" spans="1:22">
      <c r="A11" t="s">
        <v>354</v>
      </c>
      <c r="B11" s="12">
        <f>+B51</f>
        <v>3972</v>
      </c>
      <c r="C11" s="43">
        <v>0</v>
      </c>
      <c r="D11" s="12">
        <f>+F51</f>
        <v>0</v>
      </c>
      <c r="E11" s="43">
        <v>0</v>
      </c>
      <c r="F11" s="12">
        <f>+J51</f>
        <v>0</v>
      </c>
      <c r="G11" s="43">
        <v>0</v>
      </c>
      <c r="H11" s="12">
        <f>+N51</f>
        <v>0</v>
      </c>
      <c r="J11" s="12">
        <f>+D51</f>
        <v>2424.4</v>
      </c>
      <c r="K11" s="46">
        <f t="shared" si="0"/>
        <v>-0.29396964197327186</v>
      </c>
      <c r="L11" s="12">
        <f>+H51</f>
        <v>1711.6999999999998</v>
      </c>
      <c r="M11" s="46">
        <f t="shared" si="1"/>
        <v>0.36098615411579144</v>
      </c>
      <c r="N11" s="12">
        <f>+L51</f>
        <v>2329.6</v>
      </c>
      <c r="O11" s="46">
        <f t="shared" si="2"/>
        <v>9.6025068681318798E-2</v>
      </c>
      <c r="P11" s="12">
        <f>+P51</f>
        <v>2553.3000000000002</v>
      </c>
    </row>
    <row r="12" spans="1:22">
      <c r="A12" t="s">
        <v>332</v>
      </c>
      <c r="B12" s="240">
        <f>+B52</f>
        <v>1252.4000000000001</v>
      </c>
      <c r="C12" s="43">
        <v>0</v>
      </c>
      <c r="D12" s="240">
        <f>+F52</f>
        <v>0</v>
      </c>
      <c r="E12" s="43">
        <v>0</v>
      </c>
      <c r="F12" s="240">
        <f>+J52</f>
        <v>0</v>
      </c>
      <c r="G12" s="43">
        <v>0</v>
      </c>
      <c r="H12" s="240">
        <f>+N52</f>
        <v>0</v>
      </c>
      <c r="J12" s="221">
        <f>+D52</f>
        <v>1333.7</v>
      </c>
      <c r="K12" s="46">
        <f t="shared" si="0"/>
        <v>0.12753992652020688</v>
      </c>
      <c r="L12" s="221">
        <f>+H52</f>
        <v>1503.8</v>
      </c>
      <c r="M12" s="46">
        <f t="shared" si="1"/>
        <v>-0.12860752759675481</v>
      </c>
      <c r="N12" s="221">
        <f>+L52</f>
        <v>1310.4000000000001</v>
      </c>
      <c r="O12" s="46">
        <f t="shared" si="2"/>
        <v>6.898656898656888E-2</v>
      </c>
      <c r="P12" s="221">
        <f>+P52</f>
        <v>1400.8</v>
      </c>
    </row>
    <row r="13" spans="1:22">
      <c r="B13" s="12">
        <f>SUM(B10:B12)</f>
        <v>40624.9</v>
      </c>
      <c r="C13" s="43">
        <v>0</v>
      </c>
      <c r="D13" s="12">
        <f>SUM(D10:D12)</f>
        <v>0</v>
      </c>
      <c r="E13" s="43">
        <v>0</v>
      </c>
      <c r="F13" s="12">
        <f>SUM(F10:F12)</f>
        <v>0</v>
      </c>
      <c r="G13" s="43">
        <v>0</v>
      </c>
      <c r="H13" s="12">
        <f>SUM(H10:H12)</f>
        <v>0</v>
      </c>
      <c r="J13" s="12">
        <f>SUM(J10:J12)</f>
        <v>32783.700000000004</v>
      </c>
      <c r="K13" s="46">
        <f t="shared" si="0"/>
        <v>4.0568941272642409E-3</v>
      </c>
      <c r="L13" s="12">
        <f>SUM(L10:L12)</f>
        <v>32916.699999999997</v>
      </c>
      <c r="M13" s="46">
        <f t="shared" si="1"/>
        <v>-1.3786315153098447E-2</v>
      </c>
      <c r="N13" s="12">
        <f>SUM(N10:N12)</f>
        <v>32462.9</v>
      </c>
      <c r="O13" s="46">
        <f t="shared" si="2"/>
        <v>-1.7127243715133276E-2</v>
      </c>
      <c r="P13" s="12">
        <f>SUM(P10:P12)</f>
        <v>31906.9</v>
      </c>
    </row>
    <row r="14" spans="1:22">
      <c r="A14" t="s">
        <v>333</v>
      </c>
      <c r="B14" s="240">
        <f>+B54</f>
        <v>11241.6</v>
      </c>
      <c r="C14" s="43">
        <v>0</v>
      </c>
      <c r="D14" s="240">
        <f>+F54</f>
        <v>0</v>
      </c>
      <c r="E14" s="43">
        <v>0</v>
      </c>
      <c r="F14" s="240">
        <f>+J54</f>
        <v>0</v>
      </c>
      <c r="G14" s="43">
        <v>0</v>
      </c>
      <c r="H14" s="240">
        <f>+N54</f>
        <v>0</v>
      </c>
      <c r="J14" s="240">
        <f>+D54</f>
        <v>17984.3</v>
      </c>
      <c r="K14" s="46">
        <f t="shared" si="0"/>
        <v>-0.33926813943272743</v>
      </c>
      <c r="L14" s="240">
        <f>+H54</f>
        <v>11882.8</v>
      </c>
      <c r="M14" s="46">
        <f t="shared" si="1"/>
        <v>-6.3023866428787795E-2</v>
      </c>
      <c r="N14" s="240">
        <f>+L54</f>
        <v>11133.9</v>
      </c>
      <c r="O14" s="46">
        <f t="shared" si="2"/>
        <v>-2.2184499591337186E-3</v>
      </c>
      <c r="P14" s="240">
        <f>+P54</f>
        <v>11109.2</v>
      </c>
    </row>
    <row r="15" spans="1:22">
      <c r="B15" s="12">
        <f>+B13-B14</f>
        <v>29383.300000000003</v>
      </c>
      <c r="C15" s="43">
        <v>0</v>
      </c>
      <c r="D15" s="12">
        <f>+D13-D14</f>
        <v>0</v>
      </c>
      <c r="E15" s="43">
        <v>0</v>
      </c>
      <c r="F15" s="12">
        <f>+F13-F14</f>
        <v>0</v>
      </c>
      <c r="G15" s="43">
        <v>0</v>
      </c>
      <c r="H15" s="12">
        <f>+H13-H14</f>
        <v>0</v>
      </c>
      <c r="J15" s="12">
        <f>+J13-J14</f>
        <v>14799.400000000005</v>
      </c>
      <c r="K15" s="46">
        <f t="shared" si="0"/>
        <v>0.42126707839506944</v>
      </c>
      <c r="L15" s="12">
        <f>+L13-L14</f>
        <v>21033.899999999998</v>
      </c>
      <c r="M15" s="46">
        <f t="shared" si="1"/>
        <v>1.4029732954896724E-2</v>
      </c>
      <c r="N15" s="12">
        <f>+N13-N14</f>
        <v>21329</v>
      </c>
      <c r="O15" s="46">
        <f t="shared" si="2"/>
        <v>-2.4909747292418738E-2</v>
      </c>
      <c r="P15" s="12">
        <f>+P13-P14</f>
        <v>20797.7</v>
      </c>
    </row>
    <row r="16" spans="1:22" ht="9" customHeight="1">
      <c r="B16" s="12"/>
      <c r="C16" s="44" t="s">
        <v>0</v>
      </c>
      <c r="E16" s="44" t="s">
        <v>0</v>
      </c>
      <c r="G16" s="44" t="s">
        <v>0</v>
      </c>
      <c r="H16" s="12"/>
      <c r="J16" s="12"/>
      <c r="K16" s="46"/>
      <c r="L16" s="12"/>
      <c r="M16" s="46"/>
      <c r="N16" s="12"/>
      <c r="O16" s="46"/>
      <c r="P16" s="12"/>
    </row>
    <row r="17" spans="1:16">
      <c r="A17" t="s">
        <v>334</v>
      </c>
      <c r="B17" s="12"/>
      <c r="C17" s="44" t="s">
        <v>0</v>
      </c>
      <c r="E17" s="44" t="s">
        <v>0</v>
      </c>
      <c r="G17" s="44" t="s">
        <v>0</v>
      </c>
      <c r="H17" s="12"/>
      <c r="J17" s="12"/>
      <c r="K17" s="46"/>
      <c r="L17" s="12"/>
      <c r="M17" s="46"/>
      <c r="N17" s="12"/>
      <c r="O17" s="47" t="s">
        <v>0</v>
      </c>
      <c r="P17" s="12"/>
    </row>
    <row r="18" spans="1:16">
      <c r="A18" t="s">
        <v>335</v>
      </c>
      <c r="B18" s="12">
        <f>+B58</f>
        <v>5992.9</v>
      </c>
      <c r="C18" s="43">
        <v>0</v>
      </c>
      <c r="D18" s="12">
        <f>+F58</f>
        <v>0</v>
      </c>
      <c r="E18" s="43">
        <v>0</v>
      </c>
      <c r="F18" s="12">
        <f>+J58</f>
        <v>0</v>
      </c>
      <c r="G18" s="43">
        <v>0</v>
      </c>
      <c r="H18" s="12">
        <f>+N58</f>
        <v>0</v>
      </c>
      <c r="J18" s="12">
        <f>+D58</f>
        <v>5266.2000000000007</v>
      </c>
      <c r="K18" s="46">
        <f>+(-J18+L18)/ABS(J18)</f>
        <v>-0.28794956515134268</v>
      </c>
      <c r="L18" s="12">
        <f>+H58</f>
        <v>3749.7999999999997</v>
      </c>
      <c r="M18" s="46">
        <f>+(-L18+N18)/ABS(L18)</f>
        <v>5.5069603712198108E-2</v>
      </c>
      <c r="N18" s="12">
        <f>+L58</f>
        <v>3956.3</v>
      </c>
      <c r="O18" s="46">
        <f>+(-N18+P18)/ABS(N18)</f>
        <v>0.22005409094355824</v>
      </c>
      <c r="P18" s="12">
        <f>+P58</f>
        <v>4826.8999999999996</v>
      </c>
    </row>
    <row r="19" spans="1:16">
      <c r="A19" t="s">
        <v>336</v>
      </c>
      <c r="B19" s="12">
        <f>+B59</f>
        <v>6789.1</v>
      </c>
      <c r="C19" s="43">
        <v>0</v>
      </c>
      <c r="D19" s="12">
        <f>+F59</f>
        <v>0</v>
      </c>
      <c r="E19" s="43">
        <v>0</v>
      </c>
      <c r="F19" s="12">
        <f>+J59</f>
        <v>0</v>
      </c>
      <c r="G19" s="43">
        <v>0</v>
      </c>
      <c r="H19" s="12">
        <f>+N59</f>
        <v>0</v>
      </c>
      <c r="J19" s="12">
        <f>+D59</f>
        <v>4735.8999999999996</v>
      </c>
      <c r="K19" s="46">
        <f>+(-J19+L19)/ABS(J19)</f>
        <v>-0.15312823328195263</v>
      </c>
      <c r="L19" s="12">
        <f>+H59</f>
        <v>4010.7000000000003</v>
      </c>
      <c r="M19" s="46">
        <f>+(-L19+N19)/ABS(L19)</f>
        <v>-0.1355125040516619</v>
      </c>
      <c r="N19" s="12">
        <f>+L59</f>
        <v>3467.2</v>
      </c>
      <c r="O19" s="46">
        <f>+(-N19+P19)/ABS(N19)</f>
        <v>0.39094946931241348</v>
      </c>
      <c r="P19" s="12">
        <f>+P59</f>
        <v>4822.7</v>
      </c>
    </row>
    <row r="20" spans="1:16">
      <c r="A20" t="s">
        <v>284</v>
      </c>
      <c r="B20" s="240">
        <f>+B60</f>
        <v>3</v>
      </c>
      <c r="C20" s="43">
        <v>0</v>
      </c>
      <c r="D20" s="240">
        <f>+F60</f>
        <v>0</v>
      </c>
      <c r="E20" s="43">
        <v>0</v>
      </c>
      <c r="F20" s="240">
        <f>+J60</f>
        <v>0</v>
      </c>
      <c r="G20" s="43">
        <v>0</v>
      </c>
      <c r="H20" s="240">
        <f>+N60</f>
        <v>0</v>
      </c>
      <c r="J20" s="240">
        <f>+D60</f>
        <v>1201.8</v>
      </c>
      <c r="K20" s="46">
        <f>+(-J20+L20)/ABS(J20)</f>
        <v>-0.68206024296888002</v>
      </c>
      <c r="L20" s="240">
        <f>+H60</f>
        <v>382.1</v>
      </c>
      <c r="M20" s="46">
        <f>+(-L20+N20)/ABS(L20)</f>
        <v>-0.52342318764721285</v>
      </c>
      <c r="N20" s="240">
        <f>+L60</f>
        <v>182.1</v>
      </c>
      <c r="O20" s="46">
        <f>+(-N20+P20)/ABS(N20)</f>
        <v>-0.42229544206479952</v>
      </c>
      <c r="P20" s="240">
        <f>+P60</f>
        <v>105.2</v>
      </c>
    </row>
    <row r="21" spans="1:16">
      <c r="B21" s="12">
        <f>SUM(B18:B20)</f>
        <v>12785</v>
      </c>
      <c r="C21" s="43">
        <v>0</v>
      </c>
      <c r="D21" s="12">
        <f>SUM(D18:D20)</f>
        <v>0</v>
      </c>
      <c r="E21" s="43">
        <v>0</v>
      </c>
      <c r="F21" s="12">
        <f>SUM(F18:F20)</f>
        <v>0</v>
      </c>
      <c r="G21" s="43">
        <v>0</v>
      </c>
      <c r="H21" s="12">
        <f>SUM(H18:H20)</f>
        <v>0</v>
      </c>
      <c r="J21" s="12">
        <f>SUM(J18:J20)</f>
        <v>11203.9</v>
      </c>
      <c r="K21" s="46">
        <f>+(-J21+L21)/ABS(J21)</f>
        <v>-0.27323521273842138</v>
      </c>
      <c r="L21" s="12">
        <f>SUM(L18:L20)</f>
        <v>8142.6</v>
      </c>
      <c r="M21" s="46">
        <f>+(-L21+N21)/ABS(L21)</f>
        <v>-6.5949451035295842E-2</v>
      </c>
      <c r="N21" s="12">
        <f>SUM(N18:N20)</f>
        <v>7605.6</v>
      </c>
      <c r="O21" s="46">
        <f>+(-N21+P21)/ABS(N21)</f>
        <v>0.28258125591669281</v>
      </c>
      <c r="P21" s="12">
        <f>SUM(P18:P20)</f>
        <v>9754.7999999999993</v>
      </c>
    </row>
    <row r="22" spans="1:16">
      <c r="B22" s="240"/>
      <c r="C22" s="44" t="s">
        <v>0</v>
      </c>
      <c r="D22" s="240"/>
      <c r="E22" s="44" t="s">
        <v>0</v>
      </c>
      <c r="F22" s="379"/>
      <c r="G22" s="44" t="s">
        <v>0</v>
      </c>
      <c r="H22" s="240"/>
      <c r="J22" s="240"/>
      <c r="K22" s="46"/>
      <c r="L22" s="240"/>
      <c r="M22" s="46"/>
      <c r="N22" s="240"/>
      <c r="O22" s="46"/>
      <c r="P22" s="240"/>
    </row>
    <row r="23" spans="1:16">
      <c r="A23" t="s">
        <v>337</v>
      </c>
      <c r="B23" s="12">
        <f>+B15+B21</f>
        <v>42168.3</v>
      </c>
      <c r="C23" s="43">
        <v>0</v>
      </c>
      <c r="D23" s="12">
        <f>+D15+D21</f>
        <v>0</v>
      </c>
      <c r="E23" s="43">
        <v>0</v>
      </c>
      <c r="F23" s="12">
        <f>+F15+F21</f>
        <v>0</v>
      </c>
      <c r="G23" s="43">
        <v>0</v>
      </c>
      <c r="H23" s="12">
        <f>+H15+H21</f>
        <v>0</v>
      </c>
      <c r="J23" s="12">
        <f>+J15+J21</f>
        <v>26003.300000000003</v>
      </c>
      <c r="K23" s="46">
        <f>+(-J23+L23)/ABS(J23)</f>
        <v>0.12203066533862997</v>
      </c>
      <c r="L23" s="12">
        <f>+L15+L21</f>
        <v>29176.5</v>
      </c>
      <c r="M23" s="46">
        <f>+(-L23+N23)/ABS(L23)</f>
        <v>-8.2909190615735769E-3</v>
      </c>
      <c r="N23" s="12">
        <f>+N15+N21</f>
        <v>28934.6</v>
      </c>
      <c r="O23" s="46">
        <f>+(-N23+P23)/ABS(N23)</f>
        <v>5.5915754840225942E-2</v>
      </c>
      <c r="P23" s="12">
        <f>+P15+P21</f>
        <v>30552.5</v>
      </c>
    </row>
    <row r="24" spans="1:16">
      <c r="B24" s="12"/>
      <c r="C24" s="44" t="s">
        <v>0</v>
      </c>
      <c r="D24" s="12"/>
      <c r="E24" s="44" t="s">
        <v>0</v>
      </c>
      <c r="G24" s="44" t="s">
        <v>0</v>
      </c>
      <c r="H24" s="12"/>
      <c r="J24" s="12"/>
      <c r="K24" s="46"/>
      <c r="L24" s="12"/>
      <c r="M24" s="46"/>
      <c r="N24" s="12"/>
      <c r="O24" s="46"/>
      <c r="P24" s="12"/>
    </row>
    <row r="25" spans="1:16">
      <c r="A25" t="s">
        <v>338</v>
      </c>
      <c r="B25" s="12">
        <f>+B65</f>
        <v>0</v>
      </c>
      <c r="C25" s="43">
        <v>0</v>
      </c>
      <c r="D25" s="12">
        <f>+F65</f>
        <v>0</v>
      </c>
      <c r="E25" s="43">
        <v>0</v>
      </c>
      <c r="F25" s="12">
        <f>+J65</f>
        <v>0</v>
      </c>
      <c r="G25" s="43">
        <v>0</v>
      </c>
      <c r="H25" s="12">
        <f>+N65</f>
        <v>0</v>
      </c>
      <c r="J25" s="12">
        <f>+D65</f>
        <v>3000</v>
      </c>
      <c r="K25" s="46">
        <f>+(-J25+L25)/ABS(J25)</f>
        <v>0</v>
      </c>
      <c r="L25" s="12">
        <f>+H65</f>
        <v>3000</v>
      </c>
      <c r="M25" s="46">
        <f>+(-L25+N25)/ABS(L25)</f>
        <v>0</v>
      </c>
      <c r="N25" s="12">
        <f>+L65</f>
        <v>3000</v>
      </c>
      <c r="O25" s="46">
        <f>+(-N25+P25)/ABS(N25)</f>
        <v>0</v>
      </c>
      <c r="P25" s="12">
        <f>+P65</f>
        <v>3000</v>
      </c>
    </row>
    <row r="26" spans="1:16">
      <c r="B26" s="12"/>
      <c r="C26" s="44" t="s">
        <v>0</v>
      </c>
      <c r="D26" s="12"/>
      <c r="E26" s="44" t="s">
        <v>0</v>
      </c>
      <c r="G26" s="44" t="s">
        <v>0</v>
      </c>
      <c r="H26" s="12"/>
      <c r="J26" s="12"/>
      <c r="K26" s="46"/>
      <c r="L26" s="12"/>
      <c r="M26" s="46"/>
      <c r="N26" s="12"/>
      <c r="O26" s="46"/>
      <c r="P26" s="12"/>
    </row>
    <row r="27" spans="1:16">
      <c r="A27" t="s">
        <v>339</v>
      </c>
      <c r="B27" s="240"/>
      <c r="C27" s="44" t="s">
        <v>0</v>
      </c>
      <c r="D27" s="240"/>
      <c r="E27" s="44" t="s">
        <v>0</v>
      </c>
      <c r="F27" s="379"/>
      <c r="G27" s="44" t="s">
        <v>0</v>
      </c>
      <c r="H27" s="240"/>
      <c r="J27" s="240"/>
      <c r="K27" s="46"/>
      <c r="L27" s="240"/>
      <c r="M27" s="46"/>
      <c r="N27" s="240"/>
      <c r="O27" s="46"/>
      <c r="P27" s="240"/>
    </row>
    <row r="28" spans="1:16">
      <c r="A28" t="s">
        <v>340</v>
      </c>
      <c r="B28" s="12">
        <f>+B23-B25</f>
        <v>42168.3</v>
      </c>
      <c r="C28" s="43">
        <v>0</v>
      </c>
      <c r="D28" s="12">
        <f>+D23-D25</f>
        <v>0</v>
      </c>
      <c r="E28" s="43">
        <v>0</v>
      </c>
      <c r="F28" s="12">
        <f>+F23-F25</f>
        <v>0</v>
      </c>
      <c r="G28" s="43">
        <v>0</v>
      </c>
      <c r="H28" s="12">
        <f>+H23-H25</f>
        <v>0</v>
      </c>
      <c r="J28" s="12">
        <f>+J23-J25</f>
        <v>23003.300000000003</v>
      </c>
      <c r="K28" s="46">
        <f>+(-J28+L28)/ABS(J28)</f>
        <v>0.1379454252215985</v>
      </c>
      <c r="L28" s="12">
        <f>+L23-L25</f>
        <v>26176.5</v>
      </c>
      <c r="M28" s="46">
        <f>+(-L28+N28)/ABS(L28)</f>
        <v>-9.2411132122324022E-3</v>
      </c>
      <c r="N28" s="12">
        <f>+N23-N25</f>
        <v>25934.6</v>
      </c>
      <c r="O28" s="46">
        <f>+(-N28+P28)/ABS(N28)</f>
        <v>6.2383842434431284E-2</v>
      </c>
      <c r="P28" s="12">
        <f>+P23-P25</f>
        <v>27552.5</v>
      </c>
    </row>
    <row r="29" spans="1:16">
      <c r="B29" s="12"/>
      <c r="C29" s="44" t="s">
        <v>0</v>
      </c>
      <c r="D29" s="12"/>
      <c r="E29" s="44" t="s">
        <v>0</v>
      </c>
      <c r="G29" s="44" t="s">
        <v>0</v>
      </c>
      <c r="H29" s="12"/>
      <c r="J29" s="12"/>
      <c r="K29" s="46"/>
      <c r="L29" s="12"/>
      <c r="M29" s="46"/>
      <c r="N29" s="12"/>
      <c r="O29" s="46"/>
      <c r="P29" s="12"/>
    </row>
    <row r="30" spans="1:16">
      <c r="A30" t="s">
        <v>341</v>
      </c>
      <c r="B30" s="12"/>
      <c r="C30" s="44" t="s">
        <v>0</v>
      </c>
      <c r="D30" s="12"/>
      <c r="E30" s="44" t="s">
        <v>0</v>
      </c>
      <c r="G30" s="44" t="s">
        <v>0</v>
      </c>
      <c r="H30" s="12"/>
      <c r="J30" s="12"/>
      <c r="K30" s="46"/>
      <c r="L30" s="12"/>
      <c r="M30" s="46"/>
      <c r="N30" s="12"/>
      <c r="O30" s="46"/>
      <c r="P30" s="12"/>
    </row>
    <row r="31" spans="1:16">
      <c r="A31" t="s">
        <v>342</v>
      </c>
      <c r="B31" s="12">
        <f>+B71</f>
        <v>11379.7</v>
      </c>
      <c r="C31" s="43">
        <v>0</v>
      </c>
      <c r="D31" s="12">
        <f>+F71</f>
        <v>0</v>
      </c>
      <c r="E31" s="43">
        <v>0</v>
      </c>
      <c r="F31" s="12">
        <f>+J71</f>
        <v>0</v>
      </c>
      <c r="G31" s="43">
        <v>0</v>
      </c>
      <c r="H31" s="12">
        <f>+N71</f>
        <v>0</v>
      </c>
      <c r="J31" s="12">
        <f>+D71</f>
        <v>9186</v>
      </c>
      <c r="K31" s="46">
        <f>+(-J31+L31)/ABS(J31)</f>
        <v>0.12007402569126932</v>
      </c>
      <c r="L31" s="12">
        <f>+H71</f>
        <v>10289</v>
      </c>
      <c r="M31" s="46">
        <f>+(-L31+N31)/ABS(L31)</f>
        <v>1.5754689474195779E-2</v>
      </c>
      <c r="N31" s="12">
        <f>+L71</f>
        <v>10451.1</v>
      </c>
      <c r="O31" s="46">
        <f>+(-N31+P31)/ABS(N31)</f>
        <v>-0.14922831089550384</v>
      </c>
      <c r="P31" s="12">
        <f>+P71</f>
        <v>8891.5</v>
      </c>
    </row>
    <row r="32" spans="1:16">
      <c r="A32" t="s">
        <v>343</v>
      </c>
      <c r="B32" s="12">
        <f>+B72</f>
        <v>2662.6</v>
      </c>
      <c r="C32" s="43">
        <v>0</v>
      </c>
      <c r="D32" s="12">
        <f>+F72</f>
        <v>0</v>
      </c>
      <c r="E32" s="43">
        <v>0</v>
      </c>
      <c r="F32" s="12">
        <f>+J72</f>
        <v>0</v>
      </c>
      <c r="G32" s="43">
        <v>0</v>
      </c>
      <c r="H32" s="12">
        <f>+N72</f>
        <v>0</v>
      </c>
      <c r="J32" s="12">
        <f>+D72</f>
        <v>1509.8999999999999</v>
      </c>
      <c r="K32" s="46">
        <f>+(-J32+L32)/ABS(J32)</f>
        <v>-9.0535797072653704E-2</v>
      </c>
      <c r="L32" s="12">
        <f>+H72</f>
        <v>1373.2</v>
      </c>
      <c r="M32" s="46">
        <f>+(-L32+N32)/ABS(L32)</f>
        <v>-1.2816778327993108E-2</v>
      </c>
      <c r="N32" s="12">
        <f>+L72</f>
        <v>1355.6</v>
      </c>
      <c r="O32" s="46">
        <f>+(-N32+P32)/ABS(N32)</f>
        <v>8.5054588374151807E-2</v>
      </c>
      <c r="P32" s="12">
        <f>+P72</f>
        <v>1470.9</v>
      </c>
    </row>
    <row r="33" spans="1:22">
      <c r="A33" t="s">
        <v>344</v>
      </c>
      <c r="B33" s="12">
        <f>+B73</f>
        <v>3960.6</v>
      </c>
      <c r="C33" s="43">
        <v>0</v>
      </c>
      <c r="D33" s="12">
        <f>+F73</f>
        <v>0</v>
      </c>
      <c r="E33" s="43">
        <v>0</v>
      </c>
      <c r="F33" s="12">
        <f>+J73</f>
        <v>0</v>
      </c>
      <c r="G33" s="43">
        <v>0</v>
      </c>
      <c r="H33" s="12">
        <f>+N73</f>
        <v>0</v>
      </c>
      <c r="J33" s="12">
        <f>+D73</f>
        <v>3971</v>
      </c>
      <c r="K33" s="46">
        <f>+(-J33+L33)/ABS(J33)</f>
        <v>1.5990934273482749E-2</v>
      </c>
      <c r="L33" s="12">
        <f>+H73</f>
        <v>4034.5</v>
      </c>
      <c r="M33" s="46">
        <f>+(-L33+N33)/ABS(L33)</f>
        <v>1.8341801958110387E-3</v>
      </c>
      <c r="N33" s="12">
        <f>+L73</f>
        <v>4041.8999999999996</v>
      </c>
      <c r="O33" s="46">
        <f>+(-N33+P33)/ABS(N33)</f>
        <v>-0.17417551151686078</v>
      </c>
      <c r="P33" s="12">
        <f>+P73</f>
        <v>3337.9</v>
      </c>
    </row>
    <row r="34" spans="1:22">
      <c r="A34" t="s">
        <v>345</v>
      </c>
      <c r="B34" s="240">
        <f>+B74</f>
        <v>11731.7</v>
      </c>
      <c r="C34" s="43">
        <v>0</v>
      </c>
      <c r="D34" s="240">
        <f>+F74</f>
        <v>0</v>
      </c>
      <c r="E34" s="43">
        <v>0</v>
      </c>
      <c r="F34" s="240">
        <f>+J74</f>
        <v>0</v>
      </c>
      <c r="G34" s="43">
        <v>0</v>
      </c>
      <c r="H34" s="240">
        <f>+N74</f>
        <v>0</v>
      </c>
      <c r="J34" s="240">
        <f>+D74</f>
        <v>8015.1000000000013</v>
      </c>
      <c r="K34" s="46">
        <f>+(-J34+L34)/ABS(J34)</f>
        <v>-0.15430874224900512</v>
      </c>
      <c r="L34" s="240">
        <f>+H74</f>
        <v>6778.3</v>
      </c>
      <c r="M34" s="46">
        <f>+(-L34+N34)/ABS(L34)</f>
        <v>0.28505672513757135</v>
      </c>
      <c r="N34" s="240">
        <f>+L74</f>
        <v>8710.5</v>
      </c>
      <c r="O34" s="46">
        <f>+(-N34+P34)/ABS(N34)</f>
        <v>2.4820618793410337E-2</v>
      </c>
      <c r="P34" s="240">
        <f>+P74</f>
        <v>8926.7000000000007</v>
      </c>
    </row>
    <row r="35" spans="1:22">
      <c r="B35" s="12">
        <f>SUM(B31:B34)</f>
        <v>29734.600000000002</v>
      </c>
      <c r="C35" s="43">
        <v>0</v>
      </c>
      <c r="D35" s="12">
        <f>SUM(D31:D34)</f>
        <v>0</v>
      </c>
      <c r="E35" s="43">
        <v>0</v>
      </c>
      <c r="F35" s="12">
        <f>SUM(F31:F34)</f>
        <v>0</v>
      </c>
      <c r="G35" s="43">
        <v>0</v>
      </c>
      <c r="H35" s="12">
        <f>SUM(H31:H34)</f>
        <v>0</v>
      </c>
      <c r="J35" s="12">
        <f>SUM(J31:J34)</f>
        <v>22682</v>
      </c>
      <c r="K35" s="46">
        <f>+(-J35+L35)/ABS(J35)</f>
        <v>-9.1261793492637341E-3</v>
      </c>
      <c r="L35" s="12">
        <f>SUM(L31:L34)</f>
        <v>22475</v>
      </c>
      <c r="M35" s="46">
        <f>+(-L35+N35)/ABS(L35)</f>
        <v>9.2729699666295823E-2</v>
      </c>
      <c r="N35" s="12">
        <f>SUM(N31:N34)</f>
        <v>24559.1</v>
      </c>
      <c r="O35" s="46">
        <f>+(-N35+P35)/ABS(N35)</f>
        <v>-7.8671449686674125E-2</v>
      </c>
      <c r="P35" s="12">
        <f>SUM(P31:P34)</f>
        <v>22627</v>
      </c>
    </row>
    <row r="36" spans="1:22">
      <c r="B36" s="240"/>
      <c r="C36" s="43"/>
      <c r="D36" s="240"/>
      <c r="E36" s="43"/>
      <c r="F36" s="379"/>
      <c r="G36" s="43"/>
      <c r="H36" s="240"/>
      <c r="J36" s="240"/>
      <c r="K36" s="46"/>
      <c r="L36" s="240"/>
      <c r="M36" s="46"/>
      <c r="N36" s="240"/>
      <c r="O36" s="46"/>
      <c r="P36" s="240"/>
    </row>
    <row r="37" spans="1:22">
      <c r="A37" t="s">
        <v>346</v>
      </c>
      <c r="B37" s="12">
        <f>+B28-B35</f>
        <v>12433.7</v>
      </c>
      <c r="C37" s="43">
        <v>0</v>
      </c>
      <c r="D37" s="12">
        <f>+D28-D35</f>
        <v>0</v>
      </c>
      <c r="E37" s="43">
        <v>0</v>
      </c>
      <c r="F37" s="12">
        <f>+F28-F35</f>
        <v>0</v>
      </c>
      <c r="G37" s="43">
        <v>0</v>
      </c>
      <c r="H37" s="12">
        <f>+H28-H35</f>
        <v>0</v>
      </c>
      <c r="J37" s="12">
        <f>+J28-J35</f>
        <v>321.30000000000291</v>
      </c>
      <c r="K37" s="46">
        <f>+(-J37+L37)/ABS(J37)</f>
        <v>10.520385932150534</v>
      </c>
      <c r="L37" s="12">
        <f>+L28-L35</f>
        <v>3701.5</v>
      </c>
      <c r="M37" s="46">
        <f>+(-L37+N37)/ABS(L37)</f>
        <v>-0.62839389436714843</v>
      </c>
      <c r="N37" s="12">
        <f>+N28-N35</f>
        <v>1375.5</v>
      </c>
      <c r="O37" s="46">
        <f>+(-N37+P37)/ABS(N37)</f>
        <v>2.5808796801163214</v>
      </c>
      <c r="P37" s="12">
        <f>+P28-P35</f>
        <v>4925.5</v>
      </c>
    </row>
    <row r="38" spans="1:22">
      <c r="B38" s="12"/>
      <c r="C38" s="44" t="s">
        <v>0</v>
      </c>
      <c r="D38" s="12"/>
      <c r="E38" s="44" t="s">
        <v>0</v>
      </c>
      <c r="G38" s="44" t="s">
        <v>0</v>
      </c>
      <c r="H38" s="12"/>
      <c r="J38" s="12"/>
      <c r="K38" s="46"/>
      <c r="L38" s="12"/>
      <c r="M38" s="46"/>
      <c r="N38" s="12"/>
      <c r="O38" s="46"/>
      <c r="P38" s="12"/>
    </row>
    <row r="39" spans="1:22">
      <c r="A39" t="s">
        <v>347</v>
      </c>
      <c r="B39" s="12">
        <f>+B79</f>
        <v>3584.5</v>
      </c>
      <c r="C39" s="43">
        <v>0</v>
      </c>
      <c r="D39" s="12">
        <f>+F79</f>
        <v>0</v>
      </c>
      <c r="E39" s="43">
        <v>0</v>
      </c>
      <c r="F39" s="12">
        <f>+J79</f>
        <v>0</v>
      </c>
      <c r="G39" s="43">
        <v>0</v>
      </c>
      <c r="H39" s="12">
        <f>+N79</f>
        <v>0</v>
      </c>
      <c r="J39" s="12">
        <f>+D79</f>
        <v>-229.70000000000005</v>
      </c>
      <c r="K39" s="46">
        <f>+(-J39+L39)/ABS(J39)</f>
        <v>6.6399651719634294</v>
      </c>
      <c r="L39" s="12">
        <f>+H79</f>
        <v>1295.5</v>
      </c>
      <c r="M39" s="46">
        <f>+(-L39+N39)/ABS(L39)</f>
        <v>-0.62832883056734856</v>
      </c>
      <c r="N39" s="12">
        <f>+L79</f>
        <v>481.5</v>
      </c>
      <c r="O39" s="46">
        <f>+(-N39+P39)/ABS(N39)</f>
        <v>2.5784008307372792</v>
      </c>
      <c r="P39" s="12">
        <f>+P79</f>
        <v>1723</v>
      </c>
    </row>
    <row r="40" spans="1:22" ht="16.5" thickBot="1">
      <c r="B40" s="76"/>
      <c r="C40" s="44" t="s">
        <v>0</v>
      </c>
      <c r="D40" s="76"/>
      <c r="E40" s="44" t="s">
        <v>0</v>
      </c>
      <c r="F40" s="30"/>
      <c r="G40" s="44" t="s">
        <v>0</v>
      </c>
      <c r="H40" s="76"/>
      <c r="J40" s="76"/>
      <c r="K40" s="46"/>
      <c r="L40" s="76"/>
      <c r="M40" s="46"/>
      <c r="N40" s="76"/>
      <c r="O40" s="46"/>
      <c r="P40" s="76"/>
    </row>
    <row r="41" spans="1:22" s="2" customFormat="1">
      <c r="A41" s="2" t="s">
        <v>359</v>
      </c>
      <c r="B41" s="4">
        <f>+B37-B39</f>
        <v>8849.2000000000007</v>
      </c>
      <c r="C41" s="42">
        <v>0</v>
      </c>
      <c r="D41" s="4">
        <f>+D37-D39</f>
        <v>0</v>
      </c>
      <c r="E41" s="42">
        <v>0</v>
      </c>
      <c r="F41" s="4">
        <f>+F37-F39</f>
        <v>0</v>
      </c>
      <c r="G41" s="42">
        <v>0</v>
      </c>
      <c r="H41" s="4">
        <f>+H37-H39</f>
        <v>0</v>
      </c>
      <c r="I41" s="146"/>
      <c r="J41" s="4">
        <f>+J37-J39</f>
        <v>551.00000000000296</v>
      </c>
      <c r="K41" s="112">
        <f>+(-J41+L41)/ABS(J41)</f>
        <v>3.3666061705988874</v>
      </c>
      <c r="L41" s="4">
        <f>+L37-L39</f>
        <v>2406</v>
      </c>
      <c r="M41" s="112">
        <f>+(-L41+N41)/ABS(L41)</f>
        <v>-0.62842892768079806</v>
      </c>
      <c r="N41" s="4">
        <f>+N37-N39</f>
        <v>894</v>
      </c>
      <c r="O41" s="112">
        <f>+(-N41+P41)/ABS(N41)</f>
        <v>2.5822147651006713</v>
      </c>
      <c r="P41" s="4">
        <f>+P37-P39</f>
        <v>3202.5</v>
      </c>
      <c r="Q41" s="146"/>
      <c r="R41" s="146"/>
      <c r="S41" s="146"/>
      <c r="T41" s="146"/>
      <c r="U41" s="146"/>
    </row>
    <row r="42" spans="1:22" ht="5.45" customHeight="1">
      <c r="C42" s="29"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s="2" customFormat="1">
      <c r="B46" s="241" t="s">
        <v>349</v>
      </c>
      <c r="C46" s="146" t="s">
        <v>0</v>
      </c>
      <c r="D46" s="241" t="s">
        <v>350</v>
      </c>
      <c r="E46" s="146"/>
      <c r="F46" s="241" t="s">
        <v>349</v>
      </c>
      <c r="G46" s="146" t="s">
        <v>0</v>
      </c>
      <c r="H46" s="241" t="s">
        <v>350</v>
      </c>
      <c r="I46" s="146"/>
      <c r="J46" s="241" t="s">
        <v>349</v>
      </c>
      <c r="K46" s="146" t="s">
        <v>0</v>
      </c>
      <c r="L46" s="241" t="s">
        <v>350</v>
      </c>
      <c r="M46" s="146"/>
      <c r="N46" s="241" t="s">
        <v>349</v>
      </c>
      <c r="O46" s="146" t="s">
        <v>0</v>
      </c>
      <c r="P46" s="241" t="s">
        <v>350</v>
      </c>
      <c r="Q46" s="146"/>
      <c r="R46" s="993" t="s">
        <v>622</v>
      </c>
      <c r="S46" s="146"/>
      <c r="T46" s="993" t="s">
        <v>635</v>
      </c>
      <c r="U46" s="241" t="s">
        <v>263</v>
      </c>
    </row>
    <row r="47" spans="1:22" ht="16.5" thickBot="1">
      <c r="B47" s="243" t="s">
        <v>353</v>
      </c>
      <c r="C47" s="245"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190</v>
      </c>
      <c r="V47" s="18"/>
    </row>
    <row r="48" spans="1:22">
      <c r="A48" t="s">
        <v>328</v>
      </c>
      <c r="B48" s="29" t="s">
        <v>0</v>
      </c>
    </row>
    <row r="49" spans="1:21">
      <c r="A49" t="s">
        <v>329</v>
      </c>
      <c r="B49" s="16" t="s">
        <v>0</v>
      </c>
      <c r="C49" s="47" t="s">
        <v>0</v>
      </c>
      <c r="D49" s="16" t="s">
        <v>0</v>
      </c>
      <c r="E49" s="29" t="s">
        <v>0</v>
      </c>
      <c r="F49" s="29" t="s">
        <v>0</v>
      </c>
      <c r="G49" s="47" t="s">
        <v>0</v>
      </c>
      <c r="H49" s="16" t="s">
        <v>0</v>
      </c>
      <c r="I49" s="29" t="s">
        <v>0</v>
      </c>
      <c r="J49" s="29" t="s">
        <v>0</v>
      </c>
      <c r="K49" s="47" t="s">
        <v>0</v>
      </c>
      <c r="L49" s="16" t="s">
        <v>0</v>
      </c>
      <c r="M49" s="29" t="s">
        <v>0</v>
      </c>
      <c r="N49" s="29" t="s">
        <v>0</v>
      </c>
      <c r="O49" s="47" t="s">
        <v>0</v>
      </c>
      <c r="P49" s="16" t="s">
        <v>0</v>
      </c>
      <c r="Q49" s="29" t="s">
        <v>0</v>
      </c>
      <c r="R49" s="16" t="s">
        <v>0</v>
      </c>
      <c r="S49" s="47" t="s">
        <v>0</v>
      </c>
      <c r="T49" s="16" t="s">
        <v>0</v>
      </c>
      <c r="U49" s="16" t="s">
        <v>0</v>
      </c>
    </row>
    <row r="50" spans="1:21">
      <c r="A50" t="s">
        <v>330</v>
      </c>
      <c r="B50" s="12">
        <v>35400.5</v>
      </c>
      <c r="C50" s="46">
        <f t="shared" ref="C50:C55" si="3">+(B50-D50)/ABS(D50)</f>
        <v>0.21963025742792561</v>
      </c>
      <c r="D50" s="12">
        <f>9624.6+9470.7+9930.3</f>
        <v>29025.600000000002</v>
      </c>
      <c r="E50" s="29"/>
      <c r="F50" s="12">
        <v>0</v>
      </c>
      <c r="G50" s="43">
        <v>0</v>
      </c>
      <c r="H50" s="12">
        <f>8523.5+8531.3+12646.4</f>
        <v>29701.199999999997</v>
      </c>
      <c r="J50" s="12">
        <v>0</v>
      </c>
      <c r="K50" s="43">
        <v>0</v>
      </c>
      <c r="L50" s="12">
        <f>20305.5+8517.4</f>
        <v>28822.9</v>
      </c>
      <c r="M50" s="29"/>
      <c r="N50" s="12">
        <v>0</v>
      </c>
      <c r="O50" s="43">
        <v>0</v>
      </c>
      <c r="P50" s="12">
        <f>9409.7+9289.5+9253.6</f>
        <v>27952.800000000003</v>
      </c>
      <c r="R50" s="12">
        <f>+B50</f>
        <v>35400.5</v>
      </c>
      <c r="S50" s="46">
        <f t="shared" ref="S50:S55" si="4">+(R50-T50)/ABS(T50)</f>
        <v>0.21963025742792561</v>
      </c>
      <c r="T50" s="12">
        <f>+D50</f>
        <v>29025.600000000002</v>
      </c>
      <c r="U50" s="12">
        <f>+D50+H50+L50+P50</f>
        <v>115502.50000000001</v>
      </c>
    </row>
    <row r="51" spans="1:21">
      <c r="A51" t="s">
        <v>354</v>
      </c>
      <c r="B51" s="12">
        <v>3972</v>
      </c>
      <c r="C51" s="46">
        <f t="shared" si="3"/>
        <v>0.63834350767200121</v>
      </c>
      <c r="D51" s="12">
        <f>543.5+974.2+906.7</f>
        <v>2424.4</v>
      </c>
      <c r="E51" s="29"/>
      <c r="F51" s="12">
        <v>0</v>
      </c>
      <c r="G51" s="43">
        <v>0</v>
      </c>
      <c r="H51" s="12">
        <f>582+402.9+726.8</f>
        <v>1711.6999999999998</v>
      </c>
      <c r="J51" s="12">
        <v>0</v>
      </c>
      <c r="K51" s="43">
        <v>0</v>
      </c>
      <c r="L51" s="12">
        <f>1475.6+854</f>
        <v>2329.6</v>
      </c>
      <c r="M51" s="29"/>
      <c r="N51" s="12">
        <v>0</v>
      </c>
      <c r="O51" s="43">
        <v>0</v>
      </c>
      <c r="P51" s="12">
        <f>1007.5+905.1+640.7</f>
        <v>2553.3000000000002</v>
      </c>
      <c r="R51" s="12">
        <f>+B51</f>
        <v>3972</v>
      </c>
      <c r="S51" s="46">
        <f t="shared" si="4"/>
        <v>0.63834350767200121</v>
      </c>
      <c r="T51" s="12">
        <f>+D51</f>
        <v>2424.4</v>
      </c>
      <c r="U51" s="12">
        <f>+D51+H51+L51+P51</f>
        <v>9019</v>
      </c>
    </row>
    <row r="52" spans="1:21">
      <c r="A52" t="s">
        <v>332</v>
      </c>
      <c r="B52" s="221">
        <v>1252.4000000000001</v>
      </c>
      <c r="C52" s="46">
        <f t="shared" si="3"/>
        <v>-6.0958236484966601E-2</v>
      </c>
      <c r="D52" s="221">
        <f>503.3+419.4+411</f>
        <v>1333.7</v>
      </c>
      <c r="E52" s="29"/>
      <c r="F52" s="221">
        <v>0</v>
      </c>
      <c r="G52" s="43">
        <v>0</v>
      </c>
      <c r="H52" s="221">
        <f>462.2+335.3+706.3</f>
        <v>1503.8</v>
      </c>
      <c r="J52" s="221">
        <v>0</v>
      </c>
      <c r="K52" s="43">
        <v>0</v>
      </c>
      <c r="L52" s="221">
        <f>906.9+403.5</f>
        <v>1310.4000000000001</v>
      </c>
      <c r="M52" s="29"/>
      <c r="N52" s="221">
        <v>0</v>
      </c>
      <c r="O52" s="43">
        <v>0</v>
      </c>
      <c r="P52" s="221">
        <f>206.3+484.2+710.3</f>
        <v>1400.8</v>
      </c>
      <c r="R52" s="240">
        <f>+B52</f>
        <v>1252.4000000000001</v>
      </c>
      <c r="S52" s="46">
        <f t="shared" si="4"/>
        <v>-6.0958236484966601E-2</v>
      </c>
      <c r="T52" s="240">
        <f>+D52</f>
        <v>1333.7</v>
      </c>
      <c r="U52" s="240">
        <f>+D52+H52+L52+P52</f>
        <v>5548.7</v>
      </c>
    </row>
    <row r="53" spans="1:21">
      <c r="B53" s="12">
        <f>SUM(B50:B52)</f>
        <v>40624.9</v>
      </c>
      <c r="C53" s="46">
        <f t="shared" si="3"/>
        <v>0.23917983632109849</v>
      </c>
      <c r="D53" s="12">
        <f>SUM(D50:D52)</f>
        <v>32783.700000000004</v>
      </c>
      <c r="E53" s="29"/>
      <c r="F53" s="12">
        <f>SUM(F50:F52)</f>
        <v>0</v>
      </c>
      <c r="G53" s="43">
        <v>0</v>
      </c>
      <c r="H53" s="12">
        <f>SUM(H50:H52)</f>
        <v>32916.699999999997</v>
      </c>
      <c r="J53" s="12">
        <f>SUM(J50:J52)</f>
        <v>0</v>
      </c>
      <c r="K53" s="43">
        <v>0</v>
      </c>
      <c r="L53" s="12">
        <f>SUM(L50:L52)</f>
        <v>32462.9</v>
      </c>
      <c r="M53" s="29"/>
      <c r="N53" s="12">
        <f>SUM(N50:N52)</f>
        <v>0</v>
      </c>
      <c r="O53" s="43">
        <v>0</v>
      </c>
      <c r="P53" s="12">
        <f>SUM(P50:P52)</f>
        <v>31906.9</v>
      </c>
      <c r="R53" s="12">
        <f>SUM(R50:R52)</f>
        <v>40624.9</v>
      </c>
      <c r="S53" s="46">
        <f t="shared" si="4"/>
        <v>0.23917983632109849</v>
      </c>
      <c r="T53" s="12">
        <f>SUM(T50:T52)</f>
        <v>32783.700000000004</v>
      </c>
      <c r="U53" s="12">
        <f>SUM(U50:U52)</f>
        <v>130070.20000000001</v>
      </c>
    </row>
    <row r="54" spans="1:21">
      <c r="A54" t="s">
        <v>333</v>
      </c>
      <c r="B54" s="240">
        <v>11241.6</v>
      </c>
      <c r="C54" s="46">
        <f t="shared" si="3"/>
        <v>-0.37492145927281012</v>
      </c>
      <c r="D54" s="240">
        <f>5990.5+6492.8+5501</f>
        <v>17984.3</v>
      </c>
      <c r="E54" s="29" t="s">
        <v>0</v>
      </c>
      <c r="F54" s="240">
        <v>0</v>
      </c>
      <c r="G54" s="43">
        <v>0</v>
      </c>
      <c r="H54" s="240">
        <f>4407.9+3558+3916.9</f>
        <v>11882.8</v>
      </c>
      <c r="J54" s="240">
        <v>0</v>
      </c>
      <c r="K54" s="43">
        <v>0</v>
      </c>
      <c r="L54" s="240">
        <f>7494.4+3639.5</f>
        <v>11133.9</v>
      </c>
      <c r="M54" s="29" t="s">
        <v>0</v>
      </c>
      <c r="N54" s="240">
        <v>0</v>
      </c>
      <c r="O54" s="43">
        <v>0</v>
      </c>
      <c r="P54" s="240">
        <f>3680.1+3702.8+3726.3</f>
        <v>11109.2</v>
      </c>
      <c r="R54" s="240">
        <f>+B54</f>
        <v>11241.6</v>
      </c>
      <c r="S54" s="46">
        <f t="shared" si="4"/>
        <v>-0.37492145927281012</v>
      </c>
      <c r="T54" s="240">
        <f>+D54</f>
        <v>17984.3</v>
      </c>
      <c r="U54" s="240">
        <f>+D54+H54+L54+P54</f>
        <v>52110.2</v>
      </c>
    </row>
    <row r="55" spans="1:21">
      <c r="B55" s="12">
        <f>+B53-B54</f>
        <v>29383.300000000003</v>
      </c>
      <c r="C55" s="46">
        <f t="shared" si="3"/>
        <v>0.9854385988621156</v>
      </c>
      <c r="D55" s="12">
        <f>+D53-D54</f>
        <v>14799.400000000005</v>
      </c>
      <c r="E55" s="29" t="s">
        <v>0</v>
      </c>
      <c r="F55" s="12">
        <f>+F53-F54</f>
        <v>0</v>
      </c>
      <c r="G55" s="43">
        <v>0</v>
      </c>
      <c r="H55" s="12">
        <f>+H53-H54</f>
        <v>21033.899999999998</v>
      </c>
      <c r="J55" s="12">
        <f>+J53-J54</f>
        <v>0</v>
      </c>
      <c r="K55" s="43">
        <v>0</v>
      </c>
      <c r="L55" s="12">
        <f>+L53-L54</f>
        <v>21329</v>
      </c>
      <c r="M55" s="29" t="s">
        <v>0</v>
      </c>
      <c r="N55" s="12">
        <f>+N53-N54</f>
        <v>0</v>
      </c>
      <c r="O55" s="43">
        <v>0</v>
      </c>
      <c r="P55" s="12">
        <f>+P53-P54</f>
        <v>20797.7</v>
      </c>
      <c r="R55" s="12">
        <f>+R53-R54</f>
        <v>29383.300000000003</v>
      </c>
      <c r="S55" s="46">
        <f t="shared" si="4"/>
        <v>0.9854385988621156</v>
      </c>
      <c r="T55" s="12">
        <f>+T53-T54</f>
        <v>14799.400000000005</v>
      </c>
      <c r="U55" s="12">
        <f>+U53-U54</f>
        <v>77960.000000000015</v>
      </c>
    </row>
    <row r="56" spans="1:21">
      <c r="B56" s="12"/>
      <c r="C56" s="44" t="s">
        <v>0</v>
      </c>
      <c r="D56" s="12"/>
      <c r="E56" s="29" t="s">
        <v>0</v>
      </c>
      <c r="F56" s="16" t="s">
        <v>0</v>
      </c>
      <c r="G56" s="44" t="s">
        <v>0</v>
      </c>
      <c r="H56" s="16" t="s">
        <v>0</v>
      </c>
      <c r="K56" s="44" t="s">
        <v>0</v>
      </c>
      <c r="M56" s="29" t="s">
        <v>0</v>
      </c>
      <c r="N56" s="12"/>
      <c r="O56" s="44" t="s">
        <v>0</v>
      </c>
      <c r="P56" s="12"/>
      <c r="R56" s="12"/>
      <c r="S56" s="46"/>
      <c r="T56" s="12"/>
      <c r="U56" s="12"/>
    </row>
    <row r="57" spans="1:21">
      <c r="A57" t="s">
        <v>334</v>
      </c>
      <c r="B57" s="12"/>
      <c r="C57" s="44" t="s">
        <v>0</v>
      </c>
      <c r="D57" s="12"/>
      <c r="E57" s="29" t="s">
        <v>0</v>
      </c>
      <c r="F57" s="12"/>
      <c r="G57" s="44" t="s">
        <v>0</v>
      </c>
      <c r="H57" s="12"/>
      <c r="K57" s="44" t="s">
        <v>0</v>
      </c>
      <c r="M57" s="29" t="s">
        <v>0</v>
      </c>
      <c r="N57" s="12"/>
      <c r="O57" s="44" t="s">
        <v>0</v>
      </c>
      <c r="P57" s="12"/>
      <c r="R57" s="12"/>
      <c r="S57" s="47" t="s">
        <v>0</v>
      </c>
      <c r="T57" s="12"/>
      <c r="U57" s="12"/>
    </row>
    <row r="58" spans="1:21">
      <c r="A58" t="s">
        <v>335</v>
      </c>
      <c r="B58" s="12">
        <v>5992.9</v>
      </c>
      <c r="C58" s="46">
        <f>+(B58-D58)/ABS(D58)</f>
        <v>0.13799323990733334</v>
      </c>
      <c r="D58" s="12">
        <f>1571.9+2099.9+1594.4</f>
        <v>5266.2000000000007</v>
      </c>
      <c r="E58" s="29" t="s">
        <v>0</v>
      </c>
      <c r="F58" s="12">
        <v>0</v>
      </c>
      <c r="G58" s="43">
        <v>0</v>
      </c>
      <c r="H58" s="12">
        <f>1399.6+1016.3+1333.9</f>
        <v>3749.7999999999997</v>
      </c>
      <c r="J58" s="12">
        <v>0</v>
      </c>
      <c r="K58" s="43">
        <v>0</v>
      </c>
      <c r="L58" s="12">
        <f>2088+1868.3</f>
        <v>3956.3</v>
      </c>
      <c r="M58" s="29" t="s">
        <v>0</v>
      </c>
      <c r="N58" s="12">
        <v>0</v>
      </c>
      <c r="O58" s="43">
        <v>0</v>
      </c>
      <c r="P58" s="12">
        <f>1803.8+1348.8+1674.3</f>
        <v>4826.8999999999996</v>
      </c>
      <c r="R58" s="12">
        <f>+B58</f>
        <v>5992.9</v>
      </c>
      <c r="S58" s="46">
        <f>+(R58-T58)/ABS(T58)</f>
        <v>0.13799323990733334</v>
      </c>
      <c r="T58" s="12">
        <f>+D58</f>
        <v>5266.2000000000007</v>
      </c>
      <c r="U58" s="12">
        <f>+D58+H58+L58+P58</f>
        <v>17799.199999999997</v>
      </c>
    </row>
    <row r="59" spans="1:21">
      <c r="A59" t="s">
        <v>336</v>
      </c>
      <c r="B59" s="12">
        <v>6789.1</v>
      </c>
      <c r="C59" s="46">
        <f>+(B59-D59)/ABS(D59)</f>
        <v>0.43353955953461876</v>
      </c>
      <c r="D59" s="12">
        <f>1550+1110.6+2075.3</f>
        <v>4735.8999999999996</v>
      </c>
      <c r="E59" s="29" t="s">
        <v>0</v>
      </c>
      <c r="F59" s="12">
        <v>0</v>
      </c>
      <c r="G59" s="43">
        <v>0</v>
      </c>
      <c r="H59" s="12">
        <f>1551.7+1108.9+1350.1</f>
        <v>4010.7000000000003</v>
      </c>
      <c r="J59" s="12">
        <v>0</v>
      </c>
      <c r="K59" s="43">
        <v>0</v>
      </c>
      <c r="L59" s="12">
        <f>2195.6+1271.6</f>
        <v>3467.2</v>
      </c>
      <c r="M59" s="29" t="s">
        <v>0</v>
      </c>
      <c r="N59" s="12">
        <v>0</v>
      </c>
      <c r="O59" s="43">
        <v>0</v>
      </c>
      <c r="P59" s="12">
        <f>1521.6+1172.3+2128.8</f>
        <v>4822.7</v>
      </c>
      <c r="R59" s="12">
        <f>+B59</f>
        <v>6789.1</v>
      </c>
      <c r="S59" s="46">
        <f>+(R59-T59)/ABS(T59)</f>
        <v>0.43353955953461876</v>
      </c>
      <c r="T59" s="12">
        <f>+D59</f>
        <v>4735.8999999999996</v>
      </c>
      <c r="U59" s="12">
        <f>+D59+H59+L59+P59</f>
        <v>17036.5</v>
      </c>
    </row>
    <row r="60" spans="1:21">
      <c r="A60" t="s">
        <v>284</v>
      </c>
      <c r="B60" s="240">
        <v>3</v>
      </c>
      <c r="C60" s="46">
        <f>+(B60-D60)/ABS(D60)</f>
        <v>-0.99750374438342482</v>
      </c>
      <c r="D60" s="240">
        <f>321+105.2+775.6</f>
        <v>1201.8</v>
      </c>
      <c r="E60" s="29" t="s">
        <v>0</v>
      </c>
      <c r="F60" s="240">
        <v>0</v>
      </c>
      <c r="G60" s="43">
        <v>0</v>
      </c>
      <c r="H60" s="240">
        <f>121.3+21.6+239.2</f>
        <v>382.1</v>
      </c>
      <c r="J60" s="240">
        <v>0</v>
      </c>
      <c r="K60" s="43">
        <v>0</v>
      </c>
      <c r="L60" s="240">
        <f>39.6+142.5</f>
        <v>182.1</v>
      </c>
      <c r="M60" s="29" t="s">
        <v>0</v>
      </c>
      <c r="N60" s="240">
        <v>0</v>
      </c>
      <c r="O60" s="43">
        <v>0</v>
      </c>
      <c r="P60" s="240">
        <f>47.8+30.1+27.3</f>
        <v>105.2</v>
      </c>
      <c r="R60" s="240">
        <f>+B60</f>
        <v>3</v>
      </c>
      <c r="S60" s="46">
        <f>+(R60-T60)/ABS(T60)</f>
        <v>-0.99750374438342482</v>
      </c>
      <c r="T60" s="240">
        <f>+D60</f>
        <v>1201.8</v>
      </c>
      <c r="U60" s="240">
        <f>+D60+H60+L60+P60</f>
        <v>1871.2</v>
      </c>
    </row>
    <row r="61" spans="1:21">
      <c r="B61" s="12">
        <f>SUM(B58:B60)</f>
        <v>12785</v>
      </c>
      <c r="C61" s="46">
        <f>+(B61-D61)/ABS(D61)</f>
        <v>0.1411205026821018</v>
      </c>
      <c r="D61" s="12">
        <f>SUM(D58:D60)</f>
        <v>11203.9</v>
      </c>
      <c r="E61" s="29" t="s">
        <v>0</v>
      </c>
      <c r="F61" s="12">
        <f>SUM(F58:F60)</f>
        <v>0</v>
      </c>
      <c r="G61" s="43">
        <v>0</v>
      </c>
      <c r="H61" s="12">
        <f>SUM(H58:H60)</f>
        <v>8142.6</v>
      </c>
      <c r="J61" s="12">
        <f>SUM(J58:J60)</f>
        <v>0</v>
      </c>
      <c r="K61" s="43">
        <v>0</v>
      </c>
      <c r="L61" s="12">
        <f>SUM(L58:L60)</f>
        <v>7605.6</v>
      </c>
      <c r="M61" s="29" t="s">
        <v>0</v>
      </c>
      <c r="N61" s="12">
        <f>SUM(N58:N60)</f>
        <v>0</v>
      </c>
      <c r="O61" s="43">
        <v>0</v>
      </c>
      <c r="P61" s="12">
        <f>SUM(P58:P60)</f>
        <v>9754.7999999999993</v>
      </c>
      <c r="R61" s="12">
        <f>SUM(R58:R60)</f>
        <v>12785</v>
      </c>
      <c r="S61" s="46">
        <f>+(R61-T61)/ABS(T61)</f>
        <v>0.1411205026821018</v>
      </c>
      <c r="T61" s="12">
        <f>SUM(T58:T60)</f>
        <v>11203.9</v>
      </c>
      <c r="U61" s="12">
        <f>SUM(U58:U60)</f>
        <v>36706.899999999994</v>
      </c>
    </row>
    <row r="62" spans="1:21">
      <c r="B62" s="240"/>
      <c r="C62" s="44" t="s">
        <v>0</v>
      </c>
      <c r="D62" s="240"/>
      <c r="E62" s="29" t="s">
        <v>0</v>
      </c>
      <c r="F62" s="240"/>
      <c r="G62" s="292" t="s">
        <v>0</v>
      </c>
      <c r="H62" s="240"/>
      <c r="J62" s="379"/>
      <c r="K62" s="292" t="s">
        <v>0</v>
      </c>
      <c r="L62" s="379"/>
      <c r="M62" s="29" t="s">
        <v>0</v>
      </c>
      <c r="N62" s="240"/>
      <c r="O62" s="292" t="s">
        <v>0</v>
      </c>
      <c r="P62" s="240"/>
      <c r="R62" s="240"/>
      <c r="S62" s="46"/>
      <c r="T62" s="240"/>
      <c r="U62" s="240"/>
    </row>
    <row r="63" spans="1:21">
      <c r="A63" t="s">
        <v>337</v>
      </c>
      <c r="B63" s="12">
        <f>+B55+B61</f>
        <v>42168.3</v>
      </c>
      <c r="C63" s="46">
        <f>+(B63-D63)/ABS(D63)</f>
        <v>0.62165186726300115</v>
      </c>
      <c r="D63" s="12">
        <f>+D55+D61</f>
        <v>26003.300000000003</v>
      </c>
      <c r="E63" s="29" t="s">
        <v>0</v>
      </c>
      <c r="F63" s="12">
        <f>+F55+F61</f>
        <v>0</v>
      </c>
      <c r="G63" s="43">
        <v>0</v>
      </c>
      <c r="H63" s="12">
        <f>+H55+H61</f>
        <v>29176.5</v>
      </c>
      <c r="J63" s="12">
        <f>+J55+J61</f>
        <v>0</v>
      </c>
      <c r="K63" s="43">
        <v>0</v>
      </c>
      <c r="L63" s="12">
        <f>+L55+L61</f>
        <v>28934.6</v>
      </c>
      <c r="M63" s="29" t="s">
        <v>0</v>
      </c>
      <c r="N63" s="12">
        <f>+N55+N61</f>
        <v>0</v>
      </c>
      <c r="O63" s="43">
        <v>0</v>
      </c>
      <c r="P63" s="12">
        <f>+P55+P61</f>
        <v>30552.5</v>
      </c>
      <c r="R63" s="12">
        <f>+R55+R61</f>
        <v>42168.3</v>
      </c>
      <c r="S63" s="46">
        <f>+(R63-T63)/ABS(T63)</f>
        <v>0.62165186726300115</v>
      </c>
      <c r="T63" s="12">
        <f>+T55+T61</f>
        <v>26003.300000000003</v>
      </c>
      <c r="U63" s="12">
        <f>+U55+U61</f>
        <v>114666.90000000001</v>
      </c>
    </row>
    <row r="64" spans="1:21">
      <c r="B64" s="12"/>
      <c r="C64" s="44" t="s">
        <v>0</v>
      </c>
      <c r="D64" s="12"/>
      <c r="E64" s="29" t="s">
        <v>0</v>
      </c>
      <c r="F64" s="16" t="s">
        <v>0</v>
      </c>
      <c r="G64" s="44" t="s">
        <v>0</v>
      </c>
      <c r="H64" s="16" t="s">
        <v>0</v>
      </c>
      <c r="K64" s="44" t="s">
        <v>0</v>
      </c>
      <c r="M64" s="29" t="s">
        <v>0</v>
      </c>
      <c r="N64" s="12"/>
      <c r="O64" s="44" t="s">
        <v>0</v>
      </c>
      <c r="P64" s="12"/>
      <c r="R64" s="12"/>
      <c r="S64" s="46"/>
      <c r="T64" s="12"/>
      <c r="U64" s="12"/>
    </row>
    <row r="65" spans="1:21">
      <c r="A65" t="s">
        <v>338</v>
      </c>
      <c r="B65" s="12">
        <v>0</v>
      </c>
      <c r="C65" s="43">
        <v>0</v>
      </c>
      <c r="D65" s="12">
        <f>1000+1000+1000</f>
        <v>3000</v>
      </c>
      <c r="E65" s="29" t="s">
        <v>0</v>
      </c>
      <c r="F65" s="12">
        <v>0</v>
      </c>
      <c r="G65" s="43">
        <v>0</v>
      </c>
      <c r="H65" s="12">
        <f>1000+1000+1000</f>
        <v>3000</v>
      </c>
      <c r="J65" s="12">
        <v>0</v>
      </c>
      <c r="K65" s="43">
        <v>0</v>
      </c>
      <c r="L65" s="12">
        <f>2000+1000</f>
        <v>3000</v>
      </c>
      <c r="M65" s="29" t="s">
        <v>0</v>
      </c>
      <c r="N65" s="12">
        <v>0</v>
      </c>
      <c r="O65" s="43">
        <v>0</v>
      </c>
      <c r="P65" s="12">
        <f>1000+1000+1000</f>
        <v>3000</v>
      </c>
      <c r="R65" s="12">
        <f>+B65</f>
        <v>0</v>
      </c>
      <c r="S65" s="43">
        <v>0</v>
      </c>
      <c r="T65" s="12">
        <f>+D65</f>
        <v>3000</v>
      </c>
      <c r="U65" s="12">
        <f>+D65+H65+L65+P65</f>
        <v>12000</v>
      </c>
    </row>
    <row r="66" spans="1:21">
      <c r="B66" s="12"/>
      <c r="C66" s="44" t="s">
        <v>0</v>
      </c>
      <c r="D66" s="12"/>
      <c r="E66" s="29" t="s">
        <v>0</v>
      </c>
      <c r="F66" s="12"/>
      <c r="G66" s="44" t="s">
        <v>0</v>
      </c>
      <c r="H66" s="12"/>
      <c r="K66" s="44" t="s">
        <v>0</v>
      </c>
      <c r="M66" s="29" t="s">
        <v>0</v>
      </c>
      <c r="N66" s="12"/>
      <c r="O66" s="44" t="s">
        <v>0</v>
      </c>
      <c r="P66" s="12"/>
      <c r="R66" s="12"/>
      <c r="S66" s="46"/>
      <c r="T66" s="12"/>
      <c r="U66" s="12"/>
    </row>
    <row r="67" spans="1:21">
      <c r="A67" t="s">
        <v>339</v>
      </c>
      <c r="B67" s="240"/>
      <c r="C67" s="44" t="s">
        <v>0</v>
      </c>
      <c r="D67" s="240"/>
      <c r="E67" s="29" t="s">
        <v>0</v>
      </c>
      <c r="F67" s="240"/>
      <c r="G67" s="44" t="s">
        <v>0</v>
      </c>
      <c r="H67" s="240"/>
      <c r="J67" s="379"/>
      <c r="K67" s="44" t="s">
        <v>0</v>
      </c>
      <c r="L67" s="379"/>
      <c r="M67" s="29" t="s">
        <v>0</v>
      </c>
      <c r="N67" s="240"/>
      <c r="O67" s="44" t="s">
        <v>0</v>
      </c>
      <c r="P67" s="240"/>
      <c r="R67" s="240"/>
      <c r="S67" s="46"/>
      <c r="T67" s="240"/>
      <c r="U67" s="240"/>
    </row>
    <row r="68" spans="1:21">
      <c r="A68" t="s">
        <v>340</v>
      </c>
      <c r="B68" s="12">
        <f>+B63-B65</f>
        <v>42168.3</v>
      </c>
      <c r="C68" s="46">
        <f>+(B68-D68)/ABS(D68)</f>
        <v>0.83314133189585826</v>
      </c>
      <c r="D68" s="12">
        <f>+D63-D65</f>
        <v>23003.300000000003</v>
      </c>
      <c r="E68" s="29" t="s">
        <v>0</v>
      </c>
      <c r="F68" s="12">
        <f>+F63-F65</f>
        <v>0</v>
      </c>
      <c r="G68" s="43">
        <v>0</v>
      </c>
      <c r="H68" s="12">
        <f>+H63-H65</f>
        <v>26176.5</v>
      </c>
      <c r="J68" s="12">
        <f>+J63-J65</f>
        <v>0</v>
      </c>
      <c r="K68" s="43">
        <v>0</v>
      </c>
      <c r="L68" s="12">
        <f>+L63-L65</f>
        <v>25934.6</v>
      </c>
      <c r="M68" s="29" t="s">
        <v>0</v>
      </c>
      <c r="N68" s="12">
        <f>+N63-N65</f>
        <v>0</v>
      </c>
      <c r="O68" s="43">
        <v>0</v>
      </c>
      <c r="P68" s="12">
        <f>+P63-P65</f>
        <v>27552.5</v>
      </c>
      <c r="R68" s="12">
        <f>+R63-R65</f>
        <v>42168.3</v>
      </c>
      <c r="S68" s="46">
        <f>+(R68-T68)/ABS(T68)</f>
        <v>0.83314133189585826</v>
      </c>
      <c r="T68" s="12">
        <f>+T63-T65</f>
        <v>23003.300000000003</v>
      </c>
      <c r="U68" s="12">
        <f>+U63-U65</f>
        <v>102666.90000000001</v>
      </c>
    </row>
    <row r="69" spans="1:21">
      <c r="B69" s="12"/>
      <c r="C69" s="44" t="s">
        <v>0</v>
      </c>
      <c r="D69" s="12"/>
      <c r="E69" s="29" t="s">
        <v>0</v>
      </c>
      <c r="F69" s="12"/>
      <c r="G69" s="44" t="s">
        <v>0</v>
      </c>
      <c r="H69" s="12"/>
      <c r="K69" s="44" t="s">
        <v>0</v>
      </c>
      <c r="M69" s="29" t="s">
        <v>0</v>
      </c>
      <c r="N69" s="12"/>
      <c r="O69" s="44" t="s">
        <v>0</v>
      </c>
      <c r="P69" s="12"/>
      <c r="R69" s="12"/>
      <c r="S69" s="46"/>
      <c r="T69" s="12"/>
      <c r="U69" s="12"/>
    </row>
    <row r="70" spans="1:21">
      <c r="A70" t="s">
        <v>341</v>
      </c>
      <c r="B70" s="12"/>
      <c r="C70" s="44" t="s">
        <v>0</v>
      </c>
      <c r="D70" s="12"/>
      <c r="E70" s="29" t="s">
        <v>0</v>
      </c>
      <c r="F70" s="12"/>
      <c r="G70" s="44" t="s">
        <v>0</v>
      </c>
      <c r="H70" s="12"/>
      <c r="K70" s="44" t="s">
        <v>0</v>
      </c>
      <c r="M70" s="29" t="s">
        <v>0</v>
      </c>
      <c r="N70" s="12"/>
      <c r="O70" s="44" t="s">
        <v>0</v>
      </c>
      <c r="P70" s="12"/>
      <c r="R70" s="12"/>
      <c r="S70" s="46"/>
      <c r="T70" s="12"/>
      <c r="U70" s="12"/>
    </row>
    <row r="71" spans="1:21">
      <c r="A71" t="s">
        <v>342</v>
      </c>
      <c r="B71" s="12">
        <v>11379.7</v>
      </c>
      <c r="C71" s="46">
        <f>+(B71-D71)/ABS(D71)</f>
        <v>0.23880905726104951</v>
      </c>
      <c r="D71" s="12">
        <f>3075.5+3075+3035.5</f>
        <v>9186</v>
      </c>
      <c r="E71" s="29" t="s">
        <v>0</v>
      </c>
      <c r="F71" s="12">
        <v>0</v>
      </c>
      <c r="G71" s="43">
        <v>0</v>
      </c>
      <c r="H71" s="12">
        <f>3488.7+3426.1+3374.2</f>
        <v>10289</v>
      </c>
      <c r="J71" s="12">
        <v>0</v>
      </c>
      <c r="K71" s="43">
        <v>0</v>
      </c>
      <c r="L71" s="12">
        <f>7043.3+3407.8</f>
        <v>10451.1</v>
      </c>
      <c r="M71" s="29" t="s">
        <v>0</v>
      </c>
      <c r="N71" s="12">
        <v>0</v>
      </c>
      <c r="O71" s="43">
        <v>0</v>
      </c>
      <c r="P71" s="12">
        <f>3334.2+3490.9+2066.4</f>
        <v>8891.5</v>
      </c>
      <c r="R71" s="12">
        <f>+B71</f>
        <v>11379.7</v>
      </c>
      <c r="S71" s="46">
        <f>+(R71-T71)/ABS(T71)</f>
        <v>0.23880905726104951</v>
      </c>
      <c r="T71" s="12">
        <f>+D71</f>
        <v>9186</v>
      </c>
      <c r="U71" s="12">
        <f>+D71+H71+L71+P71</f>
        <v>38817.599999999999</v>
      </c>
    </row>
    <row r="72" spans="1:21">
      <c r="A72" t="s">
        <v>343</v>
      </c>
      <c r="B72" s="12">
        <v>2662.6</v>
      </c>
      <c r="C72" s="46">
        <f>+(B72-D72)/ABS(D72)</f>
        <v>0.76342804159215849</v>
      </c>
      <c r="D72" s="12">
        <f>399.4+656.2+454.3</f>
        <v>1509.8999999999999</v>
      </c>
      <c r="E72" s="29" t="s">
        <v>0</v>
      </c>
      <c r="F72" s="12">
        <v>0</v>
      </c>
      <c r="G72" s="43">
        <v>0</v>
      </c>
      <c r="H72" s="12">
        <f>314.7+318.3+740.2</f>
        <v>1373.2</v>
      </c>
      <c r="J72" s="12">
        <v>0</v>
      </c>
      <c r="K72" s="43">
        <v>0</v>
      </c>
      <c r="L72" s="12">
        <f>895.6+460</f>
        <v>1355.6</v>
      </c>
      <c r="M72" s="29" t="s">
        <v>0</v>
      </c>
      <c r="N72" s="12">
        <v>0</v>
      </c>
      <c r="O72" s="43">
        <v>0</v>
      </c>
      <c r="P72" s="12">
        <f>479.2+509.7+482</f>
        <v>1470.9</v>
      </c>
      <c r="R72" s="12">
        <f>+B72</f>
        <v>2662.6</v>
      </c>
      <c r="S72" s="46">
        <f>+(R72-T72)/ABS(T72)</f>
        <v>0.76342804159215849</v>
      </c>
      <c r="T72" s="12">
        <f>+D72</f>
        <v>1509.8999999999999</v>
      </c>
      <c r="U72" s="12">
        <f>+D72+H72+L72+P72</f>
        <v>5709.6</v>
      </c>
    </row>
    <row r="73" spans="1:21">
      <c r="A73" t="s">
        <v>344</v>
      </c>
      <c r="B73" s="12">
        <v>3960.6</v>
      </c>
      <c r="C73" s="46">
        <f>+(B73-D73)/ABS(D73)</f>
        <v>-2.6189876605389301E-3</v>
      </c>
      <c r="D73" s="12">
        <f>1355.8+1359.9+1255.3</f>
        <v>3971</v>
      </c>
      <c r="E73" s="29" t="s">
        <v>0</v>
      </c>
      <c r="F73" s="12">
        <v>0</v>
      </c>
      <c r="G73" s="43">
        <v>0</v>
      </c>
      <c r="H73" s="12">
        <f>1351.5+1344.8+1338.2</f>
        <v>4034.5</v>
      </c>
      <c r="J73" s="12">
        <v>0</v>
      </c>
      <c r="K73" s="43">
        <v>0</v>
      </c>
      <c r="L73" s="12">
        <f>2714.2+1327.7</f>
        <v>4041.8999999999996</v>
      </c>
      <c r="M73" s="29" t="s">
        <v>0</v>
      </c>
      <c r="N73" s="12">
        <v>0</v>
      </c>
      <c r="O73" s="43">
        <v>0</v>
      </c>
      <c r="P73" s="12">
        <f>1104.5+1104.5+1128.9</f>
        <v>3337.9</v>
      </c>
      <c r="R73" s="12">
        <f>+B73</f>
        <v>3960.6</v>
      </c>
      <c r="S73" s="46">
        <f>+(R73-T73)/ABS(T73)</f>
        <v>-2.6189876605389301E-3</v>
      </c>
      <c r="T73" s="12">
        <f>+D73</f>
        <v>3971</v>
      </c>
      <c r="U73" s="12">
        <f>+D73+H73+L73+P73</f>
        <v>15385.3</v>
      </c>
    </row>
    <row r="74" spans="1:21">
      <c r="A74" t="s">
        <v>345</v>
      </c>
      <c r="B74" s="240">
        <v>11731.7</v>
      </c>
      <c r="C74" s="46">
        <f>+(B74-D74)/ABS(D74)</f>
        <v>0.46369976669037177</v>
      </c>
      <c r="D74" s="240">
        <f>3062.3+5458.1-505.3</f>
        <v>8015.1000000000013</v>
      </c>
      <c r="E74" s="29" t="s">
        <v>0</v>
      </c>
      <c r="F74" s="240">
        <v>0</v>
      </c>
      <c r="G74" s="43">
        <v>0</v>
      </c>
      <c r="H74" s="240">
        <f>2105.5+2323.6+2349.2</f>
        <v>6778.3</v>
      </c>
      <c r="J74" s="240">
        <v>0</v>
      </c>
      <c r="K74" s="43">
        <v>0</v>
      </c>
      <c r="L74" s="240">
        <f>4984.5+3726</f>
        <v>8710.5</v>
      </c>
      <c r="M74" s="29" t="s">
        <v>0</v>
      </c>
      <c r="N74" s="240">
        <v>0</v>
      </c>
      <c r="O74" s="43">
        <v>0</v>
      </c>
      <c r="P74" s="240">
        <f>3853.4+2487.7+2585.6</f>
        <v>8926.7000000000007</v>
      </c>
      <c r="R74" s="240">
        <f>+B74</f>
        <v>11731.7</v>
      </c>
      <c r="S74" s="46">
        <f>+(R74-T74)/ABS(T74)</f>
        <v>0.46369976669037177</v>
      </c>
      <c r="T74" s="240">
        <f>+D74</f>
        <v>8015.1000000000013</v>
      </c>
      <c r="U74" s="240">
        <f>+D74+H74+L74+P74</f>
        <v>32430.600000000002</v>
      </c>
    </row>
    <row r="75" spans="1:21">
      <c r="B75" s="12">
        <f>SUM(B71:B74)</f>
        <v>29734.600000000002</v>
      </c>
      <c r="C75" s="46">
        <f>+(B75-D75)/ABS(D75)</f>
        <v>0.31093378008993927</v>
      </c>
      <c r="D75" s="12">
        <f>SUM(D71:D74)</f>
        <v>22682</v>
      </c>
      <c r="E75" s="29" t="s">
        <v>0</v>
      </c>
      <c r="F75" s="12">
        <f>SUM(F71:F74)</f>
        <v>0</v>
      </c>
      <c r="G75" s="43">
        <v>0</v>
      </c>
      <c r="H75" s="12">
        <f>SUM(H71:H74)</f>
        <v>22475</v>
      </c>
      <c r="J75" s="12">
        <f>SUM(J71:J74)</f>
        <v>0</v>
      </c>
      <c r="K75" s="43">
        <v>0</v>
      </c>
      <c r="L75" s="12">
        <f>SUM(L71:L74)</f>
        <v>24559.1</v>
      </c>
      <c r="M75" s="29" t="s">
        <v>0</v>
      </c>
      <c r="N75" s="12">
        <f>SUM(N71:N74)</f>
        <v>0</v>
      </c>
      <c r="O75" s="43">
        <v>0</v>
      </c>
      <c r="P75" s="12">
        <f>SUM(P71:P74)</f>
        <v>22627</v>
      </c>
      <c r="R75" s="12">
        <f>SUM(R71:R74)</f>
        <v>29734.600000000002</v>
      </c>
      <c r="S75" s="46">
        <f>+(R75-T75)/ABS(T75)</f>
        <v>0.31093378008993927</v>
      </c>
      <c r="T75" s="12">
        <f>SUM(T71:T74)</f>
        <v>22682</v>
      </c>
      <c r="U75" s="12">
        <f>SUM(U71:U74)</f>
        <v>92343.1</v>
      </c>
    </row>
    <row r="76" spans="1:21">
      <c r="B76" s="240"/>
      <c r="C76" s="43"/>
      <c r="D76" s="240"/>
      <c r="E76" s="29"/>
      <c r="F76" s="240"/>
      <c r="G76" s="43"/>
      <c r="H76" s="240"/>
      <c r="J76" s="379"/>
      <c r="K76" s="43"/>
      <c r="L76" s="379"/>
      <c r="M76" s="29"/>
      <c r="N76" s="240"/>
      <c r="O76" s="43"/>
      <c r="P76" s="240"/>
      <c r="R76" s="240"/>
      <c r="S76" s="46"/>
      <c r="T76" s="240"/>
      <c r="U76" s="240"/>
    </row>
    <row r="77" spans="1:21">
      <c r="A77" t="s">
        <v>346</v>
      </c>
      <c r="B77" s="12">
        <f>+B68-B75</f>
        <v>12433.7</v>
      </c>
      <c r="C77" s="46">
        <f>+(B77-D77)/ABS(D77)</f>
        <v>37.698101462806996</v>
      </c>
      <c r="D77" s="12">
        <f>+D68-D75</f>
        <v>321.30000000000291</v>
      </c>
      <c r="E77" s="29" t="s">
        <v>0</v>
      </c>
      <c r="F77" s="12">
        <f>+F68-F75</f>
        <v>0</v>
      </c>
      <c r="G77" s="43">
        <v>0</v>
      </c>
      <c r="H77" s="12">
        <f>+H68-H75</f>
        <v>3701.5</v>
      </c>
      <c r="J77" s="12">
        <f>+J68-J75</f>
        <v>0</v>
      </c>
      <c r="K77" s="43">
        <v>0</v>
      </c>
      <c r="L77" s="12">
        <f>+L68-L75</f>
        <v>1375.5</v>
      </c>
      <c r="M77" s="29" t="s">
        <v>0</v>
      </c>
      <c r="N77" s="12">
        <f>+N68-N75</f>
        <v>0</v>
      </c>
      <c r="O77" s="43">
        <v>0</v>
      </c>
      <c r="P77" s="12">
        <f>+P68-P75</f>
        <v>4925.5</v>
      </c>
      <c r="R77" s="12">
        <f>+R68-R75</f>
        <v>12433.7</v>
      </c>
      <c r="S77" s="46">
        <f>+(R77-T77)/ABS(T77)</f>
        <v>37.698101462806996</v>
      </c>
      <c r="T77" s="12">
        <f>+T68-T75</f>
        <v>321.30000000000291</v>
      </c>
      <c r="U77" s="12">
        <f>+U68-U75</f>
        <v>10323.800000000003</v>
      </c>
    </row>
    <row r="78" spans="1:21">
      <c r="B78" s="12"/>
      <c r="C78" s="44" t="s">
        <v>0</v>
      </c>
      <c r="D78" s="12"/>
      <c r="E78" s="29" t="s">
        <v>0</v>
      </c>
      <c r="F78" s="12"/>
      <c r="G78" s="44" t="s">
        <v>0</v>
      </c>
      <c r="H78" s="12"/>
      <c r="K78" s="44" t="s">
        <v>0</v>
      </c>
      <c r="M78" s="29" t="s">
        <v>0</v>
      </c>
      <c r="N78" s="12"/>
      <c r="O78" s="44" t="s">
        <v>0</v>
      </c>
      <c r="P78" s="12"/>
      <c r="R78" s="12"/>
      <c r="S78" s="46"/>
      <c r="T78" s="12"/>
      <c r="U78" s="12"/>
    </row>
    <row r="79" spans="1:21">
      <c r="A79" t="s">
        <v>347</v>
      </c>
      <c r="B79" s="12">
        <v>3584.5</v>
      </c>
      <c r="C79" s="46">
        <f>+(B79-D79)/ABS(D79)</f>
        <v>16.605137135393989</v>
      </c>
      <c r="D79" s="12">
        <f>-270.3-1351.7+1392.3</f>
        <v>-229.70000000000005</v>
      </c>
      <c r="E79" s="29" t="s">
        <v>0</v>
      </c>
      <c r="F79" s="12">
        <v>0</v>
      </c>
      <c r="G79" s="43">
        <v>0</v>
      </c>
      <c r="H79" s="12">
        <f>-9.8-194.1+1499.4</f>
        <v>1295.5</v>
      </c>
      <c r="J79" s="12">
        <v>0</v>
      </c>
      <c r="K79" s="43">
        <v>0</v>
      </c>
      <c r="L79" s="12">
        <f>657.5-176</f>
        <v>481.5</v>
      </c>
      <c r="M79" s="29" t="s">
        <v>0</v>
      </c>
      <c r="N79" s="12">
        <v>0</v>
      </c>
      <c r="O79" s="43">
        <v>0</v>
      </c>
      <c r="P79" s="12">
        <f>191+326+1206</f>
        <v>1723</v>
      </c>
      <c r="R79" s="12">
        <f>+B79</f>
        <v>3584.5</v>
      </c>
      <c r="S79" s="46">
        <f>+(R79-T79)/ABS(T79)</f>
        <v>16.605137135393989</v>
      </c>
      <c r="T79" s="12">
        <f>+D79</f>
        <v>-229.70000000000005</v>
      </c>
      <c r="U79" s="12">
        <f>+D79+H79+L79+P79</f>
        <v>3270.3</v>
      </c>
    </row>
    <row r="80" spans="1:21" ht="16.5" thickBot="1">
      <c r="B80" s="76"/>
      <c r="C80" s="44" t="s">
        <v>0</v>
      </c>
      <c r="D80" s="76"/>
      <c r="E80" s="29" t="s">
        <v>0</v>
      </c>
      <c r="F80" s="76"/>
      <c r="G80" s="44" t="s">
        <v>0</v>
      </c>
      <c r="H80" s="76"/>
      <c r="J80" s="30"/>
      <c r="K80" s="44" t="s">
        <v>0</v>
      </c>
      <c r="L80" s="30"/>
      <c r="M80" s="29" t="s">
        <v>0</v>
      </c>
      <c r="N80" s="76"/>
      <c r="O80" s="44" t="s">
        <v>0</v>
      </c>
      <c r="P80" s="76"/>
      <c r="R80" s="76"/>
      <c r="S80" s="46"/>
      <c r="T80" s="76"/>
      <c r="U80" s="76"/>
    </row>
    <row r="81" spans="1:21" s="2" customFormat="1">
      <c r="A81" s="2" t="s">
        <v>359</v>
      </c>
      <c r="B81" s="4">
        <f>+B77-B79</f>
        <v>8849.2000000000007</v>
      </c>
      <c r="C81" s="112">
        <f>+(B81-D81)/ABS(D81)</f>
        <v>15.060254083484487</v>
      </c>
      <c r="D81" s="4">
        <f>+D77-D79</f>
        <v>551.00000000000296</v>
      </c>
      <c r="E81" s="146" t="s">
        <v>0</v>
      </c>
      <c r="F81" s="4">
        <f>+F77-F79</f>
        <v>0</v>
      </c>
      <c r="G81" s="42">
        <v>0</v>
      </c>
      <c r="H81" s="4">
        <f>+H77-H79</f>
        <v>2406</v>
      </c>
      <c r="I81" s="146"/>
      <c r="J81" s="4">
        <f>+J77-J79</f>
        <v>0</v>
      </c>
      <c r="K81" s="42">
        <v>0</v>
      </c>
      <c r="L81" s="4">
        <f>+L77-L79</f>
        <v>894</v>
      </c>
      <c r="M81" s="146" t="s">
        <v>0</v>
      </c>
      <c r="N81" s="4">
        <f>+N77-N79</f>
        <v>0</v>
      </c>
      <c r="O81" s="42">
        <v>0</v>
      </c>
      <c r="P81" s="4">
        <f>+P77-P79</f>
        <v>3202.5</v>
      </c>
      <c r="Q81" s="146"/>
      <c r="R81" s="4">
        <f>+R77-R79</f>
        <v>8849.2000000000007</v>
      </c>
      <c r="S81" s="46">
        <f>+(R81-T81)/ABS(T81)</f>
        <v>15.060254083484487</v>
      </c>
      <c r="T81" s="4">
        <f>+T77-T79</f>
        <v>551.00000000000296</v>
      </c>
      <c r="U81" s="4">
        <f>+U77-U79</f>
        <v>7053.5000000000027</v>
      </c>
    </row>
    <row r="82" spans="1:21">
      <c r="E82" s="29"/>
      <c r="M82" s="29"/>
    </row>
    <row r="83" spans="1:21">
      <c r="E83" s="29"/>
      <c r="F83" s="29" t="s">
        <v>0</v>
      </c>
      <c r="M83" s="29"/>
    </row>
    <row r="84" spans="1:21">
      <c r="B84" s="565" t="s">
        <v>261</v>
      </c>
      <c r="D84" s="565" t="s">
        <v>261</v>
      </c>
      <c r="E84" s="29" t="s">
        <v>0</v>
      </c>
      <c r="F84" s="565" t="s">
        <v>261</v>
      </c>
      <c r="H84" s="565" t="s">
        <v>261</v>
      </c>
      <c r="M84" s="29" t="s">
        <v>0</v>
      </c>
      <c r="N84" s="29" t="s">
        <v>0</v>
      </c>
    </row>
    <row r="85" spans="1:21">
      <c r="B85" s="26" t="s">
        <v>353</v>
      </c>
      <c r="D85" s="26" t="s">
        <v>533</v>
      </c>
      <c r="F85" s="26" t="s">
        <v>534</v>
      </c>
      <c r="H85" s="26" t="s">
        <v>535</v>
      </c>
      <c r="M85" s="29" t="s">
        <v>0</v>
      </c>
    </row>
    <row r="86" spans="1:21">
      <c r="A86" t="s">
        <v>536</v>
      </c>
      <c r="B86" s="29" t="s">
        <v>0</v>
      </c>
      <c r="D86" s="29" t="s">
        <v>0</v>
      </c>
      <c r="F86" s="29" t="s">
        <v>0</v>
      </c>
      <c r="H86" s="29" t="s">
        <v>0</v>
      </c>
      <c r="M86" s="29" t="s">
        <v>0</v>
      </c>
    </row>
    <row r="87" spans="1:21">
      <c r="A87" t="s">
        <v>329</v>
      </c>
      <c r="B87" s="16" t="s">
        <v>0</v>
      </c>
    </row>
    <row r="88" spans="1:21">
      <c r="A88" t="s">
        <v>330</v>
      </c>
      <c r="B88" s="12">
        <f>+(15627427.99+11701695.42+12521602)/1000</f>
        <v>39850.725409999999</v>
      </c>
      <c r="D88" s="12">
        <v>0</v>
      </c>
      <c r="F88" s="12">
        <v>0</v>
      </c>
      <c r="H88" s="12">
        <v>0</v>
      </c>
    </row>
    <row r="89" spans="1:21" ht="18">
      <c r="A89" t="s">
        <v>537</v>
      </c>
      <c r="B89" s="6">
        <v>0</v>
      </c>
      <c r="D89" s="6">
        <v>0</v>
      </c>
      <c r="F89" s="6">
        <v>0</v>
      </c>
      <c r="H89" s="6">
        <v>0</v>
      </c>
    </row>
    <row r="90" spans="1:21">
      <c r="B90" s="12">
        <f>SUM(B88:B89)</f>
        <v>39850.725409999999</v>
      </c>
      <c r="D90" s="12">
        <f>SUM(D88:D89)</f>
        <v>0</v>
      </c>
      <c r="F90" s="12">
        <f>SUM(F88:F89)</f>
        <v>0</v>
      </c>
      <c r="H90" s="12">
        <f>SUM(H88:H89)</f>
        <v>0</v>
      </c>
    </row>
    <row r="91" spans="1:21">
      <c r="A91" t="s">
        <v>333</v>
      </c>
      <c r="B91" s="12">
        <f>+(5362807.45+4414259.05+4388097)/1000</f>
        <v>14165.163500000001</v>
      </c>
      <c r="D91" s="12">
        <v>0</v>
      </c>
      <c r="F91" s="12">
        <v>0</v>
      </c>
      <c r="H91" s="12">
        <v>0</v>
      </c>
    </row>
    <row r="92" spans="1:21">
      <c r="B92" s="12">
        <f>+B90-B91</f>
        <v>25685.561909999997</v>
      </c>
      <c r="D92" s="12">
        <f>+D90-D91</f>
        <v>0</v>
      </c>
      <c r="F92" s="12">
        <f>+F90-F91</f>
        <v>0</v>
      </c>
      <c r="H92" s="12">
        <f>+H90-H91</f>
        <v>0</v>
      </c>
    </row>
    <row r="93" spans="1:21">
      <c r="B93" s="12"/>
      <c r="D93" s="12"/>
      <c r="F93" s="12"/>
      <c r="H93" s="12"/>
    </row>
    <row r="94" spans="1:21">
      <c r="A94" t="s">
        <v>334</v>
      </c>
      <c r="B94" s="12"/>
      <c r="D94" s="12"/>
      <c r="F94" s="12"/>
      <c r="H94" s="12"/>
    </row>
    <row r="95" spans="1:21">
      <c r="A95" t="s">
        <v>335</v>
      </c>
      <c r="B95" s="16">
        <f>+(1275633.92+816817.35+1056937)/1000</f>
        <v>3149.3882699999999</v>
      </c>
      <c r="D95" s="16">
        <v>0</v>
      </c>
      <c r="F95" s="16">
        <v>0</v>
      </c>
      <c r="H95" s="16">
        <v>0</v>
      </c>
    </row>
    <row r="96" spans="1:21">
      <c r="A96" t="s">
        <v>336</v>
      </c>
      <c r="B96" s="16">
        <f>+(993946+593982.36+1091846)/1000</f>
        <v>2679.7743599999999</v>
      </c>
      <c r="D96" s="16">
        <v>0</v>
      </c>
      <c r="F96" s="16">
        <v>0</v>
      </c>
      <c r="H96" s="16">
        <v>0</v>
      </c>
    </row>
    <row r="97" spans="1:8">
      <c r="A97" t="s">
        <v>284</v>
      </c>
      <c r="B97" s="12">
        <f>+(517610.88+70387.71+215773)/1000</f>
        <v>803.77158999999995</v>
      </c>
      <c r="D97" s="12">
        <v>0</v>
      </c>
      <c r="F97" s="12">
        <v>0</v>
      </c>
      <c r="H97" s="12">
        <v>0</v>
      </c>
    </row>
    <row r="98" spans="1:8">
      <c r="B98" s="12">
        <f>SUM(B95:B97)</f>
        <v>6632.9342200000001</v>
      </c>
      <c r="D98" s="12">
        <f>SUM(D95:D97)</f>
        <v>0</v>
      </c>
      <c r="F98" s="12">
        <f>SUM(F95:F97)</f>
        <v>0</v>
      </c>
      <c r="H98" s="12">
        <f>SUM(H95:H97)</f>
        <v>0</v>
      </c>
    </row>
    <row r="99" spans="1:8">
      <c r="B99" s="12"/>
      <c r="D99" s="12"/>
      <c r="F99" s="12"/>
      <c r="H99" s="12"/>
    </row>
    <row r="100" spans="1:8">
      <c r="A100" t="s">
        <v>337</v>
      </c>
      <c r="B100" s="12">
        <f>+B92+B98</f>
        <v>32318.496129999996</v>
      </c>
      <c r="D100" s="12">
        <f>+D92+D98</f>
        <v>0</v>
      </c>
      <c r="F100" s="12">
        <f>+F92+F98</f>
        <v>0</v>
      </c>
      <c r="H100" s="12">
        <f>+H92+H98</f>
        <v>0</v>
      </c>
    </row>
    <row r="101" spans="1:8">
      <c r="B101" s="12"/>
      <c r="D101" s="12"/>
      <c r="F101" s="12"/>
      <c r="H101" s="12"/>
    </row>
    <row r="102" spans="1:8">
      <c r="A102" t="s">
        <v>538</v>
      </c>
      <c r="B102" s="12">
        <f>+(4121740.4+778015+871902)/1000</f>
        <v>5771.6574000000001</v>
      </c>
      <c r="D102" s="12">
        <v>0</v>
      </c>
      <c r="F102" s="12">
        <v>0</v>
      </c>
      <c r="H102" s="12">
        <v>0</v>
      </c>
    </row>
    <row r="103" spans="1:8">
      <c r="B103" s="12"/>
      <c r="D103" s="12"/>
      <c r="F103" s="12"/>
      <c r="H103" s="12"/>
    </row>
    <row r="104" spans="1:8">
      <c r="A104" t="s">
        <v>339</v>
      </c>
      <c r="B104" s="12"/>
      <c r="D104" s="12"/>
      <c r="F104" s="12"/>
      <c r="H104" s="12"/>
    </row>
    <row r="105" spans="1:8">
      <c r="A105" t="s">
        <v>340</v>
      </c>
      <c r="B105" s="12">
        <f>+B100-B102</f>
        <v>26546.838729999996</v>
      </c>
      <c r="D105" s="12">
        <f>+D100-D102</f>
        <v>0</v>
      </c>
      <c r="F105" s="12">
        <f>+F100-F102</f>
        <v>0</v>
      </c>
      <c r="H105" s="12">
        <f>+H100-H102</f>
        <v>0</v>
      </c>
    </row>
    <row r="106" spans="1:8">
      <c r="B106" s="12"/>
      <c r="D106" s="12"/>
      <c r="F106" s="12"/>
      <c r="H106" s="12"/>
    </row>
    <row r="107" spans="1:8">
      <c r="A107" t="s">
        <v>341</v>
      </c>
      <c r="B107" s="12"/>
      <c r="D107" s="12"/>
      <c r="F107" s="12"/>
      <c r="H107" s="12"/>
    </row>
    <row r="108" spans="1:8">
      <c r="A108" t="s">
        <v>342</v>
      </c>
      <c r="B108" s="12">
        <f>+(3335704.04+3175682.57+3250512)/1000</f>
        <v>9761.8986100000002</v>
      </c>
      <c r="D108" s="12">
        <v>0</v>
      </c>
      <c r="F108" s="12">
        <v>0</v>
      </c>
      <c r="H108" s="12">
        <v>0</v>
      </c>
    </row>
    <row r="109" spans="1:8">
      <c r="A109" t="s">
        <v>343</v>
      </c>
      <c r="B109" s="12">
        <f>+(1266159.8+551143.05+598634)/1000</f>
        <v>2415.93685</v>
      </c>
      <c r="D109" s="12">
        <v>0</v>
      </c>
      <c r="F109" s="12">
        <v>0</v>
      </c>
      <c r="H109" s="12">
        <v>0</v>
      </c>
    </row>
    <row r="110" spans="1:8">
      <c r="A110" t="s">
        <v>344</v>
      </c>
      <c r="B110" s="12">
        <f>+(994886.25+986269.75+909856)/1000</f>
        <v>2891.0120000000002</v>
      </c>
      <c r="D110" s="12">
        <v>0</v>
      </c>
      <c r="F110" s="12">
        <v>0</v>
      </c>
      <c r="H110" s="12">
        <v>0</v>
      </c>
    </row>
    <row r="111" spans="1:8">
      <c r="A111" t="s">
        <v>345</v>
      </c>
      <c r="B111" s="12">
        <f>+(2755182.58+2660297.13+3085374)/1000</f>
        <v>8500.8537100000012</v>
      </c>
      <c r="D111" s="12">
        <v>0</v>
      </c>
      <c r="F111" s="12">
        <v>0</v>
      </c>
      <c r="H111" s="12">
        <v>0</v>
      </c>
    </row>
    <row r="112" spans="1:8">
      <c r="B112" s="12">
        <f>SUM(B108:B111)</f>
        <v>23569.70117</v>
      </c>
      <c r="D112" s="12">
        <f>SUM(D108:D111)</f>
        <v>0</v>
      </c>
      <c r="F112" s="12">
        <f>SUM(F108:F111)</f>
        <v>0</v>
      </c>
      <c r="H112" s="12">
        <f>SUM(H108:H111)</f>
        <v>0</v>
      </c>
    </row>
    <row r="113" spans="1:8">
      <c r="B113" s="12"/>
      <c r="D113" s="12"/>
      <c r="F113" s="12"/>
      <c r="H113" s="12"/>
    </row>
    <row r="114" spans="1:8">
      <c r="A114" t="s">
        <v>346</v>
      </c>
      <c r="B114" s="12">
        <f>+B105-B112</f>
        <v>2977.1375599999956</v>
      </c>
      <c r="D114" s="12">
        <f>+D105-D112</f>
        <v>0</v>
      </c>
      <c r="F114" s="12">
        <f>+F105-F112</f>
        <v>0</v>
      </c>
      <c r="H114" s="12">
        <f>+H105-H112</f>
        <v>0</v>
      </c>
    </row>
    <row r="115" spans="1:8">
      <c r="B115" s="12"/>
      <c r="D115" s="12"/>
      <c r="F115" s="12"/>
      <c r="H115" s="12"/>
    </row>
    <row r="116" spans="1:8">
      <c r="A116" t="s">
        <v>347</v>
      </c>
      <c r="B116" s="12">
        <v>0</v>
      </c>
      <c r="D116" s="12">
        <v>0</v>
      </c>
      <c r="F116" s="12">
        <v>0</v>
      </c>
      <c r="H116" s="12">
        <v>0</v>
      </c>
    </row>
    <row r="117" spans="1:8">
      <c r="B117" s="12"/>
      <c r="D117" s="12"/>
      <c r="F117" s="12"/>
      <c r="H117" s="12"/>
    </row>
    <row r="118" spans="1:8">
      <c r="A118" t="s">
        <v>539</v>
      </c>
      <c r="B118" s="12">
        <f>+B114-B116</f>
        <v>2977.1375599999956</v>
      </c>
      <c r="D118" s="12">
        <f>+D114-D116</f>
        <v>0</v>
      </c>
      <c r="F118" s="12">
        <f>+F114-F116</f>
        <v>0</v>
      </c>
      <c r="H118" s="12">
        <f>+H114-H116</f>
        <v>0</v>
      </c>
    </row>
    <row r="120" spans="1:8">
      <c r="B120" s="29" t="s">
        <v>0</v>
      </c>
    </row>
  </sheetData>
  <pageMargins left="0.22" right="0.21" top="0.45" bottom="0.39" header="0.31" footer="0.2"/>
  <pageSetup scale="44" orientation="landscape" r:id="rId1"/>
  <headerFooter alignWithMargins="0">
    <oddFooter>&amp;R&amp;16&amp;P</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sheetViews>
  <sheetFormatPr defaultRowHeight="15.75"/>
  <cols>
    <col min="1" max="1" width="50" customWidth="1"/>
    <col min="2" max="2" width="15.75" customWidth="1"/>
    <col min="3" max="3" width="11" customWidth="1"/>
    <col min="4" max="4" width="15.75" customWidth="1"/>
    <col min="5" max="5" width="6.125" customWidth="1"/>
    <col min="6" max="6" width="16" customWidth="1"/>
    <col min="7" max="7" width="11"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628</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556</v>
      </c>
      <c r="C8" s="114"/>
      <c r="D8" s="34"/>
      <c r="E8" s="2"/>
      <c r="F8" s="114" t="s">
        <v>206</v>
      </c>
      <c r="G8" s="114"/>
      <c r="H8" s="114"/>
      <c r="I8" s="114"/>
      <c r="J8" s="114"/>
      <c r="K8" s="114"/>
      <c r="L8" s="114"/>
    </row>
    <row r="9" spans="1:14" ht="16.5" thickBot="1">
      <c r="B9" s="247" t="s">
        <v>185</v>
      </c>
      <c r="C9" s="226" t="s">
        <v>169</v>
      </c>
      <c r="D9" s="226">
        <v>1999</v>
      </c>
      <c r="E9" s="2"/>
      <c r="F9" s="226">
        <v>1999</v>
      </c>
      <c r="G9" s="226" t="s">
        <v>169</v>
      </c>
      <c r="H9" s="226">
        <v>1998</v>
      </c>
      <c r="I9" s="226" t="s">
        <v>169</v>
      </c>
      <c r="J9" s="226">
        <v>1997</v>
      </c>
      <c r="K9" s="226" t="s">
        <v>169</v>
      </c>
      <c r="L9" s="226">
        <v>1996</v>
      </c>
    </row>
    <row r="10" spans="1:14">
      <c r="A10" t="s">
        <v>328</v>
      </c>
    </row>
    <row r="11" spans="1:14">
      <c r="A11" t="s">
        <v>329</v>
      </c>
      <c r="B11" s="16" t="s">
        <v>0</v>
      </c>
      <c r="C11" s="47" t="s">
        <v>0</v>
      </c>
      <c r="D11" s="16" t="s">
        <v>0</v>
      </c>
      <c r="E11" s="44" t="s">
        <v>0</v>
      </c>
      <c r="F11" s="16" t="s">
        <v>0</v>
      </c>
      <c r="G11" s="47" t="s">
        <v>0</v>
      </c>
      <c r="M11" s="43"/>
      <c r="N11" s="43"/>
    </row>
    <row r="12" spans="1:14">
      <c r="A12" t="s">
        <v>330</v>
      </c>
      <c r="B12" s="12">
        <f>+'PROMOBKRÉSULT    '!R50</f>
        <v>35400.5</v>
      </c>
      <c r="C12" s="46">
        <f t="shared" ref="C12:C17" si="0">+(B12-D12)/ABS(D12)</f>
        <v>0.21963025742792561</v>
      </c>
      <c r="D12" s="12">
        <f>+'PROMOBKRÉSULT    '!T50</f>
        <v>29025.600000000002</v>
      </c>
      <c r="E12" s="44"/>
      <c r="F12" s="12">
        <f>+'PROMOBKRÉSULT    '!U50</f>
        <v>115502.50000000001</v>
      </c>
      <c r="G12" s="46">
        <f t="shared" ref="G12:G17" si="1">+(F12-H12)/ABS(H12)</f>
        <v>-0.20789251162589742</v>
      </c>
      <c r="H12" s="12">
        <v>145816.70000000001</v>
      </c>
      <c r="I12" s="46">
        <f>+(H12-J12)/ABS(J12)</f>
        <v>0.15278137925800384</v>
      </c>
      <c r="J12" s="12">
        <v>126491.2</v>
      </c>
      <c r="K12" s="46">
        <f>+(J12-L12)/ABS(L12)</f>
        <v>0.22812355879625806</v>
      </c>
      <c r="L12" s="12">
        <v>102995.5</v>
      </c>
      <c r="M12" s="43"/>
      <c r="N12" s="43"/>
    </row>
    <row r="13" spans="1:14">
      <c r="A13" t="s">
        <v>354</v>
      </c>
      <c r="B13" s="12">
        <f>+'PROMOBKRÉSULT    '!R51</f>
        <v>3972</v>
      </c>
      <c r="C13" s="104">
        <f t="shared" si="0"/>
        <v>0.63834350767200121</v>
      </c>
      <c r="D13" s="12">
        <f>+'PROMOBKRÉSULT    '!T51</f>
        <v>2424.4</v>
      </c>
      <c r="E13" s="44"/>
      <c r="F13" s="12">
        <f>+'PROMOBKRÉSULT    '!U51</f>
        <v>9019</v>
      </c>
      <c r="G13" s="1078">
        <f t="shared" si="1"/>
        <v>177.59405940594058</v>
      </c>
      <c r="H13" s="12">
        <v>50.5</v>
      </c>
      <c r="I13" s="46"/>
      <c r="J13" s="12">
        <v>0</v>
      </c>
      <c r="K13" s="46"/>
      <c r="L13" s="12">
        <v>0</v>
      </c>
      <c r="M13" s="43"/>
      <c r="N13" s="43"/>
    </row>
    <row r="14" spans="1:14">
      <c r="A14" t="s">
        <v>332</v>
      </c>
      <c r="B14" s="221">
        <f>+'PROMOBKRÉSULT    '!R52</f>
        <v>1252.4000000000001</v>
      </c>
      <c r="C14" s="46">
        <f t="shared" si="0"/>
        <v>-6.0958236484966601E-2</v>
      </c>
      <c r="D14" s="240">
        <f>+'PROMOBKRÉSULT    '!T52</f>
        <v>1333.7</v>
      </c>
      <c r="E14" s="44"/>
      <c r="F14" s="240">
        <f>+'PROMOBKRÉSULT    '!U52</f>
        <v>5548.7</v>
      </c>
      <c r="G14" s="46">
        <f t="shared" si="1"/>
        <v>-0.25389611262757328</v>
      </c>
      <c r="H14" s="240">
        <v>7436.9</v>
      </c>
      <c r="I14" s="43">
        <v>0</v>
      </c>
      <c r="J14" s="240">
        <v>0</v>
      </c>
      <c r="K14" s="43">
        <v>0</v>
      </c>
      <c r="L14" s="240">
        <v>0</v>
      </c>
      <c r="M14" s="43"/>
      <c r="N14" s="43"/>
    </row>
    <row r="15" spans="1:14">
      <c r="B15" s="12">
        <f>SUM(B12:B14)</f>
        <v>40624.9</v>
      </c>
      <c r="C15" s="46">
        <f t="shared" si="0"/>
        <v>0.23917983632109849</v>
      </c>
      <c r="D15" s="12">
        <f>SUM(D12:D14)</f>
        <v>32783.700000000004</v>
      </c>
      <c r="E15" s="44"/>
      <c r="F15" s="12">
        <f>SUM(F12:F14)</f>
        <v>130070.20000000001</v>
      </c>
      <c r="G15" s="46">
        <f t="shared" si="1"/>
        <v>-0.15155432894488793</v>
      </c>
      <c r="H15" s="12">
        <f>SUM(H12:H14)</f>
        <v>153304.1</v>
      </c>
      <c r="I15" s="46">
        <f>+(H15-J15)/ABS(J15)</f>
        <v>0.21197442984175982</v>
      </c>
      <c r="J15" s="12">
        <f>SUM(J12:J14)</f>
        <v>126491.2</v>
      </c>
      <c r="K15" s="46">
        <f>+(J15-L15)/ABS(L15)</f>
        <v>0.22812355879625806</v>
      </c>
      <c r="L15" s="12">
        <f>SUM(L12:L14)</f>
        <v>102995.5</v>
      </c>
      <c r="M15" s="43"/>
      <c r="N15" s="43"/>
    </row>
    <row r="16" spans="1:14">
      <c r="A16" t="s">
        <v>333</v>
      </c>
      <c r="B16" s="240">
        <f>+'PROMOBKRÉSULT    '!R54</f>
        <v>11241.6</v>
      </c>
      <c r="C16" s="46">
        <f t="shared" si="0"/>
        <v>-0.37492145927281012</v>
      </c>
      <c r="D16" s="240">
        <f>+'PROMOBKRÉSULT    '!T54</f>
        <v>17984.3</v>
      </c>
      <c r="E16" s="44" t="s">
        <v>0</v>
      </c>
      <c r="F16" s="240">
        <f>+'PROMOBKRÉSULT    '!U54</f>
        <v>52110.2</v>
      </c>
      <c r="G16" s="46">
        <f t="shared" si="1"/>
        <v>-0.13920366320213026</v>
      </c>
      <c r="H16" s="240">
        <v>60537.2</v>
      </c>
      <c r="I16" s="46">
        <f>+(H16-J16)/ABS(J16)</f>
        <v>0.23329605159954939</v>
      </c>
      <c r="J16" s="240">
        <v>49085.7</v>
      </c>
      <c r="K16" s="46">
        <f>+(J16-L16)/ABS(L16)</f>
        <v>2.9955033876717673E-2</v>
      </c>
      <c r="L16" s="240">
        <v>47658.1</v>
      </c>
      <c r="M16" s="43"/>
      <c r="N16" s="43"/>
    </row>
    <row r="17" spans="1:14" s="209" customFormat="1">
      <c r="B17" s="16">
        <f>+B15-B16</f>
        <v>29383.300000000003</v>
      </c>
      <c r="C17" s="46">
        <f t="shared" si="0"/>
        <v>0.9854385988621156</v>
      </c>
      <c r="D17" s="16">
        <f>+D15-D16</f>
        <v>14799.400000000005</v>
      </c>
      <c r="E17" s="44" t="s">
        <v>0</v>
      </c>
      <c r="F17" s="16">
        <f>+F15-F16</f>
        <v>77960.000000000015</v>
      </c>
      <c r="G17" s="46">
        <f t="shared" si="1"/>
        <v>-0.15961404337107302</v>
      </c>
      <c r="H17" s="16">
        <f>+H15-H16</f>
        <v>92766.900000000009</v>
      </c>
      <c r="I17" s="46">
        <f>+(H17-J17)/ABS(J17)</f>
        <v>0.1984535982585218</v>
      </c>
      <c r="J17" s="16">
        <f>+J12-J16</f>
        <v>77405.5</v>
      </c>
      <c r="K17" s="46">
        <f>+(J17-L17)/ABS(L17)</f>
        <v>0.39879177554420697</v>
      </c>
      <c r="L17" s="16">
        <f>+L12-L16</f>
        <v>55337.4</v>
      </c>
      <c r="M17" s="44"/>
      <c r="N17" s="44"/>
    </row>
    <row r="18" spans="1:14">
      <c r="B18" s="12"/>
      <c r="C18" s="46"/>
      <c r="D18" s="12"/>
      <c r="E18" s="44"/>
      <c r="F18" s="12"/>
      <c r="G18" s="46"/>
      <c r="H18" s="12"/>
      <c r="I18" s="46"/>
      <c r="J18" s="12"/>
      <c r="K18" s="46"/>
      <c r="L18" s="12"/>
      <c r="M18" s="43"/>
      <c r="N18" s="43"/>
    </row>
    <row r="19" spans="1:14">
      <c r="A19" t="s">
        <v>334</v>
      </c>
      <c r="B19" s="12"/>
      <c r="C19" s="46"/>
      <c r="D19" s="12"/>
      <c r="E19" s="44" t="s">
        <v>0</v>
      </c>
      <c r="F19" s="12"/>
      <c r="G19" s="46"/>
      <c r="H19" s="12"/>
      <c r="I19" s="46"/>
      <c r="J19" s="12"/>
      <c r="K19" s="46"/>
      <c r="L19" s="12"/>
      <c r="M19" s="43"/>
      <c r="N19" s="43"/>
    </row>
    <row r="20" spans="1:14">
      <c r="A20" t="s">
        <v>335</v>
      </c>
      <c r="B20" s="12">
        <f>+'PROMOBKRÉSULT    '!R58</f>
        <v>5992.9</v>
      </c>
      <c r="C20" s="46">
        <f>+(B20-D20)/ABS(D20)</f>
        <v>0.13799323990733334</v>
      </c>
      <c r="D20" s="12">
        <f>+'PROMOBKRÉSULT    '!T58</f>
        <v>5266.2000000000007</v>
      </c>
      <c r="E20" s="44" t="s">
        <v>0</v>
      </c>
      <c r="F20" s="12">
        <f>+'PROMOBKRÉSULT    '!U58</f>
        <v>17799.199999999997</v>
      </c>
      <c r="G20" s="46">
        <f>+(F20-H20)/ABS(H20)</f>
        <v>0.24968931888870929</v>
      </c>
      <c r="H20" s="12">
        <v>14242.9</v>
      </c>
      <c r="I20" s="46">
        <f>+(H20-J20)/ABS(J20)</f>
        <v>0.22732834689094172</v>
      </c>
      <c r="J20" s="12">
        <v>11604.8</v>
      </c>
      <c r="K20" s="46">
        <f>+(J20-L20)/ABS(L20)</f>
        <v>-1.0513211858698433E-2</v>
      </c>
      <c r="L20" s="12">
        <v>11728.1</v>
      </c>
      <c r="M20" s="43"/>
      <c r="N20" s="43"/>
    </row>
    <row r="21" spans="1:14">
      <c r="A21" t="s">
        <v>336</v>
      </c>
      <c r="B21" s="12">
        <f>+'PROMOBKRÉSULT    '!R59</f>
        <v>6789.1</v>
      </c>
      <c r="C21" s="46">
        <f>+(B21-D21)/ABS(D21)</f>
        <v>0.43353955953461876</v>
      </c>
      <c r="D21" s="12">
        <f>+'PROMOBKRÉSULT    '!T59</f>
        <v>4735.8999999999996</v>
      </c>
      <c r="E21" s="44" t="s">
        <v>0</v>
      </c>
      <c r="F21" s="12">
        <f>+'PROMOBKRÉSULT    '!U59</f>
        <v>17036.5</v>
      </c>
      <c r="G21" s="46">
        <f>+(F21-H21)/ABS(H21)</f>
        <v>0.29018455549917826</v>
      </c>
      <c r="H21" s="12">
        <v>13204.7</v>
      </c>
      <c r="I21" s="46">
        <f>+(H21-J21)/ABS(J21)</f>
        <v>0.20669109651006598</v>
      </c>
      <c r="J21" s="12">
        <v>10942.9</v>
      </c>
      <c r="K21" s="46">
        <f>+(J21-L21)/ABS(L21)</f>
        <v>-0.17673655780501205</v>
      </c>
      <c r="L21" s="12">
        <v>13292.1</v>
      </c>
      <c r="M21" s="43"/>
      <c r="N21" s="43"/>
    </row>
    <row r="22" spans="1:14">
      <c r="A22" t="s">
        <v>284</v>
      </c>
      <c r="B22" s="240">
        <f>+'PROMOBKRÉSULT    '!R60</f>
        <v>3</v>
      </c>
      <c r="C22" s="46">
        <f>+(B22-D22)/ABS(D22)</f>
        <v>-0.99750374438342482</v>
      </c>
      <c r="D22" s="240">
        <f>+'PROMOBKRÉSULT    '!T60</f>
        <v>1201.8</v>
      </c>
      <c r="E22" s="44" t="s">
        <v>0</v>
      </c>
      <c r="F22" s="240">
        <f>+'PROMOBKRÉSULT    '!U60</f>
        <v>1871.2</v>
      </c>
      <c r="G22" s="46">
        <f>+(F22-H22)/ABS(H22)</f>
        <v>-0.25026043753505894</v>
      </c>
      <c r="H22" s="240">
        <v>2495.8000000000002</v>
      </c>
      <c r="I22" s="46">
        <f>+(H22-J22)/ABS(J22)</f>
        <v>0.26171578787725608</v>
      </c>
      <c r="J22" s="240">
        <v>1978.1</v>
      </c>
      <c r="K22" s="46">
        <f>+(J22-L22)/ABS(L22)</f>
        <v>1.4695380774032458</v>
      </c>
      <c r="L22" s="240">
        <v>801</v>
      </c>
      <c r="M22" s="43"/>
      <c r="N22" s="43"/>
    </row>
    <row r="23" spans="1:14" s="209" customFormat="1">
      <c r="B23" s="16">
        <f>SUM(B20:B22)</f>
        <v>12785</v>
      </c>
      <c r="C23" s="46">
        <f>+(B23-D23)/ABS(D23)</f>
        <v>0.1411205026821018</v>
      </c>
      <c r="D23" s="16">
        <f>SUM(D20:D22)</f>
        <v>11203.9</v>
      </c>
      <c r="E23" s="44" t="s">
        <v>0</v>
      </c>
      <c r="F23" s="16">
        <f>SUM(F20:F22)</f>
        <v>36706.899999999994</v>
      </c>
      <c r="G23" s="46">
        <f>+(F23-H23)/ABS(H23)</f>
        <v>0.22587615300867628</v>
      </c>
      <c r="H23" s="16">
        <f>SUM(H20:H22)</f>
        <v>29943.399999999998</v>
      </c>
      <c r="I23" s="46">
        <f>+(H23-J23)/ABS(J23)</f>
        <v>0.22089391579479581</v>
      </c>
      <c r="J23" s="16">
        <f>SUM(J20:J22)</f>
        <v>24525.799999999996</v>
      </c>
      <c r="K23" s="46">
        <f>+(J23-L23)/ABS(L23)</f>
        <v>-5.0168078942884338E-2</v>
      </c>
      <c r="L23" s="16">
        <f>SUM(L20:L22)</f>
        <v>25821.200000000001</v>
      </c>
      <c r="M23" s="44"/>
      <c r="N23" s="44"/>
    </row>
    <row r="24" spans="1:14">
      <c r="B24" s="240"/>
      <c r="C24" s="46"/>
      <c r="D24" s="240"/>
      <c r="E24" s="44"/>
      <c r="F24" s="240"/>
      <c r="G24" s="46"/>
      <c r="H24" s="240"/>
      <c r="I24" s="46"/>
      <c r="J24" s="240"/>
      <c r="K24" s="46"/>
      <c r="L24" s="240"/>
      <c r="M24" s="43"/>
      <c r="N24" s="43"/>
    </row>
    <row r="25" spans="1:14" s="209" customFormat="1">
      <c r="A25" s="209" t="s">
        <v>337</v>
      </c>
      <c r="B25" s="16">
        <f>+B17+B23</f>
        <v>42168.3</v>
      </c>
      <c r="C25" s="46">
        <f>+(B25-D25)/ABS(D25)</f>
        <v>0.62165186726300115</v>
      </c>
      <c r="D25" s="16">
        <f>+D17+D23</f>
        <v>26003.300000000003</v>
      </c>
      <c r="E25" s="44" t="s">
        <v>0</v>
      </c>
      <c r="F25" s="16">
        <f>+F17+F23</f>
        <v>114666.90000000001</v>
      </c>
      <c r="G25" s="46">
        <f>+(F25-H25)/ABS(H25)</f>
        <v>-6.5547879843827248E-2</v>
      </c>
      <c r="H25" s="16">
        <f>+H17+H23</f>
        <v>122710.3</v>
      </c>
      <c r="I25" s="46">
        <f>+(H25-J25)/ABS(J25)</f>
        <v>0.20385298725710371</v>
      </c>
      <c r="J25" s="16">
        <f>+J17+J23</f>
        <v>101931.29999999999</v>
      </c>
      <c r="K25" s="46">
        <f>+(J25-L25)/ABS(L25)</f>
        <v>0.25595192622839702</v>
      </c>
      <c r="L25" s="16">
        <f>+L17+L23</f>
        <v>81158.600000000006</v>
      </c>
      <c r="M25" s="44"/>
      <c r="N25" s="44"/>
    </row>
    <row r="26" spans="1:14">
      <c r="B26" s="12"/>
      <c r="C26" s="46"/>
      <c r="D26" s="12"/>
      <c r="E26" s="44" t="s">
        <v>0</v>
      </c>
      <c r="F26" s="12"/>
      <c r="G26" s="46"/>
      <c r="H26" s="12"/>
      <c r="I26" s="46"/>
      <c r="J26" s="12"/>
      <c r="K26" s="46"/>
      <c r="L26" s="12"/>
      <c r="M26" s="43"/>
      <c r="N26" s="43"/>
    </row>
    <row r="27" spans="1:14">
      <c r="A27" t="s">
        <v>338</v>
      </c>
      <c r="B27" s="12">
        <f>+'PROMOBKRÉSULT    '!R65</f>
        <v>0</v>
      </c>
      <c r="C27" s="43">
        <v>0</v>
      </c>
      <c r="D27" s="12">
        <f>+'PROMOBKRÉSULT    '!T65</f>
        <v>3000</v>
      </c>
      <c r="E27" s="44" t="s">
        <v>0</v>
      </c>
      <c r="F27" s="12">
        <f>+'PROMOBKRÉSULT    '!U65</f>
        <v>12000</v>
      </c>
      <c r="G27" s="46">
        <f>+(F27-H27)/ABS(H27)</f>
        <v>-0.18763581713682248</v>
      </c>
      <c r="H27" s="12">
        <v>14771.7</v>
      </c>
      <c r="I27" s="46">
        <f>+(H27-J27)/ABS(J27)</f>
        <v>1.1670823308491287</v>
      </c>
      <c r="J27" s="12">
        <v>6816.4</v>
      </c>
      <c r="K27" s="46">
        <f>+(J27-L27)/ABS(L27)</f>
        <v>8.3998600553417485E-2</v>
      </c>
      <c r="L27" s="12">
        <v>6288.2</v>
      </c>
      <c r="M27" s="43"/>
      <c r="N27" s="43"/>
    </row>
    <row r="28" spans="1:14">
      <c r="B28" s="12"/>
      <c r="C28" s="46"/>
      <c r="D28" s="12"/>
      <c r="E28" s="44" t="s">
        <v>0</v>
      </c>
      <c r="F28" s="12"/>
      <c r="G28" s="46"/>
      <c r="H28" s="12"/>
      <c r="I28" s="46"/>
      <c r="J28" s="12"/>
      <c r="K28" s="46"/>
      <c r="L28" s="12"/>
      <c r="M28" s="43"/>
      <c r="N28" s="43"/>
    </row>
    <row r="29" spans="1:14">
      <c r="A29" t="s">
        <v>339</v>
      </c>
      <c r="B29" s="240"/>
      <c r="C29" s="46"/>
      <c r="D29" s="240"/>
      <c r="E29" s="44" t="s">
        <v>0</v>
      </c>
      <c r="F29" s="240"/>
      <c r="G29" s="46"/>
      <c r="H29" s="240"/>
      <c r="I29" s="46"/>
      <c r="J29" s="240"/>
      <c r="K29" s="46"/>
      <c r="L29" s="240"/>
      <c r="M29" s="43"/>
      <c r="N29" s="43"/>
    </row>
    <row r="30" spans="1:14" s="209" customFormat="1">
      <c r="A30" s="209" t="s">
        <v>340</v>
      </c>
      <c r="B30" s="16">
        <f>+B25-B27</f>
        <v>42168.3</v>
      </c>
      <c r="C30" s="46">
        <f>+(B30-D30)/ABS(D30)</f>
        <v>0.83314133189585826</v>
      </c>
      <c r="D30" s="16">
        <f>+D25-D27</f>
        <v>23003.300000000003</v>
      </c>
      <c r="E30" s="44" t="s">
        <v>0</v>
      </c>
      <c r="F30" s="16">
        <f>+F25-F27</f>
        <v>102666.90000000001</v>
      </c>
      <c r="G30" s="46">
        <f>+(F30-H30)/ABS(H30)</f>
        <v>-4.8839803369693478E-2</v>
      </c>
      <c r="H30" s="16">
        <f>+H25-H27</f>
        <v>107938.6</v>
      </c>
      <c r="I30" s="46">
        <f>+(H30-J30)/ABS(J30)</f>
        <v>0.13482325061583425</v>
      </c>
      <c r="J30" s="16">
        <f>+J25-J27</f>
        <v>95114.9</v>
      </c>
      <c r="K30" s="46">
        <f>+(J30-L30)/ABS(L30)</f>
        <v>0.27039390733854746</v>
      </c>
      <c r="L30" s="16">
        <f>+L25-L27</f>
        <v>74870.400000000009</v>
      </c>
      <c r="M30" s="44"/>
      <c r="N30" s="44"/>
    </row>
    <row r="31" spans="1:14">
      <c r="B31" s="12"/>
      <c r="C31" s="46"/>
      <c r="D31" s="12"/>
      <c r="E31" s="44" t="s">
        <v>0</v>
      </c>
      <c r="F31" s="12"/>
      <c r="G31" s="46"/>
      <c r="H31" s="12"/>
      <c r="I31" s="46"/>
      <c r="J31" s="12"/>
      <c r="K31" s="46"/>
      <c r="L31" s="12"/>
      <c r="M31" s="43"/>
      <c r="N31" s="43"/>
    </row>
    <row r="32" spans="1:14">
      <c r="A32" t="s">
        <v>341</v>
      </c>
      <c r="B32" s="12"/>
      <c r="C32" s="46"/>
      <c r="D32" s="12"/>
      <c r="E32" s="44" t="s">
        <v>0</v>
      </c>
      <c r="F32" s="12"/>
      <c r="G32" s="46"/>
      <c r="H32" s="12"/>
      <c r="I32" s="46"/>
      <c r="J32" s="12"/>
      <c r="K32" s="46"/>
      <c r="L32" s="12"/>
      <c r="M32" s="43"/>
      <c r="N32" s="43"/>
    </row>
    <row r="33" spans="1:14">
      <c r="A33" t="s">
        <v>342</v>
      </c>
      <c r="B33" s="12">
        <f>+'PROMOBKRÉSULT    '!R71</f>
        <v>11379.7</v>
      </c>
      <c r="C33" s="46">
        <f>+(B33-D33)/ABS(D33)</f>
        <v>0.23880905726104951</v>
      </c>
      <c r="D33" s="12">
        <f>+'PROMOBKRÉSULT    '!T71</f>
        <v>9186</v>
      </c>
      <c r="E33" s="44" t="s">
        <v>0</v>
      </c>
      <c r="F33" s="12">
        <f>+'PROMOBKRÉSULT    '!U71</f>
        <v>38817.599999999999</v>
      </c>
      <c r="G33" s="46">
        <f>+(F33-H33)/ABS(H33)</f>
        <v>-7.5185712856237583E-2</v>
      </c>
      <c r="H33" s="12">
        <v>41973.4</v>
      </c>
      <c r="I33" s="46">
        <f>+(H33-J33)/ABS(J33)</f>
        <v>0.38769262304566748</v>
      </c>
      <c r="J33" s="12">
        <v>30246.9</v>
      </c>
      <c r="K33" s="46">
        <f>+(J33-L33)/ABS(L33)</f>
        <v>0.25275012011066744</v>
      </c>
      <c r="L33" s="12">
        <v>24144.400000000001</v>
      </c>
      <c r="M33" s="43"/>
      <c r="N33" s="43"/>
    </row>
    <row r="34" spans="1:14">
      <c r="A34" t="s">
        <v>343</v>
      </c>
      <c r="B34" s="12">
        <f>+'PROMOBKRÉSULT    '!R72</f>
        <v>2662.6</v>
      </c>
      <c r="C34" s="46">
        <f>+(B34-D34)/ABS(D34)</f>
        <v>0.76342804159215849</v>
      </c>
      <c r="D34" s="12">
        <f>+'PROMOBKRÉSULT    '!T72</f>
        <v>1509.8999999999999</v>
      </c>
      <c r="E34" s="44" t="s">
        <v>0</v>
      </c>
      <c r="F34" s="12">
        <f>+'PROMOBKRÉSULT    '!U72</f>
        <v>5709.6</v>
      </c>
      <c r="G34" s="46">
        <f>+(F34-H34)/ABS(H34)</f>
        <v>-8.4926676817052585E-2</v>
      </c>
      <c r="H34" s="12">
        <v>6239.5</v>
      </c>
      <c r="I34" s="46">
        <f>+(H34-J34)/ABS(J34)</f>
        <v>-0.11653097345132743</v>
      </c>
      <c r="J34" s="12">
        <v>7062.5</v>
      </c>
      <c r="K34" s="46">
        <f>+(J34-L34)/ABS(L34)</f>
        <v>5.5175401900436294E-2</v>
      </c>
      <c r="L34" s="12">
        <v>6693.2</v>
      </c>
      <c r="M34" s="43"/>
      <c r="N34" s="43"/>
    </row>
    <row r="35" spans="1:14">
      <c r="A35" t="s">
        <v>344</v>
      </c>
      <c r="B35" s="12">
        <f>+'PROMOBKRÉSULT    '!R73</f>
        <v>3960.6</v>
      </c>
      <c r="C35" s="46">
        <f>+(B35-D35)/ABS(D35)</f>
        <v>-2.6189876605389301E-3</v>
      </c>
      <c r="D35" s="12">
        <f>+'PROMOBKRÉSULT    '!T73</f>
        <v>3971</v>
      </c>
      <c r="E35" s="44" t="s">
        <v>0</v>
      </c>
      <c r="F35" s="12">
        <f>+'PROMOBKRÉSULT    '!U73</f>
        <v>15385.3</v>
      </c>
      <c r="G35" s="46">
        <f>+(F35-H35)/ABS(H35)</f>
        <v>5.0822336966915176E-2</v>
      </c>
      <c r="H35" s="12">
        <v>14641.2</v>
      </c>
      <c r="I35" s="46">
        <f>+(H35-J35)/ABS(J35)</f>
        <v>0.46961636520586997</v>
      </c>
      <c r="J35" s="12">
        <v>9962.6</v>
      </c>
      <c r="K35" s="46">
        <f>+(J35-L35)/ABS(L35)</f>
        <v>0.45686125409452516</v>
      </c>
      <c r="L35" s="12">
        <v>6838.4</v>
      </c>
      <c r="M35" s="43"/>
      <c r="N35" s="43"/>
    </row>
    <row r="36" spans="1:14">
      <c r="A36" t="s">
        <v>345</v>
      </c>
      <c r="B36" s="240">
        <f>+'PROMOBKRÉSULT    '!R74</f>
        <v>11731.7</v>
      </c>
      <c r="C36" s="46">
        <f>+(B36-D36)/ABS(D36)</f>
        <v>0.46369976669037177</v>
      </c>
      <c r="D36" s="240">
        <f>+'PROMOBKRÉSULT    '!T74</f>
        <v>8015.1000000000013</v>
      </c>
      <c r="E36" s="44" t="s">
        <v>0</v>
      </c>
      <c r="F36" s="240">
        <f>+'PROMOBKRÉSULT    '!U74</f>
        <v>32430.600000000002</v>
      </c>
      <c r="G36" s="46">
        <f>+(F36-H36)/ABS(H36)</f>
        <v>3.9219142043215124E-2</v>
      </c>
      <c r="H36" s="240">
        <v>31206.7</v>
      </c>
      <c r="I36" s="46">
        <f>+(H36-J36)/ABS(J36)</f>
        <v>0.31264538001758224</v>
      </c>
      <c r="J36" s="240">
        <v>23773.9</v>
      </c>
      <c r="K36" s="46">
        <f>+(J36-L36)/ABS(L36)</f>
        <v>0.17548838796125532</v>
      </c>
      <c r="L36" s="240">
        <v>20224.7</v>
      </c>
      <c r="M36" s="43"/>
      <c r="N36" s="43"/>
    </row>
    <row r="37" spans="1:14" s="209" customFormat="1">
      <c r="B37" s="16">
        <f>SUM(B33:B36)</f>
        <v>29734.600000000002</v>
      </c>
      <c r="C37" s="46">
        <f>+(B37-D37)/ABS(D37)</f>
        <v>0.31093378008993927</v>
      </c>
      <c r="D37" s="16">
        <f>SUM(D33:D36)</f>
        <v>22682</v>
      </c>
      <c r="E37" s="44" t="s">
        <v>0</v>
      </c>
      <c r="F37" s="16">
        <f>SUM(F33:F36)</f>
        <v>92343.1</v>
      </c>
      <c r="G37" s="46">
        <f>+(F37-H37)/ABS(H37)</f>
        <v>-1.82615925018711E-2</v>
      </c>
      <c r="H37" s="16">
        <f>SUM(H33:H36)</f>
        <v>94060.800000000003</v>
      </c>
      <c r="I37" s="46">
        <f>+(H37-J37)/ABS(J37)</f>
        <v>0.32394409811122121</v>
      </c>
      <c r="J37" s="16">
        <f>SUM(J33:J36)</f>
        <v>71045.899999999994</v>
      </c>
      <c r="K37" s="46">
        <f>+(J37-L37)/ABS(L37)</f>
        <v>0.22703007044819834</v>
      </c>
      <c r="L37" s="16">
        <f>SUM(L33:L36)</f>
        <v>57900.7</v>
      </c>
      <c r="M37" s="44"/>
      <c r="N37" s="44"/>
    </row>
    <row r="38" spans="1:14">
      <c r="B38" s="249"/>
      <c r="C38" s="112"/>
      <c r="D38" s="249"/>
      <c r="E38" s="42"/>
      <c r="F38" s="249"/>
      <c r="G38" s="112"/>
      <c r="H38" s="249"/>
      <c r="I38" s="112"/>
      <c r="J38" s="249"/>
      <c r="K38" s="112"/>
      <c r="L38" s="249"/>
      <c r="M38" s="43"/>
      <c r="N38" s="43"/>
    </row>
    <row r="39" spans="1:14" s="209" customFormat="1">
      <c r="A39" s="209" t="s">
        <v>346</v>
      </c>
      <c r="B39" s="16">
        <f>+B30-B37</f>
        <v>12433.7</v>
      </c>
      <c r="C39" s="46">
        <f>+(B39-D39)/ABS(D39)</f>
        <v>37.698101462806996</v>
      </c>
      <c r="D39" s="16">
        <f>+D30-D37</f>
        <v>321.30000000000291</v>
      </c>
      <c r="E39" s="44" t="s">
        <v>0</v>
      </c>
      <c r="F39" s="16">
        <f>+F30-F37</f>
        <v>10323.800000000003</v>
      </c>
      <c r="G39" s="46">
        <f>+(F39-H39)/ABS(H39)</f>
        <v>-0.25609246422343596</v>
      </c>
      <c r="H39" s="16">
        <f>+H30-H37</f>
        <v>13877.800000000003</v>
      </c>
      <c r="I39" s="46">
        <f>+(H39-J39)/ABS(J39)</f>
        <v>-0.42341601229797654</v>
      </c>
      <c r="J39" s="16">
        <f>+J30-J37</f>
        <v>24069</v>
      </c>
      <c r="K39" s="46">
        <f>+(J39-L39)/ABS(L39)</f>
        <v>0.41835153243722539</v>
      </c>
      <c r="L39" s="16">
        <f>+L30-L37</f>
        <v>16969.700000000012</v>
      </c>
      <c r="M39" s="44"/>
      <c r="N39" s="44"/>
    </row>
    <row r="40" spans="1:14">
      <c r="B40" s="12"/>
      <c r="C40" s="46"/>
      <c r="D40" s="12"/>
      <c r="E40" s="44" t="s">
        <v>0</v>
      </c>
      <c r="F40" s="12"/>
      <c r="G40" s="46"/>
      <c r="H40" s="12"/>
      <c r="I40" s="46"/>
      <c r="J40" s="12"/>
      <c r="K40" s="46"/>
      <c r="L40" s="12"/>
      <c r="M40" s="43"/>
      <c r="N40" s="43"/>
    </row>
    <row r="41" spans="1:14">
      <c r="A41" t="s">
        <v>347</v>
      </c>
      <c r="B41" s="12">
        <f>+'PROMOBKRÉSULT    '!R79</f>
        <v>3584.5</v>
      </c>
      <c r="C41" s="46">
        <f>+(B41-D41)/ABS(D41)</f>
        <v>16.605137135393989</v>
      </c>
      <c r="D41" s="12">
        <f>+'PROMOBKRÉSULT    '!T79</f>
        <v>-229.70000000000005</v>
      </c>
      <c r="E41" s="44" t="s">
        <v>0</v>
      </c>
      <c r="F41" s="12">
        <f>+'PROMOBKRÉSULT    '!U79</f>
        <v>3270.3</v>
      </c>
      <c r="G41" s="46">
        <f>+(F41-H41)/ABS(H41)</f>
        <v>-0.14302560205445344</v>
      </c>
      <c r="H41" s="12">
        <v>3816.1</v>
      </c>
      <c r="I41" s="46">
        <f>+(H41-J41)/ABS(J41)</f>
        <v>-0.55544035414725068</v>
      </c>
      <c r="J41" s="12">
        <v>8584</v>
      </c>
      <c r="K41" s="46">
        <f>+(J41-L41)/ABS(L41)</f>
        <v>0.48114916745751013</v>
      </c>
      <c r="L41" s="12">
        <v>5795.5</v>
      </c>
      <c r="M41" s="43"/>
      <c r="N41" s="43"/>
    </row>
    <row r="42" spans="1:14" ht="16.5" thickBot="1">
      <c r="B42" s="76"/>
      <c r="C42" s="46"/>
      <c r="D42" s="76"/>
      <c r="E42" s="44" t="s">
        <v>0</v>
      </c>
      <c r="F42" s="76"/>
      <c r="G42" s="46"/>
      <c r="H42" s="76"/>
      <c r="I42" s="46"/>
      <c r="J42" s="76"/>
      <c r="K42" s="46"/>
      <c r="L42" s="76"/>
      <c r="M42" s="43"/>
      <c r="N42" s="43"/>
    </row>
    <row r="43" spans="1:14">
      <c r="A43" s="2" t="s">
        <v>427</v>
      </c>
      <c r="B43" s="4">
        <f>+B39-B41</f>
        <v>8849.2000000000007</v>
      </c>
      <c r="C43" s="112">
        <f>+(B43-D43)/ABS(D43)</f>
        <v>15.060254083484487</v>
      </c>
      <c r="D43" s="4">
        <f>+D39-D41</f>
        <v>551.00000000000296</v>
      </c>
      <c r="E43" s="42" t="s">
        <v>0</v>
      </c>
      <c r="F43" s="4">
        <f>+F39-F41</f>
        <v>7053.5000000000027</v>
      </c>
      <c r="G43" s="112">
        <f>+(F43-H43)/ABS(H43)</f>
        <v>-0.29897532226164553</v>
      </c>
      <c r="H43" s="4">
        <f>+H39-H41</f>
        <v>10061.700000000003</v>
      </c>
      <c r="I43" s="112">
        <f>+(H43-J43)/ABS(J43)</f>
        <v>-0.35022925411688716</v>
      </c>
      <c r="J43" s="4">
        <f>+J39-J41</f>
        <v>15485</v>
      </c>
      <c r="K43" s="112">
        <f>+(J43-L43)/ABS(L43)</f>
        <v>0.38578153245869806</v>
      </c>
      <c r="L43" s="4">
        <f>+L39-L41</f>
        <v>11174.200000000012</v>
      </c>
      <c r="M43" s="43"/>
      <c r="N43" s="43"/>
    </row>
    <row r="44" spans="1:14">
      <c r="E44" t="s">
        <v>0</v>
      </c>
    </row>
    <row r="45" spans="1:14">
      <c r="E45" t="s">
        <v>0</v>
      </c>
    </row>
  </sheetData>
  <pageMargins left="0.43" right="0.3" top="0.7" bottom="0.75" header="0.5" footer="0.5"/>
  <pageSetup scale="62" orientation="landscape" r:id="rId1"/>
  <headerFooter alignWithMargins="0">
    <oddFooter>&amp;R&amp;P</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4"/>
  <sheetViews>
    <sheetView workbookViewId="0"/>
  </sheetViews>
  <sheetFormatPr defaultRowHeight="15.75"/>
  <cols>
    <col min="1" max="1" width="33.5" customWidth="1"/>
    <col min="2" max="2" width="14.875" customWidth="1"/>
    <col min="3" max="3" width="12.75" customWidth="1"/>
    <col min="4" max="4" width="13.875" customWidth="1"/>
    <col min="5" max="5" width="14.625" customWidth="1"/>
    <col min="6" max="6" width="14.75" customWidth="1"/>
    <col min="7" max="7" width="11" customWidth="1"/>
    <col min="8" max="8" width="14.75" customWidth="1"/>
    <col min="9" max="9" width="12.75" customWidth="1"/>
    <col min="10" max="10" width="13.75" customWidth="1"/>
    <col min="11" max="11" width="13.25" customWidth="1"/>
    <col min="12" max="12" width="14.5" customWidth="1"/>
    <col min="13" max="13" width="11" customWidth="1"/>
    <col min="14" max="14" width="14.25" customWidth="1"/>
    <col min="15" max="15" width="13.625" customWidth="1"/>
    <col min="16" max="16" width="15" customWidth="1"/>
    <col min="17" max="17" width="11" customWidth="1"/>
    <col min="18" max="18" width="15.875" customWidth="1"/>
    <col min="19" max="19" width="11" customWidth="1"/>
    <col min="20" max="20" width="15.875" customWidth="1"/>
    <col min="21" max="256" width="11" customWidth="1"/>
  </cols>
  <sheetData>
    <row r="1" spans="1:27">
      <c r="A1" s="114" t="s">
        <v>636</v>
      </c>
      <c r="B1" s="34"/>
      <c r="C1" s="34"/>
      <c r="D1" s="34"/>
      <c r="E1" s="34"/>
      <c r="F1" s="34"/>
      <c r="G1" s="34"/>
      <c r="H1" s="34"/>
      <c r="I1" s="34"/>
      <c r="J1" s="34"/>
      <c r="K1" s="34"/>
      <c r="L1" s="34"/>
      <c r="M1" s="34"/>
      <c r="N1" s="34"/>
      <c r="O1" s="34"/>
      <c r="P1" s="34"/>
      <c r="Q1" s="34"/>
      <c r="R1" s="34"/>
      <c r="S1" s="34"/>
      <c r="T1" s="34"/>
    </row>
    <row r="2" spans="1:27">
      <c r="A2" s="409" t="s">
        <v>165</v>
      </c>
      <c r="B2" s="34"/>
      <c r="C2" s="34"/>
      <c r="D2" s="34"/>
      <c r="E2" s="34"/>
      <c r="F2" s="34"/>
      <c r="G2" s="34"/>
      <c r="H2" s="34"/>
      <c r="I2" s="34"/>
      <c r="J2" s="34"/>
      <c r="K2" s="34"/>
      <c r="L2" s="34"/>
      <c r="M2" s="34"/>
      <c r="N2" s="34"/>
      <c r="O2" s="34"/>
      <c r="P2" s="34"/>
      <c r="Q2" s="34"/>
      <c r="R2" s="34"/>
      <c r="S2" s="34"/>
      <c r="T2" s="34"/>
    </row>
    <row r="4" spans="1:27" ht="16.5" thickBot="1">
      <c r="I4" s="18" t="s">
        <v>166</v>
      </c>
      <c r="J4" s="175" t="s">
        <v>167</v>
      </c>
      <c r="K4" s="176"/>
      <c r="L4" s="176"/>
      <c r="M4" s="176"/>
      <c r="N4" s="176"/>
      <c r="O4" s="176"/>
      <c r="P4" s="176"/>
    </row>
    <row r="5" spans="1:27" ht="16.5" thickBot="1">
      <c r="B5" s="174" t="s">
        <v>168</v>
      </c>
      <c r="C5" s="174" t="s">
        <v>169</v>
      </c>
      <c r="D5" s="173" t="s">
        <v>170</v>
      </c>
      <c r="E5" s="174" t="s">
        <v>169</v>
      </c>
      <c r="F5" s="173" t="s">
        <v>171</v>
      </c>
      <c r="G5" s="174" t="s">
        <v>169</v>
      </c>
      <c r="H5" s="174" t="s">
        <v>172</v>
      </c>
      <c r="I5" s="173" t="s">
        <v>173</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+scotiavar!B22</f>
        <v>957538</v>
      </c>
      <c r="C11" s="43">
        <v>0</v>
      </c>
      <c r="D11" s="43">
        <f>+scotiavar!D22</f>
        <v>0</v>
      </c>
      <c r="E11" s="43">
        <v>0</v>
      </c>
      <c r="F11" s="43">
        <f>+scotiavar!F22</f>
        <v>0</v>
      </c>
      <c r="G11" s="43">
        <v>0</v>
      </c>
      <c r="H11" s="43">
        <f>+scotiavar!H22</f>
        <v>0</v>
      </c>
      <c r="I11" s="46">
        <f>+(-J11+B11)/ABS(J11)</f>
        <v>4.057596174744621E-2</v>
      </c>
      <c r="J11" s="12">
        <f>+scotiavar!J22</f>
        <v>920200</v>
      </c>
      <c r="K11" s="46">
        <f>+(-L11+J11)/ABS(L11)</f>
        <v>0.21665342301117094</v>
      </c>
      <c r="L11" s="12">
        <f>+scotiavar!L22</f>
        <v>756337</v>
      </c>
      <c r="M11" s="46">
        <f>+(-N11+L11)/ABS(N11)</f>
        <v>4.0987693878430403E-2</v>
      </c>
      <c r="N11" s="12">
        <f>+scotiavar!N22</f>
        <v>726557.09999999986</v>
      </c>
      <c r="O11" s="46">
        <f>+(-P11+N11)/ABS(P11)</f>
        <v>-8.0970054332620608E-3</v>
      </c>
      <c r="P11" s="12">
        <f>+scotiavar!P22</f>
        <v>732488.05980000005</v>
      </c>
      <c r="Q11" s="43"/>
      <c r="R11" s="43"/>
      <c r="S11" s="43"/>
      <c r="T11" s="43"/>
      <c r="U11" s="43"/>
      <c r="V11" s="43"/>
      <c r="W11" s="43"/>
      <c r="X11" s="43"/>
      <c r="Y11" s="43"/>
      <c r="Z11" s="43"/>
      <c r="AA11" s="43"/>
    </row>
    <row r="12" spans="1:27">
      <c r="A12" t="s">
        <v>181</v>
      </c>
      <c r="B12" s="12">
        <f>+scotiavar!B17</f>
        <v>25000</v>
      </c>
      <c r="C12" s="43">
        <v>0</v>
      </c>
      <c r="D12" s="12">
        <f>+scotiavar!D17</f>
        <v>0</v>
      </c>
      <c r="E12" s="43">
        <v>0</v>
      </c>
      <c r="F12" s="12">
        <f>+scotiavar!F17</f>
        <v>0</v>
      </c>
      <c r="G12" s="43">
        <v>0</v>
      </c>
      <c r="H12" s="12">
        <f>+scotiavar!H17</f>
        <v>0</v>
      </c>
      <c r="I12" s="46">
        <f>+(-J12+B12)/ABS(J12)</f>
        <v>-0.5</v>
      </c>
      <c r="J12" s="12">
        <f>+scotiavar!J17</f>
        <v>50000</v>
      </c>
      <c r="K12" s="43">
        <v>0</v>
      </c>
      <c r="L12" s="12">
        <v>0</v>
      </c>
      <c r="M12" s="43">
        <v>0</v>
      </c>
      <c r="N12" s="12">
        <v>0</v>
      </c>
      <c r="O12" s="43">
        <v>0</v>
      </c>
      <c r="P12" s="12">
        <v>0</v>
      </c>
      <c r="Q12" s="43"/>
      <c r="R12" s="43"/>
      <c r="S12" s="43"/>
      <c r="T12" s="43"/>
      <c r="U12" s="43"/>
      <c r="V12" s="43"/>
      <c r="W12" s="43"/>
      <c r="X12" s="43"/>
      <c r="Y12" s="43"/>
      <c r="Z12" s="43"/>
      <c r="AA12" s="43"/>
    </row>
    <row r="13" spans="1:27">
      <c r="A13" t="s">
        <v>182</v>
      </c>
      <c r="B13" s="12">
        <f>+scotiavar!B19</f>
        <v>494790</v>
      </c>
      <c r="C13" s="43">
        <v>0</v>
      </c>
      <c r="D13" s="43">
        <f>+scotiavar!D19</f>
        <v>0</v>
      </c>
      <c r="E13" s="43">
        <v>0</v>
      </c>
      <c r="F13" s="43">
        <f>+scotiavar!F19</f>
        <v>0</v>
      </c>
      <c r="G13" s="43">
        <v>0</v>
      </c>
      <c r="H13" s="43">
        <f>+scotiavar!H19</f>
        <v>0</v>
      </c>
      <c r="I13" s="46">
        <f>+(-J13+B13)/ABS(J13)</f>
        <v>2.2242698709154917E-2</v>
      </c>
      <c r="J13" s="12">
        <f>+scotiavar!J19</f>
        <v>484024</v>
      </c>
      <c r="K13" s="46">
        <f>+(-L13+J13)/ABS(L13)</f>
        <v>0.10673520158044926</v>
      </c>
      <c r="L13" s="12">
        <f>+scotiavar!L19</f>
        <v>437344</v>
      </c>
      <c r="M13" s="46">
        <f>+(-N13+L13)/ABS(N13)</f>
        <v>0.18067282131357629</v>
      </c>
      <c r="N13" s="12">
        <f>+scotiavar!N19</f>
        <v>370419.3</v>
      </c>
      <c r="O13" s="46">
        <f>+(-P13+N13)/ABS(P13)</f>
        <v>0.11784518426886581</v>
      </c>
      <c r="P13" s="12">
        <f>+scotiavar!P19</f>
        <v>331369.05289999995</v>
      </c>
      <c r="Q13" s="43"/>
      <c r="R13" s="43"/>
      <c r="S13" s="43"/>
      <c r="T13" s="43"/>
      <c r="U13" s="43"/>
      <c r="V13" s="43"/>
      <c r="W13" s="43"/>
      <c r="X13" s="43"/>
      <c r="Y13" s="43"/>
      <c r="Z13" s="43"/>
      <c r="AA13" s="43"/>
    </row>
    <row r="14" spans="1:27">
      <c r="A14" t="s">
        <v>183</v>
      </c>
      <c r="B14" s="12">
        <f>+scotiavar!B29</f>
        <v>888788</v>
      </c>
      <c r="C14" s="43">
        <v>0</v>
      </c>
      <c r="D14" s="43">
        <f>+scotiavar!D29</f>
        <v>0</v>
      </c>
      <c r="E14" s="43">
        <v>0</v>
      </c>
      <c r="F14" s="43">
        <f>+scotiavar!F29</f>
        <v>0</v>
      </c>
      <c r="G14" s="43">
        <v>0</v>
      </c>
      <c r="H14" s="43">
        <f>+scotiavar!H29</f>
        <v>0</v>
      </c>
      <c r="I14" s="46">
        <f>+(-J14+B14)/ABS(J14)</f>
        <v>5.7655769594191645E-3</v>
      </c>
      <c r="J14" s="12">
        <f>+scotiavar!J29</f>
        <v>883693</v>
      </c>
      <c r="K14" s="46">
        <f>+(-L14+J14)/ABS(L14)</f>
        <v>0.25391523482895278</v>
      </c>
      <c r="L14" s="12">
        <f>+scotiavar!L29</f>
        <v>704747</v>
      </c>
      <c r="M14" s="46">
        <f>+(-N14+L14)/ABS(N14)</f>
        <v>3.5116561450787877E-2</v>
      </c>
      <c r="N14" s="12">
        <f>+scotiavar!N29</f>
        <v>680838.3</v>
      </c>
      <c r="O14" s="46">
        <f>+(-P14+N14)/ABS(P14)</f>
        <v>-8.7586361671566448E-4</v>
      </c>
      <c r="P14" s="12">
        <f>+scotiavar!P29</f>
        <v>681435.14425000001</v>
      </c>
      <c r="Q14" s="43"/>
      <c r="R14" s="43"/>
      <c r="S14" s="43"/>
      <c r="T14" s="43"/>
      <c r="U14" s="43"/>
      <c r="V14" s="43"/>
      <c r="W14" s="43"/>
      <c r="X14" s="43"/>
      <c r="Y14" s="43"/>
      <c r="Z14" s="43"/>
      <c r="AA14" s="43"/>
    </row>
    <row r="15" spans="1:27">
      <c r="A15" t="s">
        <v>184</v>
      </c>
      <c r="B15" s="12">
        <f>+scotiavar!B51</f>
        <v>41911</v>
      </c>
      <c r="C15" s="43">
        <v>0</v>
      </c>
      <c r="D15" s="43">
        <f>+scotiavar!D51</f>
        <v>0</v>
      </c>
      <c r="E15" s="43">
        <v>0</v>
      </c>
      <c r="F15" s="43">
        <f>+scotiavar!F51</f>
        <v>0</v>
      </c>
      <c r="G15" s="43">
        <v>0</v>
      </c>
      <c r="H15" s="43">
        <f>+scotiavar!H51</f>
        <v>0</v>
      </c>
      <c r="I15" s="46">
        <f>+(-J15+B15)/ABS(J15)</f>
        <v>8.1863854595336072</v>
      </c>
      <c r="J15" s="12">
        <f>+scotiavar!J51</f>
        <v>-5832</v>
      </c>
      <c r="K15" s="46">
        <f>+(-L15+J15)/ABS(L15)</f>
        <v>-1.4016805565121564</v>
      </c>
      <c r="L15" s="12">
        <f>+scotiavar!L51</f>
        <v>14519</v>
      </c>
      <c r="M15" s="46">
        <f>+(-N15+L15)/ABS(N15)</f>
        <v>0.22806127195987372</v>
      </c>
      <c r="N15" s="12">
        <f>+scotiavar!N51</f>
        <v>11822.7</v>
      </c>
      <c r="O15" s="46">
        <f>+(-P15+N15)/ABS(P15)</f>
        <v>0.28399296213251429</v>
      </c>
      <c r="P15" s="12">
        <f>+scotiavar!P51</f>
        <v>9207.7607499999995</v>
      </c>
      <c r="Q15" s="43"/>
      <c r="R15" s="43"/>
      <c r="S15" s="43"/>
      <c r="T15" s="43"/>
      <c r="U15" s="43"/>
      <c r="V15" s="43"/>
      <c r="W15" s="43"/>
      <c r="X15" s="43"/>
      <c r="Y15" s="43"/>
      <c r="Z15" s="43"/>
      <c r="AA15" s="43"/>
    </row>
    <row r="16" spans="1:27">
      <c r="B16" s="12"/>
      <c r="C16" s="46"/>
      <c r="D16" s="43"/>
      <c r="E16" s="46"/>
      <c r="F16" s="43"/>
      <c r="G16" s="46"/>
      <c r="H16" s="43"/>
      <c r="I16" s="46"/>
      <c r="J16" s="12"/>
      <c r="K16" s="46"/>
      <c r="L16" s="12"/>
      <c r="M16" s="46"/>
      <c r="N16" s="12"/>
      <c r="O16" s="46"/>
      <c r="P16" s="43"/>
      <c r="Q16" s="43"/>
      <c r="R16" s="43"/>
      <c r="S16" s="43"/>
      <c r="T16" s="43"/>
      <c r="U16" s="43"/>
      <c r="V16" s="43"/>
      <c r="W16" s="43"/>
      <c r="X16" s="43"/>
      <c r="Y16" s="43"/>
      <c r="Z16" s="43"/>
      <c r="AA16" s="43"/>
    </row>
    <row r="17" spans="1:27" ht="16.5" thickBot="1">
      <c r="B17" s="76"/>
      <c r="C17" s="361"/>
      <c r="D17" s="187"/>
      <c r="E17" s="361"/>
      <c r="F17" s="187"/>
      <c r="G17" s="361"/>
      <c r="H17" s="187"/>
      <c r="I17" s="361"/>
      <c r="J17" s="76"/>
      <c r="K17" s="361"/>
      <c r="L17" s="76"/>
      <c r="M17" s="361"/>
      <c r="N17" s="76"/>
      <c r="O17" s="361"/>
      <c r="P17" s="187"/>
      <c r="Q17" s="43"/>
      <c r="R17" s="43"/>
      <c r="S17" s="43"/>
      <c r="T17" s="43"/>
      <c r="U17" s="43"/>
      <c r="V17" s="43"/>
      <c r="W17" s="43"/>
      <c r="X17" s="43"/>
      <c r="Y17" s="43"/>
      <c r="Z17" s="43"/>
      <c r="AA17" s="43"/>
    </row>
    <row r="18" spans="1:27">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row>
    <row r="19" spans="1:27">
      <c r="B19" s="51" t="s">
        <v>185</v>
      </c>
      <c r="C19" s="43"/>
      <c r="D19" s="51" t="s">
        <v>174</v>
      </c>
      <c r="E19" s="43"/>
      <c r="F19" s="51" t="s">
        <v>185</v>
      </c>
      <c r="G19" s="43"/>
      <c r="H19" s="51" t="s">
        <v>174</v>
      </c>
      <c r="I19" s="43"/>
      <c r="J19" s="51" t="s">
        <v>185</v>
      </c>
      <c r="K19" s="43"/>
      <c r="L19" s="51" t="s">
        <v>174</v>
      </c>
      <c r="M19" s="43"/>
      <c r="N19" s="51" t="s">
        <v>185</v>
      </c>
      <c r="O19" s="43"/>
      <c r="P19" s="51" t="s">
        <v>174</v>
      </c>
      <c r="Q19" s="43"/>
      <c r="R19" s="51" t="s">
        <v>185</v>
      </c>
      <c r="S19" s="43"/>
      <c r="T19" s="51" t="s">
        <v>174</v>
      </c>
      <c r="U19" s="43"/>
      <c r="V19" s="43"/>
      <c r="W19" s="43"/>
      <c r="X19" s="43"/>
      <c r="Y19" s="43"/>
      <c r="Z19" s="43"/>
      <c r="AA19" s="43"/>
    </row>
    <row r="20" spans="1:27">
      <c r="B20" s="50" t="s">
        <v>186</v>
      </c>
      <c r="C20" s="50" t="s">
        <v>169</v>
      </c>
      <c r="D20" s="50" t="s">
        <v>186</v>
      </c>
      <c r="E20" s="43"/>
      <c r="F20" s="50" t="s">
        <v>187</v>
      </c>
      <c r="G20" s="50" t="s">
        <v>169</v>
      </c>
      <c r="H20" s="50" t="s">
        <v>187</v>
      </c>
      <c r="I20" s="43"/>
      <c r="J20" s="50" t="s">
        <v>188</v>
      </c>
      <c r="K20" s="50" t="s">
        <v>169</v>
      </c>
      <c r="L20" s="50" t="s">
        <v>188</v>
      </c>
      <c r="M20" s="43"/>
      <c r="N20" s="50" t="s">
        <v>189</v>
      </c>
      <c r="O20" s="50" t="s">
        <v>169</v>
      </c>
      <c r="P20" s="50" t="s">
        <v>189</v>
      </c>
      <c r="Q20" s="43"/>
      <c r="R20" s="50" t="s">
        <v>190</v>
      </c>
      <c r="S20" s="50" t="s">
        <v>169</v>
      </c>
      <c r="T20" s="50" t="s">
        <v>190</v>
      </c>
      <c r="U20" s="43"/>
      <c r="V20" s="43"/>
      <c r="W20" s="43"/>
      <c r="X20" s="43"/>
      <c r="Y20" s="43"/>
      <c r="Z20" s="43"/>
      <c r="AA20" s="43"/>
    </row>
    <row r="21" spans="1:27" ht="16.5" thickBot="1">
      <c r="B21" s="326" t="s">
        <v>191</v>
      </c>
      <c r="C21" s="326"/>
      <c r="D21" s="326" t="s">
        <v>192</v>
      </c>
      <c r="E21" s="208"/>
      <c r="F21" s="326" t="s">
        <v>193</v>
      </c>
      <c r="G21" s="326"/>
      <c r="H21" s="326" t="s">
        <v>194</v>
      </c>
      <c r="I21" s="208"/>
      <c r="J21" s="326" t="s">
        <v>195</v>
      </c>
      <c r="K21" s="326"/>
      <c r="L21" s="326" t="s">
        <v>196</v>
      </c>
      <c r="M21" s="208"/>
      <c r="N21" s="326" t="s">
        <v>197</v>
      </c>
      <c r="O21" s="326"/>
      <c r="P21" s="326" t="s">
        <v>198</v>
      </c>
      <c r="Q21" s="208"/>
      <c r="R21" s="326" t="s">
        <v>199</v>
      </c>
      <c r="S21" s="326"/>
      <c r="T21" s="326" t="s">
        <v>200</v>
      </c>
      <c r="U21" s="43"/>
      <c r="V21" s="43"/>
      <c r="W21" s="43"/>
      <c r="X21" s="43"/>
      <c r="Y21" s="43"/>
      <c r="Z21" s="43"/>
      <c r="AA21" s="43"/>
    </row>
    <row r="22" spans="1:27">
      <c r="A22" s="2" t="s">
        <v>52</v>
      </c>
      <c r="B22" s="43"/>
      <c r="C22" s="43"/>
      <c r="D22" s="43"/>
      <c r="E22" s="43"/>
      <c r="F22" s="43"/>
      <c r="G22" s="43"/>
      <c r="H22" s="43"/>
      <c r="I22" s="43"/>
      <c r="J22" s="43"/>
      <c r="K22" s="43"/>
      <c r="L22" s="43"/>
      <c r="M22" s="43"/>
      <c r="N22" s="43"/>
      <c r="O22" s="43"/>
      <c r="P22" s="43"/>
      <c r="Q22" s="43"/>
      <c r="R22" s="43"/>
      <c r="S22" s="47" t="s">
        <v>0</v>
      </c>
      <c r="T22" s="43"/>
      <c r="U22" s="43"/>
      <c r="V22" s="43"/>
      <c r="W22" s="43"/>
      <c r="X22" s="43"/>
      <c r="Y22" s="43"/>
      <c r="Z22" s="43"/>
      <c r="AA22" s="43"/>
    </row>
    <row r="23" spans="1:27">
      <c r="A23" t="s">
        <v>201</v>
      </c>
      <c r="B23" s="12">
        <f>+'SCOTIARÉSULT         '!B15</f>
        <v>17785</v>
      </c>
      <c r="C23" s="46">
        <f>+(-D23+B23)/ABS(D23)</f>
        <v>0.1346092503987241</v>
      </c>
      <c r="D23" s="12">
        <f>+'SCOTIARÉSULT         '!D55</f>
        <v>15675</v>
      </c>
      <c r="E23" s="43"/>
      <c r="F23" s="43">
        <f>+'SCOTIARÉSULT         '!D15</f>
        <v>0</v>
      </c>
      <c r="G23" s="43">
        <v>0</v>
      </c>
      <c r="H23" s="12">
        <f>+'SCOTIARÉSULT         '!H55</f>
        <v>15386</v>
      </c>
      <c r="I23" s="43"/>
      <c r="J23" s="43">
        <f>+'SCOTIARÉSULT         '!F15</f>
        <v>0</v>
      </c>
      <c r="K23" s="43">
        <v>0</v>
      </c>
      <c r="L23" s="12">
        <f>+'SCOTIARÉSULT         '!L55</f>
        <v>14732</v>
      </c>
      <c r="M23" s="43"/>
      <c r="N23" s="43">
        <f>+'SCOTIARÉSULT         '!H15</f>
        <v>0</v>
      </c>
      <c r="O23" s="43">
        <v>0</v>
      </c>
      <c r="P23" s="12">
        <f>+'SCOTIARÉSULT         '!P55</f>
        <v>15104</v>
      </c>
      <c r="Q23" s="43"/>
      <c r="R23" s="12">
        <f>+'SCOTIARÉSULT         '!R55</f>
        <v>17785</v>
      </c>
      <c r="S23" s="46">
        <f>+(-T23+R23)/ABS(T23)</f>
        <v>0.1346092503987241</v>
      </c>
      <c r="T23" s="12">
        <f>+'SCOTIARÉSULT         '!T55</f>
        <v>15675</v>
      </c>
      <c r="U23" s="43"/>
      <c r="V23" s="43"/>
      <c r="W23" s="43"/>
      <c r="X23" s="43"/>
      <c r="Y23" s="43"/>
      <c r="Z23" s="43"/>
      <c r="AA23" s="43"/>
    </row>
    <row r="24" spans="1:27">
      <c r="A24" t="s">
        <v>202</v>
      </c>
      <c r="B24" s="12">
        <f>+'SCOTIARÉSULT         '!B21</f>
        <v>3791</v>
      </c>
      <c r="C24" s="46">
        <f>+(-D24+B24)/ABS(D24)</f>
        <v>0.12259401835949067</v>
      </c>
      <c r="D24" s="12">
        <f>+'SCOTIARÉSULT         '!D61</f>
        <v>3377</v>
      </c>
      <c r="E24" s="43"/>
      <c r="F24" s="43">
        <f>+'SCOTIARÉSULT         '!D21</f>
        <v>0</v>
      </c>
      <c r="G24" s="43">
        <v>0</v>
      </c>
      <c r="H24" s="12">
        <f>+'SCOTIARÉSULT         '!H61</f>
        <v>3337</v>
      </c>
      <c r="I24" s="43"/>
      <c r="J24" s="43">
        <f>+'SCOTIARÉSULT         '!F21</f>
        <v>0</v>
      </c>
      <c r="K24" s="43">
        <v>0</v>
      </c>
      <c r="L24" s="12">
        <f>+'SCOTIARÉSULT         '!L61</f>
        <v>3548</v>
      </c>
      <c r="M24" s="43"/>
      <c r="N24" s="43">
        <f>+'SCOTIARÉSULT         '!H21</f>
        <v>0</v>
      </c>
      <c r="O24" s="43">
        <v>0</v>
      </c>
      <c r="P24" s="12">
        <f>+'SCOTIARÉSULT         '!P61</f>
        <v>3468</v>
      </c>
      <c r="Q24" s="43"/>
      <c r="R24" s="12">
        <f>+'SCOTIARÉSULT         '!R61</f>
        <v>3791</v>
      </c>
      <c r="S24" s="46">
        <f>+(-T24+R24)/ABS(T24)</f>
        <v>0.12259401835949067</v>
      </c>
      <c r="T24" s="12">
        <f>+'SCOTIARÉSULT         '!T61</f>
        <v>3377</v>
      </c>
      <c r="U24" s="43"/>
      <c r="V24" s="43"/>
      <c r="W24" s="43"/>
      <c r="X24" s="43"/>
      <c r="Y24" s="43"/>
      <c r="Z24" s="43"/>
      <c r="AA24" s="43"/>
    </row>
    <row r="25" spans="1:27">
      <c r="A25" t="s">
        <v>447</v>
      </c>
      <c r="B25" s="12">
        <f>+'SCOTIARÉSULT         '!B25</f>
        <v>838</v>
      </c>
      <c r="C25" s="46">
        <f>+(-D25+B25)/ABS(D25)</f>
        <v>0.67600000000000005</v>
      </c>
      <c r="D25" s="12">
        <f>+'SCOTIARÉSULT         '!D65</f>
        <v>500</v>
      </c>
      <c r="E25" s="43"/>
      <c r="F25" s="43">
        <f>+'SCOTIARÉSULT         '!D25</f>
        <v>0</v>
      </c>
      <c r="G25" s="43">
        <v>0</v>
      </c>
      <c r="H25" s="12">
        <f>+'SCOTIARÉSULT         '!H65</f>
        <v>0</v>
      </c>
      <c r="I25" s="43"/>
      <c r="J25" s="43">
        <f>+'SCOTIARÉSULT         '!F25</f>
        <v>0</v>
      </c>
      <c r="K25" s="43">
        <v>0</v>
      </c>
      <c r="L25" s="12">
        <f>+'SCOTIARÉSULT         '!L65</f>
        <v>0</v>
      </c>
      <c r="M25" s="43"/>
      <c r="N25" s="43">
        <f>+'SCOTIARÉSULT         '!H25</f>
        <v>0</v>
      </c>
      <c r="O25" s="43">
        <v>0</v>
      </c>
      <c r="P25" s="12">
        <f>+'SCOTIARÉSULT         '!P65</f>
        <v>18060</v>
      </c>
      <c r="Q25" s="43"/>
      <c r="R25" s="12">
        <f>+'SCOTIARÉSULT         '!R65</f>
        <v>838</v>
      </c>
      <c r="S25" s="46">
        <f>+(-T25+R25)/ABS(T25)</f>
        <v>0.67600000000000005</v>
      </c>
      <c r="T25" s="12">
        <f>+'SCOTIARÉSULT         '!T65</f>
        <v>500</v>
      </c>
      <c r="U25" s="43"/>
      <c r="V25" s="43"/>
      <c r="W25" s="43"/>
      <c r="X25" s="43"/>
      <c r="Y25" s="43"/>
      <c r="Z25" s="43"/>
      <c r="AA25" s="43"/>
    </row>
    <row r="26" spans="1:27">
      <c r="A26" t="s">
        <v>204</v>
      </c>
      <c r="B26" s="12">
        <f>+'SCOTIARÉSULT         '!B35</f>
        <v>18546</v>
      </c>
      <c r="C26" s="46">
        <f>+(-D26+B26)/ABS(D26)</f>
        <v>0.11709432598482111</v>
      </c>
      <c r="D26" s="12">
        <f>+'SCOTIARÉSULT         '!D75</f>
        <v>16602</v>
      </c>
      <c r="E26" s="43"/>
      <c r="F26" s="43">
        <f>+'SCOTIARÉSULT         '!D35</f>
        <v>0</v>
      </c>
      <c r="G26" s="43">
        <v>0</v>
      </c>
      <c r="H26" s="12">
        <f>+'SCOTIARÉSULT         '!H75</f>
        <v>9683</v>
      </c>
      <c r="I26" s="43"/>
      <c r="J26" s="43">
        <f>+'SCOTIARÉSULT         '!F35</f>
        <v>0</v>
      </c>
      <c r="K26" s="43">
        <v>0</v>
      </c>
      <c r="L26" s="12">
        <f>+'SCOTIARÉSULT         '!L75</f>
        <v>14778</v>
      </c>
      <c r="M26" s="43"/>
      <c r="N26" s="43">
        <f>+'SCOTIARÉSULT         '!H35</f>
        <v>0</v>
      </c>
      <c r="O26" s="43">
        <v>0</v>
      </c>
      <c r="P26" s="12">
        <f>+'SCOTIARÉSULT         '!P75</f>
        <v>12277</v>
      </c>
      <c r="Q26" s="43"/>
      <c r="R26" s="12">
        <f>+'SCOTIARÉSULT         '!R75</f>
        <v>18546</v>
      </c>
      <c r="S26" s="46">
        <f>+(-T26+R26)/ABS(T26)</f>
        <v>0.11709432598482111</v>
      </c>
      <c r="T26" s="12">
        <f>+'SCOTIARÉSULT         '!T75</f>
        <v>16602</v>
      </c>
      <c r="U26" s="43"/>
      <c r="V26" s="43"/>
      <c r="W26" s="43"/>
      <c r="X26" s="43"/>
      <c r="Y26" s="43"/>
      <c r="Z26" s="43"/>
      <c r="AA26" s="43"/>
    </row>
    <row r="27" spans="1:27">
      <c r="A27" t="s">
        <v>448</v>
      </c>
      <c r="B27" s="12">
        <f>+'SCOTIARÉSULT         '!B41</f>
        <v>1241</v>
      </c>
      <c r="C27" s="46">
        <f>+(-D27+B27)/ABS(D27)</f>
        <v>-4.8115477145148355E-3</v>
      </c>
      <c r="D27" s="12">
        <f>+'SCOTIARÉSULT         '!D81</f>
        <v>1247</v>
      </c>
      <c r="E27" s="43"/>
      <c r="F27" s="43">
        <f>+'SCOTIARÉSULT         '!D41</f>
        <v>0</v>
      </c>
      <c r="G27" s="43">
        <v>0</v>
      </c>
      <c r="H27" s="12">
        <f>+'SCOTIARÉSULT         '!H81</f>
        <v>5786</v>
      </c>
      <c r="I27" s="43"/>
      <c r="J27" s="43">
        <f>+'SCOTIARÉSULT         '!F41</f>
        <v>0</v>
      </c>
      <c r="K27" s="43">
        <v>0</v>
      </c>
      <c r="L27" s="12">
        <f>+'SCOTIARÉSULT         '!L81</f>
        <v>2241</v>
      </c>
      <c r="M27" s="43"/>
      <c r="N27" s="43">
        <f>+'SCOTIARÉSULT         '!H41</f>
        <v>0</v>
      </c>
      <c r="O27" s="43">
        <v>0</v>
      </c>
      <c r="P27" s="12">
        <f>+'SCOTIARÉSULT         '!P81</f>
        <v>-13492</v>
      </c>
      <c r="Q27" s="43"/>
      <c r="R27" s="12">
        <f>+'SCOTIARÉSULT         '!R81</f>
        <v>1241</v>
      </c>
      <c r="S27" s="46">
        <f>+(-T27+R27)/ABS(T27)</f>
        <v>-4.8115477145148355E-3</v>
      </c>
      <c r="T27" s="12">
        <f>+'SCOTIARÉSULT         '!T81</f>
        <v>1247</v>
      </c>
      <c r="U27" s="43"/>
      <c r="V27" s="43"/>
      <c r="W27" s="43"/>
      <c r="X27" s="43"/>
      <c r="Y27" s="43"/>
      <c r="Z27" s="43"/>
      <c r="AA27" s="43"/>
    </row>
    <row r="28" spans="1:27">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ht="16.5" thickBot="1">
      <c r="B29" s="187"/>
      <c r="C29" s="187"/>
      <c r="D29" s="187"/>
      <c r="E29" s="187"/>
      <c r="F29" s="187"/>
      <c r="G29" s="187"/>
      <c r="H29" s="187"/>
      <c r="I29" s="187"/>
      <c r="J29" s="187"/>
      <c r="K29" s="187"/>
      <c r="L29" s="187"/>
      <c r="M29" s="187"/>
      <c r="N29" s="187"/>
      <c r="O29" s="187"/>
      <c r="P29" s="187"/>
      <c r="Q29" s="187"/>
      <c r="R29" s="187"/>
      <c r="S29" s="187"/>
      <c r="T29" s="187"/>
      <c r="U29" s="43"/>
      <c r="V29" s="43"/>
      <c r="W29" s="43"/>
      <c r="X29" s="43"/>
      <c r="Y29" s="43"/>
      <c r="Z29" s="43"/>
      <c r="AA29" s="43"/>
    </row>
    <row r="30" spans="1:27">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row>
    <row r="32" spans="1:27">
      <c r="B32" s="51" t="s">
        <v>185</v>
      </c>
      <c r="C32" s="51" t="s">
        <v>174</v>
      </c>
      <c r="D32" s="43"/>
      <c r="E32" s="51" t="s">
        <v>185</v>
      </c>
      <c r="F32" s="51" t="s">
        <v>174</v>
      </c>
      <c r="G32" s="43"/>
      <c r="H32" s="51" t="s">
        <v>185</v>
      </c>
      <c r="I32" s="51" t="s">
        <v>174</v>
      </c>
      <c r="J32" s="43"/>
      <c r="K32" s="51" t="s">
        <v>185</v>
      </c>
      <c r="L32" s="51" t="s">
        <v>174</v>
      </c>
      <c r="M32" s="43"/>
      <c r="N32" s="51" t="s">
        <v>185</v>
      </c>
      <c r="O32" s="51" t="s">
        <v>174</v>
      </c>
      <c r="P32" s="43"/>
      <c r="U32" s="43"/>
      <c r="V32" s="43"/>
      <c r="W32" s="43"/>
      <c r="X32" s="43"/>
      <c r="Y32" s="43"/>
      <c r="Z32" s="43"/>
      <c r="AA32" s="43"/>
    </row>
    <row r="33" spans="1:27" ht="16.5" thickBot="1">
      <c r="B33" s="50" t="s">
        <v>186</v>
      </c>
      <c r="C33" s="50" t="s">
        <v>186</v>
      </c>
      <c r="D33" s="43"/>
      <c r="E33" s="50" t="s">
        <v>187</v>
      </c>
      <c r="F33" s="50" t="s">
        <v>187</v>
      </c>
      <c r="G33" s="43"/>
      <c r="H33" s="50" t="s">
        <v>188</v>
      </c>
      <c r="I33" s="50" t="s">
        <v>188</v>
      </c>
      <c r="J33" s="43"/>
      <c r="K33" s="50" t="s">
        <v>189</v>
      </c>
      <c r="L33" s="50" t="s">
        <v>189</v>
      </c>
      <c r="M33" s="43"/>
      <c r="N33" s="50" t="s">
        <v>190</v>
      </c>
      <c r="O33" s="50" t="s">
        <v>190</v>
      </c>
      <c r="P33" s="43"/>
      <c r="Q33" s="114" t="s">
        <v>206</v>
      </c>
      <c r="R33" s="114"/>
      <c r="S33" s="114"/>
      <c r="T33" s="114"/>
      <c r="U33" s="43"/>
      <c r="V33" s="43"/>
      <c r="W33" s="43"/>
      <c r="X33" s="43"/>
      <c r="Y33" s="43"/>
      <c r="Z33" s="43"/>
      <c r="AA33" s="43"/>
    </row>
    <row r="34" spans="1:27" ht="16.5" thickBot="1">
      <c r="B34" s="326" t="s">
        <v>191</v>
      </c>
      <c r="C34" s="326" t="s">
        <v>192</v>
      </c>
      <c r="D34" s="208"/>
      <c r="E34" s="326" t="s">
        <v>193</v>
      </c>
      <c r="F34" s="326" t="s">
        <v>194</v>
      </c>
      <c r="G34" s="208"/>
      <c r="H34" s="326" t="s">
        <v>195</v>
      </c>
      <c r="I34" s="326" t="s">
        <v>196</v>
      </c>
      <c r="J34" s="208"/>
      <c r="K34" s="326" t="s">
        <v>197</v>
      </c>
      <c r="L34" s="326" t="s">
        <v>198</v>
      </c>
      <c r="M34" s="208"/>
      <c r="N34" s="181" t="s">
        <v>199</v>
      </c>
      <c r="O34" s="181" t="s">
        <v>200</v>
      </c>
      <c r="P34" s="43"/>
      <c r="Q34" s="182" t="s">
        <v>174</v>
      </c>
      <c r="R34" s="182" t="s">
        <v>175</v>
      </c>
      <c r="S34" s="182" t="s">
        <v>176</v>
      </c>
      <c r="T34" s="182" t="s">
        <v>177</v>
      </c>
      <c r="U34" s="43"/>
      <c r="V34" s="43"/>
      <c r="W34" s="43"/>
      <c r="X34" s="43"/>
      <c r="Y34" s="43"/>
      <c r="Z34" s="43"/>
      <c r="AA34" s="43"/>
    </row>
    <row r="35" spans="1:27">
      <c r="B35" s="355"/>
      <c r="C35" s="355"/>
      <c r="D35" s="208"/>
      <c r="E35" s="355"/>
      <c r="F35" s="355"/>
      <c r="G35" s="208"/>
      <c r="H35" s="355"/>
      <c r="I35" s="355"/>
      <c r="J35" s="208"/>
      <c r="K35" s="355"/>
      <c r="L35" s="355"/>
      <c r="M35" s="208"/>
      <c r="N35" s="355"/>
      <c r="O35" s="355"/>
      <c r="P35" s="43"/>
      <c r="Q35" s="356"/>
      <c r="R35" s="356"/>
      <c r="S35" s="356"/>
      <c r="T35" s="356"/>
      <c r="U35" s="43"/>
      <c r="V35" s="43"/>
      <c r="W35" s="43"/>
      <c r="X35" s="43"/>
      <c r="Y35" s="43"/>
      <c r="Z35" s="43"/>
      <c r="AA35" s="43"/>
    </row>
    <row r="36" spans="1:27">
      <c r="A36" s="2" t="s">
        <v>207</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183" t="s">
        <v>208</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A38" s="2" t="s">
        <v>209</v>
      </c>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t="s">
        <v>211</v>
      </c>
      <c r="B40" s="57"/>
      <c r="C40" s="57"/>
      <c r="D40" s="57"/>
      <c r="E40" s="57"/>
      <c r="F40" s="57"/>
      <c r="G40" s="57"/>
      <c r="H40" s="57"/>
      <c r="I40" s="57"/>
      <c r="J40" s="57"/>
      <c r="K40" s="57"/>
      <c r="L40" s="57"/>
      <c r="M40" s="57"/>
      <c r="N40" s="57"/>
      <c r="O40" s="57"/>
      <c r="P40" s="57"/>
      <c r="Q40" s="57"/>
      <c r="R40" s="57"/>
      <c r="S40" s="57"/>
      <c r="T40" s="57"/>
      <c r="U40" s="43"/>
      <c r="V40" s="43"/>
      <c r="W40" s="43"/>
      <c r="X40" s="43"/>
      <c r="Y40" s="43"/>
      <c r="Z40" s="43"/>
      <c r="AA40" s="43"/>
    </row>
    <row r="41" spans="1:27">
      <c r="A41" t="s">
        <v>212</v>
      </c>
      <c r="B41" s="58">
        <f>+scotiavar!B51/scotiavar!B22</f>
        <v>4.3769542305370647E-2</v>
      </c>
      <c r="C41" s="59">
        <v>1.2E-2</v>
      </c>
      <c r="D41" s="59"/>
      <c r="E41" s="364">
        <v>0</v>
      </c>
      <c r="F41" s="59">
        <v>1.6199999999999999E-2</v>
      </c>
      <c r="G41" s="59"/>
      <c r="H41" s="364">
        <v>0</v>
      </c>
      <c r="I41" s="59">
        <v>1.2500000000000001E-2</v>
      </c>
      <c r="J41" s="59"/>
      <c r="K41" s="364">
        <v>0</v>
      </c>
      <c r="L41" s="59">
        <v>-6.3E-3</v>
      </c>
      <c r="M41" s="59"/>
      <c r="N41" s="59">
        <f>+B41</f>
        <v>4.3769542305370647E-2</v>
      </c>
      <c r="O41" s="59">
        <f>+C41</f>
        <v>1.2E-2</v>
      </c>
      <c r="P41" s="59"/>
      <c r="Q41" s="59">
        <f>+scotiavar!J51/scotiavar!J22</f>
        <v>-6.3377526624646815E-3</v>
      </c>
      <c r="R41" s="59">
        <v>1.9199999999999998E-2</v>
      </c>
      <c r="S41" s="59">
        <v>1.6299999999999999E-2</v>
      </c>
      <c r="T41" s="59">
        <v>1.26E-2</v>
      </c>
      <c r="U41" s="43"/>
      <c r="V41" s="43"/>
      <c r="W41" s="43"/>
      <c r="X41" s="43"/>
      <c r="Y41" s="43"/>
      <c r="Z41" s="43"/>
      <c r="AA41" s="43"/>
    </row>
    <row r="42" spans="1:27">
      <c r="B42" s="58"/>
      <c r="C42" s="59"/>
      <c r="D42" s="59"/>
      <c r="E42" s="57"/>
      <c r="F42" s="59"/>
      <c r="G42" s="59"/>
      <c r="H42" s="57"/>
      <c r="I42" s="59"/>
      <c r="J42" s="59"/>
      <c r="K42" s="57"/>
      <c r="L42" s="59"/>
      <c r="M42" s="59"/>
      <c r="N42" s="59"/>
      <c r="O42" s="58" t="s">
        <v>0</v>
      </c>
      <c r="P42" s="59"/>
      <c r="Q42" s="59"/>
      <c r="R42" s="59"/>
      <c r="S42" s="59"/>
      <c r="T42" s="59"/>
      <c r="U42" s="43"/>
      <c r="V42" s="43"/>
      <c r="W42" s="43"/>
      <c r="X42" s="43"/>
      <c r="Y42" s="43"/>
      <c r="Z42" s="43"/>
      <c r="AA42" s="43"/>
    </row>
    <row r="43" spans="1:27">
      <c r="A43" t="s">
        <v>213</v>
      </c>
      <c r="B43" s="58">
        <f>+scotiavar!B29/scotiavar!B22</f>
        <v>0.928201282873369</v>
      </c>
      <c r="C43" s="59">
        <v>0.94479999999999997</v>
      </c>
      <c r="D43" s="59"/>
      <c r="E43" s="364">
        <v>0</v>
      </c>
      <c r="F43" s="59">
        <v>0.94399999999999995</v>
      </c>
      <c r="G43" s="59"/>
      <c r="H43" s="364">
        <v>0</v>
      </c>
      <c r="I43" s="59">
        <v>0.95099999999999996</v>
      </c>
      <c r="J43" s="59"/>
      <c r="K43" s="364">
        <v>0</v>
      </c>
      <c r="L43" s="59">
        <v>0.96030000000000004</v>
      </c>
      <c r="M43" s="59"/>
      <c r="N43" s="59">
        <f>+B43</f>
        <v>0.928201282873369</v>
      </c>
      <c r="O43" s="59">
        <f>+C43</f>
        <v>0.94479999999999997</v>
      </c>
      <c r="P43" s="59"/>
      <c r="Q43" s="59">
        <f>+scotiavar!J29/scotiavar!J22</f>
        <v>0.96032710280373834</v>
      </c>
      <c r="R43" s="59">
        <v>0.93179999999999996</v>
      </c>
      <c r="S43" s="59">
        <v>0.93710000000000004</v>
      </c>
      <c r="T43" s="59">
        <v>0.93030000000000002</v>
      </c>
      <c r="U43" s="43"/>
      <c r="V43" s="43"/>
      <c r="W43" s="43"/>
      <c r="X43" s="43"/>
      <c r="Y43" s="43"/>
      <c r="Z43" s="43"/>
      <c r="AA43" s="43"/>
    </row>
    <row r="44" spans="1:27">
      <c r="A44" t="s">
        <v>0</v>
      </c>
      <c r="B44" s="57"/>
      <c r="C44" s="59"/>
      <c r="D44" s="59"/>
      <c r="E44" s="57"/>
      <c r="F44" s="59"/>
      <c r="G44" s="59"/>
      <c r="H44" s="57"/>
      <c r="I44" s="59"/>
      <c r="J44" s="59"/>
      <c r="K44" s="57"/>
      <c r="L44" s="59"/>
      <c r="M44" s="59"/>
      <c r="N44" s="59"/>
      <c r="O44" s="59"/>
      <c r="P44" s="59"/>
      <c r="Q44" s="59"/>
      <c r="R44" s="59"/>
      <c r="S44" s="59"/>
      <c r="T44" s="59"/>
      <c r="U44" s="43"/>
      <c r="V44" s="43"/>
      <c r="W44" s="43"/>
      <c r="X44" s="43"/>
      <c r="Y44" s="43"/>
      <c r="Z44" s="43"/>
      <c r="AA44" s="43"/>
    </row>
    <row r="45" spans="1:27">
      <c r="A45" s="2" t="s">
        <v>214</v>
      </c>
      <c r="B45" s="57"/>
      <c r="C45" s="59"/>
      <c r="D45" s="59"/>
      <c r="E45" s="57"/>
      <c r="F45" s="59"/>
      <c r="G45" s="59"/>
      <c r="H45" s="57"/>
      <c r="I45" s="59"/>
      <c r="J45" s="59"/>
      <c r="K45" s="57"/>
      <c r="L45" s="59"/>
      <c r="M45" s="59"/>
      <c r="N45" s="59"/>
      <c r="O45" s="59"/>
      <c r="P45" s="59"/>
      <c r="Q45" s="59"/>
      <c r="R45" s="59"/>
      <c r="S45" s="59"/>
      <c r="T45" s="59"/>
      <c r="U45" s="43"/>
      <c r="V45" s="43"/>
      <c r="W45" s="43"/>
      <c r="X45" s="43"/>
      <c r="Y45" s="43"/>
      <c r="Z45" s="43"/>
      <c r="AA45" s="43"/>
    </row>
    <row r="46" spans="1:27">
      <c r="A46" s="2"/>
      <c r="B46" s="57"/>
      <c r="C46" s="59"/>
      <c r="D46" s="59"/>
      <c r="E46" s="57"/>
      <c r="F46" s="59"/>
      <c r="G46" s="59"/>
      <c r="H46" s="57"/>
      <c r="I46" s="59"/>
      <c r="J46" s="59"/>
      <c r="K46" s="57"/>
      <c r="L46" s="59"/>
      <c r="M46" s="59"/>
      <c r="N46" s="59"/>
      <c r="O46" s="59"/>
      <c r="P46" s="59"/>
      <c r="Q46" s="59"/>
      <c r="R46" s="59"/>
      <c r="S46" s="59"/>
      <c r="T46" s="59"/>
      <c r="U46" s="43"/>
      <c r="V46" s="43"/>
      <c r="W46" s="43"/>
      <c r="X46" s="43"/>
      <c r="Y46" s="43"/>
      <c r="Z46" s="43"/>
      <c r="AA46" s="43"/>
    </row>
    <row r="47" spans="1:27">
      <c r="A47" t="s">
        <v>215</v>
      </c>
      <c r="B47" s="57"/>
      <c r="C47" s="59"/>
      <c r="D47" s="59"/>
      <c r="E47" s="57"/>
      <c r="F47" s="59"/>
      <c r="G47" s="59"/>
      <c r="H47" s="57"/>
      <c r="I47" s="59"/>
      <c r="J47" s="59"/>
      <c r="K47" s="57"/>
      <c r="L47" s="59"/>
      <c r="M47" s="59"/>
      <c r="N47" s="59"/>
      <c r="O47" s="59"/>
      <c r="P47" s="59"/>
      <c r="Q47" s="59"/>
      <c r="R47" s="59"/>
      <c r="S47" s="59"/>
      <c r="T47" s="59"/>
      <c r="U47" s="43"/>
      <c r="V47" s="43"/>
      <c r="W47" s="43"/>
      <c r="X47" s="43"/>
      <c r="Y47" s="43"/>
      <c r="Z47" s="43"/>
      <c r="AA47" s="43"/>
    </row>
    <row r="48" spans="1:27">
      <c r="A48" t="s">
        <v>216</v>
      </c>
      <c r="B48" s="59">
        <f>+scotiavar!B62/scotiavar!B60</f>
        <v>0.15679824561403508</v>
      </c>
      <c r="C48" s="59">
        <v>3.1899999999999998E-2</v>
      </c>
      <c r="D48" s="59"/>
      <c r="E48" s="57">
        <v>0</v>
      </c>
      <c r="F48" s="59">
        <v>2.5700000000000001E-2</v>
      </c>
      <c r="G48" s="59"/>
      <c r="H48" s="364">
        <v>0</v>
      </c>
      <c r="I48" s="59">
        <v>3.2800000000000003E-2</v>
      </c>
      <c r="J48" s="59"/>
      <c r="K48" s="57">
        <v>0</v>
      </c>
      <c r="L48" s="59">
        <v>0.157</v>
      </c>
      <c r="M48" s="59"/>
      <c r="N48" s="59">
        <f>+B48</f>
        <v>0.15679824561403508</v>
      </c>
      <c r="O48" s="59">
        <f>+C48</f>
        <v>3.1899999999999998E-2</v>
      </c>
      <c r="P48" s="59"/>
      <c r="Q48" s="59">
        <f>+scotiavar!J62/scotiavar!J60</f>
        <v>0.15699500998201066</v>
      </c>
      <c r="R48" s="59">
        <v>3.3099999999999997E-2</v>
      </c>
      <c r="S48" s="59">
        <v>0.1149</v>
      </c>
      <c r="T48" s="59">
        <v>2.3300000000000001E-2</v>
      </c>
      <c r="U48" s="43"/>
      <c r="V48" s="43"/>
      <c r="W48" s="43"/>
      <c r="X48" s="43"/>
      <c r="Y48" s="43"/>
      <c r="Z48" s="43"/>
      <c r="AA48" s="43"/>
    </row>
    <row r="49" spans="1:27">
      <c r="B49" s="57"/>
      <c r="C49" s="59"/>
      <c r="D49" s="59"/>
      <c r="E49" s="57"/>
      <c r="F49" s="59"/>
      <c r="G49" s="59"/>
      <c r="H49" s="57"/>
      <c r="I49" s="59"/>
      <c r="J49" s="59"/>
      <c r="K49" s="57"/>
      <c r="L49" s="59"/>
      <c r="M49" s="59"/>
      <c r="N49" s="59"/>
      <c r="O49" s="59"/>
      <c r="P49" s="59"/>
      <c r="Q49" s="59"/>
      <c r="R49" s="59"/>
      <c r="S49" s="59"/>
      <c r="T49" s="59"/>
      <c r="U49" s="43"/>
      <c r="V49" s="43"/>
      <c r="W49" s="43"/>
      <c r="X49" s="43"/>
      <c r="Y49" s="43"/>
      <c r="Z49" s="43"/>
      <c r="AA49" s="43"/>
    </row>
    <row r="50" spans="1:27">
      <c r="A50" t="s">
        <v>217</v>
      </c>
      <c r="B50" s="57"/>
      <c r="C50" s="59"/>
      <c r="D50" s="59"/>
      <c r="E50" s="57"/>
      <c r="F50" s="59"/>
      <c r="G50" s="59"/>
      <c r="H50" s="57"/>
      <c r="I50" s="59"/>
      <c r="J50" s="59"/>
      <c r="K50" s="57"/>
      <c r="L50" s="59"/>
      <c r="M50" s="59"/>
      <c r="N50" s="59"/>
      <c r="O50" s="59"/>
      <c r="P50" s="59"/>
      <c r="Q50" s="59"/>
      <c r="R50" s="59"/>
      <c r="S50" s="59"/>
      <c r="T50" s="59"/>
      <c r="U50" s="43"/>
      <c r="V50" s="43"/>
      <c r="W50" s="43"/>
      <c r="X50" s="43"/>
      <c r="Y50" s="43"/>
      <c r="Z50" s="43"/>
      <c r="AA50" s="43"/>
    </row>
    <row r="51" spans="1:27">
      <c r="A51" t="s">
        <v>218</v>
      </c>
      <c r="B51" s="59">
        <f>+scotiavar!B61/scotiavar!B62</f>
        <v>0.28594996552743029</v>
      </c>
      <c r="C51" s="59">
        <v>0.29809999999999998</v>
      </c>
      <c r="D51" s="59"/>
      <c r="E51" s="57">
        <v>0</v>
      </c>
      <c r="F51" s="59">
        <v>0.37280000000000002</v>
      </c>
      <c r="G51" s="59"/>
      <c r="H51" s="364">
        <v>0</v>
      </c>
      <c r="I51" s="59">
        <v>0.3226</v>
      </c>
      <c r="J51" s="59"/>
      <c r="K51" s="57">
        <v>0</v>
      </c>
      <c r="L51" s="59">
        <v>0.28160000000000002</v>
      </c>
      <c r="M51" s="59"/>
      <c r="N51" s="59">
        <f>+B51</f>
        <v>0.28594996552743029</v>
      </c>
      <c r="O51" s="59">
        <f>+C51</f>
        <v>0.29809999999999998</v>
      </c>
      <c r="P51" s="59"/>
      <c r="Q51" s="59">
        <f>+scotiavar!J61/scotiavar!J62</f>
        <v>0.28158331656268865</v>
      </c>
      <c r="R51" s="59">
        <v>0.26179999999999998</v>
      </c>
      <c r="S51" s="57">
        <v>0</v>
      </c>
      <c r="T51" s="57">
        <v>0</v>
      </c>
      <c r="U51" s="43"/>
      <c r="V51" s="43"/>
      <c r="W51" s="43"/>
      <c r="X51" s="43"/>
      <c r="Y51" s="43"/>
      <c r="Z51" s="43"/>
      <c r="AA51" s="43"/>
    </row>
    <row r="52" spans="1:27">
      <c r="B52" s="57"/>
      <c r="C52" s="59"/>
      <c r="D52" s="59"/>
      <c r="E52" s="57"/>
      <c r="F52" s="59"/>
      <c r="G52" s="59"/>
      <c r="H52" s="57"/>
      <c r="I52" s="59"/>
      <c r="J52" s="59"/>
      <c r="K52" s="57"/>
      <c r="L52" s="59"/>
      <c r="M52" s="59"/>
      <c r="N52" s="59"/>
      <c r="O52" s="59"/>
      <c r="P52" s="59"/>
      <c r="Q52" s="59"/>
      <c r="R52" s="59"/>
      <c r="S52" s="59"/>
      <c r="T52" s="59"/>
      <c r="U52" s="43"/>
      <c r="V52" s="43"/>
      <c r="W52" s="43"/>
      <c r="X52" s="43"/>
      <c r="Y52" s="43"/>
      <c r="Z52" s="43"/>
      <c r="AA52" s="43"/>
    </row>
    <row r="53" spans="1:27">
      <c r="A53" t="s">
        <v>219</v>
      </c>
      <c r="B53" s="57"/>
      <c r="C53" s="59"/>
      <c r="D53" s="59"/>
      <c r="E53" s="57"/>
      <c r="F53" s="59"/>
      <c r="G53" s="59"/>
      <c r="H53" s="57"/>
      <c r="I53" s="59"/>
      <c r="J53" s="59"/>
      <c r="K53" s="57"/>
      <c r="L53" s="59"/>
      <c r="M53" s="59"/>
      <c r="N53" s="59"/>
      <c r="O53" s="59"/>
      <c r="P53" s="59"/>
      <c r="Q53" s="59"/>
      <c r="R53" s="59"/>
      <c r="S53" s="59"/>
      <c r="T53" s="59"/>
      <c r="U53" s="43"/>
      <c r="V53" s="43"/>
      <c r="W53" s="43"/>
      <c r="X53" s="43"/>
      <c r="Y53" s="43"/>
      <c r="Z53" s="43"/>
      <c r="AA53" s="43"/>
    </row>
    <row r="54" spans="1:27">
      <c r="A54" t="s">
        <v>220</v>
      </c>
      <c r="B54" s="59">
        <f>+(scotiavar!B62-scotiavar!B61)/scotiavar!B51</f>
        <v>1.3838371787836128</v>
      </c>
      <c r="C54" s="59">
        <v>1.0486</v>
      </c>
      <c r="D54" s="59"/>
      <c r="E54" s="57">
        <v>0</v>
      </c>
      <c r="F54" s="59">
        <v>0.51639999999999997</v>
      </c>
      <c r="G54" s="59"/>
      <c r="H54" s="364">
        <v>0</v>
      </c>
      <c r="I54" s="59">
        <v>0.96399999999999997</v>
      </c>
      <c r="J54" s="59"/>
      <c r="K54" s="57">
        <v>0</v>
      </c>
      <c r="L54" s="59">
        <v>-9.7936999999999994</v>
      </c>
      <c r="M54" s="59"/>
      <c r="N54" s="59">
        <f>+B54</f>
        <v>1.3838371787836128</v>
      </c>
      <c r="O54" s="59">
        <f>+C54</f>
        <v>1.0486</v>
      </c>
      <c r="P54" s="59"/>
      <c r="Q54" s="59">
        <f>+(scotiavar!J62-scotiavar!J61)/scotiavar!J51</f>
        <v>-9.7937242798353914</v>
      </c>
      <c r="R54" s="59">
        <v>0.74339999999999995</v>
      </c>
      <c r="S54" s="59">
        <v>3.5991</v>
      </c>
      <c r="T54" s="59">
        <v>0.83860000000000001</v>
      </c>
      <c r="U54" s="43"/>
      <c r="V54" s="43"/>
      <c r="W54" s="43"/>
      <c r="X54" s="43"/>
      <c r="Y54" s="43"/>
      <c r="Z54" s="43"/>
      <c r="AA54" s="43"/>
    </row>
    <row r="55" spans="1:27">
      <c r="A55" t="s">
        <v>0</v>
      </c>
      <c r="B55" s="57"/>
      <c r="C55" s="59"/>
      <c r="D55" s="59"/>
      <c r="E55" s="57"/>
      <c r="F55" s="59"/>
      <c r="G55" s="59"/>
      <c r="H55" s="57"/>
      <c r="I55" s="59"/>
      <c r="J55" s="59"/>
      <c r="K55" s="57"/>
      <c r="L55" s="59"/>
      <c r="M55" s="59"/>
      <c r="N55" s="59"/>
      <c r="O55" s="59"/>
      <c r="P55" s="59"/>
      <c r="Q55" s="59"/>
      <c r="R55" s="59"/>
      <c r="S55" s="59"/>
      <c r="T55" s="59"/>
      <c r="U55" s="43"/>
      <c r="V55" s="43"/>
      <c r="W55" s="43"/>
      <c r="X55" s="43"/>
      <c r="Y55" s="43"/>
      <c r="Z55" s="43"/>
      <c r="AA55" s="43"/>
    </row>
    <row r="56" spans="1:27">
      <c r="A56" s="2" t="s">
        <v>221</v>
      </c>
      <c r="B56" s="57"/>
      <c r="C56" s="59"/>
      <c r="D56" s="59"/>
      <c r="E56" s="57"/>
      <c r="F56" s="59"/>
      <c r="G56" s="59"/>
      <c r="H56" s="57"/>
      <c r="I56" s="59"/>
      <c r="J56" s="59"/>
      <c r="K56" s="57"/>
      <c r="L56" s="59"/>
      <c r="M56" s="59"/>
      <c r="N56" s="59"/>
      <c r="O56" s="59"/>
      <c r="P56" s="59"/>
      <c r="Q56" s="59"/>
      <c r="R56" s="59"/>
      <c r="S56" s="59"/>
      <c r="T56" s="59"/>
      <c r="U56" s="43"/>
      <c r="V56" s="43"/>
      <c r="W56" s="43"/>
      <c r="X56" s="43"/>
      <c r="Y56" s="43"/>
      <c r="Z56" s="43"/>
      <c r="AA56" s="43"/>
    </row>
    <row r="57" spans="1:27">
      <c r="A57" s="2"/>
      <c r="B57" s="57"/>
      <c r="C57" s="59"/>
      <c r="D57" s="59"/>
      <c r="E57" s="57"/>
      <c r="F57" s="59"/>
      <c r="G57" s="59"/>
      <c r="H57" s="57"/>
      <c r="I57" s="59"/>
      <c r="J57" s="59"/>
      <c r="K57" s="57"/>
      <c r="L57" s="59"/>
      <c r="M57" s="59"/>
      <c r="N57" s="59"/>
      <c r="O57" s="59"/>
      <c r="P57" s="59"/>
      <c r="Q57" s="59"/>
      <c r="R57" s="59"/>
      <c r="S57" s="59"/>
      <c r="T57" s="59"/>
      <c r="U57" s="43"/>
      <c r="V57" s="43"/>
      <c r="W57" s="43"/>
      <c r="X57" s="43"/>
      <c r="Y57" s="43"/>
      <c r="Z57" s="43"/>
      <c r="AA57" s="43"/>
    </row>
    <row r="58" spans="1:27">
      <c r="A58" t="s">
        <v>222</v>
      </c>
      <c r="B58" s="59">
        <f>+('SCOTIARÉSULT         '!B41/((scotiavar!B22+scotiavar!J22)/2)*4)</f>
        <v>5.2872125930241596E-3</v>
      </c>
      <c r="C58" s="59">
        <v>6.4000000000000003E-3</v>
      </c>
      <c r="D58" s="59"/>
      <c r="E58" s="57">
        <v>0</v>
      </c>
      <c r="F58" s="59">
        <v>2.76E-2</v>
      </c>
      <c r="G58" s="59"/>
      <c r="H58" s="364">
        <v>0</v>
      </c>
      <c r="I58" s="59">
        <v>9.9000000000000008E-3</v>
      </c>
      <c r="J58" s="59"/>
      <c r="K58" s="57">
        <v>0</v>
      </c>
      <c r="L58" s="59">
        <v>-5.8599999999999999E-2</v>
      </c>
      <c r="M58" s="59"/>
      <c r="N58" s="59">
        <f>+'sysratfinclé '!P37</f>
        <v>5.2872125930241596E-3</v>
      </c>
      <c r="O58" s="59">
        <f>+'sysratfinclé '!P38</f>
        <v>6.4000000000000003E-3</v>
      </c>
      <c r="P58" s="59"/>
      <c r="Q58" s="59">
        <f>+'SCOTIAVARAN            '!F43/((scotiavar!J22+scotiavar!L22)/2)</f>
        <v>-5.0318006700717016E-3</v>
      </c>
      <c r="R58" s="59">
        <v>2.0299999999999999E-2</v>
      </c>
      <c r="S58" s="59">
        <v>3.3099999999999997E-2</v>
      </c>
      <c r="T58" s="59">
        <v>3.1399999999999997E-2</v>
      </c>
      <c r="U58" s="43"/>
      <c r="V58" s="43"/>
      <c r="W58" s="43"/>
      <c r="X58" s="43"/>
      <c r="Y58" s="43"/>
      <c r="Z58" s="43"/>
      <c r="AA58" s="43"/>
    </row>
    <row r="59" spans="1:27" ht="7.15" customHeight="1">
      <c r="B59" s="57"/>
      <c r="C59" s="59"/>
      <c r="D59" s="59"/>
      <c r="E59" s="57"/>
      <c r="F59" s="59"/>
      <c r="G59" s="59"/>
      <c r="H59" s="57"/>
      <c r="I59" s="59"/>
      <c r="J59" s="59"/>
      <c r="K59" s="57"/>
      <c r="L59" s="59"/>
      <c r="M59" s="59"/>
      <c r="N59" s="59"/>
      <c r="O59" s="59"/>
      <c r="P59" s="59"/>
      <c r="Q59" s="59"/>
      <c r="R59" s="59"/>
      <c r="S59" s="59"/>
      <c r="T59" s="59"/>
      <c r="U59" s="43"/>
      <c r="V59" s="43"/>
      <c r="W59" s="43"/>
      <c r="X59" s="43"/>
      <c r="Y59" s="43"/>
      <c r="Z59" s="43"/>
      <c r="AA59" s="43"/>
    </row>
    <row r="60" spans="1:27">
      <c r="A60" t="s">
        <v>547</v>
      </c>
      <c r="B60" s="59">
        <f>+('SCOTIARÉSULT         '!B41/((scotiavar!J51+scotiavar!B51)/2)*4)</f>
        <v>0.27517392388924306</v>
      </c>
      <c r="C60" s="59">
        <v>0.41160000000000002</v>
      </c>
      <c r="D60" s="59"/>
      <c r="E60" s="57">
        <v>0</v>
      </c>
      <c r="F60" s="59">
        <v>1.9126000000000001</v>
      </c>
      <c r="G60" s="59"/>
      <c r="H60" s="364">
        <v>0</v>
      </c>
      <c r="I60" s="59">
        <v>0.68879999999999997</v>
      </c>
      <c r="J60" s="59"/>
      <c r="K60" s="57">
        <v>0</v>
      </c>
      <c r="L60" s="59">
        <v>-18.906300000000002</v>
      </c>
      <c r="M60" s="59"/>
      <c r="N60" s="59">
        <f>+'sysratfinclé '!P43</f>
        <v>0.27517392388924306</v>
      </c>
      <c r="O60" s="59">
        <f>+'sysratfinclé '!P44</f>
        <v>0.41160000000000002</v>
      </c>
      <c r="P60" s="59"/>
      <c r="Q60" s="59">
        <f>+'SCOTIAVARAN            '!F43/((scotiavar!J51+scotiavar!L51)/2)</f>
        <v>-0.97110625071946588</v>
      </c>
      <c r="R60" s="59">
        <v>1.1426000000000001</v>
      </c>
      <c r="S60" s="59">
        <v>2.2964000000000002</v>
      </c>
      <c r="T60" s="59">
        <v>2.4723000000000002</v>
      </c>
      <c r="U60" s="43"/>
      <c r="V60" s="43"/>
      <c r="W60" s="43"/>
      <c r="X60" s="43"/>
      <c r="Y60" s="43"/>
      <c r="Z60" s="43"/>
      <c r="AA60" s="43"/>
    </row>
    <row r="61" spans="1:27" ht="7.15" customHeight="1">
      <c r="B61" s="57"/>
      <c r="C61" s="59"/>
      <c r="D61" s="59"/>
      <c r="E61" s="57"/>
      <c r="F61" s="59"/>
      <c r="G61" s="59"/>
      <c r="H61" s="57"/>
      <c r="I61" s="59"/>
      <c r="J61" s="59"/>
      <c r="K61" s="57"/>
      <c r="L61" s="59"/>
      <c r="M61" s="59"/>
      <c r="N61" s="59"/>
      <c r="O61" s="59"/>
      <c r="P61" s="59"/>
      <c r="Q61" s="59"/>
      <c r="R61" s="59"/>
      <c r="S61" s="59"/>
      <c r="T61" s="59"/>
      <c r="U61" s="43"/>
      <c r="V61" s="43"/>
      <c r="W61" s="43"/>
      <c r="X61" s="43"/>
      <c r="Y61" s="43"/>
      <c r="Z61" s="43"/>
      <c r="AA61" s="43"/>
    </row>
    <row r="62" spans="1:27">
      <c r="A62" t="s">
        <v>201</v>
      </c>
      <c r="B62" s="57"/>
      <c r="C62" s="59"/>
      <c r="D62" s="59"/>
      <c r="E62" s="57"/>
      <c r="F62" s="59"/>
      <c r="G62" s="59"/>
      <c r="H62" s="57"/>
      <c r="I62" s="59"/>
      <c r="J62" s="59"/>
      <c r="K62" s="57"/>
      <c r="L62" s="59"/>
      <c r="M62" s="59"/>
      <c r="N62" s="59"/>
      <c r="O62" s="59"/>
      <c r="P62" s="59"/>
      <c r="Q62" s="59"/>
      <c r="R62" s="59"/>
      <c r="S62" s="59"/>
      <c r="T62" s="59"/>
      <c r="U62" s="43"/>
      <c r="V62" s="43"/>
      <c r="W62" s="43"/>
      <c r="X62" s="43"/>
      <c r="Y62" s="43"/>
      <c r="Z62" s="43"/>
      <c r="AA62" s="43"/>
    </row>
    <row r="63" spans="1:27">
      <c r="A63" t="s">
        <v>225</v>
      </c>
      <c r="B63" s="59">
        <f>+'SCOTIARÉSULT         '!B15/'SCOTIARÉSULT         '!B13</f>
        <v>0.70360406693832334</v>
      </c>
      <c r="C63" s="59">
        <v>0.64570000000000005</v>
      </c>
      <c r="D63" s="59"/>
      <c r="E63" s="57">
        <v>0</v>
      </c>
      <c r="F63" s="59">
        <v>0.62839999999999996</v>
      </c>
      <c r="G63" s="59"/>
      <c r="H63" s="364">
        <v>0</v>
      </c>
      <c r="I63" s="59">
        <v>0.61160000000000003</v>
      </c>
      <c r="J63" s="59"/>
      <c r="K63" s="57">
        <v>0</v>
      </c>
      <c r="L63" s="59">
        <v>0.63729999999999998</v>
      </c>
      <c r="M63" s="59"/>
      <c r="N63" s="59">
        <f>+'sysratfinclé '!P50</f>
        <v>0.70360406693832334</v>
      </c>
      <c r="O63" s="59">
        <f>+'sysratfinclé '!P51</f>
        <v>0.64567285908473038</v>
      </c>
      <c r="P63" s="59"/>
      <c r="Q63" s="59">
        <f>+'SCOTIAVARAN            '!F17/'SCOTIAVARAN            '!F15</f>
        <v>0.6307367243575801</v>
      </c>
      <c r="R63" s="59">
        <v>0.70520000000000005</v>
      </c>
      <c r="S63" s="59">
        <v>0.70399999999999996</v>
      </c>
      <c r="T63" s="59">
        <v>0.76629999999999998</v>
      </c>
      <c r="U63" s="43"/>
      <c r="V63" s="43"/>
      <c r="W63" s="43"/>
      <c r="X63" s="43"/>
      <c r="Y63" s="43"/>
      <c r="Z63" s="43"/>
      <c r="AA63" s="43"/>
    </row>
    <row r="64" spans="1:27" ht="7.15" customHeight="1">
      <c r="B64" s="57"/>
      <c r="C64" s="59"/>
      <c r="D64" s="59"/>
      <c r="E64" s="57"/>
      <c r="F64" s="59"/>
      <c r="G64" s="59"/>
      <c r="H64" s="57"/>
      <c r="I64" s="59"/>
      <c r="J64" s="59"/>
      <c r="K64" s="57"/>
      <c r="L64" s="59"/>
      <c r="M64" s="59"/>
      <c r="N64" s="59"/>
      <c r="O64" s="59"/>
      <c r="P64" s="59"/>
      <c r="Q64" s="59"/>
      <c r="R64" s="59"/>
      <c r="S64" s="59"/>
      <c r="T64" s="59"/>
      <c r="U64" s="43"/>
      <c r="V64" s="43"/>
      <c r="W64" s="43"/>
      <c r="X64" s="43"/>
      <c r="Y64" s="43"/>
      <c r="Z64" s="43"/>
      <c r="AA64" s="43"/>
    </row>
    <row r="65" spans="1:20">
      <c r="A65" t="s">
        <v>226</v>
      </c>
      <c r="B65" s="59">
        <f>+('SCOTIARÉSULT         '!B10/((scotiavar!B60+scotiavar!J60)/2)*4)</f>
        <v>0.17619215424817972</v>
      </c>
      <c r="C65" s="56">
        <v>0.20469999999999999</v>
      </c>
      <c r="D65" s="56"/>
      <c r="E65" s="49">
        <v>0</v>
      </c>
      <c r="F65" s="56">
        <v>0.19900000000000001</v>
      </c>
      <c r="G65" s="56"/>
      <c r="H65" s="364">
        <v>0</v>
      </c>
      <c r="I65" s="56">
        <v>0.18379999999999999</v>
      </c>
      <c r="J65" s="56"/>
      <c r="K65" s="49">
        <v>0</v>
      </c>
      <c r="L65" s="56">
        <v>0.17269999999999999</v>
      </c>
      <c r="M65" s="56"/>
      <c r="N65" s="59">
        <f>+'sysratfinclé '!P56</f>
        <v>0.17619215424817972</v>
      </c>
      <c r="O65" s="59">
        <f>+'sysratfinclé '!P57</f>
        <v>0.2011</v>
      </c>
      <c r="P65" s="56"/>
      <c r="Q65" s="56">
        <f>+'SCOTIAVARAN            '!F12/((scotiavar!J60+scotiavar!L60)/2)</f>
        <v>0.18928810382637071</v>
      </c>
      <c r="R65" s="56">
        <v>0.2011</v>
      </c>
      <c r="S65" s="56">
        <v>0.23319999999999999</v>
      </c>
      <c r="T65" s="56">
        <v>0.1948</v>
      </c>
    </row>
    <row r="66" spans="1:20" ht="7.15" customHeight="1">
      <c r="B66" s="9"/>
      <c r="C66" s="56"/>
      <c r="D66" s="56"/>
      <c r="E66" s="49"/>
      <c r="F66" s="56"/>
      <c r="G66" s="56"/>
      <c r="H66" s="49"/>
      <c r="I66" s="56"/>
      <c r="J66" s="56"/>
      <c r="K66" s="49"/>
      <c r="L66" s="56"/>
      <c r="M66" s="56"/>
      <c r="N66" s="56"/>
      <c r="O66" s="56"/>
      <c r="P66" s="56"/>
      <c r="Q66" s="56"/>
      <c r="R66" s="56"/>
      <c r="S66" s="56"/>
      <c r="T66" s="56"/>
    </row>
    <row r="67" spans="1:20">
      <c r="A67" t="s">
        <v>227</v>
      </c>
      <c r="B67" s="59">
        <f>+('SCOTIARÉSULT         '!B14/((scotiavar!J29+scotiavar!B29)/2)*4)</f>
        <v>3.3814748931018157E-2</v>
      </c>
      <c r="C67" s="56">
        <v>4.6800000000000001E-2</v>
      </c>
      <c r="D67" s="56"/>
      <c r="E67" s="49">
        <v>0</v>
      </c>
      <c r="F67" s="56">
        <v>4.5199999999999997E-2</v>
      </c>
      <c r="G67" s="56"/>
      <c r="H67" s="364">
        <v>0</v>
      </c>
      <c r="I67" s="56">
        <v>4.3499999999999997E-2</v>
      </c>
      <c r="J67" s="56"/>
      <c r="K67" s="49">
        <v>0</v>
      </c>
      <c r="L67" s="56">
        <v>3.9100000000000003E-2</v>
      </c>
      <c r="M67" s="56"/>
      <c r="N67" s="59">
        <f>+'sysratfinclé '!P62</f>
        <v>3.3814748931018157E-2</v>
      </c>
      <c r="O67" s="59">
        <f>+'sysratfinclé '!P63</f>
        <v>4.6800000000000001E-2</v>
      </c>
      <c r="P67" s="56"/>
      <c r="Q67" s="56">
        <f>+'SCOTIAVARAN            '!F16/((scotiavar!J29+scotiavar!L29)/2)</f>
        <v>4.488932537584045E-2</v>
      </c>
      <c r="R67" s="56">
        <v>3.5299999999999998E-2</v>
      </c>
      <c r="S67" s="56">
        <v>3.0200000000000001E-2</v>
      </c>
      <c r="T67" s="56">
        <v>1.9800000000000002E-2</v>
      </c>
    </row>
    <row r="68" spans="1:20" ht="6" customHeight="1">
      <c r="B68" s="9"/>
      <c r="C68" s="56"/>
      <c r="D68" s="56"/>
      <c r="E68" s="49"/>
      <c r="F68" s="56"/>
      <c r="G68" s="56"/>
      <c r="H68" s="49"/>
      <c r="I68" s="56"/>
      <c r="J68" s="56"/>
      <c r="K68" s="49"/>
      <c r="L68" s="56"/>
      <c r="M68" s="56"/>
      <c r="N68" s="56"/>
      <c r="O68" s="56"/>
      <c r="P68" s="56"/>
      <c r="Q68" s="56"/>
      <c r="R68" s="56"/>
      <c r="S68" s="56"/>
      <c r="T68" s="56"/>
    </row>
    <row r="69" spans="1:20">
      <c r="A69" t="s">
        <v>204</v>
      </c>
      <c r="B69" s="9"/>
      <c r="C69" s="56"/>
      <c r="D69" s="56"/>
      <c r="E69" s="49"/>
      <c r="F69" s="56"/>
      <c r="G69" s="56"/>
      <c r="H69" s="49"/>
      <c r="I69" s="56"/>
      <c r="J69" s="56"/>
      <c r="K69" s="49"/>
      <c r="L69" s="56"/>
      <c r="M69" s="56"/>
      <c r="N69" s="56"/>
      <c r="O69" s="56"/>
      <c r="P69" s="56"/>
      <c r="Q69" s="56"/>
      <c r="R69" s="56"/>
      <c r="S69" s="56"/>
      <c r="T69" s="56"/>
    </row>
    <row r="70" spans="1:20">
      <c r="A70" t="s">
        <v>228</v>
      </c>
      <c r="B70" s="59">
        <f>+'SCOTIARÉSULT         '!B35/'SCOTIARÉSULT         '!B23</f>
        <v>0.85956618464961065</v>
      </c>
      <c r="C70" s="56">
        <v>0.87139999999999995</v>
      </c>
      <c r="D70" s="56"/>
      <c r="E70" s="57">
        <v>0</v>
      </c>
      <c r="F70" s="56">
        <v>0.51719999999999999</v>
      </c>
      <c r="G70" s="56"/>
      <c r="H70" s="364">
        <v>0</v>
      </c>
      <c r="I70" s="56">
        <v>0.80840000000000001</v>
      </c>
      <c r="J70" s="56"/>
      <c r="K70" s="57">
        <v>0</v>
      </c>
      <c r="L70" s="56">
        <v>0.66100000000000003</v>
      </c>
      <c r="M70" s="56"/>
      <c r="N70" s="59">
        <f>+'sysratfinclé '!P70</f>
        <v>0.85956618464961065</v>
      </c>
      <c r="O70" s="59">
        <f>+'sysratfinclé '!P71</f>
        <v>0.87140457694730211</v>
      </c>
      <c r="P70" s="56"/>
      <c r="Q70" s="56">
        <f>+'SCOTIAVARAN            '!F37/'SCOTIAVARAN            '!F25</f>
        <v>0.71475471344151575</v>
      </c>
      <c r="R70" s="56">
        <v>0.63290000000000002</v>
      </c>
      <c r="S70" s="56">
        <v>0.58950000000000002</v>
      </c>
      <c r="T70" s="56">
        <v>0.58589999999999998</v>
      </c>
    </row>
    <row r="71" spans="1:20">
      <c r="A71" t="s">
        <v>452</v>
      </c>
      <c r="B71" s="9"/>
      <c r="C71" s="9"/>
      <c r="D71" s="9"/>
      <c r="E71" s="49"/>
      <c r="F71" s="9"/>
      <c r="G71" s="9"/>
      <c r="H71" s="49"/>
      <c r="I71" s="9"/>
      <c r="J71" s="9"/>
      <c r="K71" s="49"/>
      <c r="L71" s="9"/>
      <c r="M71" s="9"/>
      <c r="N71" s="9"/>
      <c r="O71" s="9"/>
      <c r="P71" s="9"/>
      <c r="Q71" s="9"/>
      <c r="R71" s="9"/>
      <c r="S71" s="9"/>
      <c r="T71" s="9"/>
    </row>
    <row r="72" spans="1:20">
      <c r="B72" s="9"/>
      <c r="C72" s="9"/>
      <c r="D72" s="9"/>
      <c r="E72" s="49"/>
      <c r="F72" s="9"/>
      <c r="G72" s="9"/>
      <c r="H72" s="49"/>
      <c r="I72" s="9"/>
      <c r="J72" s="9"/>
      <c r="K72" s="49"/>
      <c r="L72" s="9"/>
      <c r="M72" s="9"/>
      <c r="N72" s="9"/>
      <c r="O72" s="9"/>
      <c r="P72" s="9"/>
      <c r="Q72" s="9"/>
      <c r="R72" s="9"/>
      <c r="S72" s="9"/>
      <c r="T72" s="9"/>
    </row>
    <row r="73" spans="1:20">
      <c r="A73" t="s">
        <v>453</v>
      </c>
      <c r="B73" s="49">
        <f>+('SCOTIARÉSULT         '!B23/((84+84)/2)*4)</f>
        <v>1027.4285714285713</v>
      </c>
      <c r="C73" s="49">
        <v>946.68</v>
      </c>
      <c r="D73" s="9"/>
      <c r="E73" s="49">
        <v>0</v>
      </c>
      <c r="F73" s="49">
        <v>918.92</v>
      </c>
      <c r="G73" s="9"/>
      <c r="H73" s="364">
        <v>0</v>
      </c>
      <c r="I73" s="49">
        <v>891.71</v>
      </c>
      <c r="J73" s="9"/>
      <c r="K73" s="49">
        <v>0</v>
      </c>
      <c r="L73" s="49">
        <v>895.04</v>
      </c>
      <c r="M73" s="9"/>
      <c r="N73" s="57">
        <f>+'sysratfinclé '!P76</f>
        <v>1027.4285714285713</v>
      </c>
      <c r="O73" s="57">
        <f>+'sysratfinclé '!P77</f>
        <v>946.68</v>
      </c>
      <c r="P73" s="9"/>
      <c r="Q73" s="49">
        <v>910.09</v>
      </c>
      <c r="R73" s="49">
        <v>928.86</v>
      </c>
      <c r="S73" s="49">
        <v>795</v>
      </c>
      <c r="T73" s="49">
        <v>698.64</v>
      </c>
    </row>
    <row r="74" spans="1:20" ht="16.5" thickBot="1">
      <c r="B74" s="19"/>
      <c r="C74" s="19"/>
      <c r="D74" s="19"/>
      <c r="E74" s="19"/>
      <c r="F74" s="19"/>
      <c r="G74" s="19"/>
      <c r="H74" s="19"/>
      <c r="I74" s="19"/>
      <c r="J74" s="19"/>
      <c r="K74" s="19"/>
      <c r="L74" s="19"/>
      <c r="M74" s="19"/>
      <c r="N74" s="19"/>
      <c r="O74" s="19"/>
      <c r="P74" s="19"/>
      <c r="Q74" s="19"/>
      <c r="R74" s="19"/>
      <c r="S74" s="19"/>
      <c r="T74" s="19"/>
    </row>
  </sheetData>
  <pageMargins left="0.2" right="0.2" top="0.56999999999999995" bottom="0.48" header="0.38" footer="0.27"/>
  <pageSetup scale="44"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69"/>
  <sheetViews>
    <sheetView workbookViewId="0"/>
  </sheetViews>
  <sheetFormatPr defaultRowHeight="15.75"/>
  <cols>
    <col min="1" max="1" width="33.25" customWidth="1"/>
    <col min="2" max="2" width="18.125" style="12" customWidth="1"/>
    <col min="3" max="3" width="9.75" style="13" customWidth="1"/>
    <col min="4" max="4" width="15.75" style="12" customWidth="1"/>
    <col min="5" max="5" width="9.75" style="13" customWidth="1"/>
    <col min="6" max="6" width="15.75" style="12" customWidth="1"/>
    <col min="7" max="7" width="9.75" style="13" customWidth="1"/>
    <col min="8" max="8" width="13.875" style="12" customWidth="1"/>
    <col min="9" max="9" width="11.3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8" width="15.75" style="12" customWidth="1"/>
    <col min="19" max="21" width="15.75" customWidth="1"/>
    <col min="22" max="256" width="11" customWidth="1"/>
  </cols>
  <sheetData>
    <row r="1" spans="1:21">
      <c r="A1" s="114" t="s">
        <v>636</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6" spans="1:21" s="2" customFormat="1" ht="16.5" thickBot="1">
      <c r="B6" s="400" t="s">
        <v>0</v>
      </c>
      <c r="C6" s="399"/>
      <c r="D6" s="400"/>
      <c r="E6" s="399"/>
      <c r="F6" s="400"/>
      <c r="G6" s="399"/>
      <c r="H6" s="400"/>
      <c r="I6" s="67" t="s">
        <v>166</v>
      </c>
      <c r="J6" s="123" t="s">
        <v>167</v>
      </c>
      <c r="K6" s="230"/>
      <c r="L6" s="123"/>
      <c r="M6" s="230"/>
      <c r="N6" s="123"/>
      <c r="O6" s="230"/>
      <c r="P6" s="123"/>
      <c r="Q6" s="4"/>
      <c r="R6" s="4"/>
    </row>
    <row r="7" spans="1:21" s="2" customFormat="1" ht="16.5" thickBot="1">
      <c r="B7" s="223" t="s">
        <v>168</v>
      </c>
      <c r="C7" s="224" t="s">
        <v>169</v>
      </c>
      <c r="D7" s="225" t="s">
        <v>170</v>
      </c>
      <c r="E7" s="224" t="s">
        <v>169</v>
      </c>
      <c r="F7" s="225" t="s">
        <v>171</v>
      </c>
      <c r="G7" s="224" t="s">
        <v>169</v>
      </c>
      <c r="H7" s="225" t="s">
        <v>172</v>
      </c>
      <c r="I7" s="445" t="s">
        <v>173</v>
      </c>
      <c r="J7" s="228" t="s">
        <v>174</v>
      </c>
      <c r="K7" s="227" t="s">
        <v>169</v>
      </c>
      <c r="L7" s="228" t="s">
        <v>175</v>
      </c>
      <c r="M7" s="227" t="s">
        <v>169</v>
      </c>
      <c r="N7" s="228" t="s">
        <v>176</v>
      </c>
      <c r="O7" s="227" t="s">
        <v>169</v>
      </c>
      <c r="P7" s="228" t="s">
        <v>177</v>
      </c>
      <c r="Q7" s="80"/>
      <c r="R7" s="80"/>
      <c r="S7" s="18"/>
      <c r="T7" s="18"/>
      <c r="U7" s="18"/>
    </row>
    <row r="8" spans="1:21">
      <c r="A8" s="87" t="s">
        <v>243</v>
      </c>
      <c r="B8" s="125"/>
      <c r="C8" s="124"/>
      <c r="D8" s="125"/>
      <c r="E8" s="124"/>
      <c r="F8" s="125"/>
      <c r="G8" s="124"/>
      <c r="H8" s="125"/>
      <c r="I8" s="386"/>
      <c r="J8" s="219"/>
      <c r="K8" s="124"/>
      <c r="L8" s="219"/>
      <c r="M8" s="124"/>
      <c r="N8" s="219"/>
      <c r="O8" s="124"/>
      <c r="P8" s="219"/>
      <c r="Q8" s="14"/>
      <c r="R8" s="14"/>
      <c r="S8" s="9"/>
      <c r="T8" s="9"/>
      <c r="U8" s="9"/>
    </row>
    <row r="9" spans="1:21">
      <c r="A9" s="1" t="s">
        <v>264</v>
      </c>
      <c r="B9"/>
    </row>
    <row r="10" spans="1:21">
      <c r="A10" s="1" t="s">
        <v>265</v>
      </c>
      <c r="B10" s="12">
        <v>36100</v>
      </c>
      <c r="C10" s="44">
        <v>0</v>
      </c>
      <c r="D10" s="12">
        <v>0</v>
      </c>
      <c r="E10" s="44">
        <v>0</v>
      </c>
      <c r="F10" s="12">
        <v>0</v>
      </c>
      <c r="G10" s="44">
        <v>0</v>
      </c>
      <c r="H10" s="12">
        <v>0</v>
      </c>
      <c r="I10" s="47">
        <f t="shared" ref="I10:I15" si="0">+(B10-J10)/ABS(J10)</f>
        <v>0.30390811240338078</v>
      </c>
      <c r="J10" s="12">
        <v>27686</v>
      </c>
      <c r="K10" s="47">
        <f t="shared" ref="K10:K15" si="1">+(J10-L10)/ABS(L10)</f>
        <v>0.15879792399129417</v>
      </c>
      <c r="L10" s="12">
        <v>23892</v>
      </c>
      <c r="M10" s="47">
        <f t="shared" ref="M10:M15" si="2">+(L10-N10)/ABS(N10)</f>
        <v>-0.10720491463291598</v>
      </c>
      <c r="N10" s="12">
        <v>26760.9</v>
      </c>
      <c r="O10" s="47">
        <f t="shared" ref="O10:O15" si="3">+(N10-P10)/ABS(P10)</f>
        <v>3.3917466431048947E-2</v>
      </c>
      <c r="P10" s="12">
        <f>25883013.75/1000</f>
        <v>25883.013749999998</v>
      </c>
    </row>
    <row r="11" spans="1:21">
      <c r="A11" s="1" t="s">
        <v>266</v>
      </c>
      <c r="B11" s="12">
        <v>249258</v>
      </c>
      <c r="C11" s="44">
        <v>0</v>
      </c>
      <c r="D11" s="12">
        <v>0</v>
      </c>
      <c r="E11" s="44">
        <v>0</v>
      </c>
      <c r="F11" s="12">
        <v>0</v>
      </c>
      <c r="G11" s="44">
        <v>0</v>
      </c>
      <c r="H11" s="12">
        <v>0</v>
      </c>
      <c r="I11" s="47">
        <f t="shared" si="0"/>
        <v>-4.5039729669672894E-2</v>
      </c>
      <c r="J11" s="12">
        <v>261014</v>
      </c>
      <c r="K11" s="47">
        <f t="shared" si="1"/>
        <v>0.45901831780298158</v>
      </c>
      <c r="L11" s="12">
        <v>178897</v>
      </c>
      <c r="M11" s="47">
        <f t="shared" si="2"/>
        <v>-0.19025336577805782</v>
      </c>
      <c r="N11" s="12">
        <v>220929.6</v>
      </c>
      <c r="O11" s="47">
        <f t="shared" si="3"/>
        <v>-0.22426116493168091</v>
      </c>
      <c r="P11" s="12">
        <f>284798942.65/1000</f>
        <v>284798.94264999998</v>
      </c>
    </row>
    <row r="12" spans="1:21">
      <c r="A12" s="1" t="s">
        <v>267</v>
      </c>
      <c r="B12" s="12">
        <v>120369</v>
      </c>
      <c r="C12" s="44">
        <v>0</v>
      </c>
      <c r="D12" s="12">
        <v>0</v>
      </c>
      <c r="E12" s="44">
        <v>0</v>
      </c>
      <c r="F12" s="12">
        <v>0</v>
      </c>
      <c r="G12" s="44">
        <v>0</v>
      </c>
      <c r="H12" s="12">
        <v>0</v>
      </c>
      <c r="I12" s="47">
        <f t="shared" si="0"/>
        <v>1.0074548456496724</v>
      </c>
      <c r="J12" s="12">
        <v>59961</v>
      </c>
      <c r="K12" s="47">
        <f t="shared" si="1"/>
        <v>-0.30976965845909454</v>
      </c>
      <c r="L12" s="12">
        <v>86871</v>
      </c>
      <c r="M12" s="47">
        <f t="shared" si="2"/>
        <v>5.4695368529234347</v>
      </c>
      <c r="N12" s="12">
        <v>13427.7</v>
      </c>
      <c r="O12" s="47">
        <f t="shared" si="3"/>
        <v>-0.75388538913972536</v>
      </c>
      <c r="P12" s="12">
        <f>54558727.55/1000</f>
        <v>54558.727549999996</v>
      </c>
    </row>
    <row r="13" spans="1:21">
      <c r="A13" s="1" t="s">
        <v>268</v>
      </c>
      <c r="B13" s="12">
        <v>0</v>
      </c>
      <c r="C13" s="44">
        <v>0</v>
      </c>
      <c r="D13" s="12">
        <v>0</v>
      </c>
      <c r="E13" s="44">
        <v>0</v>
      </c>
      <c r="F13" s="12">
        <v>0</v>
      </c>
      <c r="G13" s="44">
        <v>0</v>
      </c>
      <c r="H13" s="12">
        <v>0</v>
      </c>
      <c r="I13" s="44">
        <v>0</v>
      </c>
      <c r="J13" s="12">
        <v>10000</v>
      </c>
      <c r="K13" s="44">
        <v>0</v>
      </c>
      <c r="L13" s="12">
        <v>0</v>
      </c>
      <c r="M13" s="44">
        <v>0</v>
      </c>
      <c r="N13" s="12">
        <v>60000</v>
      </c>
      <c r="O13" s="47">
        <f t="shared" si="3"/>
        <v>4</v>
      </c>
      <c r="P13" s="12">
        <f>12000000/1000</f>
        <v>12000</v>
      </c>
    </row>
    <row r="14" spans="1:21">
      <c r="A14" s="1" t="s">
        <v>269</v>
      </c>
      <c r="B14" s="221">
        <v>11750</v>
      </c>
      <c r="C14" s="44">
        <v>0</v>
      </c>
      <c r="D14" s="221">
        <v>0</v>
      </c>
      <c r="E14" s="44">
        <v>0</v>
      </c>
      <c r="F14" s="221">
        <v>0</v>
      </c>
      <c r="G14" s="44">
        <v>0</v>
      </c>
      <c r="H14" s="221">
        <v>0</v>
      </c>
      <c r="I14" s="47">
        <f t="shared" si="0"/>
        <v>1.0010217983651226</v>
      </c>
      <c r="J14" s="221">
        <v>5872</v>
      </c>
      <c r="K14" s="47">
        <f t="shared" si="1"/>
        <v>4.4468160796869438E-2</v>
      </c>
      <c r="L14" s="221">
        <v>5622</v>
      </c>
      <c r="M14" s="47">
        <f t="shared" si="2"/>
        <v>-0.52307835868375741</v>
      </c>
      <c r="N14" s="221">
        <v>11788.1</v>
      </c>
      <c r="O14" s="47">
        <f t="shared" si="3"/>
        <v>3.6339834188967378E-2</v>
      </c>
      <c r="P14" s="221">
        <f>11374743.7/1000</f>
        <v>11374.743699999999</v>
      </c>
    </row>
    <row r="15" spans="1:21" ht="15.6" customHeight="1">
      <c r="A15" s="1"/>
      <c r="B15" s="12">
        <f>SUM(B10:B14)</f>
        <v>417477</v>
      </c>
      <c r="C15" s="44">
        <v>0</v>
      </c>
      <c r="D15" s="12">
        <f>SUM(D10:D14)</f>
        <v>0</v>
      </c>
      <c r="E15" s="44">
        <v>0</v>
      </c>
      <c r="F15" s="12">
        <f>SUM(F10:F14)</f>
        <v>0</v>
      </c>
      <c r="G15" s="44">
        <v>0</v>
      </c>
      <c r="H15" s="12">
        <f>SUM(H10:H14)</f>
        <v>0</v>
      </c>
      <c r="I15" s="47">
        <f t="shared" si="0"/>
        <v>0.14523787969813431</v>
      </c>
      <c r="J15" s="12">
        <f>SUM(J10:J14)</f>
        <v>364533</v>
      </c>
      <c r="K15" s="47">
        <f t="shared" si="1"/>
        <v>0.23452496257814565</v>
      </c>
      <c r="L15" s="12">
        <f>SUM(L10:L14)</f>
        <v>295282</v>
      </c>
      <c r="M15" s="47">
        <f t="shared" si="2"/>
        <v>-0.11301768695876284</v>
      </c>
      <c r="N15" s="12">
        <f>SUM(N10:N14)</f>
        <v>332906.3</v>
      </c>
      <c r="O15" s="47">
        <f t="shared" si="3"/>
        <v>-0.1433528462492577</v>
      </c>
      <c r="P15" s="12">
        <f>SUM(P10:P14)</f>
        <v>388615.42764999997</v>
      </c>
    </row>
    <row r="16" spans="1:21" ht="7.9" customHeight="1">
      <c r="A16" s="1"/>
      <c r="C16" s="44" t="s">
        <v>0</v>
      </c>
      <c r="E16" s="44" t="s">
        <v>0</v>
      </c>
      <c r="G16" s="44" t="s">
        <v>0</v>
      </c>
      <c r="I16" s="47" t="s">
        <v>0</v>
      </c>
      <c r="K16" s="47" t="s">
        <v>0</v>
      </c>
      <c r="M16" s="47" t="s">
        <v>0</v>
      </c>
      <c r="O16" s="47" t="s">
        <v>0</v>
      </c>
    </row>
    <row r="17" spans="1:16" ht="15" customHeight="1">
      <c r="A17" s="1" t="s">
        <v>270</v>
      </c>
      <c r="B17" s="12">
        <v>25000</v>
      </c>
      <c r="C17" s="44">
        <v>0</v>
      </c>
      <c r="D17" s="12">
        <f>+D73</f>
        <v>0</v>
      </c>
      <c r="E17" s="44">
        <v>0</v>
      </c>
      <c r="F17" s="12">
        <f>+F73</f>
        <v>0</v>
      </c>
      <c r="G17" s="44">
        <v>0</v>
      </c>
      <c r="H17" s="12">
        <v>0</v>
      </c>
      <c r="I17" s="47">
        <f>+(B17-J17)/ABS(J17)</f>
        <v>-0.5</v>
      </c>
      <c r="J17" s="12">
        <v>50000</v>
      </c>
      <c r="K17" s="44">
        <v>0</v>
      </c>
      <c r="L17" s="12">
        <f>+L73</f>
        <v>0</v>
      </c>
      <c r="M17" s="47"/>
      <c r="O17" s="47"/>
    </row>
    <row r="18" spans="1:16">
      <c r="A18" s="1" t="s">
        <v>271</v>
      </c>
      <c r="B18" s="12">
        <f>+B79</f>
        <v>0</v>
      </c>
      <c r="C18" s="44">
        <v>0</v>
      </c>
      <c r="D18" s="12">
        <f>+D79</f>
        <v>0</v>
      </c>
      <c r="E18" s="44">
        <v>0</v>
      </c>
      <c r="F18" s="12">
        <f>+F79</f>
        <v>0</v>
      </c>
      <c r="G18" s="44">
        <v>0</v>
      </c>
      <c r="H18" s="12">
        <f>+H79</f>
        <v>0</v>
      </c>
      <c r="I18" s="44">
        <v>0</v>
      </c>
      <c r="J18" s="12">
        <f>+J79</f>
        <v>0</v>
      </c>
      <c r="K18" s="44">
        <v>0</v>
      </c>
      <c r="L18" s="12">
        <f>+L79</f>
        <v>0</v>
      </c>
      <c r="M18" s="44">
        <v>0</v>
      </c>
      <c r="N18" s="12">
        <v>0</v>
      </c>
      <c r="O18" s="44">
        <v>0</v>
      </c>
      <c r="P18" s="12">
        <v>0</v>
      </c>
    </row>
    <row r="19" spans="1:16">
      <c r="A19" s="1" t="s">
        <v>272</v>
      </c>
      <c r="B19" s="12">
        <v>494790</v>
      </c>
      <c r="C19" s="44">
        <v>0</v>
      </c>
      <c r="D19" s="12">
        <v>0</v>
      </c>
      <c r="E19" s="44">
        <v>0</v>
      </c>
      <c r="F19" s="12">
        <v>0</v>
      </c>
      <c r="G19" s="44">
        <v>0</v>
      </c>
      <c r="H19" s="12">
        <v>0</v>
      </c>
      <c r="I19" s="47">
        <f>+(B19-J19)/ABS(J19)</f>
        <v>2.2242698709154917E-2</v>
      </c>
      <c r="J19" s="12">
        <v>484024</v>
      </c>
      <c r="K19" s="47">
        <f>+(J19-L19)/ABS(L19)</f>
        <v>0.10673520158044926</v>
      </c>
      <c r="L19" s="12">
        <v>437344</v>
      </c>
      <c r="M19" s="47">
        <f>+(L19-N19)/ABS(N19)</f>
        <v>0.18067282131357629</v>
      </c>
      <c r="N19" s="12">
        <v>370419.3</v>
      </c>
      <c r="O19" s="47">
        <f>+(N19-P19)/ABS(P19)</f>
        <v>0.11784518426886581</v>
      </c>
      <c r="P19" s="12">
        <f>331369052.9/1000</f>
        <v>331369.05289999995</v>
      </c>
    </row>
    <row r="20" spans="1:16">
      <c r="A20" s="1" t="s">
        <v>273</v>
      </c>
      <c r="B20" s="12">
        <v>14572</v>
      </c>
      <c r="C20" s="44">
        <v>0</v>
      </c>
      <c r="D20" s="12">
        <v>0</v>
      </c>
      <c r="E20" s="44">
        <v>0</v>
      </c>
      <c r="F20" s="12">
        <v>0</v>
      </c>
      <c r="G20" s="44">
        <v>0</v>
      </c>
      <c r="H20" s="12">
        <v>0</v>
      </c>
      <c r="I20" s="47">
        <f>+(B20-J20)/ABS(J20)</f>
        <v>-6.9476372924648783E-2</v>
      </c>
      <c r="J20" s="12">
        <v>15660</v>
      </c>
      <c r="K20" s="47">
        <f>+(J20-L20)/ABS(L20)</f>
        <v>-0.13733267228557264</v>
      </c>
      <c r="L20" s="12">
        <v>18153</v>
      </c>
      <c r="M20" s="47">
        <f>+(L20-N20)/ABS(N20)</f>
        <v>4.3383798323964502E-2</v>
      </c>
      <c r="N20" s="12">
        <v>17398.2</v>
      </c>
      <c r="O20" s="47">
        <f>+(N20-P20)/ABS(P20)</f>
        <v>6.055916133950717</v>
      </c>
      <c r="P20" s="12">
        <f>2465760.6/1000</f>
        <v>2465.7606000000001</v>
      </c>
    </row>
    <row r="21" spans="1:16">
      <c r="A21" s="1" t="s">
        <v>274</v>
      </c>
      <c r="B21" s="221">
        <v>5699</v>
      </c>
      <c r="C21" s="44">
        <v>0</v>
      </c>
      <c r="D21" s="221">
        <v>0</v>
      </c>
      <c r="E21" s="44">
        <v>0</v>
      </c>
      <c r="F21" s="221">
        <v>0</v>
      </c>
      <c r="G21" s="44">
        <v>0</v>
      </c>
      <c r="H21" s="221">
        <v>0</v>
      </c>
      <c r="I21" s="47">
        <f>+(B21-J21)/ABS(J21)</f>
        <v>-4.74678255055992E-2</v>
      </c>
      <c r="J21" s="221">
        <v>5983</v>
      </c>
      <c r="K21" s="47">
        <f>+(J21-L21)/ABS(L21)</f>
        <v>7.6466354803886291E-2</v>
      </c>
      <c r="L21" s="221">
        <v>5558</v>
      </c>
      <c r="M21" s="47">
        <f>+(L21-N21)/ABS(N21)</f>
        <v>-4.717822121648492E-2</v>
      </c>
      <c r="N21" s="221">
        <v>5833.2</v>
      </c>
      <c r="O21" s="47">
        <f>+(N21-P21)/ABS(P21)</f>
        <v>-0.41887772598880346</v>
      </c>
      <c r="P21" s="221">
        <f>10037818.65/1000</f>
        <v>10037.818650000001</v>
      </c>
    </row>
    <row r="22" spans="1:16">
      <c r="A22" s="1" t="s">
        <v>275</v>
      </c>
      <c r="B22" s="4">
        <f>SUM(B15:B21)</f>
        <v>957538</v>
      </c>
      <c r="C22" s="44">
        <v>0</v>
      </c>
      <c r="D22" s="4">
        <f>SUM(D15:D21)</f>
        <v>0</v>
      </c>
      <c r="E22" s="44">
        <v>0</v>
      </c>
      <c r="F22" s="4">
        <f>SUM(F15:F21)</f>
        <v>0</v>
      </c>
      <c r="G22" s="44">
        <v>0</v>
      </c>
      <c r="H22" s="4">
        <f>SUM(H15:H21)</f>
        <v>0</v>
      </c>
      <c r="I22" s="47">
        <f>+(B22-J22)/ABS(J22)</f>
        <v>4.057596174744621E-2</v>
      </c>
      <c r="J22" s="4">
        <f>SUM(J15:J21)</f>
        <v>920200</v>
      </c>
      <c r="K22" s="112">
        <f>+(J22-L22)/ABS(L22)</f>
        <v>0.21665342301117094</v>
      </c>
      <c r="L22" s="4">
        <f>SUM(L15:L21)</f>
        <v>756337</v>
      </c>
      <c r="M22" s="112">
        <f>+(L22-N22)/ABS(N22)</f>
        <v>4.0987693878430403E-2</v>
      </c>
      <c r="N22" s="4">
        <f>SUM(N15:N21)+0.1</f>
        <v>726557.09999999986</v>
      </c>
      <c r="O22" s="112">
        <f>+(N22-P22)/ABS(P22)</f>
        <v>-8.0970054332620608E-3</v>
      </c>
      <c r="P22" s="4">
        <f>SUM(P15:P21)</f>
        <v>732488.05980000005</v>
      </c>
    </row>
    <row r="23" spans="1:16" ht="7.9" customHeight="1">
      <c r="A23" s="1"/>
      <c r="C23" s="44" t="s">
        <v>0</v>
      </c>
      <c r="E23" s="44" t="s">
        <v>0</v>
      </c>
      <c r="G23" s="44" t="s">
        <v>0</v>
      </c>
      <c r="I23" s="47" t="s">
        <v>0</v>
      </c>
      <c r="K23" s="47" t="s">
        <v>0</v>
      </c>
      <c r="M23" s="47" t="s">
        <v>0</v>
      </c>
      <c r="O23" s="47" t="s">
        <v>0</v>
      </c>
    </row>
    <row r="24" spans="1:16">
      <c r="A24" s="87" t="s">
        <v>276</v>
      </c>
      <c r="C24" s="44" t="s">
        <v>0</v>
      </c>
      <c r="E24" s="44" t="s">
        <v>0</v>
      </c>
      <c r="G24" s="44" t="s">
        <v>0</v>
      </c>
      <c r="I24" s="47" t="s">
        <v>0</v>
      </c>
      <c r="K24" s="47" t="s">
        <v>0</v>
      </c>
      <c r="M24" s="47" t="s">
        <v>0</v>
      </c>
      <c r="O24" s="47" t="s">
        <v>0</v>
      </c>
    </row>
    <row r="25" spans="1:16">
      <c r="A25" s="1" t="s">
        <v>277</v>
      </c>
      <c r="C25" s="44" t="s">
        <v>0</v>
      </c>
      <c r="E25" s="44" t="s">
        <v>0</v>
      </c>
      <c r="G25" s="44" t="s">
        <v>0</v>
      </c>
      <c r="I25" s="47" t="s">
        <v>0</v>
      </c>
      <c r="K25" s="47" t="s">
        <v>0</v>
      </c>
      <c r="M25" s="47" t="s">
        <v>0</v>
      </c>
      <c r="O25" s="47" t="s">
        <v>0</v>
      </c>
    </row>
    <row r="26" spans="1:16">
      <c r="A26" s="1" t="s">
        <v>278</v>
      </c>
      <c r="B26" s="12">
        <v>172953</v>
      </c>
      <c r="C26" s="44">
        <v>0</v>
      </c>
      <c r="D26" s="12">
        <v>0</v>
      </c>
      <c r="E26" s="44">
        <v>0</v>
      </c>
      <c r="F26" s="12">
        <v>0</v>
      </c>
      <c r="G26" s="44">
        <v>0</v>
      </c>
      <c r="H26" s="12">
        <v>0</v>
      </c>
      <c r="I26" s="47">
        <f>+(B26-J26)/ABS(J26)</f>
        <v>3.9680917572376649E-2</v>
      </c>
      <c r="J26" s="12">
        <v>166352</v>
      </c>
      <c r="K26" s="47">
        <f>+(J26-L26)/ABS(L26)</f>
        <v>3.4308666078068067E-2</v>
      </c>
      <c r="L26" s="12">
        <v>160834</v>
      </c>
      <c r="M26" s="47">
        <f>+(L26-N26)/ABS(N26)</f>
        <v>-2.4822361771416446E-2</v>
      </c>
      <c r="N26" s="12">
        <v>164927.9</v>
      </c>
      <c r="O26" s="47">
        <f>+(N26-P26)/ABS(P26)</f>
        <v>-8.5339615844845881E-2</v>
      </c>
      <c r="P26" s="12">
        <f>180315998/1000</f>
        <v>180315.99799999999</v>
      </c>
    </row>
    <row r="27" spans="1:16">
      <c r="A27" s="1" t="s">
        <v>279</v>
      </c>
      <c r="B27" s="12">
        <v>488394</v>
      </c>
      <c r="C27" s="44">
        <v>0</v>
      </c>
      <c r="D27" s="12">
        <v>0</v>
      </c>
      <c r="E27" s="44">
        <v>0</v>
      </c>
      <c r="F27" s="12">
        <v>0</v>
      </c>
      <c r="G27" s="44">
        <v>0</v>
      </c>
      <c r="H27" s="12">
        <v>0</v>
      </c>
      <c r="I27" s="47">
        <f>+(B27-J27)/ABS(J27)</f>
        <v>2.0208900533227742E-3</v>
      </c>
      <c r="J27" s="12">
        <v>487409</v>
      </c>
      <c r="K27" s="47">
        <f>+(J27-L27)/ABS(L27)</f>
        <v>6.9782601538579722E-2</v>
      </c>
      <c r="L27" s="12">
        <v>455615</v>
      </c>
      <c r="M27" s="47">
        <f>+(L27-N27)/ABS(N27)</f>
        <v>-4.5638590457119037E-2</v>
      </c>
      <c r="N27" s="12">
        <v>477403</v>
      </c>
      <c r="O27" s="47">
        <f>+(N27-P27)/ABS(P27)</f>
        <v>-1.7508164395908986E-2</v>
      </c>
      <c r="P27" s="12">
        <f>485910399.15/1000</f>
        <v>485910.39914999995</v>
      </c>
    </row>
    <row r="28" spans="1:16">
      <c r="A28" s="1" t="s">
        <v>280</v>
      </c>
      <c r="B28" s="221">
        <v>227441</v>
      </c>
      <c r="C28" s="44">
        <v>0</v>
      </c>
      <c r="D28" s="221">
        <v>0</v>
      </c>
      <c r="E28" s="44">
        <v>0</v>
      </c>
      <c r="F28" s="221">
        <v>0</v>
      </c>
      <c r="G28" s="44">
        <v>0</v>
      </c>
      <c r="H28" s="221">
        <v>0</v>
      </c>
      <c r="I28" s="47">
        <f>+(B28-J28)/ABS(J28)</f>
        <v>-1.0833637771167127E-2</v>
      </c>
      <c r="J28" s="221">
        <v>229932</v>
      </c>
      <c r="K28" s="47">
        <f>+(J28-L28)/ABS(L28)</f>
        <v>1.6040453917416022</v>
      </c>
      <c r="L28" s="221">
        <v>88298</v>
      </c>
      <c r="M28" s="47">
        <f>+(L28-N28)/ABS(N28)</f>
        <v>1.2930138103325595</v>
      </c>
      <c r="N28" s="221">
        <v>38507.4</v>
      </c>
      <c r="O28" s="47">
        <f>+(N28-P28)/ABS(P28)</f>
        <v>1.5319245396617844</v>
      </c>
      <c r="P28" s="221">
        <f>15208747.1/1000</f>
        <v>15208.747100000001</v>
      </c>
    </row>
    <row r="29" spans="1:16">
      <c r="A29" s="1"/>
      <c r="B29" s="12">
        <f>SUM(B26:B28)</f>
        <v>888788</v>
      </c>
      <c r="C29" s="44">
        <v>0</v>
      </c>
      <c r="D29" s="12">
        <f>SUM(D26:D28)</f>
        <v>0</v>
      </c>
      <c r="E29" s="44">
        <v>0</v>
      </c>
      <c r="F29" s="12">
        <f>SUM(F26:F28)</f>
        <v>0</v>
      </c>
      <c r="G29" s="44">
        <v>0</v>
      </c>
      <c r="H29" s="12">
        <f>SUM(H26:H28)</f>
        <v>0</v>
      </c>
      <c r="I29" s="47">
        <f>+(B29-J29)/ABS(J29)</f>
        <v>5.7655769594191645E-3</v>
      </c>
      <c r="J29" s="12">
        <f>SUM(J26:J28)</f>
        <v>883693</v>
      </c>
      <c r="K29" s="47">
        <f>+(J29-L29)/ABS(L29)</f>
        <v>0.25391523482895278</v>
      </c>
      <c r="L29" s="12">
        <f>SUM(L26:L28)</f>
        <v>704747</v>
      </c>
      <c r="M29" s="47">
        <f>+(L29-N29)/ABS(N29)</f>
        <v>3.5116561450787877E-2</v>
      </c>
      <c r="N29" s="12">
        <f>SUM(N26:N28)</f>
        <v>680838.3</v>
      </c>
      <c r="O29" s="47">
        <f>+(N29-P29)/ABS(P29)</f>
        <v>-8.7586361671566448E-4</v>
      </c>
      <c r="P29" s="12">
        <f>SUM(P26:P28)</f>
        <v>681435.14425000001</v>
      </c>
    </row>
    <row r="30" spans="1:16" ht="7.9" customHeight="1">
      <c r="A30" s="1"/>
      <c r="C30" s="44" t="s">
        <v>0</v>
      </c>
      <c r="E30" s="44" t="s">
        <v>0</v>
      </c>
      <c r="G30" s="44" t="s">
        <v>0</v>
      </c>
      <c r="I30" s="47" t="s">
        <v>0</v>
      </c>
      <c r="K30" s="47" t="s">
        <v>0</v>
      </c>
      <c r="M30" s="47" t="s">
        <v>0</v>
      </c>
      <c r="O30" s="47" t="s">
        <v>0</v>
      </c>
    </row>
    <row r="31" spans="1:16">
      <c r="A31" s="1" t="s">
        <v>281</v>
      </c>
      <c r="C31" s="44" t="s">
        <v>0</v>
      </c>
      <c r="E31" s="44" t="s">
        <v>0</v>
      </c>
      <c r="G31" s="44" t="s">
        <v>0</v>
      </c>
      <c r="I31" s="47" t="s">
        <v>0</v>
      </c>
      <c r="K31" s="47" t="s">
        <v>0</v>
      </c>
      <c r="M31" s="47" t="s">
        <v>0</v>
      </c>
      <c r="O31" s="47" t="s">
        <v>0</v>
      </c>
    </row>
    <row r="32" spans="1:16">
      <c r="A32" s="1" t="s">
        <v>282</v>
      </c>
      <c r="B32" s="12">
        <v>0</v>
      </c>
      <c r="C32" s="44">
        <v>0</v>
      </c>
      <c r="D32" s="12">
        <f>+D138</f>
        <v>0</v>
      </c>
      <c r="E32" s="44">
        <v>0</v>
      </c>
      <c r="F32" s="12">
        <f>+F138</f>
        <v>0</v>
      </c>
      <c r="G32" s="44">
        <v>0</v>
      </c>
      <c r="H32" s="12">
        <f>+H138</f>
        <v>0</v>
      </c>
      <c r="I32" s="44">
        <v>0</v>
      </c>
      <c r="J32" s="12">
        <f>+J138</f>
        <v>0</v>
      </c>
      <c r="K32" s="44">
        <v>0</v>
      </c>
      <c r="L32" s="12">
        <f>+L138</f>
        <v>0</v>
      </c>
      <c r="M32" s="44">
        <v>0</v>
      </c>
      <c r="N32" s="12">
        <v>0</v>
      </c>
      <c r="O32" s="44">
        <v>0</v>
      </c>
      <c r="P32" s="12">
        <v>0</v>
      </c>
    </row>
    <row r="33" spans="1:21">
      <c r="A33" s="1" t="s">
        <v>283</v>
      </c>
      <c r="B33" s="12">
        <f>+B139</f>
        <v>0</v>
      </c>
      <c r="C33" s="44">
        <v>0</v>
      </c>
      <c r="D33" s="12">
        <f>+D139</f>
        <v>0</v>
      </c>
      <c r="E33" s="44">
        <v>0</v>
      </c>
      <c r="F33" s="12">
        <f>+F139</f>
        <v>0</v>
      </c>
      <c r="G33" s="44">
        <v>0</v>
      </c>
      <c r="H33" s="12">
        <f>+H139</f>
        <v>0</v>
      </c>
      <c r="I33" s="44">
        <v>0</v>
      </c>
      <c r="J33" s="12">
        <f>+J139</f>
        <v>0</v>
      </c>
      <c r="K33" s="44">
        <v>0</v>
      </c>
      <c r="L33" s="12">
        <f>+L139</f>
        <v>0</v>
      </c>
      <c r="M33" s="44">
        <v>0</v>
      </c>
      <c r="N33" s="12">
        <v>0</v>
      </c>
      <c r="O33" s="44">
        <v>0</v>
      </c>
      <c r="P33" s="12">
        <v>0</v>
      </c>
    </row>
    <row r="34" spans="1:21" ht="18">
      <c r="A34" s="1" t="s">
        <v>284</v>
      </c>
      <c r="B34" s="221">
        <v>26588</v>
      </c>
      <c r="C34" s="44">
        <v>0</v>
      </c>
      <c r="D34" s="221">
        <v>0</v>
      </c>
      <c r="E34" s="44">
        <v>0</v>
      </c>
      <c r="F34" s="221">
        <v>0</v>
      </c>
      <c r="G34" s="44">
        <v>0</v>
      </c>
      <c r="H34" s="221">
        <v>0</v>
      </c>
      <c r="I34" s="47">
        <f>+(B34-J34)/ABS(J34)</f>
        <v>2.6920551543007223E-2</v>
      </c>
      <c r="J34" s="221">
        <v>25891</v>
      </c>
      <c r="K34" s="47">
        <f>+(J34-L34)/ABS(L34)</f>
        <v>0.18218346194237706</v>
      </c>
      <c r="L34" s="221">
        <v>21901</v>
      </c>
      <c r="M34" s="47">
        <f>+(L34-N34)/ABS(N34)</f>
        <v>-4.2139561328697325E-2</v>
      </c>
      <c r="N34" s="221">
        <v>22864.5</v>
      </c>
      <c r="O34" s="47">
        <f>+(N34-P34)/ABS(P34)</f>
        <v>2.5667190075086429E-3</v>
      </c>
      <c r="P34" s="221">
        <f>22805963.5/1000</f>
        <v>22805.963500000002</v>
      </c>
      <c r="Q34" s="6"/>
      <c r="R34" s="6"/>
      <c r="S34" s="7"/>
      <c r="T34" s="7"/>
      <c r="U34" s="7"/>
    </row>
    <row r="35" spans="1:21">
      <c r="A35" s="1"/>
      <c r="B35" s="12">
        <f>SUM(B32:B34)</f>
        <v>26588</v>
      </c>
      <c r="C35" s="44">
        <v>0</v>
      </c>
      <c r="D35" s="12">
        <f>SUM(D32:D34)</f>
        <v>0</v>
      </c>
      <c r="E35" s="44">
        <v>0</v>
      </c>
      <c r="F35" s="12">
        <f>SUM(F32:F34)</f>
        <v>0</v>
      </c>
      <c r="G35" s="44">
        <v>0</v>
      </c>
      <c r="H35" s="12">
        <f>SUM(H32:H34)</f>
        <v>0</v>
      </c>
      <c r="I35" s="47">
        <f>+(B35-J35)/ABS(J35)</f>
        <v>2.6920551543007223E-2</v>
      </c>
      <c r="J35" s="12">
        <f>SUM(J32:J34)</f>
        <v>25891</v>
      </c>
      <c r="K35" s="47">
        <f>+(J35-L35)/ABS(L35)</f>
        <v>0.18218346194237706</v>
      </c>
      <c r="L35" s="12">
        <f>SUM(L32:L34)</f>
        <v>21901</v>
      </c>
      <c r="M35" s="47">
        <f>+(L35-N35)/ABS(N35)</f>
        <v>-4.2139561328697325E-2</v>
      </c>
      <c r="N35" s="12">
        <f>SUM(N32:N34)</f>
        <v>22864.5</v>
      </c>
      <c r="O35" s="47">
        <f>+(N35-P35)/ABS(P35)</f>
        <v>2.5667190075086429E-3</v>
      </c>
      <c r="P35" s="12">
        <f>SUM(P32:P34)</f>
        <v>22805.963500000002</v>
      </c>
    </row>
    <row r="36" spans="1:21" ht="7.15" customHeight="1">
      <c r="A36" s="1"/>
      <c r="C36" s="44" t="s">
        <v>0</v>
      </c>
      <c r="E36" s="44" t="s">
        <v>0</v>
      </c>
      <c r="G36" s="44" t="s">
        <v>0</v>
      </c>
      <c r="I36" s="47" t="s">
        <v>0</v>
      </c>
      <c r="K36" s="47" t="s">
        <v>0</v>
      </c>
      <c r="M36" s="47" t="s">
        <v>0</v>
      </c>
      <c r="O36" s="47" t="s">
        <v>0</v>
      </c>
    </row>
    <row r="37" spans="1:21">
      <c r="A37" s="1" t="s">
        <v>285</v>
      </c>
      <c r="C37" s="44" t="s">
        <v>0</v>
      </c>
      <c r="E37" s="44" t="s">
        <v>0</v>
      </c>
      <c r="G37" s="44" t="s">
        <v>0</v>
      </c>
      <c r="I37" s="47" t="s">
        <v>0</v>
      </c>
      <c r="K37" s="47" t="s">
        <v>0</v>
      </c>
      <c r="M37" s="47" t="s">
        <v>0</v>
      </c>
      <c r="O37" s="47" t="s">
        <v>0</v>
      </c>
    </row>
    <row r="38" spans="1:21">
      <c r="A38" s="1" t="s">
        <v>282</v>
      </c>
      <c r="B38" s="12">
        <f>+B145</f>
        <v>0</v>
      </c>
      <c r="C38" s="44">
        <v>0</v>
      </c>
      <c r="D38" s="12">
        <f>+D145</f>
        <v>0</v>
      </c>
      <c r="E38" s="44">
        <v>0</v>
      </c>
      <c r="F38" s="12">
        <f>+F145</f>
        <v>0</v>
      </c>
      <c r="G38" s="44">
        <v>0</v>
      </c>
      <c r="H38" s="12">
        <f>+H145</f>
        <v>0</v>
      </c>
      <c r="I38" s="44">
        <v>0</v>
      </c>
      <c r="J38" s="12">
        <f>+J145</f>
        <v>0</v>
      </c>
      <c r="K38" s="44">
        <v>0</v>
      </c>
      <c r="L38" s="12">
        <f>+L145</f>
        <v>0</v>
      </c>
      <c r="M38" s="44">
        <v>0</v>
      </c>
      <c r="N38" s="12">
        <v>0</v>
      </c>
      <c r="O38" s="44">
        <v>0</v>
      </c>
      <c r="P38" s="12">
        <v>0</v>
      </c>
    </row>
    <row r="39" spans="1:21">
      <c r="A39" s="1" t="s">
        <v>286</v>
      </c>
      <c r="B39" s="12">
        <f>+B146</f>
        <v>0</v>
      </c>
      <c r="C39" s="44">
        <v>0</v>
      </c>
      <c r="D39" s="12">
        <f>+D146</f>
        <v>0</v>
      </c>
      <c r="E39" s="44">
        <v>0</v>
      </c>
      <c r="F39" s="12">
        <f>+F146</f>
        <v>0</v>
      </c>
      <c r="G39" s="44">
        <v>0</v>
      </c>
      <c r="H39" s="12">
        <f>+H146</f>
        <v>0</v>
      </c>
      <c r="I39" s="44">
        <v>0</v>
      </c>
      <c r="J39" s="12">
        <f>+J146</f>
        <v>0</v>
      </c>
      <c r="K39" s="44">
        <v>0</v>
      </c>
      <c r="L39" s="12">
        <f>+L146</f>
        <v>0</v>
      </c>
      <c r="M39" s="44">
        <v>0</v>
      </c>
      <c r="N39" s="12">
        <v>0</v>
      </c>
      <c r="O39" s="44">
        <v>0</v>
      </c>
      <c r="P39" s="12">
        <v>0</v>
      </c>
    </row>
    <row r="40" spans="1:21">
      <c r="A40" s="1" t="s">
        <v>284</v>
      </c>
      <c r="B40" s="221">
        <v>251</v>
      </c>
      <c r="C40" s="44">
        <v>0</v>
      </c>
      <c r="D40" s="221">
        <v>0</v>
      </c>
      <c r="E40" s="44">
        <v>0</v>
      </c>
      <c r="F40" s="221">
        <v>0</v>
      </c>
      <c r="G40" s="44">
        <v>0</v>
      </c>
      <c r="H40" s="221">
        <v>0</v>
      </c>
      <c r="I40" s="47">
        <f>+(B40-J40)/ABS(J40)</f>
        <v>-0.9847397859922179</v>
      </c>
      <c r="J40" s="221">
        <v>16448</v>
      </c>
      <c r="K40" s="47">
        <f>+(J40-L40)/ABS(L40)</f>
        <v>8.4245220830586678E-2</v>
      </c>
      <c r="L40" s="221">
        <v>15170</v>
      </c>
      <c r="M40" s="47">
        <f>+(L40-N40)/ABS(N40)</f>
        <v>0.48932828054742888</v>
      </c>
      <c r="N40" s="221">
        <v>10185.799999999999</v>
      </c>
      <c r="O40" s="47">
        <f>+(N40-P40)/ABS(P40)</f>
        <v>-9.5500111723824735E-2</v>
      </c>
      <c r="P40" s="221">
        <f>11261250.7/1000</f>
        <v>11261.250699999999</v>
      </c>
    </row>
    <row r="41" spans="1:21">
      <c r="A41" s="1"/>
      <c r="B41" s="12">
        <f>SUM(B38:B40)</f>
        <v>251</v>
      </c>
      <c r="C41" s="44">
        <v>0</v>
      </c>
      <c r="D41" s="12">
        <f>SUM(D38:D40)</f>
        <v>0</v>
      </c>
      <c r="E41" s="44">
        <v>0</v>
      </c>
      <c r="F41" s="12">
        <f>SUM(F38:F40)</f>
        <v>0</v>
      </c>
      <c r="G41" s="44">
        <v>0</v>
      </c>
      <c r="H41" s="12">
        <f>SUM(H38:H40)</f>
        <v>0</v>
      </c>
      <c r="I41" s="47">
        <f>+(B41-J41)/ABS(J41)</f>
        <v>-0.9847397859922179</v>
      </c>
      <c r="J41" s="12">
        <f>SUM(J38:J40)</f>
        <v>16448</v>
      </c>
      <c r="K41" s="47">
        <f>+(J41-L41)/ABS(L41)</f>
        <v>8.4245220830586678E-2</v>
      </c>
      <c r="L41" s="12">
        <f>SUM(L38:L40)</f>
        <v>15170</v>
      </c>
      <c r="M41" s="47">
        <f>+(L41-N41)/ABS(N41)</f>
        <v>0.48932828054742888</v>
      </c>
      <c r="N41" s="12">
        <f>SUM(N38:N40)</f>
        <v>10185.799999999999</v>
      </c>
      <c r="O41" s="47">
        <f>+(N41-P41)/ABS(P41)</f>
        <v>-9.5500111723824735E-2</v>
      </c>
      <c r="P41" s="12">
        <f>SUM(P38:P40)</f>
        <v>11261.250699999999</v>
      </c>
    </row>
    <row r="42" spans="1:21" ht="8.4499999999999993" customHeight="1">
      <c r="A42" s="1"/>
      <c r="C42" s="44" t="s">
        <v>0</v>
      </c>
      <c r="E42" s="44" t="s">
        <v>0</v>
      </c>
      <c r="G42" s="44" t="s">
        <v>0</v>
      </c>
      <c r="I42" s="47" t="s">
        <v>0</v>
      </c>
      <c r="K42" s="47" t="s">
        <v>0</v>
      </c>
      <c r="M42" s="47" t="s">
        <v>0</v>
      </c>
      <c r="O42" s="47" t="s">
        <v>0</v>
      </c>
    </row>
    <row r="43" spans="1:21" ht="18">
      <c r="A43" s="1" t="s">
        <v>287</v>
      </c>
      <c r="B43" s="221">
        <v>0</v>
      </c>
      <c r="C43" s="44">
        <v>0</v>
      </c>
      <c r="D43" s="221">
        <v>0</v>
      </c>
      <c r="E43" s="44">
        <v>0</v>
      </c>
      <c r="F43" s="221">
        <v>0</v>
      </c>
      <c r="G43" s="44">
        <v>0</v>
      </c>
      <c r="H43" s="221">
        <f>+H151+H153+H155</f>
        <v>0</v>
      </c>
      <c r="I43" s="44">
        <v>0</v>
      </c>
      <c r="J43" s="221">
        <f>+J151+J153+J155</f>
        <v>0</v>
      </c>
      <c r="K43" s="44">
        <v>0</v>
      </c>
      <c r="L43" s="221">
        <f>+L151+L153+L155</f>
        <v>0</v>
      </c>
      <c r="M43" s="44">
        <v>0</v>
      </c>
      <c r="N43" s="221">
        <v>845.8</v>
      </c>
      <c r="O43" s="47">
        <f>+(N43-P43)/ABS(P43)</f>
        <v>-0.89125656218048255</v>
      </c>
      <c r="P43" s="221">
        <f>7777940.6/1000</f>
        <v>7777.9405999999999</v>
      </c>
      <c r="Q43" s="6"/>
      <c r="R43" s="6"/>
    </row>
    <row r="44" spans="1:21">
      <c r="A44" s="1"/>
      <c r="B44" s="12">
        <f>+B29+B35+B41+B43</f>
        <v>915627</v>
      </c>
      <c r="C44" s="44">
        <v>0</v>
      </c>
      <c r="D44" s="12">
        <f>+D29+D35+D41+D43</f>
        <v>0</v>
      </c>
      <c r="E44" s="44">
        <v>0</v>
      </c>
      <c r="F44" s="12">
        <f>+F29+F35+F41+F43</f>
        <v>0</v>
      </c>
      <c r="G44" s="44">
        <v>0</v>
      </c>
      <c r="H44" s="12">
        <f>+H29+H35+H41+H43</f>
        <v>0</v>
      </c>
      <c r="I44" s="47">
        <f>+(B44-J44)/ABS(J44)</f>
        <v>-1.1236112790918672E-2</v>
      </c>
      <c r="J44" s="12">
        <f>+J29+J35+J41+J43</f>
        <v>926032</v>
      </c>
      <c r="K44" s="47">
        <f>+(J44-L44)/ABS(L44)</f>
        <v>0.24832775694307768</v>
      </c>
      <c r="L44" s="12">
        <f>+L29+L35+L41+L43</f>
        <v>741818</v>
      </c>
      <c r="M44" s="47">
        <f>+(L44-N44)/ABS(N44)</f>
        <v>3.7893236984255764E-2</v>
      </c>
      <c r="N44" s="12">
        <f>+N29+N35+N41+N43</f>
        <v>714734.40000000014</v>
      </c>
      <c r="O44" s="47">
        <f>+(N44-P44)/ABS(P44)</f>
        <v>-1.1815473283628041E-2</v>
      </c>
      <c r="P44" s="12">
        <f>+P29+P35+P41+P43</f>
        <v>723280.29904999991</v>
      </c>
    </row>
    <row r="45" spans="1:21" ht="8.4499999999999993" customHeight="1">
      <c r="A45" s="1"/>
      <c r="C45" s="44" t="s">
        <v>0</v>
      </c>
      <c r="E45" s="44" t="s">
        <v>0</v>
      </c>
      <c r="G45" s="44" t="s">
        <v>0</v>
      </c>
      <c r="I45" s="47" t="s">
        <v>0</v>
      </c>
      <c r="K45" s="47" t="s">
        <v>0</v>
      </c>
      <c r="M45" s="47" t="s">
        <v>0</v>
      </c>
      <c r="O45" s="47" t="s">
        <v>0</v>
      </c>
    </row>
    <row r="46" spans="1:21">
      <c r="A46" s="87" t="s">
        <v>288</v>
      </c>
      <c r="C46" s="44" t="s">
        <v>0</v>
      </c>
      <c r="D46" s="16" t="s">
        <v>0</v>
      </c>
      <c r="E46" s="44" t="s">
        <v>0</v>
      </c>
      <c r="G46" s="44" t="s">
        <v>0</v>
      </c>
      <c r="I46" s="47" t="s">
        <v>0</v>
      </c>
      <c r="K46" s="47" t="s">
        <v>0</v>
      </c>
      <c r="M46" s="47" t="s">
        <v>0</v>
      </c>
      <c r="O46" s="47" t="s">
        <v>0</v>
      </c>
    </row>
    <row r="47" spans="1:21">
      <c r="A47" s="1" t="s">
        <v>289</v>
      </c>
      <c r="B47" s="12">
        <v>35308</v>
      </c>
      <c r="C47" s="44">
        <v>0</v>
      </c>
      <c r="D47" s="12">
        <v>0</v>
      </c>
      <c r="E47" s="44">
        <v>0</v>
      </c>
      <c r="F47" s="12">
        <v>0</v>
      </c>
      <c r="G47" s="44">
        <v>0</v>
      </c>
      <c r="H47" s="12">
        <v>0</v>
      </c>
      <c r="I47" s="47">
        <f>+(B47-J47)/ABS(J47)</f>
        <v>6.0616000000000003</v>
      </c>
      <c r="J47" s="12">
        <v>5000</v>
      </c>
      <c r="K47" s="47">
        <f>+(J47-L47)/ABS(L47)</f>
        <v>0</v>
      </c>
      <c r="L47" s="12">
        <v>5000</v>
      </c>
      <c r="M47" s="47">
        <f>+(L47-N47)/ABS(N47)</f>
        <v>0</v>
      </c>
      <c r="N47" s="12">
        <f>5000000/1000</f>
        <v>5000</v>
      </c>
      <c r="O47" s="47">
        <f>+(N47-P47)/ABS(P47)</f>
        <v>0</v>
      </c>
      <c r="P47" s="12">
        <f>5000000/1000</f>
        <v>5000</v>
      </c>
    </row>
    <row r="48" spans="1:21">
      <c r="A48" s="1" t="s">
        <v>290</v>
      </c>
      <c r="B48" s="12">
        <v>2500</v>
      </c>
      <c r="C48" s="44">
        <v>0</v>
      </c>
      <c r="D48" s="12">
        <v>0</v>
      </c>
      <c r="E48" s="44">
        <v>0</v>
      </c>
      <c r="F48" s="12">
        <v>0</v>
      </c>
      <c r="G48" s="44">
        <v>0</v>
      </c>
      <c r="H48" s="12">
        <v>0</v>
      </c>
      <c r="I48" s="47">
        <f>+(B48-J48)/ABS(J48)</f>
        <v>0</v>
      </c>
      <c r="J48" s="12">
        <v>2500</v>
      </c>
      <c r="K48" s="47">
        <f>+(J48-L48)/ABS(L48)</f>
        <v>0</v>
      </c>
      <c r="L48" s="12">
        <v>2500</v>
      </c>
      <c r="M48" s="47">
        <f>+(L48-N48)/ABS(N48)</f>
        <v>0</v>
      </c>
      <c r="N48" s="12">
        <f>2500000/1000</f>
        <v>2500</v>
      </c>
      <c r="O48" s="47">
        <f>+(N48-P48)/ABS(P48)</f>
        <v>0</v>
      </c>
      <c r="P48" s="12">
        <f>2500000/1000</f>
        <v>2500</v>
      </c>
    </row>
    <row r="49" spans="1:21">
      <c r="A49" s="1" t="s">
        <v>302</v>
      </c>
      <c r="B49" s="12">
        <f>+B160</f>
        <v>0</v>
      </c>
      <c r="C49" s="44">
        <v>0</v>
      </c>
      <c r="D49" s="12">
        <f>+D160</f>
        <v>0</v>
      </c>
      <c r="E49" s="44">
        <v>0</v>
      </c>
      <c r="F49" s="12">
        <f>+F160</f>
        <v>0</v>
      </c>
      <c r="G49" s="44">
        <v>0</v>
      </c>
      <c r="H49" s="12">
        <v>0</v>
      </c>
      <c r="I49" s="44">
        <v>0</v>
      </c>
      <c r="J49" s="12">
        <f>+J160</f>
        <v>0</v>
      </c>
      <c r="K49" s="44">
        <v>0</v>
      </c>
      <c r="L49" s="12">
        <f>+L160</f>
        <v>0</v>
      </c>
      <c r="M49" s="44">
        <v>0</v>
      </c>
      <c r="N49" s="12">
        <v>0</v>
      </c>
      <c r="O49" s="44">
        <v>0</v>
      </c>
      <c r="P49" s="12">
        <v>0</v>
      </c>
    </row>
    <row r="50" spans="1:21" ht="18">
      <c r="A50" s="1" t="s">
        <v>292</v>
      </c>
      <c r="B50" s="221">
        <v>4103</v>
      </c>
      <c r="C50" s="44">
        <v>0</v>
      </c>
      <c r="D50" s="221">
        <v>0</v>
      </c>
      <c r="E50" s="44">
        <v>0</v>
      </c>
      <c r="F50" s="221">
        <v>0</v>
      </c>
      <c r="G50" s="44">
        <v>0</v>
      </c>
      <c r="H50" s="221">
        <v>0</v>
      </c>
      <c r="I50" s="47">
        <f>+(B50-J50)/ABS(J50)</f>
        <v>1.3077557755775577</v>
      </c>
      <c r="J50" s="221">
        <v>-13332</v>
      </c>
      <c r="K50" s="47">
        <f>+(J50-L50)/ABS(L50)</f>
        <v>-2.8994158712067244</v>
      </c>
      <c r="L50" s="221">
        <v>7019</v>
      </c>
      <c r="M50" s="47">
        <f>+(L50-N50)/ABS(N50)</f>
        <v>0.62375367247322278</v>
      </c>
      <c r="N50" s="221">
        <v>4322.7</v>
      </c>
      <c r="O50" s="47">
        <f>+(N50-P50)/ABS(P50)</f>
        <v>1.5312093629040251</v>
      </c>
      <c r="P50" s="221">
        <f>1707760.75/1000</f>
        <v>1707.7607499999999</v>
      </c>
      <c r="Q50" s="6"/>
      <c r="R50" s="6"/>
      <c r="S50" s="7"/>
      <c r="T50" s="7"/>
      <c r="U50" s="7"/>
    </row>
    <row r="51" spans="1:21" ht="16.5" thickBot="1">
      <c r="A51" s="1" t="s">
        <v>275</v>
      </c>
      <c r="B51" s="76">
        <f>SUM(B47:B50)</f>
        <v>41911</v>
      </c>
      <c r="C51" s="44">
        <v>0</v>
      </c>
      <c r="D51" s="76">
        <f>SUM(D47:D50)</f>
        <v>0</v>
      </c>
      <c r="E51" s="44">
        <v>0</v>
      </c>
      <c r="F51" s="76">
        <f>SUM(F47:F50)</f>
        <v>0</v>
      </c>
      <c r="G51" s="44">
        <v>0</v>
      </c>
      <c r="H51" s="76">
        <f>SUM(H47:H50)</f>
        <v>0</v>
      </c>
      <c r="I51" s="47">
        <f>+(B51-J51)/ABS(J51)</f>
        <v>8.1863854595336072</v>
      </c>
      <c r="J51" s="76">
        <f>SUM(J47:J50)</f>
        <v>-5832</v>
      </c>
      <c r="K51" s="47">
        <f>+(J51-L51)/ABS(L51)</f>
        <v>-1.4016805565121564</v>
      </c>
      <c r="L51" s="76">
        <f>SUM(L47:L50)</f>
        <v>14519</v>
      </c>
      <c r="M51" s="47">
        <f>+(L51-N51)/ABS(N51)</f>
        <v>0.22806127195987372</v>
      </c>
      <c r="N51" s="76">
        <f>SUM(N47:N50)</f>
        <v>11822.7</v>
      </c>
      <c r="O51" s="47">
        <f>+(N51-P51)/ABS(P51)</f>
        <v>0.28399296213251429</v>
      </c>
      <c r="P51" s="76">
        <f>SUM(P47:P50)</f>
        <v>9207.7607499999995</v>
      </c>
    </row>
    <row r="52" spans="1:21">
      <c r="A52" s="1" t="s">
        <v>0</v>
      </c>
      <c r="B52" s="4">
        <f>+B29+B35+B41+B43+B51</f>
        <v>957538</v>
      </c>
      <c r="C52" s="44">
        <v>0</v>
      </c>
      <c r="D52" s="4">
        <f>+D29+D35+D41+D43+D51</f>
        <v>0</v>
      </c>
      <c r="E52" s="44">
        <v>0</v>
      </c>
      <c r="F52" s="4">
        <f>+F29+F35+F41+F43+F51</f>
        <v>0</v>
      </c>
      <c r="G52" s="44">
        <v>0</v>
      </c>
      <c r="H52" s="4">
        <f>+H29+H35+H41+H43+H51</f>
        <v>0</v>
      </c>
      <c r="I52" s="47">
        <f>+(B52-J52)/ABS(J52)</f>
        <v>4.057596174744621E-2</v>
      </c>
      <c r="J52" s="4">
        <f>+J29+J35+J41+J43+J51</f>
        <v>920200</v>
      </c>
      <c r="K52" s="112">
        <f>+(J52-L52)/ABS(L52)</f>
        <v>0.21665342301117094</v>
      </c>
      <c r="L52" s="4">
        <f>+L29+L35+L41+L43+L51</f>
        <v>756337</v>
      </c>
      <c r="M52" s="112">
        <f>+(L52-N52)/ABS(N52)</f>
        <v>4.098769387843007E-2</v>
      </c>
      <c r="N52" s="4">
        <f>+N29+N35+N41+N43+N51</f>
        <v>726557.10000000009</v>
      </c>
      <c r="O52" s="112">
        <f>+(N52-P52)/ABS(P52)</f>
        <v>-8.0970054332615855E-3</v>
      </c>
      <c r="P52" s="4">
        <f>+P29+P35+P41+P43+P51</f>
        <v>732488.05979999993</v>
      </c>
    </row>
    <row r="55" spans="1:21">
      <c r="A55" s="185" t="s">
        <v>293</v>
      </c>
    </row>
    <row r="56" spans="1:21">
      <c r="A56" t="s">
        <v>294</v>
      </c>
      <c r="B56" s="12">
        <v>0</v>
      </c>
      <c r="D56" s="12">
        <v>0</v>
      </c>
      <c r="E56" s="43"/>
      <c r="F56" s="43">
        <v>0</v>
      </c>
      <c r="G56" s="43"/>
      <c r="H56" s="43">
        <v>0</v>
      </c>
      <c r="J56" s="43">
        <v>0</v>
      </c>
      <c r="K56" s="12"/>
      <c r="L56" s="43">
        <v>0</v>
      </c>
      <c r="M56" s="12"/>
      <c r="N56" s="12">
        <v>0</v>
      </c>
      <c r="O56" s="12"/>
      <c r="P56" s="12">
        <v>0</v>
      </c>
    </row>
    <row r="57" spans="1:21">
      <c r="A57" t="s">
        <v>295</v>
      </c>
      <c r="B57" s="12">
        <v>0</v>
      </c>
      <c r="D57" s="12">
        <v>0</v>
      </c>
      <c r="E57" s="43"/>
      <c r="F57" s="43">
        <v>0</v>
      </c>
      <c r="G57" s="43"/>
      <c r="H57" s="43">
        <v>0</v>
      </c>
      <c r="J57" s="43">
        <v>0</v>
      </c>
      <c r="K57" s="12"/>
      <c r="L57" s="43">
        <v>0</v>
      </c>
      <c r="M57" s="12"/>
      <c r="N57" s="12">
        <v>0</v>
      </c>
      <c r="O57" s="12"/>
      <c r="P57" s="12">
        <v>0</v>
      </c>
    </row>
    <row r="58" spans="1:21">
      <c r="A58" t="s">
        <v>284</v>
      </c>
      <c r="B58" s="12">
        <v>11380</v>
      </c>
      <c r="D58" s="12">
        <v>0</v>
      </c>
      <c r="E58" s="43"/>
      <c r="F58" s="12">
        <v>0</v>
      </c>
      <c r="G58" s="43"/>
      <c r="H58" s="12">
        <v>0</v>
      </c>
      <c r="J58" s="12">
        <v>7925</v>
      </c>
      <c r="K58" s="12"/>
      <c r="L58" s="12">
        <v>1995</v>
      </c>
      <c r="M58" s="12"/>
      <c r="N58" s="12">
        <v>0</v>
      </c>
      <c r="O58" s="12"/>
      <c r="P58" s="12">
        <v>0</v>
      </c>
    </row>
    <row r="59" spans="1:21">
      <c r="D59" s="43"/>
      <c r="E59" s="43"/>
      <c r="F59" s="43"/>
      <c r="G59" s="43"/>
      <c r="H59" s="43"/>
      <c r="J59" s="43"/>
      <c r="K59" s="12"/>
      <c r="L59" s="43"/>
      <c r="M59" s="12"/>
      <c r="O59" s="12"/>
    </row>
    <row r="60" spans="1:21" ht="18.75">
      <c r="A60" s="122" t="s">
        <v>303</v>
      </c>
      <c r="B60" s="12">
        <v>518016</v>
      </c>
      <c r="D60" s="12">
        <v>0</v>
      </c>
      <c r="E60" s="43"/>
      <c r="F60" s="12">
        <v>0</v>
      </c>
      <c r="G60" s="43"/>
      <c r="H60" s="12">
        <v>0</v>
      </c>
      <c r="J60" s="12">
        <v>506411</v>
      </c>
      <c r="K60" s="12"/>
      <c r="L60" s="12">
        <v>441171</v>
      </c>
      <c r="M60" s="12"/>
      <c r="N60" s="12">
        <v>370419.3</v>
      </c>
      <c r="O60" s="12"/>
      <c r="P60" s="12">
        <f>331369052.9/1000</f>
        <v>331369.05289999995</v>
      </c>
    </row>
    <row r="61" spans="1:21">
      <c r="A61" t="s">
        <v>217</v>
      </c>
      <c r="B61" s="12">
        <v>23226</v>
      </c>
      <c r="D61" s="12">
        <v>0</v>
      </c>
      <c r="E61" s="43"/>
      <c r="F61" s="12">
        <v>0</v>
      </c>
      <c r="G61" s="43"/>
      <c r="H61" s="12">
        <v>0</v>
      </c>
      <c r="J61" s="12">
        <v>22387</v>
      </c>
      <c r="K61" s="12"/>
      <c r="L61" s="12">
        <v>3827</v>
      </c>
      <c r="M61" s="12"/>
      <c r="N61" s="12">
        <v>0</v>
      </c>
      <c r="O61" s="12"/>
      <c r="P61" s="12">
        <v>0</v>
      </c>
    </row>
    <row r="62" spans="1:21">
      <c r="A62" t="s">
        <v>297</v>
      </c>
      <c r="B62" s="12">
        <v>81224</v>
      </c>
      <c r="D62" s="12">
        <v>0</v>
      </c>
      <c r="E62" s="43"/>
      <c r="F62" s="12">
        <v>0</v>
      </c>
      <c r="G62" s="43"/>
      <c r="H62" s="12">
        <v>0</v>
      </c>
      <c r="J62" s="12">
        <v>79504</v>
      </c>
      <c r="K62" s="12"/>
      <c r="L62" s="12">
        <f>1353+12892+375</f>
        <v>14620</v>
      </c>
      <c r="M62" s="12"/>
      <c r="N62" s="12">
        <v>42551.199999999997</v>
      </c>
      <c r="O62" s="12"/>
      <c r="P62" s="12">
        <f>7721189.75/1000</f>
        <v>7721.1897499999995</v>
      </c>
    </row>
    <row r="66" spans="1:15">
      <c r="B66" s="17" t="s">
        <v>548</v>
      </c>
      <c r="D66" s="17" t="s">
        <v>549</v>
      </c>
      <c r="F66" s="17" t="s">
        <v>138</v>
      </c>
      <c r="H66" s="17" t="s">
        <v>528</v>
      </c>
    </row>
    <row r="68" spans="1:15">
      <c r="A68" t="s">
        <v>414</v>
      </c>
      <c r="B68" s="4">
        <f t="shared" ref="B68:M68" si="4">SUM(B69:B77)</f>
        <v>307110.08405</v>
      </c>
      <c r="C68" s="11" t="s">
        <v>0</v>
      </c>
      <c r="D68" s="4">
        <f t="shared" si="4"/>
        <v>0</v>
      </c>
      <c r="E68" s="11">
        <f t="shared" si="4"/>
        <v>0</v>
      </c>
      <c r="F68" s="4">
        <f t="shared" si="4"/>
        <v>0</v>
      </c>
      <c r="G68" s="11" t="s">
        <v>0</v>
      </c>
      <c r="H68" s="4">
        <f t="shared" si="4"/>
        <v>0</v>
      </c>
      <c r="I68" s="11">
        <f t="shared" si="4"/>
        <v>0</v>
      </c>
      <c r="J68" s="4">
        <f t="shared" si="4"/>
        <v>0</v>
      </c>
      <c r="K68" s="11">
        <f t="shared" si="4"/>
        <v>0</v>
      </c>
      <c r="L68" s="4">
        <f t="shared" si="4"/>
        <v>0</v>
      </c>
      <c r="M68" s="11">
        <f t="shared" si="4"/>
        <v>0</v>
      </c>
      <c r="O68" s="11">
        <f>SUM(O69:O77)</f>
        <v>0</v>
      </c>
    </row>
    <row r="69" spans="1:15">
      <c r="A69" t="s">
        <v>461</v>
      </c>
      <c r="B69" s="12">
        <f>22066836.9/1000</f>
        <v>22066.836899999998</v>
      </c>
      <c r="D69" s="12">
        <v>0</v>
      </c>
      <c r="F69" s="12">
        <v>0</v>
      </c>
      <c r="H69" s="12">
        <v>0</v>
      </c>
    </row>
    <row r="70" spans="1:15">
      <c r="A70" t="s">
        <v>462</v>
      </c>
      <c r="B70" s="12">
        <f>8950056/1000</f>
        <v>8950.0560000000005</v>
      </c>
      <c r="D70" s="12">
        <v>0</v>
      </c>
      <c r="F70" s="12">
        <v>0</v>
      </c>
      <c r="H70" s="12">
        <v>0</v>
      </c>
    </row>
    <row r="71" spans="1:15">
      <c r="A71" t="s">
        <v>463</v>
      </c>
      <c r="B71" s="12">
        <f>16601164.55/1000</f>
        <v>16601.164550000001</v>
      </c>
      <c r="D71" s="12">
        <v>0</v>
      </c>
      <c r="F71" s="12">
        <v>0</v>
      </c>
      <c r="H71" s="12">
        <v>0</v>
      </c>
    </row>
    <row r="72" spans="1:15">
      <c r="A72" t="s">
        <v>464</v>
      </c>
      <c r="B72" s="12">
        <f>181370765.15/1000</f>
        <v>181370.76514999999</v>
      </c>
      <c r="D72" s="12">
        <v>0</v>
      </c>
      <c r="F72" s="12">
        <v>0</v>
      </c>
      <c r="H72" s="12">
        <v>0</v>
      </c>
    </row>
    <row r="73" spans="1:15">
      <c r="A73" t="s">
        <v>465</v>
      </c>
      <c r="B73" s="12">
        <v>0</v>
      </c>
      <c r="D73" s="12">
        <v>0</v>
      </c>
      <c r="F73" s="12">
        <v>0</v>
      </c>
      <c r="H73" s="12">
        <v>0</v>
      </c>
    </row>
    <row r="74" spans="1:15">
      <c r="A74" t="s">
        <v>466</v>
      </c>
      <c r="B74" s="12">
        <f>7000000/1000</f>
        <v>7000</v>
      </c>
      <c r="D74" s="12">
        <v>0</v>
      </c>
      <c r="F74" s="12">
        <v>0</v>
      </c>
      <c r="H74" s="12">
        <v>0</v>
      </c>
    </row>
    <row r="75" spans="1:15">
      <c r="A75" t="s">
        <v>467</v>
      </c>
      <c r="B75" s="12">
        <f>71121261.45/1000</f>
        <v>71121.261450000005</v>
      </c>
      <c r="D75" s="12">
        <v>0</v>
      </c>
      <c r="F75" s="12">
        <v>0</v>
      </c>
      <c r="H75" s="12">
        <v>0</v>
      </c>
    </row>
    <row r="76" spans="1:15">
      <c r="A76" t="s">
        <v>468</v>
      </c>
      <c r="B76" s="12">
        <v>0</v>
      </c>
      <c r="D76" s="12">
        <v>0</v>
      </c>
      <c r="F76" s="12">
        <v>0</v>
      </c>
      <c r="H76" s="12">
        <v>0</v>
      </c>
    </row>
    <row r="77" spans="1:15">
      <c r="A77" t="s">
        <v>469</v>
      </c>
      <c r="B77" s="12">
        <v>0</v>
      </c>
      <c r="D77" s="12">
        <v>0</v>
      </c>
      <c r="F77" s="12">
        <v>0</v>
      </c>
      <c r="H77" s="12">
        <v>0</v>
      </c>
    </row>
    <row r="79" spans="1:15">
      <c r="A79" t="s">
        <v>470</v>
      </c>
      <c r="B79" s="4">
        <f t="shared" ref="B79:M79" si="5">SUM(B80:B81)</f>
        <v>0</v>
      </c>
      <c r="C79" s="11" t="s">
        <v>0</v>
      </c>
      <c r="D79" s="4">
        <f t="shared" si="5"/>
        <v>0</v>
      </c>
      <c r="E79" s="11">
        <f t="shared" si="5"/>
        <v>0</v>
      </c>
      <c r="F79" s="4">
        <f t="shared" si="5"/>
        <v>0</v>
      </c>
      <c r="G79" s="11">
        <f t="shared" si="5"/>
        <v>0</v>
      </c>
      <c r="H79" s="4">
        <f t="shared" si="5"/>
        <v>0</v>
      </c>
      <c r="I79" s="11">
        <f t="shared" si="5"/>
        <v>0</v>
      </c>
      <c r="J79" s="4">
        <f t="shared" si="5"/>
        <v>0</v>
      </c>
      <c r="K79" s="11">
        <f t="shared" si="5"/>
        <v>0</v>
      </c>
      <c r="L79" s="4">
        <f t="shared" si="5"/>
        <v>0</v>
      </c>
      <c r="M79" s="11">
        <f t="shared" si="5"/>
        <v>0</v>
      </c>
      <c r="O79" s="11">
        <f>SUM(O80:O81)</f>
        <v>0</v>
      </c>
    </row>
    <row r="80" spans="1:15">
      <c r="A80" t="s">
        <v>471</v>
      </c>
      <c r="B80" s="12">
        <v>0</v>
      </c>
      <c r="D80" s="12">
        <v>0</v>
      </c>
      <c r="F80" s="12">
        <v>0</v>
      </c>
      <c r="H80" s="12">
        <v>0</v>
      </c>
    </row>
    <row r="81" spans="1:15">
      <c r="A81" t="s">
        <v>472</v>
      </c>
      <c r="B81" s="12">
        <v>0</v>
      </c>
      <c r="D81" s="12">
        <v>0</v>
      </c>
      <c r="F81" s="12">
        <v>0</v>
      </c>
      <c r="H81" s="12">
        <v>0</v>
      </c>
    </row>
    <row r="83" spans="1:15">
      <c r="A83" t="s">
        <v>473</v>
      </c>
      <c r="B83" s="4">
        <f t="shared" ref="B83:M83" si="6">SUM(B84:B94)</f>
        <v>443636.81409999996</v>
      </c>
      <c r="C83" s="11" t="s">
        <v>0</v>
      </c>
      <c r="D83" s="4">
        <f t="shared" si="6"/>
        <v>0</v>
      </c>
      <c r="E83" s="11">
        <f t="shared" si="6"/>
        <v>0</v>
      </c>
      <c r="F83" s="4">
        <f t="shared" si="6"/>
        <v>0</v>
      </c>
      <c r="G83" s="11">
        <f t="shared" si="6"/>
        <v>0</v>
      </c>
      <c r="H83" s="4">
        <f t="shared" si="6"/>
        <v>0</v>
      </c>
      <c r="I83" s="11">
        <f t="shared" si="6"/>
        <v>0</v>
      </c>
      <c r="J83" s="4">
        <f t="shared" si="6"/>
        <v>0</v>
      </c>
      <c r="K83" s="11">
        <f t="shared" si="6"/>
        <v>0</v>
      </c>
      <c r="L83" s="4">
        <f t="shared" si="6"/>
        <v>0</v>
      </c>
      <c r="M83" s="11">
        <f t="shared" si="6"/>
        <v>0</v>
      </c>
      <c r="O83" s="11">
        <f>SUM(O84:O94)</f>
        <v>0</v>
      </c>
    </row>
    <row r="84" spans="1:15">
      <c r="A84" t="s">
        <v>474</v>
      </c>
      <c r="B84" s="12">
        <v>0</v>
      </c>
      <c r="D84" s="12">
        <v>0</v>
      </c>
      <c r="F84" s="12">
        <v>0</v>
      </c>
      <c r="H84" s="12">
        <v>0</v>
      </c>
    </row>
    <row r="85" spans="1:15">
      <c r="A85" t="s">
        <v>475</v>
      </c>
      <c r="B85" s="12">
        <f>392357429.95/1000</f>
        <v>392357.42994999996</v>
      </c>
      <c r="D85" s="12">
        <v>0</v>
      </c>
      <c r="F85" s="12">
        <v>0</v>
      </c>
      <c r="H85" s="12">
        <v>0</v>
      </c>
    </row>
    <row r="86" spans="1:15">
      <c r="A86" t="s">
        <v>476</v>
      </c>
      <c r="B86" s="12">
        <f>8584022.8/1000</f>
        <v>8584.0228000000006</v>
      </c>
      <c r="D86" s="12">
        <v>0</v>
      </c>
      <c r="F86" s="12">
        <v>0</v>
      </c>
      <c r="H86" s="12">
        <v>0</v>
      </c>
    </row>
    <row r="87" spans="1:15">
      <c r="A87" t="s">
        <v>477</v>
      </c>
      <c r="B87" s="12">
        <v>0</v>
      </c>
      <c r="D87" s="12">
        <v>0</v>
      </c>
      <c r="F87" s="12">
        <v>0</v>
      </c>
      <c r="H87" s="12">
        <v>0</v>
      </c>
    </row>
    <row r="88" spans="1:15">
      <c r="A88" t="s">
        <v>478</v>
      </c>
      <c r="B88" s="12">
        <v>0</v>
      </c>
      <c r="D88" s="12">
        <v>0</v>
      </c>
      <c r="F88" s="12">
        <v>0</v>
      </c>
      <c r="H88" s="12">
        <v>0</v>
      </c>
    </row>
    <row r="89" spans="1:15">
      <c r="A89" t="s">
        <v>479</v>
      </c>
      <c r="B89" s="12">
        <v>0</v>
      </c>
      <c r="D89" s="12">
        <v>0</v>
      </c>
      <c r="F89" s="12">
        <v>0</v>
      </c>
      <c r="H89" s="12">
        <v>0</v>
      </c>
    </row>
    <row r="90" spans="1:15">
      <c r="A90" t="s">
        <v>480</v>
      </c>
      <c r="B90" s="12">
        <v>0</v>
      </c>
      <c r="D90" s="12">
        <v>0</v>
      </c>
      <c r="F90" s="12">
        <v>0</v>
      </c>
      <c r="H90" s="12">
        <v>0</v>
      </c>
    </row>
    <row r="91" spans="1:15">
      <c r="A91" t="s">
        <v>481</v>
      </c>
      <c r="B91" s="12">
        <v>0</v>
      </c>
      <c r="D91" s="12">
        <v>0</v>
      </c>
      <c r="F91" s="12">
        <v>0</v>
      </c>
      <c r="H91" s="12">
        <v>0</v>
      </c>
    </row>
    <row r="92" spans="1:15">
      <c r="A92" t="s">
        <v>482</v>
      </c>
      <c r="B92" s="12">
        <v>0</v>
      </c>
      <c r="D92" s="12">
        <v>0</v>
      </c>
      <c r="F92" s="12">
        <v>0</v>
      </c>
      <c r="H92" s="12">
        <v>0</v>
      </c>
    </row>
    <row r="93" spans="1:15">
      <c r="A93" t="s">
        <v>483</v>
      </c>
      <c r="B93" s="12">
        <f>42695361.35/1000</f>
        <v>42695.361349999999</v>
      </c>
      <c r="D93" s="12">
        <v>0</v>
      </c>
      <c r="F93" s="12">
        <v>0</v>
      </c>
      <c r="H93" s="12">
        <v>0</v>
      </c>
    </row>
    <row r="94" spans="1:15">
      <c r="A94" t="s">
        <v>484</v>
      </c>
      <c r="B94" s="12">
        <v>0</v>
      </c>
      <c r="D94" s="12">
        <v>0</v>
      </c>
      <c r="F94" s="12">
        <v>0</v>
      </c>
      <c r="H94" s="12">
        <v>0</v>
      </c>
    </row>
    <row r="96" spans="1:15">
      <c r="A96" t="s">
        <v>485</v>
      </c>
      <c r="B96" s="4">
        <f t="shared" ref="B96:M96" si="7">SUM(B97:B100)</f>
        <v>6263.3571499999998</v>
      </c>
      <c r="C96" s="11" t="s">
        <v>0</v>
      </c>
      <c r="D96" s="4">
        <f t="shared" si="7"/>
        <v>0</v>
      </c>
      <c r="E96" s="11">
        <f t="shared" si="7"/>
        <v>0</v>
      </c>
      <c r="F96" s="4">
        <f t="shared" si="7"/>
        <v>0</v>
      </c>
      <c r="G96" s="11">
        <f t="shared" si="7"/>
        <v>0</v>
      </c>
      <c r="H96" s="4">
        <f t="shared" si="7"/>
        <v>0</v>
      </c>
      <c r="I96" s="11">
        <f t="shared" si="7"/>
        <v>0</v>
      </c>
      <c r="J96" s="4">
        <f t="shared" si="7"/>
        <v>0</v>
      </c>
      <c r="K96" s="11">
        <f t="shared" si="7"/>
        <v>0</v>
      </c>
      <c r="L96" s="4">
        <f t="shared" si="7"/>
        <v>0</v>
      </c>
      <c r="M96" s="11">
        <f t="shared" si="7"/>
        <v>0</v>
      </c>
      <c r="O96" s="11">
        <f>SUM(O97:O100)</f>
        <v>0</v>
      </c>
    </row>
    <row r="97" spans="1:19">
      <c r="A97" t="s">
        <v>486</v>
      </c>
      <c r="B97" s="12">
        <f>270315.95/1000</f>
        <v>270.31594999999999</v>
      </c>
      <c r="D97" s="12">
        <v>0</v>
      </c>
      <c r="F97" s="12">
        <v>0</v>
      </c>
      <c r="H97" s="12">
        <v>0</v>
      </c>
    </row>
    <row r="98" spans="1:19">
      <c r="A98" t="s">
        <v>487</v>
      </c>
      <c r="B98" s="12">
        <f>2691882.55/1000</f>
        <v>2691.8825499999998</v>
      </c>
      <c r="D98" s="12">
        <v>0</v>
      </c>
      <c r="F98" s="12">
        <v>0</v>
      </c>
      <c r="H98" s="12">
        <v>0</v>
      </c>
    </row>
    <row r="99" spans="1:19">
      <c r="A99" t="s">
        <v>488</v>
      </c>
      <c r="B99" s="12">
        <v>0</v>
      </c>
      <c r="D99" s="12">
        <v>0</v>
      </c>
      <c r="F99" s="12">
        <v>0</v>
      </c>
      <c r="H99" s="12">
        <v>0</v>
      </c>
    </row>
    <row r="100" spans="1:19">
      <c r="A100" t="s">
        <v>489</v>
      </c>
      <c r="B100" s="12">
        <f>3301158.65/1000</f>
        <v>3301.1586499999999</v>
      </c>
      <c r="D100" s="12">
        <v>0</v>
      </c>
      <c r="F100" s="12">
        <v>0</v>
      </c>
      <c r="H100" s="12">
        <v>0</v>
      </c>
    </row>
    <row r="102" spans="1:19">
      <c r="A102" t="s">
        <v>490</v>
      </c>
      <c r="B102" s="4">
        <v>0</v>
      </c>
      <c r="C102" s="11" t="s">
        <v>0</v>
      </c>
      <c r="D102" s="4">
        <v>0</v>
      </c>
      <c r="E102" s="11">
        <v>0</v>
      </c>
      <c r="F102" s="4">
        <v>0</v>
      </c>
      <c r="G102" s="11">
        <v>0</v>
      </c>
      <c r="H102" s="4">
        <v>0</v>
      </c>
      <c r="I102" s="11">
        <v>0</v>
      </c>
      <c r="J102" s="4">
        <v>0</v>
      </c>
      <c r="K102" s="11">
        <v>0</v>
      </c>
      <c r="L102" s="4">
        <v>0</v>
      </c>
      <c r="M102" s="11">
        <v>0</v>
      </c>
      <c r="N102" s="12">
        <v>0</v>
      </c>
      <c r="O102" s="11">
        <v>0</v>
      </c>
      <c r="P102" s="12">
        <v>0</v>
      </c>
      <c r="Q102" s="16" t="s">
        <v>0</v>
      </c>
      <c r="R102" s="16" t="s">
        <v>0</v>
      </c>
      <c r="S102" t="s">
        <v>0</v>
      </c>
    </row>
    <row r="103" spans="1:19">
      <c r="B103" s="16" t="s">
        <v>0</v>
      </c>
      <c r="D103" s="16" t="s">
        <v>0</v>
      </c>
      <c r="F103" s="16" t="s">
        <v>0</v>
      </c>
      <c r="H103" s="16" t="s">
        <v>0</v>
      </c>
    </row>
    <row r="104" spans="1:19">
      <c r="A104" t="s">
        <v>491</v>
      </c>
      <c r="B104" s="4">
        <v>0</v>
      </c>
      <c r="D104" s="4">
        <v>0</v>
      </c>
      <c r="F104" s="4">
        <v>0</v>
      </c>
      <c r="H104" s="4">
        <v>0</v>
      </c>
    </row>
    <row r="106" spans="1:19">
      <c r="A106" t="s">
        <v>492</v>
      </c>
      <c r="B106" s="4">
        <f t="shared" ref="B106:M106" si="8">SUM(B107:B110)</f>
        <v>17855.6692</v>
      </c>
      <c r="C106" s="11" t="s">
        <v>0</v>
      </c>
      <c r="D106" s="4">
        <f t="shared" si="8"/>
        <v>0</v>
      </c>
      <c r="E106" s="11">
        <f t="shared" si="8"/>
        <v>0</v>
      </c>
      <c r="F106" s="4">
        <f t="shared" si="8"/>
        <v>0</v>
      </c>
      <c r="G106" s="11">
        <f t="shared" si="8"/>
        <v>0</v>
      </c>
      <c r="H106" s="4">
        <f t="shared" si="8"/>
        <v>0</v>
      </c>
      <c r="I106" s="11">
        <f t="shared" si="8"/>
        <v>0</v>
      </c>
      <c r="J106" s="4">
        <f t="shared" si="8"/>
        <v>0</v>
      </c>
      <c r="K106" s="11">
        <f t="shared" si="8"/>
        <v>0</v>
      </c>
      <c r="L106" s="4">
        <f t="shared" si="8"/>
        <v>0</v>
      </c>
      <c r="M106" s="11">
        <f t="shared" si="8"/>
        <v>0</v>
      </c>
      <c r="O106" s="11">
        <f>SUM(O107:O110)</f>
        <v>0</v>
      </c>
    </row>
    <row r="107" spans="1:19">
      <c r="A107" t="s">
        <v>493</v>
      </c>
      <c r="B107" s="12">
        <f>26242979.3/1000</f>
        <v>26242.979299999999</v>
      </c>
      <c r="D107" s="12">
        <v>0</v>
      </c>
      <c r="F107" s="12">
        <v>0</v>
      </c>
      <c r="H107" s="12">
        <v>0</v>
      </c>
    </row>
    <row r="108" spans="1:19">
      <c r="A108" t="s">
        <v>494</v>
      </c>
      <c r="B108" s="12">
        <v>0</v>
      </c>
      <c r="D108" s="12">
        <v>0</v>
      </c>
      <c r="F108" s="12">
        <v>0</v>
      </c>
      <c r="H108" s="12">
        <v>0</v>
      </c>
    </row>
    <row r="109" spans="1:19">
      <c r="A109" t="s">
        <v>495</v>
      </c>
      <c r="B109" s="12">
        <f>-8387310.1/1000</f>
        <v>-8387.3100999999988</v>
      </c>
      <c r="D109" s="12">
        <v>0</v>
      </c>
      <c r="F109" s="12">
        <v>0</v>
      </c>
      <c r="H109" s="12">
        <v>0</v>
      </c>
    </row>
    <row r="110" spans="1:19">
      <c r="A110" t="s">
        <v>496</v>
      </c>
      <c r="B110" s="12">
        <v>0</v>
      </c>
      <c r="D110" s="12">
        <v>0</v>
      </c>
      <c r="F110" s="12">
        <v>0</v>
      </c>
      <c r="H110" s="12">
        <v>0</v>
      </c>
    </row>
    <row r="112" spans="1:19">
      <c r="A112" t="s">
        <v>497</v>
      </c>
      <c r="B112" s="12">
        <v>0</v>
      </c>
      <c r="D112" s="12">
        <v>0</v>
      </c>
      <c r="F112" s="12">
        <v>0</v>
      </c>
      <c r="H112" s="12">
        <v>0</v>
      </c>
    </row>
    <row r="114" spans="1:15">
      <c r="A114" s="2" t="s">
        <v>498</v>
      </c>
      <c r="B114" s="4">
        <f t="shared" ref="B114:M114" si="9">+B68+B79+B83+B96+B102+B104+B106+B112</f>
        <v>774865.92450000008</v>
      </c>
      <c r="C114" s="11" t="s">
        <v>0</v>
      </c>
      <c r="D114" s="4">
        <f t="shared" si="9"/>
        <v>0</v>
      </c>
      <c r="E114" s="11">
        <f t="shared" si="9"/>
        <v>0</v>
      </c>
      <c r="F114" s="4">
        <f t="shared" si="9"/>
        <v>0</v>
      </c>
      <c r="G114" s="11" t="e">
        <f t="shared" si="9"/>
        <v>#VALUE!</v>
      </c>
      <c r="H114" s="4">
        <f t="shared" si="9"/>
        <v>0</v>
      </c>
      <c r="I114" s="11">
        <f t="shared" si="9"/>
        <v>0</v>
      </c>
      <c r="J114" s="4">
        <f t="shared" si="9"/>
        <v>0</v>
      </c>
      <c r="K114" s="11">
        <f t="shared" si="9"/>
        <v>0</v>
      </c>
      <c r="L114" s="4">
        <f t="shared" si="9"/>
        <v>0</v>
      </c>
      <c r="M114" s="11">
        <f t="shared" si="9"/>
        <v>0</v>
      </c>
      <c r="O114" s="11">
        <f>+O68+O79+O83+O96+O102+O104+O106+O112</f>
        <v>0</v>
      </c>
    </row>
    <row r="117" spans="1:15">
      <c r="A117" t="s">
        <v>276</v>
      </c>
    </row>
    <row r="119" spans="1:15">
      <c r="A119" t="s">
        <v>499</v>
      </c>
      <c r="B119" s="4">
        <f>SUM(B120:B121)</f>
        <v>181576.12540000002</v>
      </c>
      <c r="C119" s="11"/>
      <c r="D119" s="4">
        <f>SUM(D120:D121)</f>
        <v>0</v>
      </c>
      <c r="E119" s="11"/>
      <c r="F119" s="4">
        <f>SUM(F120:F121)</f>
        <v>0</v>
      </c>
      <c r="G119" s="11"/>
      <c r="H119" s="4">
        <f>SUM(H120:H121)</f>
        <v>0</v>
      </c>
      <c r="I119" s="11"/>
      <c r="J119" s="4"/>
      <c r="K119" s="11"/>
      <c r="L119" s="4"/>
      <c r="M119" s="11"/>
      <c r="O119" s="11"/>
    </row>
    <row r="120" spans="1:15">
      <c r="A120" t="s">
        <v>500</v>
      </c>
      <c r="B120" s="12">
        <f>180871416.25/1000</f>
        <v>180871.41625000001</v>
      </c>
      <c r="D120" s="12">
        <v>0</v>
      </c>
      <c r="F120" s="12">
        <v>0</v>
      </c>
      <c r="H120" s="12">
        <v>0</v>
      </c>
    </row>
    <row r="121" spans="1:15">
      <c r="A121" t="s">
        <v>501</v>
      </c>
      <c r="B121" s="12">
        <f>704709.15/1000</f>
        <v>704.70915000000002</v>
      </c>
      <c r="D121" s="12">
        <v>0</v>
      </c>
      <c r="F121" s="12">
        <v>0</v>
      </c>
      <c r="H121" s="12">
        <v>0</v>
      </c>
    </row>
    <row r="122" spans="1:15">
      <c r="A122" t="s">
        <v>0</v>
      </c>
    </row>
    <row r="123" spans="1:15">
      <c r="A123" t="s">
        <v>502</v>
      </c>
      <c r="B123" s="4">
        <f>476793393.75/1000</f>
        <v>476793.39374999999</v>
      </c>
      <c r="C123" s="11"/>
      <c r="D123" s="4">
        <v>0</v>
      </c>
      <c r="E123" s="11"/>
      <c r="F123" s="4">
        <v>0</v>
      </c>
      <c r="G123" s="11"/>
      <c r="H123" s="4">
        <v>0</v>
      </c>
      <c r="I123" s="11"/>
      <c r="J123" s="4"/>
      <c r="K123" s="11"/>
      <c r="L123" s="4"/>
      <c r="M123" s="11"/>
      <c r="O123" s="11"/>
    </row>
    <row r="125" spans="1:15">
      <c r="A125" t="s">
        <v>503</v>
      </c>
      <c r="B125" s="4">
        <f>50520266.3/1000</f>
        <v>50520.266299999996</v>
      </c>
      <c r="C125" s="11"/>
      <c r="D125" s="4">
        <v>0</v>
      </c>
      <c r="E125" s="11"/>
      <c r="F125" s="4">
        <v>0</v>
      </c>
      <c r="G125" s="11"/>
      <c r="H125" s="4">
        <v>0</v>
      </c>
      <c r="I125" s="11"/>
      <c r="J125" s="4"/>
      <c r="K125" s="11"/>
      <c r="L125" s="4"/>
      <c r="M125" s="11"/>
      <c r="O125" s="11"/>
    </row>
    <row r="127" spans="1:15">
      <c r="A127" t="s">
        <v>504</v>
      </c>
      <c r="B127" s="4">
        <f>SUM(B128:B140)</f>
        <v>43644.206749999998</v>
      </c>
      <c r="C127" s="11"/>
      <c r="D127" s="4">
        <f>SUM(D128:D140)</f>
        <v>0</v>
      </c>
      <c r="E127" s="11"/>
      <c r="F127" s="4">
        <f>SUM(F128:F140)</f>
        <v>0</v>
      </c>
      <c r="G127" s="11"/>
      <c r="H127" s="4">
        <f>SUM(H128:H140)</f>
        <v>0</v>
      </c>
      <c r="I127" s="11"/>
      <c r="J127" s="4"/>
      <c r="K127" s="11"/>
      <c r="L127" s="4"/>
      <c r="M127" s="11"/>
      <c r="O127" s="11"/>
    </row>
    <row r="128" spans="1:15">
      <c r="A128" t="s">
        <v>505</v>
      </c>
      <c r="B128" s="12">
        <f>14175390.35/1000</f>
        <v>14175.39035</v>
      </c>
      <c r="D128" s="12">
        <v>0</v>
      </c>
      <c r="F128" s="12">
        <v>0</v>
      </c>
      <c r="H128" s="12">
        <v>0</v>
      </c>
    </row>
    <row r="129" spans="1:15">
      <c r="A129" t="s">
        <v>506</v>
      </c>
      <c r="B129" s="12">
        <v>0</v>
      </c>
      <c r="D129" s="12">
        <v>0</v>
      </c>
      <c r="F129" s="12">
        <v>0</v>
      </c>
      <c r="H129" s="12">
        <v>0</v>
      </c>
    </row>
    <row r="130" spans="1:15">
      <c r="A130" t="s">
        <v>507</v>
      </c>
      <c r="B130" s="12">
        <f>2931088.95/1000</f>
        <v>2931.0889500000003</v>
      </c>
      <c r="D130" s="12">
        <v>0</v>
      </c>
      <c r="F130" s="12">
        <v>0</v>
      </c>
      <c r="H130" s="12">
        <v>0</v>
      </c>
    </row>
    <row r="131" spans="1:15">
      <c r="A131" t="s">
        <v>508</v>
      </c>
      <c r="B131" s="12">
        <v>0</v>
      </c>
      <c r="D131" s="12">
        <v>0</v>
      </c>
      <c r="F131" s="12">
        <v>0</v>
      </c>
      <c r="H131" s="12">
        <v>0</v>
      </c>
    </row>
    <row r="132" spans="1:15">
      <c r="A132" t="s">
        <v>509</v>
      </c>
      <c r="B132" s="12">
        <v>0</v>
      </c>
      <c r="D132" s="12">
        <v>0</v>
      </c>
      <c r="F132" s="12">
        <v>0</v>
      </c>
      <c r="H132" s="12">
        <v>0</v>
      </c>
    </row>
    <row r="133" spans="1:15">
      <c r="A133" t="s">
        <v>510</v>
      </c>
      <c r="B133" s="12">
        <f>4459334.7/1000</f>
        <v>4459.3347000000003</v>
      </c>
      <c r="D133" s="12">
        <v>0</v>
      </c>
      <c r="F133" s="12">
        <v>0</v>
      </c>
      <c r="H133" s="12">
        <v>0</v>
      </c>
    </row>
    <row r="134" spans="1:15">
      <c r="A134" t="s">
        <v>511</v>
      </c>
      <c r="B134" s="12">
        <v>0</v>
      </c>
      <c r="D134" s="12">
        <v>0</v>
      </c>
      <c r="F134" s="12">
        <v>0</v>
      </c>
      <c r="H134" s="12">
        <v>0</v>
      </c>
    </row>
    <row r="135" spans="1:15">
      <c r="A135" t="s">
        <v>512</v>
      </c>
      <c r="B135" s="12">
        <f>430096.05/1000</f>
        <v>430.09604999999999</v>
      </c>
      <c r="D135" s="12">
        <v>0</v>
      </c>
      <c r="F135" s="12">
        <v>0</v>
      </c>
      <c r="H135" s="12">
        <v>0</v>
      </c>
    </row>
    <row r="136" spans="1:15">
      <c r="A136" t="s">
        <v>513</v>
      </c>
      <c r="B136" s="12">
        <f>1648296.7/1000</f>
        <v>1648.2966999999999</v>
      </c>
      <c r="D136" s="12">
        <v>0</v>
      </c>
      <c r="F136" s="12">
        <v>0</v>
      </c>
      <c r="H136" s="12">
        <v>0</v>
      </c>
    </row>
    <row r="137" spans="1:15">
      <c r="A137" t="s">
        <v>514</v>
      </c>
      <c r="B137" s="12">
        <v>0</v>
      </c>
      <c r="D137" s="12">
        <v>0</v>
      </c>
      <c r="F137" s="12">
        <v>0</v>
      </c>
      <c r="H137" s="12">
        <v>0</v>
      </c>
    </row>
    <row r="138" spans="1:15">
      <c r="A138" t="s">
        <v>515</v>
      </c>
      <c r="B138" s="12">
        <f>20000000/1000</f>
        <v>20000</v>
      </c>
      <c r="D138" s="12">
        <v>0</v>
      </c>
      <c r="F138" s="12">
        <v>0</v>
      </c>
      <c r="H138" s="12">
        <v>0</v>
      </c>
    </row>
    <row r="139" spans="1:15">
      <c r="A139" t="s">
        <v>516</v>
      </c>
      <c r="B139" s="12">
        <v>0</v>
      </c>
      <c r="D139" s="12">
        <v>0</v>
      </c>
      <c r="F139" s="12">
        <v>0</v>
      </c>
      <c r="H139" s="12">
        <v>0</v>
      </c>
    </row>
    <row r="140" spans="1:15">
      <c r="A140" t="s">
        <v>273</v>
      </c>
      <c r="B140" s="12">
        <v>0</v>
      </c>
      <c r="D140" s="12">
        <v>0</v>
      </c>
      <c r="F140" s="12">
        <v>0</v>
      </c>
      <c r="H140" s="12">
        <v>0</v>
      </c>
    </row>
    <row r="142" spans="1:15">
      <c r="A142" t="s">
        <v>517</v>
      </c>
      <c r="B142" s="4">
        <f>SUM(B143:B149)</f>
        <v>10956.222599999999</v>
      </c>
      <c r="C142" s="11"/>
      <c r="D142" s="4">
        <f>SUM(D143:D149)</f>
        <v>0</v>
      </c>
      <c r="E142" s="11"/>
      <c r="F142" s="4">
        <f>SUM(F143:F149)</f>
        <v>0</v>
      </c>
      <c r="G142" s="11"/>
      <c r="H142" s="4">
        <f>SUM(H143:H149)</f>
        <v>0</v>
      </c>
      <c r="I142" s="11"/>
      <c r="J142" s="4"/>
      <c r="K142" s="11"/>
      <c r="L142" s="4"/>
      <c r="M142" s="11"/>
      <c r="O142" s="11"/>
    </row>
    <row r="143" spans="1:15">
      <c r="A143" t="s">
        <v>518</v>
      </c>
      <c r="B143" s="12">
        <v>0</v>
      </c>
      <c r="D143" s="12">
        <v>0</v>
      </c>
      <c r="F143" s="12">
        <v>0</v>
      </c>
      <c r="H143" s="12">
        <v>0</v>
      </c>
    </row>
    <row r="144" spans="1:15">
      <c r="A144" t="s">
        <v>519</v>
      </c>
      <c r="B144" s="12">
        <v>0</v>
      </c>
      <c r="D144" s="12">
        <v>0</v>
      </c>
      <c r="F144" s="12">
        <v>0</v>
      </c>
      <c r="H144" s="12">
        <v>0</v>
      </c>
    </row>
    <row r="145" spans="1:15">
      <c r="A145" t="s">
        <v>520</v>
      </c>
      <c r="B145" s="12">
        <v>0</v>
      </c>
      <c r="D145" s="12">
        <v>0</v>
      </c>
      <c r="F145" s="12">
        <v>0</v>
      </c>
      <c r="H145" s="12">
        <v>0</v>
      </c>
    </row>
    <row r="146" spans="1:15">
      <c r="A146" t="s">
        <v>521</v>
      </c>
      <c r="B146" s="12">
        <v>0</v>
      </c>
      <c r="D146" s="12">
        <v>0</v>
      </c>
      <c r="F146" s="12">
        <v>0</v>
      </c>
      <c r="H146" s="12">
        <v>0</v>
      </c>
    </row>
    <row r="147" spans="1:15">
      <c r="A147" t="s">
        <v>522</v>
      </c>
      <c r="B147" s="12">
        <v>0</v>
      </c>
      <c r="D147" s="12">
        <v>0</v>
      </c>
      <c r="F147" s="12">
        <v>0</v>
      </c>
      <c r="H147" s="12">
        <v>0</v>
      </c>
    </row>
    <row r="148" spans="1:15">
      <c r="A148" t="s">
        <v>523</v>
      </c>
      <c r="B148" s="12">
        <v>0</v>
      </c>
      <c r="D148" s="12">
        <v>0</v>
      </c>
      <c r="F148" s="12">
        <v>0</v>
      </c>
      <c r="H148" s="12">
        <v>0</v>
      </c>
    </row>
    <row r="149" spans="1:15">
      <c r="A149" t="s">
        <v>524</v>
      </c>
      <c r="B149" s="12">
        <f>10956222.6/1000</f>
        <v>10956.222599999999</v>
      </c>
      <c r="D149" s="12">
        <v>0</v>
      </c>
      <c r="F149" s="12">
        <v>0</v>
      </c>
      <c r="H149" s="12">
        <v>0</v>
      </c>
    </row>
    <row r="151" spans="1:15">
      <c r="A151" t="s">
        <v>525</v>
      </c>
      <c r="B151" s="4">
        <v>0</v>
      </c>
      <c r="C151" s="11"/>
      <c r="D151" s="4">
        <v>0</v>
      </c>
      <c r="E151" s="11"/>
      <c r="F151" s="4">
        <v>0</v>
      </c>
      <c r="G151" s="11"/>
      <c r="H151" s="4">
        <v>0</v>
      </c>
      <c r="I151" s="11"/>
      <c r="J151" s="4"/>
      <c r="K151" s="11"/>
      <c r="L151" s="4"/>
      <c r="M151" s="11"/>
      <c r="O151" s="11"/>
    </row>
    <row r="153" spans="1:15">
      <c r="A153" t="s">
        <v>374</v>
      </c>
      <c r="B153" s="4">
        <f>203175/1000</f>
        <v>203.17500000000001</v>
      </c>
      <c r="C153" s="11"/>
      <c r="D153" s="4">
        <v>0</v>
      </c>
      <c r="E153" s="11"/>
      <c r="F153" s="4">
        <v>0</v>
      </c>
      <c r="G153" s="11"/>
      <c r="H153" s="4">
        <v>0</v>
      </c>
      <c r="I153" s="11"/>
      <c r="J153" s="4"/>
      <c r="K153" s="11"/>
      <c r="L153" s="4"/>
      <c r="M153" s="11"/>
      <c r="O153" s="11"/>
    </row>
    <row r="155" spans="1:15">
      <c r="A155" t="s">
        <v>375</v>
      </c>
      <c r="B155" s="4">
        <v>0</v>
      </c>
      <c r="C155" s="11"/>
      <c r="D155" s="4">
        <v>0</v>
      </c>
      <c r="E155" s="11"/>
      <c r="F155" s="4">
        <v>0</v>
      </c>
      <c r="G155" s="11"/>
      <c r="H155" s="4">
        <v>0</v>
      </c>
      <c r="I155" s="11"/>
      <c r="J155" s="4"/>
      <c r="K155" s="11"/>
      <c r="L155" s="4"/>
      <c r="M155" s="11"/>
      <c r="O155" s="11"/>
    </row>
    <row r="157" spans="1:15">
      <c r="A157" t="s">
        <v>376</v>
      </c>
      <c r="B157" s="4">
        <f>+B161+B162+B163</f>
        <v>8672.5347000000002</v>
      </c>
      <c r="C157" s="11"/>
      <c r="D157" s="4">
        <f>+D161+D162+D163</f>
        <v>0</v>
      </c>
      <c r="E157" s="11"/>
      <c r="F157" s="4">
        <f>+F161+F162+F163</f>
        <v>0</v>
      </c>
      <c r="G157" s="11"/>
      <c r="H157" s="4">
        <f>+H161+H162+H163</f>
        <v>0</v>
      </c>
      <c r="I157" s="11"/>
      <c r="J157" s="4"/>
      <c r="K157" s="11"/>
      <c r="L157" s="4"/>
      <c r="M157" s="11"/>
      <c r="O157" s="11"/>
    </row>
    <row r="158" spans="1:15">
      <c r="A158" t="s">
        <v>377</v>
      </c>
      <c r="B158" s="12">
        <f>5000000/1000</f>
        <v>5000</v>
      </c>
      <c r="D158" s="12">
        <v>0</v>
      </c>
      <c r="F158" s="12">
        <v>0</v>
      </c>
      <c r="H158" s="12">
        <v>0</v>
      </c>
    </row>
    <row r="159" spans="1:15">
      <c r="A159" t="s">
        <v>378</v>
      </c>
      <c r="B159" s="12">
        <v>0</v>
      </c>
      <c r="D159" s="12">
        <v>0</v>
      </c>
      <c r="F159" s="12">
        <v>0</v>
      </c>
      <c r="H159" s="12">
        <v>0</v>
      </c>
    </row>
    <row r="160" spans="1:15">
      <c r="A160" t="s">
        <v>302</v>
      </c>
      <c r="B160" s="12">
        <v>0</v>
      </c>
      <c r="D160" s="12">
        <v>0</v>
      </c>
      <c r="F160" s="12">
        <v>0</v>
      </c>
      <c r="H160" s="12">
        <v>0</v>
      </c>
    </row>
    <row r="161" spans="1:15">
      <c r="A161" t="s">
        <v>289</v>
      </c>
      <c r="B161" s="4">
        <f>+B158+B159</f>
        <v>5000</v>
      </c>
      <c r="D161" s="4">
        <f>+D158+D159</f>
        <v>0</v>
      </c>
      <c r="F161" s="4">
        <f>+F158+F159</f>
        <v>0</v>
      </c>
      <c r="H161" s="4">
        <f>+H158+H159</f>
        <v>0</v>
      </c>
    </row>
    <row r="162" spans="1:15">
      <c r="A162" t="s">
        <v>379</v>
      </c>
      <c r="B162" s="12">
        <v>0</v>
      </c>
      <c r="D162" s="12">
        <v>0</v>
      </c>
      <c r="F162" s="12">
        <v>0</v>
      </c>
      <c r="H162" s="12">
        <v>0</v>
      </c>
    </row>
    <row r="163" spans="1:15">
      <c r="A163" t="s">
        <v>380</v>
      </c>
      <c r="B163" s="12">
        <f>3672534.7/1000</f>
        <v>3672.5347000000002</v>
      </c>
      <c r="D163" s="12">
        <v>0</v>
      </c>
      <c r="F163" s="12">
        <v>0</v>
      </c>
      <c r="H163" s="12">
        <v>0</v>
      </c>
    </row>
    <row r="165" spans="1:15">
      <c r="A165" t="s">
        <v>381</v>
      </c>
      <c r="B165" s="4">
        <f>SUM(B166:B167)</f>
        <v>2500</v>
      </c>
      <c r="C165" s="11"/>
      <c r="D165" s="4">
        <f>SUM(D166:D167)</f>
        <v>0</v>
      </c>
      <c r="E165" s="11"/>
      <c r="F165" s="4">
        <f>SUM(F166:F167)</f>
        <v>0</v>
      </c>
      <c r="G165" s="11"/>
      <c r="H165" s="4">
        <f>SUM(H166:H167)</f>
        <v>0</v>
      </c>
      <c r="I165" s="11"/>
      <c r="J165" s="4"/>
      <c r="K165" s="11"/>
      <c r="L165" s="4"/>
      <c r="M165" s="11"/>
      <c r="O165" s="11"/>
    </row>
    <row r="166" spans="1:15">
      <c r="A166" t="s">
        <v>382</v>
      </c>
      <c r="B166" s="12">
        <f>2500000/1000</f>
        <v>2500</v>
      </c>
      <c r="D166" s="12">
        <v>0</v>
      </c>
      <c r="F166" s="12">
        <v>0</v>
      </c>
      <c r="H166" s="12">
        <v>0</v>
      </c>
    </row>
    <row r="167" spans="1:15">
      <c r="A167" t="s">
        <v>383</v>
      </c>
      <c r="B167" s="12">
        <v>0</v>
      </c>
      <c r="D167" s="12">
        <v>0</v>
      </c>
      <c r="F167" s="12">
        <v>0</v>
      </c>
      <c r="H167" s="12">
        <v>0</v>
      </c>
    </row>
    <row r="169" spans="1:15">
      <c r="A169" t="s">
        <v>384</v>
      </c>
      <c r="B169" s="4">
        <f t="shared" ref="B169:M169" si="10">+B119+B123+B125+B127+B142+B151+B153+B155+B157+B165</f>
        <v>774865.92450000008</v>
      </c>
      <c r="C169" s="11" t="s">
        <v>0</v>
      </c>
      <c r="D169" s="4">
        <f t="shared" si="10"/>
        <v>0</v>
      </c>
      <c r="E169" s="11">
        <f t="shared" si="10"/>
        <v>0</v>
      </c>
      <c r="F169" s="4">
        <f t="shared" si="10"/>
        <v>0</v>
      </c>
      <c r="G169" s="11">
        <f t="shared" si="10"/>
        <v>0</v>
      </c>
      <c r="H169" s="4">
        <f t="shared" si="10"/>
        <v>0</v>
      </c>
      <c r="I169" s="11">
        <f t="shared" si="10"/>
        <v>0</v>
      </c>
      <c r="J169" s="4">
        <f t="shared" si="10"/>
        <v>0</v>
      </c>
      <c r="K169" s="11">
        <f t="shared" si="10"/>
        <v>0</v>
      </c>
      <c r="L169" s="4">
        <f t="shared" si="10"/>
        <v>0</v>
      </c>
      <c r="M169" s="11">
        <f t="shared" si="10"/>
        <v>0</v>
      </c>
      <c r="O169" s="11">
        <f>+O119+O123+O125+O127+O142+O151+O153+O155+O157+O165</f>
        <v>0</v>
      </c>
    </row>
  </sheetData>
  <pageMargins left="0.2" right="0.2" top="0.5" bottom="0.55000000000000004" header="0.28999999999999998" footer="0.3"/>
  <pageSetup scale="55" orientation="landscape" r:id="rId1"/>
  <headerFooter alignWithMargins="0">
    <oddFooter>&amp;C
&amp;R&amp;P</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5"/>
  <sheetViews>
    <sheetView workbookViewId="0"/>
  </sheetViews>
  <sheetFormatPr defaultRowHeight="15.75"/>
  <cols>
    <col min="1" max="1" width="33.25" customWidth="1"/>
    <col min="2" max="2" width="17"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9.75" style="13" customWidth="1"/>
    <col min="18" max="18" width="15.75" style="12" customWidth="1"/>
    <col min="19" max="21" width="15.75" customWidth="1"/>
    <col min="22" max="256" width="11" customWidth="1"/>
  </cols>
  <sheetData>
    <row r="1" spans="1:21">
      <c r="A1" s="114" t="s">
        <v>636</v>
      </c>
      <c r="B1" s="37"/>
      <c r="C1" s="38"/>
      <c r="D1" s="37"/>
      <c r="E1" s="38"/>
      <c r="F1" s="37"/>
      <c r="G1" s="38"/>
      <c r="H1" s="37"/>
      <c r="I1" s="38"/>
      <c r="J1" s="37"/>
      <c r="K1" s="38"/>
      <c r="L1" s="37"/>
      <c r="M1" s="38"/>
      <c r="N1" s="37"/>
      <c r="O1" s="38"/>
      <c r="P1" s="37"/>
      <c r="Q1" s="38"/>
    </row>
    <row r="2" spans="1:21">
      <c r="A2" s="114" t="s">
        <v>305</v>
      </c>
      <c r="B2" s="37"/>
      <c r="C2" s="38"/>
      <c r="D2" s="37"/>
      <c r="E2" s="38"/>
      <c r="F2" s="37"/>
      <c r="G2" s="38"/>
      <c r="H2" s="37"/>
      <c r="I2" s="38"/>
      <c r="J2" s="37"/>
      <c r="K2" s="38"/>
      <c r="L2" s="37"/>
      <c r="M2" s="38"/>
      <c r="N2" s="37"/>
      <c r="O2" s="38"/>
      <c r="P2" s="37"/>
      <c r="Q2" s="38"/>
    </row>
    <row r="3" spans="1:21">
      <c r="A3" s="114" t="s">
        <v>526</v>
      </c>
      <c r="B3" s="37"/>
      <c r="C3" s="38"/>
      <c r="D3" s="37"/>
      <c r="E3" s="38"/>
      <c r="F3" s="37"/>
      <c r="G3" s="38"/>
      <c r="H3" s="37"/>
      <c r="I3" s="38"/>
      <c r="J3" s="37"/>
      <c r="K3" s="38"/>
      <c r="L3" s="37"/>
      <c r="M3" s="38"/>
      <c r="N3" s="37"/>
      <c r="O3" s="38"/>
      <c r="P3" s="37"/>
      <c r="Q3" s="38"/>
    </row>
    <row r="4" spans="1:21">
      <c r="A4" s="114" t="s">
        <v>179</v>
      </c>
      <c r="B4" s="37"/>
      <c r="C4" s="38"/>
      <c r="D4" s="37"/>
      <c r="E4" s="38"/>
      <c r="F4" s="37"/>
      <c r="G4" s="38"/>
      <c r="H4" s="37"/>
      <c r="I4" s="38"/>
      <c r="J4" s="37"/>
      <c r="K4" s="38"/>
      <c r="L4" s="37"/>
      <c r="M4" s="38"/>
      <c r="N4" s="37"/>
      <c r="O4" s="38"/>
      <c r="P4" s="37"/>
      <c r="Q4" s="38"/>
    </row>
    <row r="6" spans="1:21" ht="16.5" thickBot="1">
      <c r="B6" s="238" t="s">
        <v>0</v>
      </c>
      <c r="C6" s="215"/>
      <c r="D6" s="216"/>
      <c r="E6" s="215"/>
      <c r="F6" s="216"/>
      <c r="G6" s="215"/>
      <c r="H6" s="216"/>
      <c r="J6" s="123" t="s">
        <v>167</v>
      </c>
      <c r="K6" s="38"/>
      <c r="L6" s="37"/>
      <c r="M6" s="38"/>
      <c r="N6" s="37"/>
      <c r="O6" s="38"/>
      <c r="P6" s="37"/>
      <c r="Q6" s="38"/>
    </row>
    <row r="7" spans="1:21" s="2" customFormat="1" ht="16.5" thickBot="1">
      <c r="B7" s="223" t="s">
        <v>168</v>
      </c>
      <c r="C7" s="224" t="s">
        <v>301</v>
      </c>
      <c r="D7" s="225" t="s">
        <v>170</v>
      </c>
      <c r="E7" s="224" t="s">
        <v>301</v>
      </c>
      <c r="F7" s="225" t="s">
        <v>171</v>
      </c>
      <c r="G7" s="224" t="s">
        <v>301</v>
      </c>
      <c r="H7" s="225" t="s">
        <v>172</v>
      </c>
      <c r="I7" s="224" t="s">
        <v>301</v>
      </c>
      <c r="J7" s="228" t="s">
        <v>174</v>
      </c>
      <c r="K7" s="227" t="s">
        <v>301</v>
      </c>
      <c r="L7" s="228" t="s">
        <v>175</v>
      </c>
      <c r="M7" s="227" t="s">
        <v>301</v>
      </c>
      <c r="N7" s="228" t="s">
        <v>176</v>
      </c>
      <c r="O7" s="227" t="s">
        <v>301</v>
      </c>
      <c r="P7" s="228" t="s">
        <v>177</v>
      </c>
      <c r="Q7" s="227" t="s">
        <v>301</v>
      </c>
      <c r="R7" s="80"/>
      <c r="S7" s="18"/>
      <c r="T7" s="18"/>
      <c r="U7" s="18"/>
    </row>
    <row r="8" spans="1:21">
      <c r="A8" s="87" t="s">
        <v>243</v>
      </c>
      <c r="B8" s="125"/>
      <c r="C8" s="124"/>
      <c r="D8" s="125"/>
      <c r="E8" s="124"/>
      <c r="F8" s="125"/>
      <c r="G8" s="124"/>
      <c r="H8" s="125"/>
      <c r="I8" s="124"/>
      <c r="J8" s="219"/>
      <c r="K8" s="124"/>
      <c r="L8" s="219"/>
      <c r="M8" s="124"/>
      <c r="N8" s="219"/>
      <c r="O8" s="124"/>
      <c r="P8" s="219"/>
      <c r="Q8" s="124"/>
      <c r="R8" s="14"/>
      <c r="S8" s="9"/>
      <c r="T8" s="9"/>
      <c r="U8" s="9"/>
    </row>
    <row r="9" spans="1:21">
      <c r="A9" s="1" t="s">
        <v>264</v>
      </c>
      <c r="B9"/>
    </row>
    <row r="10" spans="1:21">
      <c r="A10" s="1" t="s">
        <v>265</v>
      </c>
      <c r="B10" s="12">
        <f>+scotiavar!B10</f>
        <v>36100</v>
      </c>
      <c r="C10" s="47">
        <f t="shared" ref="C10:C15" si="0">+B10/$B$22</f>
        <v>3.7700853647583701E-2</v>
      </c>
      <c r="D10" s="12">
        <f>+scotiavar!D10</f>
        <v>0</v>
      </c>
      <c r="E10" s="44">
        <v>0</v>
      </c>
      <c r="F10" s="12">
        <f>+scotiavar!F10</f>
        <v>0</v>
      </c>
      <c r="G10" s="44">
        <v>0</v>
      </c>
      <c r="H10" s="12">
        <f>+scotiavar!H10</f>
        <v>0</v>
      </c>
      <c r="I10" s="44">
        <v>0</v>
      </c>
      <c r="J10" s="12">
        <f>+scotiavar!J10</f>
        <v>27686</v>
      </c>
      <c r="K10" s="47">
        <f t="shared" ref="K10:K15" si="1">+J10/$J$22</f>
        <v>3.0086934352647865E-2</v>
      </c>
      <c r="L10" s="12">
        <f>+scotiavar!L10</f>
        <v>23892</v>
      </c>
      <c r="M10" s="47">
        <f t="shared" ref="M10:M15" si="2">+L10/$L$22</f>
        <v>3.1589093221672353E-2</v>
      </c>
      <c r="N10" s="12">
        <f>+scotiavar!N10</f>
        <v>26760.9</v>
      </c>
      <c r="O10" s="47">
        <f t="shared" ref="O10:O15" si="3">+N10/$N$22</f>
        <v>3.6832485269565916E-2</v>
      </c>
      <c r="P10" s="12">
        <f>+scotiavar!P10</f>
        <v>25883.013749999998</v>
      </c>
      <c r="Q10" s="47">
        <f>+P10/$P$22</f>
        <v>3.5335748349354865E-2</v>
      </c>
    </row>
    <row r="11" spans="1:21">
      <c r="A11" s="1" t="s">
        <v>266</v>
      </c>
      <c r="B11" s="12">
        <f>+scotiavar!B11</f>
        <v>249258</v>
      </c>
      <c r="C11" s="47">
        <f t="shared" si="0"/>
        <v>0.26031134012436058</v>
      </c>
      <c r="D11" s="12">
        <f>+scotiavar!D11</f>
        <v>0</v>
      </c>
      <c r="E11" s="44">
        <v>0</v>
      </c>
      <c r="F11" s="12">
        <f>+scotiavar!F11</f>
        <v>0</v>
      </c>
      <c r="G11" s="44">
        <v>0</v>
      </c>
      <c r="H11" s="12">
        <f>+scotiavar!H11</f>
        <v>0</v>
      </c>
      <c r="I11" s="44">
        <v>0</v>
      </c>
      <c r="J11" s="12">
        <f>+scotiavar!J11</f>
        <v>261014</v>
      </c>
      <c r="K11" s="47">
        <f t="shared" si="1"/>
        <v>0.28364917586946581</v>
      </c>
      <c r="L11" s="12">
        <f>+scotiavar!L11</f>
        <v>178897</v>
      </c>
      <c r="M11" s="47">
        <f t="shared" si="2"/>
        <v>0.23653080571226848</v>
      </c>
      <c r="N11" s="12">
        <f>+scotiavar!N11</f>
        <v>220929.6</v>
      </c>
      <c r="O11" s="47">
        <f t="shared" si="3"/>
        <v>0.30407745022069849</v>
      </c>
      <c r="P11" s="12">
        <f>+scotiavar!P11</f>
        <v>284798.94264999998</v>
      </c>
      <c r="Q11" s="47">
        <f t="shared" ref="Q11:Q27" si="4">+P11/$P$22</f>
        <v>0.38881035511727252</v>
      </c>
    </row>
    <row r="12" spans="1:21">
      <c r="A12" s="1" t="s">
        <v>267</v>
      </c>
      <c r="B12" s="12">
        <f>+scotiavar!B12</f>
        <v>120369</v>
      </c>
      <c r="C12" s="47">
        <f t="shared" si="0"/>
        <v>0.12570676046277016</v>
      </c>
      <c r="D12" s="12">
        <f>+scotiavar!D12</f>
        <v>0</v>
      </c>
      <c r="E12" s="44">
        <v>0</v>
      </c>
      <c r="F12" s="12">
        <f>+scotiavar!F12</f>
        <v>0</v>
      </c>
      <c r="G12" s="44">
        <v>0</v>
      </c>
      <c r="H12" s="12">
        <f>+scotiavar!H12</f>
        <v>0</v>
      </c>
      <c r="I12" s="44">
        <v>0</v>
      </c>
      <c r="J12" s="12">
        <f>+scotiavar!J12</f>
        <v>59961</v>
      </c>
      <c r="K12" s="47">
        <f t="shared" si="1"/>
        <v>6.5160827520014397E-2</v>
      </c>
      <c r="L12" s="12">
        <f>+scotiavar!L12</f>
        <v>86871</v>
      </c>
      <c r="M12" s="47">
        <f t="shared" si="2"/>
        <v>0.11485753043947342</v>
      </c>
      <c r="N12" s="12">
        <f>+scotiavar!N12</f>
        <v>13427.7</v>
      </c>
      <c r="O12" s="47">
        <f t="shared" si="3"/>
        <v>1.8481275385138402E-2</v>
      </c>
      <c r="P12" s="12">
        <f>+scotiavar!P12</f>
        <v>54558.727549999996</v>
      </c>
      <c r="Q12" s="47">
        <f t="shared" si="4"/>
        <v>7.4484118642011474E-2</v>
      </c>
    </row>
    <row r="13" spans="1:21">
      <c r="A13" s="1" t="s">
        <v>268</v>
      </c>
      <c r="B13" s="12">
        <f>+scotiavar!B13</f>
        <v>0</v>
      </c>
      <c r="C13" s="47">
        <f t="shared" si="0"/>
        <v>0</v>
      </c>
      <c r="D13" s="12">
        <f>+scotiavar!D13</f>
        <v>0</v>
      </c>
      <c r="E13" s="44">
        <v>0</v>
      </c>
      <c r="F13" s="12">
        <f>+scotiavar!F13</f>
        <v>0</v>
      </c>
      <c r="G13" s="44">
        <v>0</v>
      </c>
      <c r="H13" s="12">
        <f>+scotiavar!H13</f>
        <v>0</v>
      </c>
      <c r="I13" s="44">
        <v>0</v>
      </c>
      <c r="J13" s="12">
        <f>+scotiavar!J13</f>
        <v>10000</v>
      </c>
      <c r="K13" s="47">
        <f t="shared" si="1"/>
        <v>1.0867201601043078E-2</v>
      </c>
      <c r="L13" s="12">
        <f>+scotiavar!L13</f>
        <v>0</v>
      </c>
      <c r="M13" s="47">
        <f t="shared" si="2"/>
        <v>0</v>
      </c>
      <c r="N13" s="12">
        <f>+scotiavar!N13</f>
        <v>60000</v>
      </c>
      <c r="O13" s="47">
        <f t="shared" si="3"/>
        <v>8.2581270292626741E-2</v>
      </c>
      <c r="P13" s="12">
        <f>+scotiavar!P13</f>
        <v>12000</v>
      </c>
      <c r="Q13" s="47">
        <f t="shared" si="4"/>
        <v>1.6382519604860868E-2</v>
      </c>
    </row>
    <row r="14" spans="1:21">
      <c r="A14" s="1" t="s">
        <v>269</v>
      </c>
      <c r="B14" s="221">
        <f>+scotiavar!B14</f>
        <v>11750</v>
      </c>
      <c r="C14" s="328">
        <f t="shared" si="0"/>
        <v>1.2271053472551481E-2</v>
      </c>
      <c r="D14" s="221">
        <f>+scotiavar!D14</f>
        <v>0</v>
      </c>
      <c r="E14" s="545">
        <v>0</v>
      </c>
      <c r="F14" s="221">
        <f>+scotiavar!F14</f>
        <v>0</v>
      </c>
      <c r="G14" s="545">
        <v>0</v>
      </c>
      <c r="H14" s="221">
        <f>+scotiavar!H14</f>
        <v>0</v>
      </c>
      <c r="I14" s="545">
        <v>0</v>
      </c>
      <c r="J14" s="221">
        <f>+scotiavar!J14</f>
        <v>5872</v>
      </c>
      <c r="K14" s="328">
        <f t="shared" si="1"/>
        <v>6.381220780132495E-3</v>
      </c>
      <c r="L14" s="221">
        <f>+scotiavar!L14</f>
        <v>5622</v>
      </c>
      <c r="M14" s="328">
        <f t="shared" si="2"/>
        <v>7.4331944622569044E-3</v>
      </c>
      <c r="N14" s="221">
        <f>+scotiavar!N14</f>
        <v>11788.1</v>
      </c>
      <c r="O14" s="328">
        <f t="shared" si="3"/>
        <v>1.6224604538941888E-2</v>
      </c>
      <c r="P14" s="221">
        <f>+scotiavar!P14</f>
        <v>11374.743699999999</v>
      </c>
      <c r="Q14" s="328">
        <f t="shared" si="4"/>
        <v>1.5528913472126468E-2</v>
      </c>
    </row>
    <row r="15" spans="1:21" ht="15.6" customHeight="1">
      <c r="A15" s="1"/>
      <c r="B15" s="12">
        <f>SUM(B10:B14)</f>
        <v>417477</v>
      </c>
      <c r="C15" s="47">
        <f t="shared" si="0"/>
        <v>0.43599000770726593</v>
      </c>
      <c r="D15" s="12">
        <f>SUM(D10:D14)</f>
        <v>0</v>
      </c>
      <c r="E15" s="44">
        <v>0</v>
      </c>
      <c r="F15" s="12">
        <f>SUM(F10:F14)</f>
        <v>0</v>
      </c>
      <c r="G15" s="44">
        <v>0</v>
      </c>
      <c r="H15" s="12">
        <f>SUM(H10:H14)</f>
        <v>0</v>
      </c>
      <c r="I15" s="44">
        <v>0</v>
      </c>
      <c r="J15" s="12">
        <f>SUM(J10:J14)</f>
        <v>364533</v>
      </c>
      <c r="K15" s="47">
        <f t="shared" si="1"/>
        <v>0.39614536012330365</v>
      </c>
      <c r="L15" s="12">
        <f>SUM(L10:L14)</f>
        <v>295282</v>
      </c>
      <c r="M15" s="47">
        <f t="shared" si="2"/>
        <v>0.39041062383567116</v>
      </c>
      <c r="N15" s="12">
        <f>SUM(N10:N14)</f>
        <v>332906.3</v>
      </c>
      <c r="O15" s="47">
        <f t="shared" si="3"/>
        <v>0.45819708570697143</v>
      </c>
      <c r="P15" s="12">
        <f>SUM(P10:P14)</f>
        <v>388615.42764999997</v>
      </c>
      <c r="Q15" s="47">
        <f t="shared" si="4"/>
        <v>0.53054165518562624</v>
      </c>
    </row>
    <row r="16" spans="1:21" ht="7.9" customHeight="1">
      <c r="A16" s="1"/>
      <c r="C16" s="47" t="s">
        <v>0</v>
      </c>
      <c r="E16" s="44" t="s">
        <v>0</v>
      </c>
      <c r="G16" s="44" t="s">
        <v>0</v>
      </c>
      <c r="I16" s="44" t="s">
        <v>0</v>
      </c>
      <c r="K16" s="47" t="s">
        <v>0</v>
      </c>
      <c r="M16" s="47" t="s">
        <v>0</v>
      </c>
      <c r="O16" s="47" t="s">
        <v>0</v>
      </c>
      <c r="Q16" s="47" t="s">
        <v>0</v>
      </c>
    </row>
    <row r="17" spans="1:17" ht="15.6" customHeight="1">
      <c r="A17" s="1" t="s">
        <v>270</v>
      </c>
      <c r="B17" s="12">
        <f>+scotiavar!B17</f>
        <v>25000</v>
      </c>
      <c r="C17" s="47">
        <f t="shared" ref="C17:C22" si="5">+B17/$B$22</f>
        <v>2.6108624409684002E-2</v>
      </c>
      <c r="D17" s="12">
        <f>+scotiavar!D17</f>
        <v>0</v>
      </c>
      <c r="E17" s="44">
        <v>0</v>
      </c>
      <c r="F17" s="12">
        <f>+scotiavar!F17</f>
        <v>0</v>
      </c>
      <c r="G17" s="44">
        <v>0</v>
      </c>
      <c r="H17" s="12">
        <f>+scotiavar!H17</f>
        <v>0</v>
      </c>
      <c r="I17" s="44">
        <v>0</v>
      </c>
      <c r="J17" s="12">
        <f>+scotiavar!J17</f>
        <v>50000</v>
      </c>
      <c r="K17" s="47">
        <v>0</v>
      </c>
      <c r="L17" s="12">
        <f>+scotiavar!L17</f>
        <v>0</v>
      </c>
      <c r="M17" s="47">
        <v>0</v>
      </c>
      <c r="N17" s="12">
        <f>+scotiavar!N17</f>
        <v>0</v>
      </c>
      <c r="O17" s="47">
        <v>0</v>
      </c>
      <c r="P17" s="12">
        <f>+scotiavar!P17</f>
        <v>0</v>
      </c>
      <c r="Q17" s="47">
        <v>0</v>
      </c>
    </row>
    <row r="18" spans="1:17">
      <c r="A18" s="1" t="s">
        <v>598</v>
      </c>
      <c r="B18" s="12">
        <f>+scotiavar!B18</f>
        <v>0</v>
      </c>
      <c r="C18" s="47">
        <f t="shared" si="5"/>
        <v>0</v>
      </c>
      <c r="D18" s="12">
        <f>+scotiavar!D18</f>
        <v>0</v>
      </c>
      <c r="E18" s="44">
        <v>0</v>
      </c>
      <c r="F18" s="12">
        <f>+scotiavar!F18</f>
        <v>0</v>
      </c>
      <c r="G18" s="44">
        <v>0</v>
      </c>
      <c r="H18" s="12">
        <f>+scotiavar!H18</f>
        <v>0</v>
      </c>
      <c r="I18" s="44">
        <v>0</v>
      </c>
      <c r="J18" s="12">
        <f>+scotiavar!J18</f>
        <v>0</v>
      </c>
      <c r="K18" s="47">
        <f>+J18/$J$22</f>
        <v>0</v>
      </c>
      <c r="L18" s="12">
        <f>+scotiavar!L18</f>
        <v>0</v>
      </c>
      <c r="M18" s="47">
        <f>+L18/$L$22</f>
        <v>0</v>
      </c>
      <c r="N18" s="12">
        <f>+scotiavar!N18</f>
        <v>0</v>
      </c>
      <c r="O18" s="47">
        <f>+N18/$N$22</f>
        <v>0</v>
      </c>
      <c r="P18" s="12">
        <f>+scotiavar!P18</f>
        <v>0</v>
      </c>
      <c r="Q18" s="47">
        <f t="shared" si="4"/>
        <v>0</v>
      </c>
    </row>
    <row r="19" spans="1:17">
      <c r="A19" s="1" t="s">
        <v>272</v>
      </c>
      <c r="B19" s="12">
        <f>+scotiavar!B19</f>
        <v>494790</v>
      </c>
      <c r="C19" s="47">
        <f t="shared" si="5"/>
        <v>0.51673145086670191</v>
      </c>
      <c r="D19" s="12">
        <f>+scotiavar!D19</f>
        <v>0</v>
      </c>
      <c r="E19" s="44">
        <v>0</v>
      </c>
      <c r="F19" s="12">
        <f>+scotiavar!F19</f>
        <v>0</v>
      </c>
      <c r="G19" s="44">
        <v>0</v>
      </c>
      <c r="H19" s="12">
        <f>+scotiavar!H19</f>
        <v>0</v>
      </c>
      <c r="I19" s="44">
        <v>0</v>
      </c>
      <c r="J19" s="12">
        <f>+scotiavar!J19</f>
        <v>484024</v>
      </c>
      <c r="K19" s="47">
        <f>+J19/$J$22</f>
        <v>0.52599863877432751</v>
      </c>
      <c r="L19" s="12">
        <f>+scotiavar!L19</f>
        <v>437344</v>
      </c>
      <c r="M19" s="47">
        <f>+L19/$L$22</f>
        <v>0.57823959425494187</v>
      </c>
      <c r="N19" s="12">
        <f>+scotiavar!N19</f>
        <v>370419.3</v>
      </c>
      <c r="O19" s="47">
        <f>+N19/$N$22</f>
        <v>0.50982827224842653</v>
      </c>
      <c r="P19" s="12">
        <f>+scotiavar!P19</f>
        <v>331369.05289999995</v>
      </c>
      <c r="Q19" s="47">
        <f t="shared" si="4"/>
        <v>0.45238833379820226</v>
      </c>
    </row>
    <row r="20" spans="1:17">
      <c r="A20" s="1" t="s">
        <v>273</v>
      </c>
      <c r="B20" s="12">
        <f>+scotiavar!B20</f>
        <v>14572</v>
      </c>
      <c r="C20" s="47">
        <f t="shared" si="5"/>
        <v>1.521819499591661E-2</v>
      </c>
      <c r="D20" s="12">
        <f>+scotiavar!D20</f>
        <v>0</v>
      </c>
      <c r="E20" s="44">
        <v>0</v>
      </c>
      <c r="F20" s="12">
        <f>+scotiavar!F20</f>
        <v>0</v>
      </c>
      <c r="G20" s="44">
        <v>0</v>
      </c>
      <c r="H20" s="12">
        <f>+scotiavar!H20</f>
        <v>0</v>
      </c>
      <c r="I20" s="44">
        <v>0</v>
      </c>
      <c r="J20" s="12">
        <f>+scotiavar!J20</f>
        <v>15660</v>
      </c>
      <c r="K20" s="47">
        <f>+J20/$J$22</f>
        <v>1.7018037707233459E-2</v>
      </c>
      <c r="L20" s="12">
        <f>+scotiavar!L20</f>
        <v>18153</v>
      </c>
      <c r="M20" s="47">
        <f>+L20/$L$22</f>
        <v>2.4001205811695053E-2</v>
      </c>
      <c r="N20" s="12">
        <f>+scotiavar!N20</f>
        <v>17398.2</v>
      </c>
      <c r="O20" s="47">
        <f>+N20/$N$22</f>
        <v>2.3946090946752978E-2</v>
      </c>
      <c r="P20" s="12">
        <f>+scotiavar!P20</f>
        <v>2465.7606000000001</v>
      </c>
      <c r="Q20" s="47">
        <f t="shared" si="4"/>
        <v>3.3662809475327915E-3</v>
      </c>
    </row>
    <row r="21" spans="1:17" ht="16.5" thickBot="1">
      <c r="A21" s="1" t="s">
        <v>274</v>
      </c>
      <c r="B21" s="99">
        <f>+scotiavar!B21</f>
        <v>5699</v>
      </c>
      <c r="C21" s="329">
        <f t="shared" si="5"/>
        <v>5.9517220204315649E-3</v>
      </c>
      <c r="D21" s="99">
        <f>+scotiavar!D21</f>
        <v>0</v>
      </c>
      <c r="E21" s="232">
        <v>0</v>
      </c>
      <c r="F21" s="99">
        <f>+scotiavar!F21</f>
        <v>0</v>
      </c>
      <c r="G21" s="232">
        <v>0</v>
      </c>
      <c r="H21" s="99">
        <f>+scotiavar!H21</f>
        <v>0</v>
      </c>
      <c r="I21" s="232">
        <v>0</v>
      </c>
      <c r="J21" s="99">
        <f>+scotiavar!J21</f>
        <v>5983</v>
      </c>
      <c r="K21" s="329">
        <f>+J21/$J$22</f>
        <v>6.5018467179040734E-3</v>
      </c>
      <c r="L21" s="99">
        <f>+scotiavar!L21</f>
        <v>5558</v>
      </c>
      <c r="M21" s="329">
        <f>+L21/$L$22</f>
        <v>7.3485760976919022E-3</v>
      </c>
      <c r="N21" s="99">
        <f>+scotiavar!N21</f>
        <v>5833.2</v>
      </c>
      <c r="O21" s="329">
        <f>+N21/$N$22</f>
        <v>8.0285510978491716E-3</v>
      </c>
      <c r="P21" s="99">
        <f>+scotiavar!P21</f>
        <v>10037.818650000001</v>
      </c>
      <c r="Q21" s="329">
        <f t="shared" si="4"/>
        <v>1.3703730068638589E-2</v>
      </c>
    </row>
    <row r="22" spans="1:17">
      <c r="A22" s="1" t="s">
        <v>275</v>
      </c>
      <c r="B22" s="4">
        <f>SUM(B15:B21)</f>
        <v>957538</v>
      </c>
      <c r="C22" s="112">
        <f t="shared" si="5"/>
        <v>1</v>
      </c>
      <c r="D22" s="4">
        <f>SUM(D15:D21)</f>
        <v>0</v>
      </c>
      <c r="E22" s="44">
        <v>0</v>
      </c>
      <c r="F22" s="4">
        <f>SUM(F15:F21)</f>
        <v>0</v>
      </c>
      <c r="G22" s="42">
        <v>0</v>
      </c>
      <c r="H22" s="4">
        <f>SUM(H15:H21)</f>
        <v>0</v>
      </c>
      <c r="I22" s="42">
        <v>0</v>
      </c>
      <c r="J22" s="4">
        <f>SUM(J15:J21)+0.1</f>
        <v>920200.1</v>
      </c>
      <c r="K22" s="112">
        <f>+J22/$J$22</f>
        <v>1</v>
      </c>
      <c r="L22" s="4">
        <f>SUM(L15:L21)</f>
        <v>756337</v>
      </c>
      <c r="M22" s="47">
        <f>+L22/$L$22</f>
        <v>1</v>
      </c>
      <c r="N22" s="4">
        <f>SUM(N15:N21)</f>
        <v>726556.99999999988</v>
      </c>
      <c r="O22" s="47">
        <f>+N22/$N$22</f>
        <v>1</v>
      </c>
      <c r="P22" s="4">
        <f>SUM(P15:P21)</f>
        <v>732488.05980000005</v>
      </c>
      <c r="Q22" s="47">
        <f t="shared" si="4"/>
        <v>1</v>
      </c>
    </row>
    <row r="23" spans="1:17" ht="7.9" customHeight="1">
      <c r="A23" s="1"/>
      <c r="C23" s="47" t="s">
        <v>0</v>
      </c>
      <c r="E23" s="44" t="s">
        <v>0</v>
      </c>
      <c r="G23" s="44" t="s">
        <v>0</v>
      </c>
      <c r="I23" s="44" t="s">
        <v>0</v>
      </c>
      <c r="K23" s="47" t="s">
        <v>0</v>
      </c>
      <c r="M23" s="47" t="s">
        <v>0</v>
      </c>
      <c r="O23" s="47" t="s">
        <v>0</v>
      </c>
      <c r="Q23" s="47" t="s">
        <v>0</v>
      </c>
    </row>
    <row r="24" spans="1:17">
      <c r="A24" s="87" t="s">
        <v>276</v>
      </c>
      <c r="C24" s="47" t="s">
        <v>0</v>
      </c>
      <c r="E24" s="44" t="s">
        <v>0</v>
      </c>
      <c r="G24" s="44" t="s">
        <v>0</v>
      </c>
      <c r="I24" s="44" t="s">
        <v>0</v>
      </c>
      <c r="K24" s="47" t="s">
        <v>0</v>
      </c>
      <c r="M24" s="47" t="s">
        <v>0</v>
      </c>
      <c r="O24" s="47" t="s">
        <v>0</v>
      </c>
      <c r="Q24" s="47" t="s">
        <v>0</v>
      </c>
    </row>
    <row r="25" spans="1:17">
      <c r="A25" s="1" t="s">
        <v>277</v>
      </c>
      <c r="C25" s="47" t="s">
        <v>0</v>
      </c>
      <c r="E25" s="44" t="s">
        <v>0</v>
      </c>
      <c r="G25" s="44" t="s">
        <v>0</v>
      </c>
      <c r="I25" s="44" t="s">
        <v>0</v>
      </c>
      <c r="K25" s="47" t="s">
        <v>0</v>
      </c>
      <c r="M25" s="47" t="s">
        <v>0</v>
      </c>
      <c r="O25" s="47" t="s">
        <v>0</v>
      </c>
      <c r="Q25" s="47" t="s">
        <v>0</v>
      </c>
    </row>
    <row r="26" spans="1:17">
      <c r="A26" s="1" t="s">
        <v>278</v>
      </c>
      <c r="B26" s="12">
        <f>+scotiavar!B26</f>
        <v>172953</v>
      </c>
      <c r="C26" s="47">
        <f>+B26/$B$22</f>
        <v>0.1806225967011231</v>
      </c>
      <c r="D26" s="12">
        <f>+scotiavar!D26</f>
        <v>0</v>
      </c>
      <c r="E26" s="44">
        <v>0</v>
      </c>
      <c r="F26" s="12">
        <f>+scotiavar!F26</f>
        <v>0</v>
      </c>
      <c r="G26" s="44">
        <v>0</v>
      </c>
      <c r="H26" s="12">
        <f>+scotiavar!H26</f>
        <v>0</v>
      </c>
      <c r="I26" s="44">
        <v>0</v>
      </c>
      <c r="J26" s="12">
        <f>+scotiavar!J26</f>
        <v>166352</v>
      </c>
      <c r="K26" s="47">
        <f>+J26/$J$22</f>
        <v>0.1807780720736718</v>
      </c>
      <c r="L26" s="12">
        <f>+scotiavar!L26</f>
        <v>160834</v>
      </c>
      <c r="M26" s="47">
        <f>+L26/$L$22</f>
        <v>0.21264859447574297</v>
      </c>
      <c r="N26" s="12">
        <f>+scotiavar!N26</f>
        <v>164927.9</v>
      </c>
      <c r="O26" s="47">
        <f>+N26/$N$22</f>
        <v>0.22699925814492189</v>
      </c>
      <c r="P26" s="12">
        <f>+scotiavar!P26</f>
        <v>180315.99799999999</v>
      </c>
      <c r="Q26" s="47">
        <f t="shared" si="4"/>
        <v>0.24616919769208773</v>
      </c>
    </row>
    <row r="27" spans="1:17">
      <c r="A27" s="1" t="s">
        <v>279</v>
      </c>
      <c r="B27" s="12">
        <f>+scotiavar!B27</f>
        <v>488394</v>
      </c>
      <c r="C27" s="47">
        <f>+B27/$B$22</f>
        <v>0.51005182039772834</v>
      </c>
      <c r="D27" s="12">
        <f>+scotiavar!D27</f>
        <v>0</v>
      </c>
      <c r="E27" s="44">
        <v>0</v>
      </c>
      <c r="F27" s="12">
        <f>+scotiavar!F27</f>
        <v>0</v>
      </c>
      <c r="G27" s="44">
        <v>0</v>
      </c>
      <c r="H27" s="12">
        <f>+scotiavar!H27</f>
        <v>0</v>
      </c>
      <c r="I27" s="44">
        <v>0</v>
      </c>
      <c r="J27" s="12">
        <f>+scotiavar!J27</f>
        <v>487409</v>
      </c>
      <c r="K27" s="47">
        <f>+J27/$J$22</f>
        <v>0.5296771865162806</v>
      </c>
      <c r="L27" s="12">
        <f>+scotiavar!L27</f>
        <v>455615</v>
      </c>
      <c r="M27" s="47">
        <f>+L27/$L$22</f>
        <v>0.60239681517630372</v>
      </c>
      <c r="N27" s="12">
        <f>+scotiavar!N27</f>
        <v>477403</v>
      </c>
      <c r="O27" s="47">
        <f>+N27/$N$22</f>
        <v>0.65707576969184811</v>
      </c>
      <c r="P27" s="12">
        <f>+scotiavar!P27</f>
        <v>485910.39914999995</v>
      </c>
      <c r="Q27" s="47">
        <f t="shared" si="4"/>
        <v>0.66336972002338701</v>
      </c>
    </row>
    <row r="28" spans="1:17">
      <c r="A28" s="1" t="s">
        <v>280</v>
      </c>
      <c r="B28" s="221">
        <f>+scotiavar!B28</f>
        <v>227441</v>
      </c>
      <c r="C28" s="328">
        <f>+B28/$B$22</f>
        <v>0.23752686577451756</v>
      </c>
      <c r="D28" s="221">
        <f>+scotiavar!D28</f>
        <v>0</v>
      </c>
      <c r="E28" s="545">
        <v>0</v>
      </c>
      <c r="F28" s="221">
        <f>+scotiavar!F28</f>
        <v>0</v>
      </c>
      <c r="G28" s="545">
        <v>0</v>
      </c>
      <c r="H28" s="221">
        <f>+scotiavar!H28</f>
        <v>0</v>
      </c>
      <c r="I28" s="545">
        <v>0</v>
      </c>
      <c r="J28" s="221">
        <f>+scotiavar!J28</f>
        <v>229932</v>
      </c>
      <c r="K28" s="328">
        <f>+J28/$J$22</f>
        <v>0.24987173985310371</v>
      </c>
      <c r="L28" s="221">
        <f>+scotiavar!L28</f>
        <v>88298</v>
      </c>
      <c r="M28" s="328">
        <f>+L28/$L$22</f>
        <v>0.1167442555368837</v>
      </c>
      <c r="N28" s="221">
        <f>+scotiavar!N28</f>
        <v>38507.4</v>
      </c>
      <c r="O28" s="328">
        <f>+N28/$N$22</f>
        <v>5.2999833461104921E-2</v>
      </c>
      <c r="P28" s="221">
        <f>+scotiavar!P28</f>
        <v>15208.747100000001</v>
      </c>
      <c r="Q28" s="328">
        <f t="shared" ref="Q28:Q44" si="6">+P28/$P$22</f>
        <v>2.0763133127593404E-2</v>
      </c>
    </row>
    <row r="29" spans="1:17">
      <c r="A29" s="1"/>
      <c r="B29" s="12">
        <f>SUM(B26:B28)</f>
        <v>888788</v>
      </c>
      <c r="C29" s="47">
        <f>+B29/$B$22</f>
        <v>0.928201282873369</v>
      </c>
      <c r="D29" s="12">
        <f>SUM(D26:D28)</f>
        <v>0</v>
      </c>
      <c r="E29" s="44">
        <v>0</v>
      </c>
      <c r="F29" s="12">
        <f>SUM(F26:F28)</f>
        <v>0</v>
      </c>
      <c r="G29" s="44">
        <v>0</v>
      </c>
      <c r="H29" s="12">
        <f>SUM(H26:H28)</f>
        <v>0</v>
      </c>
      <c r="I29" s="44">
        <v>0</v>
      </c>
      <c r="J29" s="12">
        <f>SUM(J26:J28)</f>
        <v>883693</v>
      </c>
      <c r="K29" s="47">
        <f>+J29/$J$22</f>
        <v>0.96032699844305602</v>
      </c>
      <c r="L29" s="12">
        <f>SUM(L26:L28)</f>
        <v>704747</v>
      </c>
      <c r="M29" s="47">
        <f>+L29/$L$22</f>
        <v>0.93178966518893036</v>
      </c>
      <c r="N29" s="12">
        <f>SUM(N26:N28)</f>
        <v>680838.3</v>
      </c>
      <c r="O29" s="47">
        <f>+N29/$N$22</f>
        <v>0.93707486129787498</v>
      </c>
      <c r="P29" s="12">
        <f>SUM(P26:P28)</f>
        <v>681435.14425000001</v>
      </c>
      <c r="Q29" s="47">
        <f t="shared" si="6"/>
        <v>0.93030205084306816</v>
      </c>
    </row>
    <row r="30" spans="1:17" ht="7.9" customHeight="1">
      <c r="A30" s="1"/>
      <c r="C30" s="47" t="s">
        <v>0</v>
      </c>
      <c r="E30" s="44" t="s">
        <v>0</v>
      </c>
      <c r="G30" s="44" t="s">
        <v>0</v>
      </c>
      <c r="I30" s="44" t="s">
        <v>0</v>
      </c>
      <c r="K30" s="47" t="s">
        <v>0</v>
      </c>
      <c r="M30" s="47" t="s">
        <v>0</v>
      </c>
      <c r="O30" s="47" t="s">
        <v>0</v>
      </c>
      <c r="Q30" s="47" t="s">
        <v>0</v>
      </c>
    </row>
    <row r="31" spans="1:17">
      <c r="A31" s="1" t="s">
        <v>281</v>
      </c>
      <c r="C31" s="47" t="s">
        <v>0</v>
      </c>
      <c r="E31" s="44" t="s">
        <v>0</v>
      </c>
      <c r="G31" s="44" t="s">
        <v>0</v>
      </c>
      <c r="I31" s="44" t="s">
        <v>0</v>
      </c>
      <c r="K31" s="47" t="s">
        <v>0</v>
      </c>
      <c r="M31" s="47" t="s">
        <v>0</v>
      </c>
      <c r="O31" s="47" t="s">
        <v>0</v>
      </c>
      <c r="Q31" s="47" t="s">
        <v>0</v>
      </c>
    </row>
    <row r="32" spans="1:17">
      <c r="A32" s="1" t="s">
        <v>282</v>
      </c>
      <c r="B32" s="12">
        <f>+scotiavar!B32</f>
        <v>0</v>
      </c>
      <c r="C32" s="47">
        <f>+B32/$B$22</f>
        <v>0</v>
      </c>
      <c r="D32" s="12">
        <f>+scotiavar!D32</f>
        <v>0</v>
      </c>
      <c r="E32" s="44">
        <v>0</v>
      </c>
      <c r="F32" s="12">
        <f>+scotiavar!F32</f>
        <v>0</v>
      </c>
      <c r="G32" s="44">
        <v>0</v>
      </c>
      <c r="H32" s="12">
        <f>+scotiavar!H32</f>
        <v>0</v>
      </c>
      <c r="I32" s="44">
        <v>0</v>
      </c>
      <c r="J32" s="12">
        <f>+scotiavar!J32</f>
        <v>0</v>
      </c>
      <c r="K32" s="47">
        <f>+J32/$J$22</f>
        <v>0</v>
      </c>
      <c r="L32" s="12">
        <f>+scotiavar!L32</f>
        <v>0</v>
      </c>
      <c r="M32" s="47">
        <f>+L32/$L$22</f>
        <v>0</v>
      </c>
      <c r="N32" s="12">
        <f>+scotiavar!N32</f>
        <v>0</v>
      </c>
      <c r="O32" s="47">
        <f>+N32/$N$22</f>
        <v>0</v>
      </c>
      <c r="P32" s="12">
        <f>+scotiavar!P32</f>
        <v>0</v>
      </c>
      <c r="Q32" s="47">
        <f t="shared" si="6"/>
        <v>0</v>
      </c>
    </row>
    <row r="33" spans="1:21">
      <c r="A33" s="1" t="s">
        <v>283</v>
      </c>
      <c r="B33" s="12">
        <f>+scotiavar!B33</f>
        <v>0</v>
      </c>
      <c r="C33" s="47">
        <f>+B33/$B$22</f>
        <v>0</v>
      </c>
      <c r="D33" s="12">
        <f>+scotiavar!D33</f>
        <v>0</v>
      </c>
      <c r="E33" s="44">
        <v>0</v>
      </c>
      <c r="F33" s="12">
        <f>+scotiavar!F33</f>
        <v>0</v>
      </c>
      <c r="G33" s="44">
        <v>0</v>
      </c>
      <c r="H33" s="12">
        <f>+scotiavar!H33</f>
        <v>0</v>
      </c>
      <c r="I33" s="44">
        <v>0</v>
      </c>
      <c r="J33" s="12">
        <f>+scotiavar!J33</f>
        <v>0</v>
      </c>
      <c r="K33" s="47">
        <f>+J33/$J$22</f>
        <v>0</v>
      </c>
      <c r="L33" s="12">
        <f>+scotiavar!L33</f>
        <v>0</v>
      </c>
      <c r="M33" s="47">
        <f>+L33/$L$22</f>
        <v>0</v>
      </c>
      <c r="N33" s="12">
        <f>+scotiavar!N33</f>
        <v>0</v>
      </c>
      <c r="O33" s="47">
        <f>+N33/$N$22</f>
        <v>0</v>
      </c>
      <c r="P33" s="12">
        <f>+scotiavar!P33</f>
        <v>0</v>
      </c>
      <c r="Q33" s="47">
        <f t="shared" si="6"/>
        <v>0</v>
      </c>
    </row>
    <row r="34" spans="1:21" ht="18">
      <c r="A34" s="1" t="s">
        <v>284</v>
      </c>
      <c r="B34" s="221">
        <f>+scotiavar!B34</f>
        <v>26588</v>
      </c>
      <c r="C34" s="328">
        <f>+B34/$B$22</f>
        <v>2.7767044232187128E-2</v>
      </c>
      <c r="D34" s="221">
        <f>+scotiavar!D34</f>
        <v>0</v>
      </c>
      <c r="E34" s="545">
        <v>0</v>
      </c>
      <c r="F34" s="221">
        <f>+scotiavar!F34</f>
        <v>0</v>
      </c>
      <c r="G34" s="545">
        <v>0</v>
      </c>
      <c r="H34" s="221">
        <f>+scotiavar!H34</f>
        <v>0</v>
      </c>
      <c r="I34" s="545">
        <v>0</v>
      </c>
      <c r="J34" s="221">
        <f>+scotiavar!J34</f>
        <v>25891</v>
      </c>
      <c r="K34" s="328">
        <f>+J34/$J$22</f>
        <v>2.8136271665260632E-2</v>
      </c>
      <c r="L34" s="221">
        <f>+scotiavar!L34</f>
        <v>21901</v>
      </c>
      <c r="M34" s="328">
        <f>+L34/$L$22</f>
        <v>2.8956668786532986E-2</v>
      </c>
      <c r="N34" s="221">
        <f>+scotiavar!N34</f>
        <v>22864.5</v>
      </c>
      <c r="O34" s="328">
        <f>+N34/$N$22</f>
        <v>3.146965757676274E-2</v>
      </c>
      <c r="P34" s="221">
        <f>+scotiavar!P34</f>
        <v>22805.963500000002</v>
      </c>
      <c r="Q34" s="328">
        <f t="shared" si="6"/>
        <v>3.1134928678874282E-2</v>
      </c>
      <c r="R34" s="6"/>
      <c r="S34" s="7"/>
      <c r="T34" s="7"/>
      <c r="U34" s="7"/>
    </row>
    <row r="35" spans="1:21">
      <c r="A35" s="1"/>
      <c r="B35" s="12">
        <f>SUM(B32:B34)</f>
        <v>26588</v>
      </c>
      <c r="C35" s="47">
        <f>+B35/$B$22</f>
        <v>2.7767044232187128E-2</v>
      </c>
      <c r="D35" s="12">
        <f>SUM(D32:D34)</f>
        <v>0</v>
      </c>
      <c r="E35" s="44">
        <v>0</v>
      </c>
      <c r="F35" s="12">
        <f>SUM(F32:F34)</f>
        <v>0</v>
      </c>
      <c r="G35" s="44">
        <v>0</v>
      </c>
      <c r="H35" s="12">
        <f>SUM(H32:H34)</f>
        <v>0</v>
      </c>
      <c r="I35" s="44">
        <v>0</v>
      </c>
      <c r="J35" s="12">
        <f>SUM(J32:J34)</f>
        <v>25891</v>
      </c>
      <c r="K35" s="47">
        <f>+J35/$J$22</f>
        <v>2.8136271665260632E-2</v>
      </c>
      <c r="L35" s="12">
        <f>SUM(L32:L34)</f>
        <v>21901</v>
      </c>
      <c r="M35" s="47">
        <f>+L35/$L$22</f>
        <v>2.8956668786532986E-2</v>
      </c>
      <c r="N35" s="12">
        <f>SUM(N32:N34)</f>
        <v>22864.5</v>
      </c>
      <c r="O35" s="47">
        <f>+N35/$N$22</f>
        <v>3.146965757676274E-2</v>
      </c>
      <c r="P35" s="12">
        <f>SUM(P32:P34)</f>
        <v>22805.963500000002</v>
      </c>
      <c r="Q35" s="47">
        <f t="shared" si="6"/>
        <v>3.1134928678874282E-2</v>
      </c>
    </row>
    <row r="36" spans="1:21" ht="7.15" customHeight="1">
      <c r="A36" s="1"/>
      <c r="C36" s="47" t="s">
        <v>0</v>
      </c>
      <c r="E36" s="44" t="s">
        <v>0</v>
      </c>
      <c r="G36" s="44" t="s">
        <v>0</v>
      </c>
      <c r="I36" s="44" t="s">
        <v>0</v>
      </c>
      <c r="K36" s="47" t="s">
        <v>0</v>
      </c>
      <c r="M36" s="47" t="s">
        <v>0</v>
      </c>
      <c r="O36" s="47" t="s">
        <v>0</v>
      </c>
      <c r="Q36" s="47" t="s">
        <v>0</v>
      </c>
    </row>
    <row r="37" spans="1:21">
      <c r="A37" s="1" t="s">
        <v>285</v>
      </c>
      <c r="C37" s="47" t="s">
        <v>0</v>
      </c>
      <c r="E37" s="44" t="s">
        <v>0</v>
      </c>
      <c r="G37" s="44" t="s">
        <v>0</v>
      </c>
      <c r="I37" s="44" t="s">
        <v>0</v>
      </c>
      <c r="K37" s="47" t="s">
        <v>0</v>
      </c>
      <c r="M37" s="47" t="s">
        <v>0</v>
      </c>
      <c r="O37" s="47" t="s">
        <v>0</v>
      </c>
      <c r="Q37" s="47" t="s">
        <v>0</v>
      </c>
    </row>
    <row r="38" spans="1:21">
      <c r="A38" s="1" t="s">
        <v>282</v>
      </c>
      <c r="B38" s="12">
        <f>+scotiavar!B38</f>
        <v>0</v>
      </c>
      <c r="C38" s="47">
        <f>+B38/$B$22</f>
        <v>0</v>
      </c>
      <c r="D38" s="12">
        <f>+scotiavar!D38</f>
        <v>0</v>
      </c>
      <c r="E38" s="44">
        <v>0</v>
      </c>
      <c r="F38" s="12">
        <f>+scotiavar!F38</f>
        <v>0</v>
      </c>
      <c r="G38" s="44">
        <v>0</v>
      </c>
      <c r="H38" s="12">
        <f>+scotiavar!H38</f>
        <v>0</v>
      </c>
      <c r="I38" s="44">
        <v>0</v>
      </c>
      <c r="J38" s="12">
        <f>+scotiavar!J38</f>
        <v>0</v>
      </c>
      <c r="K38" s="47">
        <f>+J38/$J$22</f>
        <v>0</v>
      </c>
      <c r="L38" s="12">
        <f>+scotiavar!L38</f>
        <v>0</v>
      </c>
      <c r="M38" s="47">
        <f>+L38/$L$22</f>
        <v>0</v>
      </c>
      <c r="N38" s="12">
        <f>+scotiavar!N38</f>
        <v>0</v>
      </c>
      <c r="O38" s="47">
        <f>+N38/$N$22</f>
        <v>0</v>
      </c>
      <c r="P38" s="12">
        <f>+scotiavar!P38</f>
        <v>0</v>
      </c>
      <c r="Q38" s="47">
        <f t="shared" si="6"/>
        <v>0</v>
      </c>
    </row>
    <row r="39" spans="1:21">
      <c r="A39" s="1" t="s">
        <v>286</v>
      </c>
      <c r="B39" s="12">
        <f>+scotiavar!B39</f>
        <v>0</v>
      </c>
      <c r="C39" s="47">
        <f>+B39/$B$22</f>
        <v>0</v>
      </c>
      <c r="D39" s="12">
        <f>+scotiavar!D39</f>
        <v>0</v>
      </c>
      <c r="E39" s="44">
        <v>0</v>
      </c>
      <c r="F39" s="12">
        <f>+scotiavar!F39</f>
        <v>0</v>
      </c>
      <c r="G39" s="44">
        <v>0</v>
      </c>
      <c r="H39" s="12">
        <f>+scotiavar!H39</f>
        <v>0</v>
      </c>
      <c r="I39" s="44">
        <v>0</v>
      </c>
      <c r="J39" s="12">
        <f>+scotiavar!J39</f>
        <v>0</v>
      </c>
      <c r="K39" s="47">
        <f>+J39/$J$22</f>
        <v>0</v>
      </c>
      <c r="L39" s="12">
        <f>+scotiavar!L39</f>
        <v>0</v>
      </c>
      <c r="M39" s="47">
        <f>+L39/$L$22</f>
        <v>0</v>
      </c>
      <c r="N39" s="12">
        <f>+scotiavar!N39</f>
        <v>0</v>
      </c>
      <c r="O39" s="47">
        <f>+N39/$N$22</f>
        <v>0</v>
      </c>
      <c r="P39" s="12">
        <f>+scotiavar!P39</f>
        <v>0</v>
      </c>
      <c r="Q39" s="47">
        <f t="shared" si="6"/>
        <v>0</v>
      </c>
    </row>
    <row r="40" spans="1:21">
      <c r="A40" s="1" t="s">
        <v>284</v>
      </c>
      <c r="B40" s="221">
        <f>+scotiavar!B40</f>
        <v>251</v>
      </c>
      <c r="C40" s="328">
        <f>+B40/$B$22</f>
        <v>2.6213058907322738E-4</v>
      </c>
      <c r="D40" s="221">
        <f>+scotiavar!D40</f>
        <v>0</v>
      </c>
      <c r="E40" s="545">
        <v>0</v>
      </c>
      <c r="F40" s="221">
        <f>+scotiavar!F40</f>
        <v>0</v>
      </c>
      <c r="G40" s="545">
        <v>0</v>
      </c>
      <c r="H40" s="221">
        <f>+scotiavar!H40</f>
        <v>0</v>
      </c>
      <c r="I40" s="545">
        <v>0</v>
      </c>
      <c r="J40" s="221">
        <f>+scotiavar!J40</f>
        <v>16448</v>
      </c>
      <c r="K40" s="328">
        <f>+J40/$J$22</f>
        <v>1.7874373193395653E-2</v>
      </c>
      <c r="L40" s="221">
        <f>+scotiavar!L40</f>
        <v>15170</v>
      </c>
      <c r="M40" s="328">
        <f>+L40/$L$22</f>
        <v>2.0057196725798157E-2</v>
      </c>
      <c r="N40" s="221">
        <f>+scotiavar!N40</f>
        <v>10185.799999999999</v>
      </c>
      <c r="O40" s="328">
        <f>+N40/$N$22</f>
        <v>1.4019271715777291E-2</v>
      </c>
      <c r="P40" s="221">
        <f>+scotiavar!P40</f>
        <v>11261.250699999999</v>
      </c>
      <c r="Q40" s="328">
        <f t="shared" si="6"/>
        <v>1.5373971697333596E-2</v>
      </c>
    </row>
    <row r="41" spans="1:21">
      <c r="A41" s="1"/>
      <c r="B41" s="12">
        <f>SUM(B38:B40)</f>
        <v>251</v>
      </c>
      <c r="C41" s="47">
        <f>+B41/$B$22</f>
        <v>2.6213058907322738E-4</v>
      </c>
      <c r="D41" s="12">
        <f>SUM(D38:D40)</f>
        <v>0</v>
      </c>
      <c r="E41" s="44">
        <v>0</v>
      </c>
      <c r="F41" s="12">
        <f>SUM(F38:F40)</f>
        <v>0</v>
      </c>
      <c r="G41" s="44">
        <v>0</v>
      </c>
      <c r="H41" s="12">
        <f>SUM(H38:H40)</f>
        <v>0</v>
      </c>
      <c r="I41" s="44">
        <v>0</v>
      </c>
      <c r="J41" s="12">
        <f>SUM(J38:J40)</f>
        <v>16448</v>
      </c>
      <c r="K41" s="47">
        <f>+J41/$J$22</f>
        <v>1.7874373193395653E-2</v>
      </c>
      <c r="L41" s="12">
        <f>SUM(L38:L40)</f>
        <v>15170</v>
      </c>
      <c r="M41" s="47">
        <f>+L41/$L$22</f>
        <v>2.0057196725798157E-2</v>
      </c>
      <c r="N41" s="12">
        <f>SUM(N38:N40)</f>
        <v>10185.799999999999</v>
      </c>
      <c r="O41" s="47">
        <f>+N41/$N$22</f>
        <v>1.4019271715777291E-2</v>
      </c>
      <c r="P41" s="12">
        <f>SUM(P38:P40)</f>
        <v>11261.250699999999</v>
      </c>
      <c r="Q41" s="47">
        <f t="shared" si="6"/>
        <v>1.5373971697333596E-2</v>
      </c>
    </row>
    <row r="42" spans="1:21" ht="8.4499999999999993" customHeight="1">
      <c r="A42" s="1"/>
      <c r="C42" s="47" t="s">
        <v>0</v>
      </c>
      <c r="E42" s="44" t="s">
        <v>0</v>
      </c>
      <c r="G42" s="44" t="s">
        <v>0</v>
      </c>
      <c r="I42" s="44" t="s">
        <v>0</v>
      </c>
      <c r="K42" s="47" t="s">
        <v>0</v>
      </c>
      <c r="M42" s="47" t="s">
        <v>0</v>
      </c>
      <c r="O42" s="47" t="s">
        <v>0</v>
      </c>
      <c r="Q42" s="47" t="s">
        <v>0</v>
      </c>
    </row>
    <row r="43" spans="1:21" ht="18">
      <c r="A43" s="1" t="s">
        <v>287</v>
      </c>
      <c r="B43" s="221">
        <f>+scotiavar!B43</f>
        <v>0</v>
      </c>
      <c r="C43" s="328">
        <f>+B43/$B$22</f>
        <v>0</v>
      </c>
      <c r="D43" s="221">
        <f>+scotiavar!D43</f>
        <v>0</v>
      </c>
      <c r="E43" s="545">
        <v>0</v>
      </c>
      <c r="F43" s="221">
        <f>+scotiavar!F43</f>
        <v>0</v>
      </c>
      <c r="G43" s="545">
        <v>0</v>
      </c>
      <c r="H43" s="221">
        <f>+scotiavar!H43</f>
        <v>0</v>
      </c>
      <c r="I43" s="545">
        <v>0</v>
      </c>
      <c r="J43" s="221">
        <f>+scotiavar!J43</f>
        <v>0</v>
      </c>
      <c r="K43" s="328">
        <f>+J43/$J$22</f>
        <v>0</v>
      </c>
      <c r="L43" s="221">
        <f>+scotiavar!L43</f>
        <v>0</v>
      </c>
      <c r="M43" s="328">
        <f>+L43/$L$22</f>
        <v>0</v>
      </c>
      <c r="N43" s="221">
        <f>+scotiavar!N43</f>
        <v>845.8</v>
      </c>
      <c r="O43" s="328">
        <f>+N43/$N$22</f>
        <v>1.1641206402250616E-3</v>
      </c>
      <c r="P43" s="221">
        <f>+scotiavar!P43</f>
        <v>7777.9405999999999</v>
      </c>
      <c r="Q43" s="328">
        <f t="shared" si="6"/>
        <v>1.061852203041194E-2</v>
      </c>
      <c r="R43" s="6"/>
    </row>
    <row r="44" spans="1:21">
      <c r="A44" s="1"/>
      <c r="B44" s="12">
        <f>+B29+B35+B41+B43</f>
        <v>915627</v>
      </c>
      <c r="C44" s="47">
        <f>+B44/$B$22</f>
        <v>0.95623045769462933</v>
      </c>
      <c r="D44" s="12">
        <f>+D29+D35+D41+D43</f>
        <v>0</v>
      </c>
      <c r="E44" s="44">
        <v>0</v>
      </c>
      <c r="F44" s="12">
        <f>+F29+F35+F41+F43</f>
        <v>0</v>
      </c>
      <c r="G44" s="44">
        <v>0</v>
      </c>
      <c r="H44" s="12">
        <f>+H29+H35+H41+H43</f>
        <v>0</v>
      </c>
      <c r="I44" s="44">
        <v>0</v>
      </c>
      <c r="J44" s="12">
        <f>+J29+J35+J41+J43</f>
        <v>926032</v>
      </c>
      <c r="K44" s="47">
        <f>+J44/$J$22</f>
        <v>1.0063376433017124</v>
      </c>
      <c r="L44" s="12">
        <f>+L29+L35+L41+L43</f>
        <v>741818</v>
      </c>
      <c r="M44" s="47">
        <f>+L44/$L$22</f>
        <v>0.98080353070126147</v>
      </c>
      <c r="N44" s="12">
        <f>+N29+N35+N41+N43</f>
        <v>714734.40000000014</v>
      </c>
      <c r="O44" s="47">
        <f>+N44/$N$22</f>
        <v>0.98372791123064018</v>
      </c>
      <c r="P44" s="12">
        <f>+P29+P35+P41+P43</f>
        <v>723280.29904999991</v>
      </c>
      <c r="Q44" s="47">
        <f t="shared" si="6"/>
        <v>0.98742947324968788</v>
      </c>
    </row>
    <row r="45" spans="1:21" ht="8.4499999999999993" customHeight="1">
      <c r="A45" s="1"/>
      <c r="C45" s="47" t="s">
        <v>0</v>
      </c>
      <c r="E45" s="44" t="s">
        <v>0</v>
      </c>
      <c r="G45" s="44" t="s">
        <v>0</v>
      </c>
      <c r="I45" s="44" t="s">
        <v>0</v>
      </c>
      <c r="K45" s="47" t="s">
        <v>0</v>
      </c>
      <c r="M45" s="47" t="s">
        <v>0</v>
      </c>
      <c r="O45" s="47" t="s">
        <v>0</v>
      </c>
      <c r="Q45" s="47" t="s">
        <v>0</v>
      </c>
    </row>
    <row r="46" spans="1:21">
      <c r="A46" s="87" t="s">
        <v>288</v>
      </c>
      <c r="C46" s="47" t="s">
        <v>0</v>
      </c>
      <c r="E46" s="44" t="s">
        <v>0</v>
      </c>
      <c r="G46" s="44" t="s">
        <v>0</v>
      </c>
      <c r="I46" s="44" t="s">
        <v>0</v>
      </c>
      <c r="K46" s="47" t="s">
        <v>0</v>
      </c>
      <c r="M46" s="47" t="s">
        <v>0</v>
      </c>
      <c r="O46" s="47" t="s">
        <v>0</v>
      </c>
      <c r="Q46" s="47" t="s">
        <v>0</v>
      </c>
    </row>
    <row r="47" spans="1:21">
      <c r="A47" s="1" t="s">
        <v>289</v>
      </c>
      <c r="B47" s="12">
        <f>+scotiavar!B47</f>
        <v>35308</v>
      </c>
      <c r="C47" s="47">
        <f t="shared" ref="C47:C52" si="7">+B47/$B$22</f>
        <v>3.6873732426284909E-2</v>
      </c>
      <c r="D47" s="12">
        <f>+scotiavar!D47</f>
        <v>0</v>
      </c>
      <c r="E47" s="44">
        <v>0</v>
      </c>
      <c r="F47" s="12">
        <f>+scotiavar!F47</f>
        <v>0</v>
      </c>
      <c r="G47" s="44">
        <v>0</v>
      </c>
      <c r="H47" s="12">
        <f>+scotiavar!H47</f>
        <v>0</v>
      </c>
      <c r="I47" s="44">
        <v>0</v>
      </c>
      <c r="J47" s="12">
        <f>+scotiavar!J47</f>
        <v>5000</v>
      </c>
      <c r="K47" s="47">
        <f t="shared" ref="K47:K52" si="8">+J47/$J$22</f>
        <v>5.433600800521539E-3</v>
      </c>
      <c r="L47" s="12">
        <f>+scotiavar!L47</f>
        <v>5000</v>
      </c>
      <c r="M47" s="47">
        <f t="shared" ref="M47:M52" si="9">+L47/$L$22</f>
        <v>6.6108097316407901E-3</v>
      </c>
      <c r="N47" s="12">
        <f>+scotiavar!N47</f>
        <v>5000</v>
      </c>
      <c r="O47" s="47">
        <f t="shared" ref="O47:O52" si="10">+N47/$N$22</f>
        <v>6.8817725243855623E-3</v>
      </c>
      <c r="P47" s="12">
        <f>+scotiavar!P47</f>
        <v>5000</v>
      </c>
      <c r="Q47" s="47">
        <f t="shared" ref="Q47:Q52" si="11">+P47/$P$22</f>
        <v>6.8260498353586944E-3</v>
      </c>
    </row>
    <row r="48" spans="1:21">
      <c r="A48" s="1" t="s">
        <v>290</v>
      </c>
      <c r="B48" s="12">
        <f>+scotiavar!B48</f>
        <v>2500</v>
      </c>
      <c r="C48" s="47">
        <f t="shared" si="7"/>
        <v>2.6108624409684001E-3</v>
      </c>
      <c r="D48" s="12">
        <f>+scotiavar!D48</f>
        <v>0</v>
      </c>
      <c r="E48" s="44">
        <v>0</v>
      </c>
      <c r="F48" s="12">
        <f>+scotiavar!F48</f>
        <v>0</v>
      </c>
      <c r="G48" s="44">
        <v>0</v>
      </c>
      <c r="H48" s="12">
        <f>+scotiavar!H48</f>
        <v>0</v>
      </c>
      <c r="I48" s="44">
        <v>0</v>
      </c>
      <c r="J48" s="12">
        <f>+scotiavar!J48</f>
        <v>2500</v>
      </c>
      <c r="K48" s="47">
        <f t="shared" si="8"/>
        <v>2.7168004002607695E-3</v>
      </c>
      <c r="L48" s="12">
        <f>+scotiavar!L48</f>
        <v>2500</v>
      </c>
      <c r="M48" s="47">
        <f t="shared" si="9"/>
        <v>3.305404865820395E-3</v>
      </c>
      <c r="N48" s="12">
        <f>+scotiavar!N48</f>
        <v>2500</v>
      </c>
      <c r="O48" s="47">
        <f t="shared" si="10"/>
        <v>3.4408862621927811E-3</v>
      </c>
      <c r="P48" s="12">
        <f>+scotiavar!P48</f>
        <v>2500</v>
      </c>
      <c r="Q48" s="47">
        <f t="shared" si="11"/>
        <v>3.4130249176793472E-3</v>
      </c>
    </row>
    <row r="49" spans="1:21">
      <c r="A49" s="1" t="s">
        <v>302</v>
      </c>
      <c r="B49" s="12">
        <f>+scotiavar!B49</f>
        <v>0</v>
      </c>
      <c r="C49" s="47">
        <f t="shared" si="7"/>
        <v>0</v>
      </c>
      <c r="D49" s="12">
        <f>+scotiavar!D49</f>
        <v>0</v>
      </c>
      <c r="E49" s="44">
        <v>0</v>
      </c>
      <c r="F49" s="12">
        <f>+scotiavar!F49</f>
        <v>0</v>
      </c>
      <c r="G49" s="44">
        <v>0</v>
      </c>
      <c r="H49" s="12">
        <f>+scotiavar!H49</f>
        <v>0</v>
      </c>
      <c r="I49" s="44">
        <v>0</v>
      </c>
      <c r="J49" s="12">
        <v>0</v>
      </c>
      <c r="K49" s="47">
        <f t="shared" si="8"/>
        <v>0</v>
      </c>
      <c r="L49" s="12">
        <v>0</v>
      </c>
      <c r="M49" s="47">
        <f t="shared" si="9"/>
        <v>0</v>
      </c>
      <c r="N49" s="12">
        <v>0</v>
      </c>
      <c r="O49" s="47">
        <f t="shared" si="10"/>
        <v>0</v>
      </c>
      <c r="P49" s="12">
        <v>0</v>
      </c>
      <c r="Q49" s="47">
        <f t="shared" si="11"/>
        <v>0</v>
      </c>
    </row>
    <row r="50" spans="1:21" ht="18">
      <c r="A50" s="1" t="s">
        <v>292</v>
      </c>
      <c r="B50" s="221">
        <f>+scotiavar!B50</f>
        <v>4103</v>
      </c>
      <c r="C50" s="328">
        <f t="shared" si="7"/>
        <v>4.2849474381173383E-3</v>
      </c>
      <c r="D50" s="221">
        <f>+scotiavar!D50</f>
        <v>0</v>
      </c>
      <c r="E50" s="545">
        <v>0</v>
      </c>
      <c r="F50" s="221">
        <f>+scotiavar!F50</f>
        <v>0</v>
      </c>
      <c r="G50" s="545">
        <v>0</v>
      </c>
      <c r="H50" s="221">
        <f>+scotiavar!H50</f>
        <v>0</v>
      </c>
      <c r="I50" s="545">
        <v>0</v>
      </c>
      <c r="J50" s="221">
        <f>+scotiavar!J50</f>
        <v>-13332</v>
      </c>
      <c r="K50" s="328">
        <f t="shared" si="8"/>
        <v>-1.4488153174510632E-2</v>
      </c>
      <c r="L50" s="221">
        <f>+scotiavar!L50</f>
        <v>7019</v>
      </c>
      <c r="M50" s="328">
        <f t="shared" si="9"/>
        <v>9.28025470127734E-3</v>
      </c>
      <c r="N50" s="221">
        <f>+scotiavar!N50</f>
        <v>4322.7</v>
      </c>
      <c r="O50" s="328">
        <f t="shared" si="10"/>
        <v>5.9495676182322937E-3</v>
      </c>
      <c r="P50" s="221">
        <f>+scotiavar!P50</f>
        <v>1707.7607499999999</v>
      </c>
      <c r="Q50" s="328">
        <f t="shared" si="11"/>
        <v>2.331451997273908E-3</v>
      </c>
      <c r="R50" s="6"/>
      <c r="S50" s="7"/>
      <c r="T50" s="7"/>
      <c r="U50" s="7"/>
    </row>
    <row r="51" spans="1:21" ht="16.5" thickBot="1">
      <c r="A51" s="1" t="s">
        <v>275</v>
      </c>
      <c r="B51" s="76">
        <f>SUM(B47:B50)</f>
        <v>41911</v>
      </c>
      <c r="C51" s="231">
        <f t="shared" si="7"/>
        <v>4.3769542305370647E-2</v>
      </c>
      <c r="D51" s="76">
        <f>SUM(D47:D50)</f>
        <v>0</v>
      </c>
      <c r="E51" s="232">
        <v>0</v>
      </c>
      <c r="F51" s="76">
        <f>SUM(F47:F50)</f>
        <v>0</v>
      </c>
      <c r="G51" s="232">
        <v>0</v>
      </c>
      <c r="H51" s="76">
        <f>SUM(H47:H50)</f>
        <v>0</v>
      </c>
      <c r="I51" s="232">
        <v>0</v>
      </c>
      <c r="J51" s="76">
        <f>SUM(J47:J50)</f>
        <v>-5832</v>
      </c>
      <c r="K51" s="231">
        <f t="shared" si="8"/>
        <v>-6.3377519737283228E-3</v>
      </c>
      <c r="L51" s="76">
        <f>SUM(L47:L50)</f>
        <v>14519</v>
      </c>
      <c r="M51" s="231">
        <f t="shared" si="9"/>
        <v>1.9196469298738524E-2</v>
      </c>
      <c r="N51" s="76">
        <f>SUM(N47:N50)</f>
        <v>11822.7</v>
      </c>
      <c r="O51" s="231">
        <f t="shared" si="10"/>
        <v>1.6272226404810637E-2</v>
      </c>
      <c r="P51" s="76">
        <f>SUM(P47:P50)</f>
        <v>9207.7607499999995</v>
      </c>
      <c r="Q51" s="231">
        <f t="shared" si="11"/>
        <v>1.257052675031195E-2</v>
      </c>
    </row>
    <row r="52" spans="1:21">
      <c r="A52" s="1" t="s">
        <v>0</v>
      </c>
      <c r="B52" s="4">
        <f>+B29+B35+B41+B43+B51</f>
        <v>957538</v>
      </c>
      <c r="C52" s="112">
        <f t="shared" si="7"/>
        <v>1</v>
      </c>
      <c r="D52" s="4">
        <f>+D29+D35+D41+D43+D51</f>
        <v>0</v>
      </c>
      <c r="E52" s="42">
        <v>0</v>
      </c>
      <c r="F52" s="4">
        <f>+F29+F35+F41+F43+F51</f>
        <v>0</v>
      </c>
      <c r="G52" s="42">
        <v>0</v>
      </c>
      <c r="H52" s="4">
        <f>+H29+H35+H41+H43+H51</f>
        <v>0</v>
      </c>
      <c r="I52" s="42">
        <v>0</v>
      </c>
      <c r="J52" s="4">
        <f>+J29+J35+J41+J43+J51</f>
        <v>920200</v>
      </c>
      <c r="K52" s="47">
        <f t="shared" si="8"/>
        <v>0.99999989132798406</v>
      </c>
      <c r="L52" s="4">
        <f>+L29+L35+L41+L43+L51</f>
        <v>756337</v>
      </c>
      <c r="M52" s="47">
        <f t="shared" si="9"/>
        <v>1</v>
      </c>
      <c r="N52" s="4">
        <f>+N29+N35+N41+N43+N51</f>
        <v>726557.10000000009</v>
      </c>
      <c r="O52" s="47">
        <f t="shared" si="10"/>
        <v>1.0000001376354508</v>
      </c>
      <c r="P52" s="4">
        <f>+P29+P35+P41+P43+P51</f>
        <v>732488.05979999993</v>
      </c>
      <c r="Q52" s="47">
        <f t="shared" si="11"/>
        <v>0.99999999999999989</v>
      </c>
    </row>
    <row r="55" spans="1:21">
      <c r="B55"/>
      <c r="C55"/>
      <c r="D55"/>
      <c r="E55"/>
      <c r="F55"/>
      <c r="G55"/>
      <c r="H55"/>
      <c r="I55"/>
      <c r="J55"/>
      <c r="K55"/>
      <c r="L55"/>
      <c r="M55"/>
      <c r="N55"/>
      <c r="O55"/>
      <c r="P55"/>
      <c r="Q55"/>
      <c r="R55"/>
    </row>
    <row r="56" spans="1:21">
      <c r="A56" s="185" t="s">
        <v>293</v>
      </c>
      <c r="B56"/>
      <c r="C56"/>
      <c r="D56"/>
      <c r="E56"/>
      <c r="F56"/>
      <c r="G56"/>
      <c r="H56"/>
      <c r="I56"/>
      <c r="J56"/>
      <c r="K56"/>
      <c r="L56"/>
      <c r="M56"/>
      <c r="N56"/>
      <c r="O56"/>
      <c r="P56"/>
      <c r="Q56"/>
      <c r="R56"/>
    </row>
    <row r="57" spans="1:21">
      <c r="A57" t="s">
        <v>294</v>
      </c>
      <c r="B57" s="3">
        <f>+scotiavar!B56</f>
        <v>0</v>
      </c>
      <c r="C57"/>
      <c r="D57" s="3">
        <f>+scotiavar!D56</f>
        <v>0</v>
      </c>
      <c r="E57"/>
      <c r="F57" s="3">
        <f>+scotiavar!F56</f>
        <v>0</v>
      </c>
      <c r="G57"/>
      <c r="H57" s="3">
        <f>+scotiavar!H56</f>
        <v>0</v>
      </c>
      <c r="I57"/>
      <c r="J57" s="3">
        <f>+scotiavar!J56</f>
        <v>0</v>
      </c>
      <c r="K57"/>
      <c r="L57" s="3">
        <f>+scotiavar!L56</f>
        <v>0</v>
      </c>
      <c r="M57"/>
      <c r="N57" s="3">
        <f>+scotiavar!N56</f>
        <v>0</v>
      </c>
      <c r="O57"/>
      <c r="P57" s="3">
        <f>+scotiavar!P56</f>
        <v>0</v>
      </c>
      <c r="Q57"/>
      <c r="R57"/>
    </row>
    <row r="58" spans="1:21">
      <c r="A58" t="s">
        <v>295</v>
      </c>
      <c r="B58" s="3">
        <f>+scotiavar!B57</f>
        <v>0</v>
      </c>
      <c r="C58"/>
      <c r="D58" s="3">
        <f>+scotiavar!D57</f>
        <v>0</v>
      </c>
      <c r="E58"/>
      <c r="F58" s="3">
        <f>+scotiavar!F57</f>
        <v>0</v>
      </c>
      <c r="G58"/>
      <c r="H58" s="3">
        <f>+scotiavar!H57</f>
        <v>0</v>
      </c>
      <c r="I58"/>
      <c r="J58" s="3">
        <f>+scotiavar!J57</f>
        <v>0</v>
      </c>
      <c r="K58"/>
      <c r="L58" s="3">
        <f>+scotiavar!L57</f>
        <v>0</v>
      </c>
      <c r="M58"/>
      <c r="N58" s="3">
        <f>+scotiavar!N57</f>
        <v>0</v>
      </c>
      <c r="O58"/>
      <c r="P58" s="3">
        <f>+scotiavar!P57</f>
        <v>0</v>
      </c>
      <c r="Q58"/>
      <c r="R58"/>
    </row>
    <row r="59" spans="1:21">
      <c r="A59" t="s">
        <v>284</v>
      </c>
      <c r="B59" s="3">
        <f>+scotiavar!B58</f>
        <v>11380</v>
      </c>
      <c r="C59"/>
      <c r="D59" s="3">
        <f>+scotiavar!D58</f>
        <v>0</v>
      </c>
      <c r="E59"/>
      <c r="F59" s="3">
        <f>+scotiavar!F58</f>
        <v>0</v>
      </c>
      <c r="G59"/>
      <c r="H59" s="3">
        <f>+scotiavar!H58</f>
        <v>0</v>
      </c>
      <c r="I59"/>
      <c r="J59" s="3">
        <f>+scotiavar!J58</f>
        <v>7925</v>
      </c>
      <c r="K59"/>
      <c r="L59" s="3">
        <f>+scotiavar!L58</f>
        <v>1995</v>
      </c>
      <c r="M59"/>
      <c r="N59" s="3">
        <f>+scotiavar!N58</f>
        <v>0</v>
      </c>
      <c r="O59"/>
      <c r="P59" s="3">
        <f>+scotiavar!P58</f>
        <v>0</v>
      </c>
      <c r="Q59"/>
      <c r="R59"/>
    </row>
    <row r="60" spans="1:21">
      <c r="B60" s="3"/>
      <c r="C60"/>
      <c r="D60" s="3"/>
      <c r="E60"/>
      <c r="F60" s="3"/>
      <c r="G60"/>
      <c r="H60" s="3"/>
      <c r="I60"/>
      <c r="J60" s="3"/>
      <c r="K60"/>
      <c r="L60" s="3"/>
      <c r="M60"/>
      <c r="N60" s="3"/>
      <c r="O60"/>
      <c r="P60" s="3"/>
      <c r="Q60"/>
      <c r="R60"/>
    </row>
    <row r="61" spans="1:21" ht="18.75">
      <c r="A61" s="122" t="s">
        <v>303</v>
      </c>
      <c r="B61" s="3">
        <f>+scotiavar!B60</f>
        <v>518016</v>
      </c>
      <c r="C61"/>
      <c r="D61" s="3">
        <f>+scotiavar!D60</f>
        <v>0</v>
      </c>
      <c r="E61"/>
      <c r="F61" s="3">
        <f>+scotiavar!F60</f>
        <v>0</v>
      </c>
      <c r="G61"/>
      <c r="H61" s="3">
        <f>+scotiavar!H60</f>
        <v>0</v>
      </c>
      <c r="I61"/>
      <c r="J61" s="3">
        <f>+scotiavar!J60</f>
        <v>506411</v>
      </c>
      <c r="K61"/>
      <c r="L61" s="3">
        <f>+scotiavar!L60</f>
        <v>441171</v>
      </c>
      <c r="M61"/>
      <c r="N61" s="3">
        <f>+scotiavar!N60</f>
        <v>370419.3</v>
      </c>
      <c r="O61"/>
      <c r="P61" s="3">
        <f>+scotiavar!P60</f>
        <v>331369.05289999995</v>
      </c>
      <c r="Q61"/>
      <c r="R61"/>
    </row>
    <row r="62" spans="1:21">
      <c r="A62" t="s">
        <v>217</v>
      </c>
      <c r="B62" s="3">
        <f>+scotiavar!B61</f>
        <v>23226</v>
      </c>
      <c r="C62"/>
      <c r="D62" s="3">
        <f>+scotiavar!D61</f>
        <v>0</v>
      </c>
      <c r="E62"/>
      <c r="F62" s="3">
        <f>+scotiavar!F61</f>
        <v>0</v>
      </c>
      <c r="G62"/>
      <c r="H62" s="3">
        <f>+scotiavar!H61</f>
        <v>0</v>
      </c>
      <c r="I62"/>
      <c r="J62" s="3">
        <f>+scotiavar!J61</f>
        <v>22387</v>
      </c>
      <c r="K62"/>
      <c r="L62" s="3">
        <f>+scotiavar!L61</f>
        <v>3827</v>
      </c>
      <c r="M62"/>
      <c r="N62" s="3">
        <f>+scotiavar!N61</f>
        <v>0</v>
      </c>
      <c r="O62"/>
      <c r="P62" s="3">
        <f>+scotiavar!P61</f>
        <v>0</v>
      </c>
      <c r="Q62"/>
      <c r="R62"/>
    </row>
    <row r="63" spans="1:21">
      <c r="A63" t="s">
        <v>297</v>
      </c>
      <c r="B63" s="3">
        <f>+scotiavar!B62</f>
        <v>81224</v>
      </c>
      <c r="C63"/>
      <c r="D63" s="3">
        <f>+scotiavar!D62</f>
        <v>0</v>
      </c>
      <c r="E63"/>
      <c r="F63" s="3">
        <f>+scotiavar!F62</f>
        <v>0</v>
      </c>
      <c r="G63"/>
      <c r="H63" s="3">
        <f>+scotiavar!H62</f>
        <v>0</v>
      </c>
      <c r="I63"/>
      <c r="J63" s="3">
        <f>+scotiavar!J62</f>
        <v>79504</v>
      </c>
      <c r="K63"/>
      <c r="L63" s="3">
        <f>+scotiavar!L62</f>
        <v>14620</v>
      </c>
      <c r="M63"/>
      <c r="N63" s="3">
        <f>+scotiavar!N62</f>
        <v>42551.199999999997</v>
      </c>
      <c r="O63"/>
      <c r="P63" s="3">
        <f>+scotiavar!P62</f>
        <v>7721.1897499999995</v>
      </c>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sheetData>
  <pageMargins left="0.2" right="0.2" top="0.5" bottom="0.55000000000000004" header="0.38" footer="0.36"/>
  <pageSetup scale="52" orientation="landscape" r:id="rId1"/>
  <headerFooter alignWithMargins="0">
    <oddFooter>&amp;R&amp;P</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1"/>
  <sheetViews>
    <sheetView workbookViewId="0"/>
  </sheetViews>
  <sheetFormatPr defaultRowHeight="15.75"/>
  <cols>
    <col min="1" max="1" width="33.25" customWidth="1"/>
    <col min="2" max="2" width="18.125" style="12" customWidth="1"/>
    <col min="3" max="3" width="15.75" style="13" customWidth="1"/>
    <col min="4" max="4" width="15.75" style="12" customWidth="1"/>
    <col min="5" max="5" width="14.625" style="13" customWidth="1"/>
    <col min="6" max="6" width="9.125" style="12" customWidth="1"/>
    <col min="7" max="7" width="9.75" style="13" customWidth="1"/>
    <col min="8" max="8" width="18.125" style="12" customWidth="1"/>
    <col min="9" max="9" width="15.75" style="12" customWidth="1"/>
    <col min="10" max="10" width="15.75" style="13" customWidth="1"/>
    <col min="11" max="11" width="14.375" style="12" customWidth="1"/>
    <col min="12" max="12" width="15.75" style="12" customWidth="1"/>
    <col min="13" max="15" width="15.75" customWidth="1"/>
    <col min="16" max="256" width="11" customWidth="1"/>
  </cols>
  <sheetData>
    <row r="1" spans="1:15">
      <c r="A1" s="114" t="s">
        <v>636</v>
      </c>
      <c r="B1" s="37"/>
      <c r="C1" s="38"/>
      <c r="D1" s="37"/>
      <c r="E1" s="38"/>
      <c r="F1" s="37"/>
      <c r="G1" s="38"/>
      <c r="H1" s="37"/>
      <c r="I1" s="37"/>
      <c r="J1" s="38"/>
      <c r="K1" s="37"/>
    </row>
    <row r="2" spans="1:15">
      <c r="A2" s="114" t="s">
        <v>305</v>
      </c>
      <c r="B2" s="37"/>
      <c r="C2" s="38"/>
      <c r="D2" s="37"/>
      <c r="E2" s="38"/>
      <c r="F2" s="37"/>
      <c r="G2" s="38"/>
      <c r="H2" s="37"/>
      <c r="I2" s="37"/>
      <c r="J2" s="38"/>
      <c r="K2" s="37"/>
    </row>
    <row r="3" spans="1:15">
      <c r="A3" s="114" t="s">
        <v>306</v>
      </c>
      <c r="B3" s="37"/>
      <c r="C3" s="38"/>
      <c r="D3" s="37"/>
      <c r="E3" s="38"/>
      <c r="F3" s="37"/>
      <c r="G3" s="38"/>
      <c r="H3" s="37"/>
      <c r="I3" s="37"/>
      <c r="J3" s="38"/>
      <c r="K3" s="37"/>
    </row>
    <row r="4" spans="1:15">
      <c r="A4" s="114" t="s">
        <v>179</v>
      </c>
      <c r="B4" s="37"/>
      <c r="C4" s="38"/>
      <c r="D4" s="37"/>
      <c r="E4" s="38"/>
      <c r="F4" s="37"/>
      <c r="G4" s="38"/>
      <c r="H4" s="37"/>
      <c r="I4" s="37"/>
      <c r="J4" s="38"/>
      <c r="K4" s="37"/>
    </row>
    <row r="5" spans="1:15">
      <c r="A5" s="34"/>
      <c r="B5" s="37"/>
      <c r="C5" s="38"/>
      <c r="D5" s="37"/>
      <c r="E5" s="38"/>
      <c r="F5" s="37"/>
      <c r="G5" s="38"/>
      <c r="H5" s="37"/>
      <c r="I5" s="37"/>
      <c r="J5" s="38"/>
      <c r="K5" s="37"/>
    </row>
    <row r="6" spans="1:15">
      <c r="B6" s="238" t="s">
        <v>0</v>
      </c>
      <c r="C6" s="215"/>
      <c r="D6" s="216"/>
    </row>
    <row r="7" spans="1:15" ht="16.5" thickBot="1">
      <c r="B7" s="429" t="s">
        <v>307</v>
      </c>
      <c r="C7" s="38"/>
      <c r="D7" s="37"/>
      <c r="E7" s="38"/>
      <c r="H7" s="377" t="s">
        <v>308</v>
      </c>
      <c r="I7" s="215"/>
      <c r="J7" s="216"/>
      <c r="K7" s="37"/>
    </row>
    <row r="8" spans="1:15" ht="16.5" thickTop="1">
      <c r="A8" s="87" t="s">
        <v>243</v>
      </c>
      <c r="B8" s="402" t="s">
        <v>313</v>
      </c>
      <c r="C8" s="403" t="s">
        <v>310</v>
      </c>
      <c r="D8" s="404" t="s">
        <v>311</v>
      </c>
      <c r="E8" s="405" t="s">
        <v>312</v>
      </c>
      <c r="F8" s="125" t="s">
        <v>0</v>
      </c>
      <c r="G8" s="124" t="s">
        <v>0</v>
      </c>
      <c r="H8" s="402" t="s">
        <v>313</v>
      </c>
      <c r="I8" s="404" t="s">
        <v>310</v>
      </c>
      <c r="J8" s="406" t="s">
        <v>311</v>
      </c>
      <c r="K8" s="407" t="s">
        <v>312</v>
      </c>
      <c r="L8" s="14"/>
      <c r="M8" s="9"/>
      <c r="N8" s="9"/>
      <c r="O8" s="9"/>
    </row>
    <row r="9" spans="1:15">
      <c r="A9" s="1" t="s">
        <v>264</v>
      </c>
      <c r="B9" s="126"/>
      <c r="C9" s="127"/>
      <c r="D9" s="78"/>
      <c r="E9" s="381" t="s">
        <v>0</v>
      </c>
      <c r="H9" s="135"/>
      <c r="I9" s="78"/>
      <c r="J9" s="370" t="s">
        <v>0</v>
      </c>
      <c r="K9" s="372" t="s">
        <v>0</v>
      </c>
    </row>
    <row r="10" spans="1:15">
      <c r="A10" s="1" t="s">
        <v>265</v>
      </c>
      <c r="B10" s="129">
        <v>11828</v>
      </c>
      <c r="C10" s="92">
        <v>24272</v>
      </c>
      <c r="D10" s="92">
        <f t="shared" ref="D10:D15" si="0">SUM(B10:C10)</f>
        <v>36100</v>
      </c>
      <c r="E10" s="382">
        <f>+B10/D10</f>
        <v>0.32764542936288088</v>
      </c>
      <c r="F10" s="88" t="s">
        <v>0</v>
      </c>
      <c r="G10" s="100" t="s">
        <v>0</v>
      </c>
      <c r="H10" s="129">
        <v>12060</v>
      </c>
      <c r="I10" s="92">
        <v>15626</v>
      </c>
      <c r="J10" s="366">
        <f t="shared" ref="J10:J15" si="1">SUM(H10:I10)</f>
        <v>27686</v>
      </c>
      <c r="K10" s="373">
        <f>+H10/J10</f>
        <v>0.43559921982229288</v>
      </c>
    </row>
    <row r="11" spans="1:15">
      <c r="A11" s="1" t="s">
        <v>266</v>
      </c>
      <c r="B11" s="129">
        <v>18229</v>
      </c>
      <c r="C11" s="92">
        <v>231029</v>
      </c>
      <c r="D11" s="92">
        <f t="shared" si="0"/>
        <v>249258</v>
      </c>
      <c r="E11" s="382">
        <f>+B11/D11</f>
        <v>7.3133058918871216E-2</v>
      </c>
      <c r="F11" s="88" t="s">
        <v>0</v>
      </c>
      <c r="G11" s="100" t="s">
        <v>0</v>
      </c>
      <c r="H11" s="129">
        <v>39035</v>
      </c>
      <c r="I11" s="92">
        <v>221979</v>
      </c>
      <c r="J11" s="366">
        <f t="shared" si="1"/>
        <v>261014</v>
      </c>
      <c r="K11" s="373">
        <f>+H11/J11</f>
        <v>0.14955136506087796</v>
      </c>
    </row>
    <row r="12" spans="1:15">
      <c r="A12" s="1" t="s">
        <v>267</v>
      </c>
      <c r="B12" s="129">
        <v>120369</v>
      </c>
      <c r="C12" s="92">
        <v>0</v>
      </c>
      <c r="D12" s="92">
        <f t="shared" si="0"/>
        <v>120369</v>
      </c>
      <c r="E12" s="382">
        <f>+B12/D12</f>
        <v>1</v>
      </c>
      <c r="F12" s="88" t="s">
        <v>0</v>
      </c>
      <c r="G12" s="100" t="s">
        <v>0</v>
      </c>
      <c r="H12" s="129">
        <v>59961</v>
      </c>
      <c r="I12" s="92">
        <v>0</v>
      </c>
      <c r="J12" s="366">
        <f t="shared" si="1"/>
        <v>59961</v>
      </c>
      <c r="K12" s="373">
        <f>+H12/J12</f>
        <v>1</v>
      </c>
    </row>
    <row r="13" spans="1:15">
      <c r="A13" s="1" t="s">
        <v>268</v>
      </c>
      <c r="B13" s="129">
        <v>0</v>
      </c>
      <c r="C13" s="92">
        <v>0</v>
      </c>
      <c r="D13" s="92">
        <f t="shared" si="0"/>
        <v>0</v>
      </c>
      <c r="E13" s="383">
        <v>0</v>
      </c>
      <c r="F13" s="88" t="s">
        <v>0</v>
      </c>
      <c r="G13" s="100" t="s">
        <v>0</v>
      </c>
      <c r="H13" s="129">
        <v>0</v>
      </c>
      <c r="I13" s="92">
        <v>10000</v>
      </c>
      <c r="J13" s="366">
        <f t="shared" si="1"/>
        <v>10000</v>
      </c>
      <c r="K13" s="136">
        <v>0</v>
      </c>
    </row>
    <row r="14" spans="1:15" ht="18">
      <c r="A14" s="1" t="s">
        <v>269</v>
      </c>
      <c r="B14" s="130">
        <v>4842</v>
      </c>
      <c r="C14" s="137">
        <v>6908</v>
      </c>
      <c r="D14" s="137">
        <f t="shared" si="0"/>
        <v>11750</v>
      </c>
      <c r="E14" s="382">
        <f>+B14/D14</f>
        <v>0.41208510638297874</v>
      </c>
      <c r="F14" s="88" t="s">
        <v>0</v>
      </c>
      <c r="G14" s="100" t="s">
        <v>0</v>
      </c>
      <c r="H14" s="130">
        <v>3403</v>
      </c>
      <c r="I14" s="137">
        <v>2469</v>
      </c>
      <c r="J14" s="367">
        <f t="shared" si="1"/>
        <v>5872</v>
      </c>
      <c r="K14" s="373">
        <f>+H14/J14</f>
        <v>0.57952997275204354</v>
      </c>
    </row>
    <row r="15" spans="1:15" ht="15.6" customHeight="1">
      <c r="A15" s="1"/>
      <c r="B15" s="129">
        <f>SUM(B10:B14)</f>
        <v>155268</v>
      </c>
      <c r="C15" s="92">
        <f>SUM(C10:C14)</f>
        <v>262209</v>
      </c>
      <c r="D15" s="92">
        <f t="shared" si="0"/>
        <v>417477</v>
      </c>
      <c r="E15" s="382">
        <f>+B15/D15</f>
        <v>0.37191989019754379</v>
      </c>
      <c r="F15" s="88" t="s">
        <v>0</v>
      </c>
      <c r="G15" s="100" t="s">
        <v>0</v>
      </c>
      <c r="H15" s="129">
        <f>SUM(H10:H14)</f>
        <v>114459</v>
      </c>
      <c r="I15" s="92">
        <f>SUM(I10:I14)</f>
        <v>250074</v>
      </c>
      <c r="J15" s="366">
        <f t="shared" si="1"/>
        <v>364533</v>
      </c>
      <c r="K15" s="373">
        <f>+H15/J15</f>
        <v>0.31398803400515179</v>
      </c>
    </row>
    <row r="16" spans="1:15" ht="7.9" customHeight="1">
      <c r="A16" s="1"/>
      <c r="B16" s="129"/>
      <c r="C16" s="93" t="s">
        <v>0</v>
      </c>
      <c r="D16" s="92"/>
      <c r="E16" s="382" t="s">
        <v>0</v>
      </c>
      <c r="F16" s="88"/>
      <c r="G16" s="100" t="s">
        <v>0</v>
      </c>
      <c r="H16" s="129"/>
      <c r="I16" s="93" t="s">
        <v>0</v>
      </c>
      <c r="J16" s="366" t="s">
        <v>0</v>
      </c>
      <c r="K16" s="373" t="s">
        <v>0</v>
      </c>
    </row>
    <row r="17" spans="1:11" ht="15.6" customHeight="1">
      <c r="A17" s="1" t="s">
        <v>270</v>
      </c>
      <c r="B17" s="129">
        <v>0</v>
      </c>
      <c r="C17" s="92">
        <v>25000</v>
      </c>
      <c r="D17" s="92">
        <f t="shared" ref="D17:D22" si="2">SUM(B17:C17)</f>
        <v>25000</v>
      </c>
      <c r="E17" s="383">
        <v>0</v>
      </c>
      <c r="F17"/>
      <c r="G17"/>
      <c r="H17" s="129">
        <v>0</v>
      </c>
      <c r="I17" s="92">
        <v>50000</v>
      </c>
      <c r="J17" s="366">
        <f t="shared" ref="J17:J22" si="3">SUM(H17:I17)</f>
        <v>50000</v>
      </c>
      <c r="K17" s="136">
        <v>0</v>
      </c>
    </row>
    <row r="18" spans="1:11">
      <c r="A18" s="1" t="s">
        <v>271</v>
      </c>
      <c r="B18" s="129">
        <v>0</v>
      </c>
      <c r="C18" s="93">
        <v>0</v>
      </c>
      <c r="D18" s="92">
        <f t="shared" si="2"/>
        <v>0</v>
      </c>
      <c r="E18" s="383">
        <v>0</v>
      </c>
      <c r="F18"/>
      <c r="G18"/>
      <c r="H18" s="129">
        <v>0</v>
      </c>
      <c r="I18" s="93">
        <v>0</v>
      </c>
      <c r="J18" s="366">
        <f t="shared" si="3"/>
        <v>0</v>
      </c>
      <c r="K18" s="136">
        <v>0</v>
      </c>
    </row>
    <row r="19" spans="1:11">
      <c r="A19" s="1" t="s">
        <v>314</v>
      </c>
      <c r="B19" s="129">
        <v>146</v>
      </c>
      <c r="C19" s="92">
        <v>494644</v>
      </c>
      <c r="D19" s="92">
        <f t="shared" si="2"/>
        <v>494790</v>
      </c>
      <c r="E19" s="382">
        <f>+B19/D19</f>
        <v>2.9507467814628429E-4</v>
      </c>
      <c r="F19"/>
      <c r="G19"/>
      <c r="H19" s="129">
        <v>51</v>
      </c>
      <c r="I19" s="92">
        <v>483973</v>
      </c>
      <c r="J19" s="366">
        <f t="shared" si="3"/>
        <v>484024</v>
      </c>
      <c r="K19" s="136">
        <f>+H19/J19</f>
        <v>1.0536667603259342E-4</v>
      </c>
    </row>
    <row r="20" spans="1:11">
      <c r="A20" s="1" t="s">
        <v>273</v>
      </c>
      <c r="B20" s="129">
        <v>0</v>
      </c>
      <c r="C20" s="92">
        <v>14572</v>
      </c>
      <c r="D20" s="92">
        <f t="shared" si="2"/>
        <v>14572</v>
      </c>
      <c r="E20" s="383">
        <v>0</v>
      </c>
      <c r="F20"/>
      <c r="G20"/>
      <c r="H20" s="129">
        <v>0</v>
      </c>
      <c r="I20" s="92">
        <v>15660</v>
      </c>
      <c r="J20" s="366">
        <f t="shared" si="3"/>
        <v>15660</v>
      </c>
      <c r="K20" s="136">
        <v>0</v>
      </c>
    </row>
    <row r="21" spans="1:11" ht="18">
      <c r="A21" s="1" t="s">
        <v>274</v>
      </c>
      <c r="B21" s="130">
        <v>-3201</v>
      </c>
      <c r="C21" s="137">
        <v>8900</v>
      </c>
      <c r="D21" s="137">
        <f t="shared" si="2"/>
        <v>5699</v>
      </c>
      <c r="E21" s="382">
        <f>+B21/D21</f>
        <v>-0.56167748727846989</v>
      </c>
      <c r="F21"/>
      <c r="G21"/>
      <c r="H21" s="130">
        <v>-4506</v>
      </c>
      <c r="I21" s="137">
        <v>10489</v>
      </c>
      <c r="J21" s="367">
        <f t="shared" si="3"/>
        <v>5983</v>
      </c>
      <c r="K21" s="373">
        <f>+H21/J21</f>
        <v>-0.75313387932475351</v>
      </c>
    </row>
    <row r="22" spans="1:11">
      <c r="A22" s="1" t="s">
        <v>275</v>
      </c>
      <c r="B22" s="132">
        <f>SUM(B15:B21)</f>
        <v>152213</v>
      </c>
      <c r="C22" s="95">
        <f>SUM(C15:C21)</f>
        <v>805325</v>
      </c>
      <c r="D22" s="384">
        <f t="shared" si="2"/>
        <v>957538</v>
      </c>
      <c r="E22" s="432">
        <f>+B22/D22</f>
        <v>0.15896288189084923</v>
      </c>
      <c r="F22"/>
      <c r="G22"/>
      <c r="H22" s="132">
        <f>SUM(H15:H21)</f>
        <v>110004</v>
      </c>
      <c r="I22" s="95">
        <f>SUM(I15:I21)</f>
        <v>810196</v>
      </c>
      <c r="J22" s="368">
        <f t="shared" si="3"/>
        <v>920200</v>
      </c>
      <c r="K22" s="431">
        <f>+H22/J22</f>
        <v>0.11954357748315583</v>
      </c>
    </row>
    <row r="23" spans="1:11" ht="7.9" customHeight="1">
      <c r="A23" s="1"/>
      <c r="B23" s="129"/>
      <c r="C23" s="93" t="s">
        <v>0</v>
      </c>
      <c r="D23" s="92"/>
      <c r="E23" s="382" t="s">
        <v>0</v>
      </c>
      <c r="F23"/>
      <c r="G23"/>
      <c r="H23" s="129"/>
      <c r="I23" s="93" t="s">
        <v>0</v>
      </c>
      <c r="J23" s="366" t="s">
        <v>0</v>
      </c>
      <c r="K23" s="373" t="s">
        <v>0</v>
      </c>
    </row>
    <row r="24" spans="1:11">
      <c r="A24" s="87" t="s">
        <v>276</v>
      </c>
      <c r="B24" s="129"/>
      <c r="C24" s="93" t="s">
        <v>0</v>
      </c>
      <c r="D24" s="92"/>
      <c r="E24" s="382" t="s">
        <v>0</v>
      </c>
      <c r="F24"/>
      <c r="G24"/>
      <c r="H24" s="129"/>
      <c r="I24" s="93" t="s">
        <v>0</v>
      </c>
      <c r="J24" s="366" t="s">
        <v>0</v>
      </c>
      <c r="K24" s="373" t="s">
        <v>0</v>
      </c>
    </row>
    <row r="25" spans="1:11">
      <c r="A25" s="1" t="s">
        <v>277</v>
      </c>
      <c r="B25" s="129"/>
      <c r="C25" s="93" t="s">
        <v>0</v>
      </c>
      <c r="D25" s="92"/>
      <c r="E25" s="382" t="s">
        <v>0</v>
      </c>
      <c r="F25"/>
      <c r="G25"/>
      <c r="H25" s="129"/>
      <c r="I25" s="93" t="s">
        <v>0</v>
      </c>
      <c r="J25" s="366" t="s">
        <v>0</v>
      </c>
      <c r="K25" s="373" t="s">
        <v>0</v>
      </c>
    </row>
    <row r="26" spans="1:11">
      <c r="A26" s="1" t="s">
        <v>278</v>
      </c>
      <c r="B26" s="129">
        <v>46882</v>
      </c>
      <c r="C26" s="92">
        <v>126071</v>
      </c>
      <c r="D26" s="92">
        <f>SUM(B26:C26)</f>
        <v>172953</v>
      </c>
      <c r="E26" s="382">
        <f>+B26/D26</f>
        <v>0.27106786236723274</v>
      </c>
      <c r="F26"/>
      <c r="G26"/>
      <c r="H26" s="129">
        <v>46626</v>
      </c>
      <c r="I26" s="92">
        <v>119726</v>
      </c>
      <c r="J26" s="366">
        <f>SUM(H26:I26)</f>
        <v>166352</v>
      </c>
      <c r="K26" s="373">
        <f>+H26/J26</f>
        <v>0.28028517841685102</v>
      </c>
    </row>
    <row r="27" spans="1:11">
      <c r="A27" s="1" t="s">
        <v>279</v>
      </c>
      <c r="B27" s="129">
        <v>57041</v>
      </c>
      <c r="C27" s="92">
        <v>431353</v>
      </c>
      <c r="D27" s="92">
        <f>SUM(B27:C27)</f>
        <v>488394</v>
      </c>
      <c r="E27" s="382">
        <f>+B27/D27</f>
        <v>0.11679299909499298</v>
      </c>
      <c r="F27"/>
      <c r="G27"/>
      <c r="H27" s="129">
        <v>50487</v>
      </c>
      <c r="I27" s="92">
        <v>436922</v>
      </c>
      <c r="J27" s="366">
        <f>SUM(H27:I27)</f>
        <v>487409</v>
      </c>
      <c r="K27" s="373">
        <f>+H27/J27</f>
        <v>0.10358241230670751</v>
      </c>
    </row>
    <row r="28" spans="1:11" ht="18">
      <c r="A28" s="1" t="s">
        <v>280</v>
      </c>
      <c r="B28" s="130">
        <v>7944</v>
      </c>
      <c r="C28" s="137">
        <v>219497</v>
      </c>
      <c r="D28" s="137">
        <f>SUM(B28:C28)</f>
        <v>227441</v>
      </c>
      <c r="E28" s="382">
        <f>+B28/D28</f>
        <v>3.4927739501672959E-2</v>
      </c>
      <c r="F28"/>
      <c r="G28"/>
      <c r="H28" s="130">
        <v>8564</v>
      </c>
      <c r="I28" s="137">
        <v>221368</v>
      </c>
      <c r="J28" s="367">
        <f>SUM(H28:I28)</f>
        <v>229932</v>
      </c>
      <c r="K28" s="373">
        <f>+H28/J28</f>
        <v>3.7245794408781729E-2</v>
      </c>
    </row>
    <row r="29" spans="1:11">
      <c r="A29" s="1"/>
      <c r="B29" s="129">
        <f>SUM(B26:B28)</f>
        <v>111867</v>
      </c>
      <c r="C29" s="92">
        <f>SUM(C26:C28)</f>
        <v>776921</v>
      </c>
      <c r="D29" s="92">
        <f>SUM(B29:C29)</f>
        <v>888788</v>
      </c>
      <c r="E29" s="382">
        <f>+B29/D29</f>
        <v>0.12586466063898252</v>
      </c>
      <c r="F29"/>
      <c r="G29"/>
      <c r="H29" s="129">
        <f>SUM(H26:H28)</f>
        <v>105677</v>
      </c>
      <c r="I29" s="92">
        <f>SUM(I26:I28)</f>
        <v>778016</v>
      </c>
      <c r="J29" s="366">
        <f>SUM(H29:I29)</f>
        <v>883693</v>
      </c>
      <c r="K29" s="373">
        <f>+H29/J29</f>
        <v>0.11958564795692622</v>
      </c>
    </row>
    <row r="30" spans="1:11" ht="7.9" customHeight="1">
      <c r="A30" s="1"/>
      <c r="B30" s="129"/>
      <c r="C30" s="93" t="s">
        <v>0</v>
      </c>
      <c r="D30" s="92"/>
      <c r="E30" s="382" t="s">
        <v>0</v>
      </c>
      <c r="F30"/>
      <c r="G30"/>
      <c r="H30" s="129"/>
      <c r="I30" s="93" t="s">
        <v>0</v>
      </c>
      <c r="J30" s="366" t="s">
        <v>0</v>
      </c>
      <c r="K30" s="373" t="s">
        <v>0</v>
      </c>
    </row>
    <row r="31" spans="1:11">
      <c r="A31" s="1" t="s">
        <v>281</v>
      </c>
      <c r="B31" s="129"/>
      <c r="C31" s="93" t="s">
        <v>0</v>
      </c>
      <c r="D31" s="92"/>
      <c r="E31" s="382" t="s">
        <v>0</v>
      </c>
      <c r="F31"/>
      <c r="G31"/>
      <c r="H31" s="129"/>
      <c r="I31" s="93" t="s">
        <v>0</v>
      </c>
      <c r="J31" s="366" t="s">
        <v>0</v>
      </c>
      <c r="K31" s="373" t="s">
        <v>0</v>
      </c>
    </row>
    <row r="32" spans="1:11">
      <c r="A32" s="1" t="s">
        <v>282</v>
      </c>
      <c r="B32" s="129">
        <v>0</v>
      </c>
      <c r="C32" s="92">
        <v>0</v>
      </c>
      <c r="D32" s="92">
        <f>SUM(B32:C32)</f>
        <v>0</v>
      </c>
      <c r="E32" s="383">
        <v>0</v>
      </c>
      <c r="F32"/>
      <c r="G32"/>
      <c r="H32" s="129">
        <v>0</v>
      </c>
      <c r="I32" s="92">
        <v>0</v>
      </c>
      <c r="J32" s="366">
        <f>SUM(H32:I32)</f>
        <v>0</v>
      </c>
      <c r="K32" s="136">
        <v>0</v>
      </c>
    </row>
    <row r="33" spans="1:15">
      <c r="A33" s="1" t="s">
        <v>283</v>
      </c>
      <c r="B33" s="129">
        <v>0</v>
      </c>
      <c r="C33" s="93">
        <v>0</v>
      </c>
      <c r="D33" s="92">
        <f>SUM(B33:C33)</f>
        <v>0</v>
      </c>
      <c r="E33" s="383">
        <v>0</v>
      </c>
      <c r="F33"/>
      <c r="G33"/>
      <c r="H33" s="129">
        <v>0</v>
      </c>
      <c r="I33" s="93">
        <v>0</v>
      </c>
      <c r="J33" s="366">
        <f>SUM(H33:I33)</f>
        <v>0</v>
      </c>
      <c r="K33" s="136">
        <v>0</v>
      </c>
    </row>
    <row r="34" spans="1:15" ht="18">
      <c r="A34" s="1" t="s">
        <v>284</v>
      </c>
      <c r="B34" s="130">
        <v>9811</v>
      </c>
      <c r="C34" s="137">
        <v>16777</v>
      </c>
      <c r="D34" s="137">
        <f>SUM(B34:C34)</f>
        <v>26588</v>
      </c>
      <c r="E34" s="382">
        <f>+B34/D34</f>
        <v>0.36900105310666464</v>
      </c>
      <c r="F34"/>
      <c r="G34"/>
      <c r="H34" s="130">
        <v>4483</v>
      </c>
      <c r="I34" s="137">
        <v>21408</v>
      </c>
      <c r="J34" s="367">
        <f>SUM(H34:I34)</f>
        <v>25891</v>
      </c>
      <c r="K34" s="373">
        <f>+H34/J34</f>
        <v>0.17314897068479396</v>
      </c>
      <c r="L34" s="6"/>
      <c r="M34" s="7"/>
      <c r="N34" s="7"/>
      <c r="O34" s="7"/>
    </row>
    <row r="35" spans="1:15">
      <c r="A35" s="1"/>
      <c r="B35" s="129">
        <f>SUM(B32:B34)</f>
        <v>9811</v>
      </c>
      <c r="C35" s="92">
        <f>SUM(C32:C34)</f>
        <v>16777</v>
      </c>
      <c r="D35" s="92">
        <f>SUM(B35:C35)</f>
        <v>26588</v>
      </c>
      <c r="E35" s="382">
        <f>+B35/D35</f>
        <v>0.36900105310666464</v>
      </c>
      <c r="F35"/>
      <c r="G35"/>
      <c r="H35" s="129">
        <f>SUM(H32:H34)</f>
        <v>4483</v>
      </c>
      <c r="I35" s="92">
        <f>SUM(I32:I34)</f>
        <v>21408</v>
      </c>
      <c r="J35" s="366">
        <f>SUM(H35:I35)</f>
        <v>25891</v>
      </c>
      <c r="K35" s="373">
        <f>+H35/J35</f>
        <v>0.17314897068479396</v>
      </c>
    </row>
    <row r="36" spans="1:15" ht="7.15" customHeight="1">
      <c r="A36" s="1"/>
      <c r="B36" s="129"/>
      <c r="C36" s="93" t="s">
        <v>0</v>
      </c>
      <c r="D36" s="92"/>
      <c r="E36" s="382" t="s">
        <v>275</v>
      </c>
      <c r="F36"/>
      <c r="G36"/>
      <c r="H36" s="129"/>
      <c r="I36" s="93" t="s">
        <v>0</v>
      </c>
      <c r="J36" s="366" t="s">
        <v>0</v>
      </c>
      <c r="K36" s="373" t="s">
        <v>275</v>
      </c>
    </row>
    <row r="37" spans="1:15">
      <c r="A37" s="1" t="s">
        <v>285</v>
      </c>
      <c r="B37" s="129"/>
      <c r="C37" s="93" t="s">
        <v>0</v>
      </c>
      <c r="D37" s="92"/>
      <c r="E37" s="382" t="s">
        <v>0</v>
      </c>
      <c r="F37"/>
      <c r="G37"/>
      <c r="H37" s="129"/>
      <c r="I37" s="93" t="s">
        <v>0</v>
      </c>
      <c r="J37" s="366" t="s">
        <v>0</v>
      </c>
      <c r="K37" s="373" t="s">
        <v>0</v>
      </c>
    </row>
    <row r="38" spans="1:15">
      <c r="A38" s="1" t="s">
        <v>282</v>
      </c>
      <c r="B38" s="129">
        <v>0</v>
      </c>
      <c r="C38" s="93">
        <v>0</v>
      </c>
      <c r="D38" s="92">
        <f>SUM(B38:C38)</f>
        <v>0</v>
      </c>
      <c r="E38" s="383">
        <v>0</v>
      </c>
      <c r="F38"/>
      <c r="G38"/>
      <c r="H38" s="129">
        <v>0</v>
      </c>
      <c r="I38" s="93">
        <v>0</v>
      </c>
      <c r="J38" s="366">
        <f>SUM(H38:I38)</f>
        <v>0</v>
      </c>
      <c r="K38" s="136">
        <v>0</v>
      </c>
    </row>
    <row r="39" spans="1:15">
      <c r="A39" s="1" t="s">
        <v>286</v>
      </c>
      <c r="B39" s="129">
        <v>0</v>
      </c>
      <c r="C39" s="93">
        <v>0</v>
      </c>
      <c r="D39" s="92">
        <f>SUM(B39:C39)</f>
        <v>0</v>
      </c>
      <c r="E39" s="383">
        <v>0</v>
      </c>
      <c r="F39"/>
      <c r="G39"/>
      <c r="H39" s="129">
        <v>0</v>
      </c>
      <c r="I39" s="93">
        <v>0</v>
      </c>
      <c r="J39" s="366">
        <f>SUM(H39:I39)</f>
        <v>0</v>
      </c>
      <c r="K39" s="136">
        <v>0</v>
      </c>
    </row>
    <row r="40" spans="1:15" ht="18">
      <c r="A40" s="1" t="s">
        <v>284</v>
      </c>
      <c r="B40" s="130">
        <v>0</v>
      </c>
      <c r="C40" s="137">
        <v>251</v>
      </c>
      <c r="D40" s="137">
        <f>SUM(B40:C40)</f>
        <v>251</v>
      </c>
      <c r="E40" s="383">
        <f>+B40/D40</f>
        <v>0</v>
      </c>
      <c r="F40"/>
      <c r="G40"/>
      <c r="H40" s="130">
        <v>0</v>
      </c>
      <c r="I40" s="137">
        <v>16448</v>
      </c>
      <c r="J40" s="367">
        <f>SUM(H40:I40)</f>
        <v>16448</v>
      </c>
      <c r="K40" s="136">
        <f>+H40/J40</f>
        <v>0</v>
      </c>
    </row>
    <row r="41" spans="1:15">
      <c r="A41" s="1"/>
      <c r="B41" s="129">
        <f>SUM(B38:B40)</f>
        <v>0</v>
      </c>
      <c r="C41" s="92">
        <f>SUM(C38:C40)</f>
        <v>251</v>
      </c>
      <c r="D41" s="92">
        <f>SUM(B41:C41)</f>
        <v>251</v>
      </c>
      <c r="E41" s="383">
        <f>+B41/D41</f>
        <v>0</v>
      </c>
      <c r="F41"/>
      <c r="G41"/>
      <c r="H41" s="129">
        <f>SUM(H38:H40)</f>
        <v>0</v>
      </c>
      <c r="I41" s="92">
        <f>SUM(I38:I40)</f>
        <v>16448</v>
      </c>
      <c r="J41" s="366">
        <f>SUM(H41:I41)</f>
        <v>16448</v>
      </c>
      <c r="K41" s="136">
        <f>+H41/J41</f>
        <v>0</v>
      </c>
    </row>
    <row r="42" spans="1:15" ht="8.4499999999999993" customHeight="1">
      <c r="A42" s="1"/>
      <c r="B42" s="129"/>
      <c r="C42" s="93" t="s">
        <v>0</v>
      </c>
      <c r="D42" s="92"/>
      <c r="E42" s="382" t="s">
        <v>0</v>
      </c>
      <c r="F42"/>
      <c r="G42"/>
      <c r="H42" s="129"/>
      <c r="I42" s="93" t="s">
        <v>0</v>
      </c>
      <c r="J42" s="366" t="s">
        <v>0</v>
      </c>
      <c r="K42" s="373" t="s">
        <v>0</v>
      </c>
    </row>
    <row r="43" spans="1:15" ht="18">
      <c r="A43" s="1" t="s">
        <v>287</v>
      </c>
      <c r="B43" s="130">
        <v>0</v>
      </c>
      <c r="C43" s="137">
        <v>0</v>
      </c>
      <c r="D43" s="137">
        <f>SUM(B43:C43)</f>
        <v>0</v>
      </c>
      <c r="E43" s="383">
        <v>0</v>
      </c>
      <c r="F43"/>
      <c r="G43"/>
      <c r="H43" s="130">
        <v>0</v>
      </c>
      <c r="I43" s="137">
        <v>0</v>
      </c>
      <c r="J43" s="367">
        <f>SUM(H43:I43)</f>
        <v>0</v>
      </c>
      <c r="K43" s="136">
        <v>0</v>
      </c>
      <c r="L43" s="6"/>
    </row>
    <row r="44" spans="1:15">
      <c r="A44" s="1"/>
      <c r="B44" s="129">
        <f>+B29+B35+B41+B43</f>
        <v>121678</v>
      </c>
      <c r="C44" s="92">
        <f>+C29+C35+C41+C43</f>
        <v>793949</v>
      </c>
      <c r="D44" s="92">
        <f>+D29+D35+D41+D43</f>
        <v>915627</v>
      </c>
      <c r="E44" s="382">
        <f>+B44/D44</f>
        <v>0.13289035819170908</v>
      </c>
      <c r="F44"/>
      <c r="G44"/>
      <c r="H44" s="129">
        <f>+H29+H35+H41+H43</f>
        <v>110160</v>
      </c>
      <c r="I44" s="92">
        <f>+I29+I35+I41+I43</f>
        <v>815872</v>
      </c>
      <c r="J44" s="366">
        <f>+I29+I35+I41+I43</f>
        <v>815872</v>
      </c>
      <c r="K44" s="373">
        <f>+H44/J44</f>
        <v>0.1350211797929087</v>
      </c>
    </row>
    <row r="45" spans="1:15" ht="8.4499999999999993" customHeight="1">
      <c r="A45" s="1"/>
      <c r="B45" s="129"/>
      <c r="C45" s="93" t="s">
        <v>0</v>
      </c>
      <c r="D45" s="92"/>
      <c r="E45" s="382" t="s">
        <v>0</v>
      </c>
      <c r="F45"/>
      <c r="G45"/>
      <c r="H45" s="129"/>
      <c r="I45" s="93" t="s">
        <v>0</v>
      </c>
      <c r="J45" s="366" t="s">
        <v>0</v>
      </c>
      <c r="K45" s="373" t="s">
        <v>0</v>
      </c>
    </row>
    <row r="46" spans="1:15">
      <c r="A46" s="87" t="s">
        <v>288</v>
      </c>
      <c r="B46" s="129"/>
      <c r="C46" s="93" t="s">
        <v>0</v>
      </c>
      <c r="D46" s="92"/>
      <c r="E46" s="382" t="s">
        <v>0</v>
      </c>
      <c r="F46"/>
      <c r="G46"/>
      <c r="H46" s="129"/>
      <c r="I46" s="93" t="s">
        <v>0</v>
      </c>
      <c r="J46" s="366" t="s">
        <v>0</v>
      </c>
      <c r="K46" s="373" t="s">
        <v>0</v>
      </c>
    </row>
    <row r="47" spans="1:15">
      <c r="A47" s="1" t="s">
        <v>289</v>
      </c>
      <c r="B47" s="129">
        <v>0</v>
      </c>
      <c r="C47" s="92">
        <v>35308</v>
      </c>
      <c r="D47" s="92">
        <f>SUM(B47:C47)</f>
        <v>35308</v>
      </c>
      <c r="E47" s="383">
        <f>+B47/D47</f>
        <v>0</v>
      </c>
      <c r="F47"/>
      <c r="G47"/>
      <c r="H47" s="129">
        <v>0</v>
      </c>
      <c r="I47" s="92">
        <v>5000</v>
      </c>
      <c r="J47" s="366">
        <f>SUM(H47:I47)</f>
        <v>5000</v>
      </c>
      <c r="K47" s="136">
        <f>+H47/J47</f>
        <v>0</v>
      </c>
    </row>
    <row r="48" spans="1:15">
      <c r="A48" s="1" t="s">
        <v>290</v>
      </c>
      <c r="B48" s="129">
        <v>0</v>
      </c>
      <c r="C48" s="92">
        <v>2500</v>
      </c>
      <c r="D48" s="92">
        <f>SUM(B48:C48)</f>
        <v>2500</v>
      </c>
      <c r="E48" s="383">
        <v>0</v>
      </c>
      <c r="F48"/>
      <c r="G48"/>
      <c r="H48" s="129">
        <v>0</v>
      </c>
      <c r="I48" s="92">
        <v>2500</v>
      </c>
      <c r="J48" s="366">
        <f>SUM(H48:I48)</f>
        <v>2500</v>
      </c>
      <c r="K48" s="136">
        <v>0</v>
      </c>
    </row>
    <row r="49" spans="1:15">
      <c r="A49" s="1" t="s">
        <v>302</v>
      </c>
      <c r="B49" s="129">
        <v>0</v>
      </c>
      <c r="C49" s="93">
        <v>0</v>
      </c>
      <c r="D49" s="92">
        <f>SUM(B49:C49)</f>
        <v>0</v>
      </c>
      <c r="E49" s="383">
        <v>0</v>
      </c>
      <c r="F49"/>
      <c r="G49"/>
      <c r="H49" s="129">
        <v>0</v>
      </c>
      <c r="I49" s="93">
        <v>0</v>
      </c>
      <c r="J49" s="366">
        <f>SUM(H49:I49)</f>
        <v>0</v>
      </c>
      <c r="K49" s="136">
        <v>0</v>
      </c>
    </row>
    <row r="50" spans="1:15" ht="18">
      <c r="A50" s="1" t="s">
        <v>292</v>
      </c>
      <c r="B50" s="130">
        <v>0</v>
      </c>
      <c r="C50" s="137">
        <v>4103</v>
      </c>
      <c r="D50" s="137">
        <f>SUM(B50:C50)</f>
        <v>4103</v>
      </c>
      <c r="E50" s="383">
        <f>+B50/D50</f>
        <v>0</v>
      </c>
      <c r="F50"/>
      <c r="G50"/>
      <c r="H50" s="130">
        <v>0</v>
      </c>
      <c r="I50" s="137">
        <v>-13332</v>
      </c>
      <c r="J50" s="367">
        <f>SUM(H50:I50)</f>
        <v>-13332</v>
      </c>
      <c r="K50" s="373">
        <f>+H50/J50</f>
        <v>0</v>
      </c>
      <c r="L50" s="6"/>
      <c r="M50" s="7"/>
      <c r="N50" s="7"/>
      <c r="O50" s="7"/>
    </row>
    <row r="51" spans="1:15">
      <c r="A51" s="1" t="s">
        <v>275</v>
      </c>
      <c r="B51" s="129">
        <f>SUM(B47:B50)</f>
        <v>0</v>
      </c>
      <c r="C51" s="92">
        <f>SUM(C47:C50)</f>
        <v>41911</v>
      </c>
      <c r="D51" s="92">
        <f>SUM(B51:C51)</f>
        <v>41911</v>
      </c>
      <c r="E51" s="383">
        <f>+B51/D51</f>
        <v>0</v>
      </c>
      <c r="F51"/>
      <c r="G51"/>
      <c r="H51" s="129">
        <f>SUM(H47:H50)</f>
        <v>0</v>
      </c>
      <c r="I51" s="92">
        <f>SUM(I47:I50)</f>
        <v>-5832</v>
      </c>
      <c r="J51" s="366">
        <f>SUM(H51:I51)</f>
        <v>-5832</v>
      </c>
      <c r="K51" s="373">
        <f>+H51/J51</f>
        <v>0</v>
      </c>
    </row>
    <row r="52" spans="1:15">
      <c r="A52" s="1" t="s">
        <v>0</v>
      </c>
      <c r="B52" s="129"/>
      <c r="C52" s="93" t="s">
        <v>0</v>
      </c>
      <c r="D52" s="92"/>
      <c r="E52" s="382" t="s">
        <v>0</v>
      </c>
      <c r="F52"/>
      <c r="G52"/>
      <c r="H52" s="129"/>
      <c r="I52" s="93" t="s">
        <v>0</v>
      </c>
      <c r="J52" s="366" t="s">
        <v>0</v>
      </c>
      <c r="K52" s="373" t="s">
        <v>0</v>
      </c>
    </row>
    <row r="53" spans="1:15" ht="16.5" thickBot="1">
      <c r="A53" s="1" t="s">
        <v>0</v>
      </c>
      <c r="B53" s="133">
        <f>+B29+B35+B41+B43+B51</f>
        <v>121678</v>
      </c>
      <c r="C53" s="134">
        <f>+C29+C35+C41+C43+C51</f>
        <v>835860</v>
      </c>
      <c r="D53" s="385">
        <f>SUM(B53:C53)</f>
        <v>957538</v>
      </c>
      <c r="E53" s="433">
        <f>+B53/D53</f>
        <v>0.12707380803686119</v>
      </c>
      <c r="F53"/>
      <c r="G53"/>
      <c r="H53" s="133">
        <f>+H29+H35+H41+H43+H51</f>
        <v>110160</v>
      </c>
      <c r="I53" s="134">
        <f>+I29+I35+I41+I43+I51</f>
        <v>810040</v>
      </c>
      <c r="J53" s="369">
        <f>SUM(H53:I53)</f>
        <v>920200</v>
      </c>
      <c r="K53" s="430">
        <f>+H53/J53</f>
        <v>0.11971310584655509</v>
      </c>
    </row>
    <row r="54" spans="1:15" ht="16.5" thickTop="1">
      <c r="A54" s="1"/>
      <c r="B54" s="95"/>
      <c r="C54" s="95"/>
      <c r="D54" s="384"/>
      <c r="E54" s="261"/>
      <c r="F54"/>
      <c r="G54"/>
      <c r="H54" s="95"/>
      <c r="I54" s="95"/>
      <c r="J54" s="384"/>
      <c r="K54" s="254"/>
    </row>
    <row r="55" spans="1:15">
      <c r="A55" s="1"/>
      <c r="B55" s="91" t="s">
        <v>599</v>
      </c>
      <c r="C55"/>
      <c r="D55" s="91"/>
      <c r="E55" s="100" t="s">
        <v>0</v>
      </c>
      <c r="F55"/>
      <c r="G55"/>
      <c r="H55" s="91" t="s">
        <v>530</v>
      </c>
      <c r="I55"/>
      <c r="J55" s="89" t="s">
        <v>0</v>
      </c>
    </row>
    <row r="56" spans="1:15">
      <c r="C56" s="43"/>
      <c r="E56" s="115" t="s">
        <v>0</v>
      </c>
      <c r="F56"/>
      <c r="G56"/>
      <c r="H56"/>
      <c r="J56" s="43"/>
    </row>
    <row r="57" spans="1:15">
      <c r="A57" s="18" t="s">
        <v>319</v>
      </c>
      <c r="C57" s="43"/>
      <c r="E57" s="115" t="s">
        <v>0</v>
      </c>
      <c r="F57"/>
      <c r="G57"/>
      <c r="H57"/>
      <c r="J57" s="43"/>
    </row>
    <row r="58" spans="1:15">
      <c r="A58" t="s">
        <v>294</v>
      </c>
      <c r="B58" s="12">
        <f>+scotiavar!B56</f>
        <v>0</v>
      </c>
      <c r="C58" s="43"/>
      <c r="E58" s="115" t="s">
        <v>0</v>
      </c>
      <c r="F58"/>
      <c r="G58"/>
      <c r="H58"/>
      <c r="J58" s="43"/>
    </row>
    <row r="59" spans="1:15">
      <c r="A59" t="s">
        <v>295</v>
      </c>
      <c r="B59" s="12">
        <f>+scotiavar!B57</f>
        <v>0</v>
      </c>
      <c r="C59" s="43"/>
      <c r="E59" s="115" t="s">
        <v>0</v>
      </c>
      <c r="F59"/>
      <c r="G59"/>
      <c r="H59"/>
      <c r="J59" s="43"/>
    </row>
    <row r="60" spans="1:15">
      <c r="A60" t="s">
        <v>284</v>
      </c>
      <c r="B60" s="12">
        <f>+scotiavar!B58</f>
        <v>11380</v>
      </c>
      <c r="C60" s="43"/>
      <c r="E60" s="115" t="s">
        <v>0</v>
      </c>
      <c r="F60"/>
      <c r="G60"/>
      <c r="H60"/>
      <c r="J60" s="43"/>
    </row>
    <row r="61" spans="1:15">
      <c r="C61" s="43"/>
      <c r="E61" s="115" t="s">
        <v>0</v>
      </c>
      <c r="F61"/>
      <c r="G61"/>
      <c r="H61"/>
      <c r="J61" s="43"/>
    </row>
    <row r="62" spans="1:15" ht="18.75">
      <c r="A62" s="122" t="s">
        <v>303</v>
      </c>
      <c r="B62" s="12">
        <f>+scotiavar!B60</f>
        <v>518016</v>
      </c>
      <c r="C62" s="43"/>
      <c r="E62" s="115" t="s">
        <v>0</v>
      </c>
      <c r="F62"/>
      <c r="G62"/>
      <c r="H62" s="41">
        <v>0</v>
      </c>
      <c r="I62" s="43">
        <v>0</v>
      </c>
      <c r="J62" s="12">
        <f>+J19+J63</f>
        <v>484024</v>
      </c>
    </row>
    <row r="63" spans="1:15">
      <c r="A63" t="s">
        <v>217</v>
      </c>
      <c r="B63" s="12">
        <f>+scotiavar!B61</f>
        <v>23226</v>
      </c>
      <c r="C63" s="43"/>
      <c r="E63" s="115" t="s">
        <v>0</v>
      </c>
      <c r="F63"/>
      <c r="G63"/>
      <c r="H63" s="41">
        <v>0</v>
      </c>
      <c r="I63" s="43">
        <v>0</v>
      </c>
      <c r="J63" s="12">
        <v>0</v>
      </c>
    </row>
    <row r="64" spans="1:15">
      <c r="A64" t="s">
        <v>320</v>
      </c>
      <c r="B64" s="12">
        <f>+scotiavar!B62</f>
        <v>81224</v>
      </c>
      <c r="C64" s="43"/>
      <c r="E64" s="115" t="s">
        <v>0</v>
      </c>
      <c r="F64"/>
      <c r="G64"/>
      <c r="H64" s="41">
        <v>0</v>
      </c>
      <c r="I64" s="43">
        <v>0</v>
      </c>
      <c r="J64" s="12">
        <f>7721189.75/1000</f>
        <v>7721.1897499999995</v>
      </c>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sheetData>
  <pageMargins left="0.68" right="0.28999999999999998" top="0.66" bottom="0.55000000000000004" header="0.36" footer="0.34"/>
  <pageSetup scale="63" orientation="landscape" r:id="rId1"/>
  <headerFooter alignWithMargins="0">
    <oddFooter>&amp;R&amp;P</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21"/>
  <sheetViews>
    <sheetView workbookViewId="0"/>
  </sheetViews>
  <sheetFormatPr defaultRowHeight="15.75"/>
  <cols>
    <col min="1" max="1" width="50" customWidth="1"/>
    <col min="2" max="2" width="15.75" style="27" customWidth="1"/>
    <col min="3" max="3" width="8.7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 style="27" customWidth="1"/>
    <col min="14" max="14" width="15.75" style="27" customWidth="1"/>
    <col min="15" max="15" width="11" style="27" customWidth="1"/>
    <col min="16" max="16" width="15.75" style="27" customWidth="1"/>
    <col min="17" max="17" width="11" style="27" customWidth="1"/>
    <col min="18" max="18" width="15.75" style="27" customWidth="1"/>
    <col min="19" max="19" width="10.5" style="27" customWidth="1"/>
    <col min="20" max="20" width="17.25" style="27" customWidth="1"/>
    <col min="21" max="21" width="12.75" style="27" customWidth="1"/>
    <col min="22" max="256" width="11" customWidth="1"/>
  </cols>
  <sheetData>
    <row r="1" spans="1:22">
      <c r="A1" s="114" t="s">
        <v>636</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5" spans="1:22">
      <c r="A5" s="114"/>
      <c r="B5" s="40"/>
      <c r="C5" s="40"/>
      <c r="D5" s="40"/>
      <c r="E5" s="40"/>
      <c r="F5" s="40"/>
      <c r="G5" s="40"/>
      <c r="H5" s="40"/>
      <c r="I5" s="40"/>
      <c r="J5" s="40"/>
      <c r="K5" s="40"/>
      <c r="L5" s="40"/>
      <c r="M5" s="40"/>
      <c r="N5" s="40"/>
      <c r="O5" s="40"/>
      <c r="P5" s="40"/>
      <c r="Q5" s="40"/>
      <c r="R5" s="40"/>
      <c r="S5" s="40"/>
      <c r="T5" s="40"/>
    </row>
    <row r="6" spans="1:22" s="2" customFormat="1" ht="16.5" thickBot="1">
      <c r="B6" s="377" t="s">
        <v>185</v>
      </c>
      <c r="C6" s="399"/>
      <c r="D6" s="400"/>
      <c r="E6" s="399"/>
      <c r="F6" s="400"/>
      <c r="G6" s="399"/>
      <c r="H6" s="400"/>
      <c r="I6" s="401"/>
      <c r="J6" s="377" t="s">
        <v>174</v>
      </c>
      <c r="K6" s="399"/>
      <c r="L6" s="400"/>
      <c r="M6" s="399"/>
      <c r="N6" s="400"/>
      <c r="O6" s="399"/>
      <c r="P6" s="400"/>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7" t="s">
        <v>0</v>
      </c>
      <c r="D9" s="29" t="s">
        <v>0</v>
      </c>
      <c r="E9" s="29" t="s">
        <v>0</v>
      </c>
      <c r="F9" s="29" t="s">
        <v>0</v>
      </c>
      <c r="G9" s="29" t="s">
        <v>0</v>
      </c>
      <c r="H9" s="29" t="s">
        <v>0</v>
      </c>
      <c r="I9" s="29" t="s">
        <v>0</v>
      </c>
      <c r="J9" s="16" t="s">
        <v>0</v>
      </c>
      <c r="K9" s="47" t="s">
        <v>0</v>
      </c>
      <c r="L9" s="16" t="s">
        <v>0</v>
      </c>
      <c r="M9" s="47" t="s">
        <v>0</v>
      </c>
      <c r="N9" s="16" t="s">
        <v>0</v>
      </c>
      <c r="O9" s="47" t="s">
        <v>0</v>
      </c>
      <c r="P9" s="16" t="s">
        <v>0</v>
      </c>
      <c r="Q9" s="29" t="s">
        <v>0</v>
      </c>
      <c r="R9" s="29" t="s">
        <v>0</v>
      </c>
      <c r="T9" s="29" t="s">
        <v>0</v>
      </c>
    </row>
    <row r="10" spans="1:22">
      <c r="A10" t="s">
        <v>330</v>
      </c>
      <c r="B10" s="12">
        <f>+B50</f>
        <v>22562</v>
      </c>
      <c r="C10" s="43">
        <v>0</v>
      </c>
      <c r="D10" s="12">
        <f>+F50</f>
        <v>0</v>
      </c>
      <c r="E10" s="43">
        <v>0</v>
      </c>
      <c r="F10" s="12">
        <f>+J50</f>
        <v>0</v>
      </c>
      <c r="G10" s="43">
        <v>0</v>
      </c>
      <c r="H10" s="12">
        <f>+N50</f>
        <v>0</v>
      </c>
      <c r="J10" s="12">
        <f>+D50</f>
        <v>22917</v>
      </c>
      <c r="K10" s="46">
        <f>+(-J10+L10)/ABS(J10)</f>
        <v>-3.0981367543744818E-3</v>
      </c>
      <c r="L10" s="12">
        <f>+H50</f>
        <v>22846</v>
      </c>
      <c r="M10" s="46">
        <f t="shared" ref="M10:M15" si="0">+(-L10+N10)/ABS(L10)</f>
        <v>-2.9501882167556684E-2</v>
      </c>
      <c r="N10" s="12">
        <f>+L50</f>
        <v>22172</v>
      </c>
      <c r="O10" s="46">
        <f t="shared" ref="O10:O15" si="1">+(-N10+P10)/ABS(N10)</f>
        <v>-1.9123218473750675E-2</v>
      </c>
      <c r="P10" s="12">
        <f>+P50</f>
        <v>21748</v>
      </c>
    </row>
    <row r="11" spans="1:22">
      <c r="A11" t="s">
        <v>354</v>
      </c>
      <c r="B11" s="12">
        <f>+B51</f>
        <v>1572</v>
      </c>
      <c r="C11" s="43">
        <v>0</v>
      </c>
      <c r="D11" s="12">
        <f>+F51</f>
        <v>0</v>
      </c>
      <c r="E11" s="43">
        <v>0</v>
      </c>
      <c r="F11" s="12">
        <f>+J51</f>
        <v>0</v>
      </c>
      <c r="G11" s="43">
        <v>0</v>
      </c>
      <c r="H11" s="12">
        <f>+N51</f>
        <v>0</v>
      </c>
      <c r="J11" s="12">
        <f>+D51</f>
        <v>228</v>
      </c>
      <c r="K11" s="43">
        <v>0</v>
      </c>
      <c r="L11" s="12">
        <f>+H51</f>
        <v>446</v>
      </c>
      <c r="M11" s="43">
        <v>0</v>
      </c>
      <c r="N11" s="12">
        <f>+L51</f>
        <v>679</v>
      </c>
      <c r="O11" s="43">
        <v>0</v>
      </c>
      <c r="P11" s="12">
        <f>+P51</f>
        <v>771</v>
      </c>
    </row>
    <row r="12" spans="1:22">
      <c r="A12" t="s">
        <v>332</v>
      </c>
      <c r="B12" s="240">
        <f>+B52</f>
        <v>1143</v>
      </c>
      <c r="C12" s="43">
        <v>0</v>
      </c>
      <c r="D12" s="240">
        <f>+F52</f>
        <v>0</v>
      </c>
      <c r="E12" s="43">
        <v>0</v>
      </c>
      <c r="F12" s="240">
        <f>+J52</f>
        <v>0</v>
      </c>
      <c r="G12" s="43">
        <v>0</v>
      </c>
      <c r="H12" s="240">
        <f>+N52</f>
        <v>0</v>
      </c>
      <c r="J12" s="221">
        <f>+D52</f>
        <v>1132</v>
      </c>
      <c r="K12" s="43">
        <v>0</v>
      </c>
      <c r="L12" s="221">
        <f>+H52</f>
        <v>1192</v>
      </c>
      <c r="M12" s="46">
        <f t="shared" si="0"/>
        <v>3.6912751677852351E-2</v>
      </c>
      <c r="N12" s="221">
        <f>+L52</f>
        <v>1236</v>
      </c>
      <c r="O12" s="46">
        <f t="shared" si="1"/>
        <v>-4.3689320388349516E-2</v>
      </c>
      <c r="P12" s="221">
        <f>+P52</f>
        <v>1182</v>
      </c>
    </row>
    <row r="13" spans="1:22">
      <c r="B13" s="12">
        <f>SUM(B10:B12)</f>
        <v>25277</v>
      </c>
      <c r="C13" s="43">
        <v>0</v>
      </c>
      <c r="D13" s="12">
        <f>SUM(D10:D12)</f>
        <v>0</v>
      </c>
      <c r="E13" s="43">
        <v>0</v>
      </c>
      <c r="F13" s="12">
        <f>SUM(F10:F12)</f>
        <v>0</v>
      </c>
      <c r="G13" s="43">
        <v>0</v>
      </c>
      <c r="H13" s="12">
        <f>SUM(H10:H12)</f>
        <v>0</v>
      </c>
      <c r="J13" s="12">
        <f>SUM(J10:J12)</f>
        <v>24277</v>
      </c>
      <c r="K13" s="46">
        <f>+(-J13+L13)/ABS(J13)</f>
        <v>8.5265889525064885E-3</v>
      </c>
      <c r="L13" s="12">
        <f>SUM(L10:L12)</f>
        <v>24484</v>
      </c>
      <c r="M13" s="46">
        <f t="shared" si="0"/>
        <v>-1.621467080542395E-2</v>
      </c>
      <c r="N13" s="12">
        <f>SUM(N10:N12)</f>
        <v>24087</v>
      </c>
      <c r="O13" s="46">
        <f t="shared" si="1"/>
        <v>-1.6025241831693446E-2</v>
      </c>
      <c r="P13" s="12">
        <f>SUM(P10:P12)</f>
        <v>23701</v>
      </c>
    </row>
    <row r="14" spans="1:22">
      <c r="A14" t="s">
        <v>333</v>
      </c>
      <c r="B14" s="240">
        <f>+B54</f>
        <v>7492</v>
      </c>
      <c r="C14" s="43">
        <v>0</v>
      </c>
      <c r="D14" s="240">
        <f>+F54</f>
        <v>0</v>
      </c>
      <c r="E14" s="43">
        <v>0</v>
      </c>
      <c r="F14" s="240">
        <f>+J54</f>
        <v>0</v>
      </c>
      <c r="G14" s="43">
        <v>0</v>
      </c>
      <c r="H14" s="240">
        <f>+N54</f>
        <v>0</v>
      </c>
      <c r="J14" s="240">
        <f>+D54</f>
        <v>8602</v>
      </c>
      <c r="K14" s="46">
        <f>+(-J14+L14)/ABS(J14)</f>
        <v>5.7661009067658683E-2</v>
      </c>
      <c r="L14" s="240">
        <f>+H54</f>
        <v>9098</v>
      </c>
      <c r="M14" s="46">
        <f t="shared" si="0"/>
        <v>2.8247966586062871E-2</v>
      </c>
      <c r="N14" s="240">
        <f>+L54</f>
        <v>9355</v>
      </c>
      <c r="O14" s="46">
        <f t="shared" si="1"/>
        <v>-8.1026189203634413E-2</v>
      </c>
      <c r="P14" s="240">
        <f>+P54</f>
        <v>8597</v>
      </c>
    </row>
    <row r="15" spans="1:22">
      <c r="B15" s="12">
        <f>+B13-B14</f>
        <v>17785</v>
      </c>
      <c r="C15" s="43">
        <v>0</v>
      </c>
      <c r="D15" s="12">
        <f>+D13-D14</f>
        <v>0</v>
      </c>
      <c r="E15" s="43">
        <v>0</v>
      </c>
      <c r="F15" s="12">
        <f>+F13-F14</f>
        <v>0</v>
      </c>
      <c r="G15" s="43">
        <v>0</v>
      </c>
      <c r="H15" s="12">
        <f>+H13-H14</f>
        <v>0</v>
      </c>
      <c r="J15" s="12">
        <f>+J13-J14</f>
        <v>15675</v>
      </c>
      <c r="K15" s="46">
        <f>+(-J15+L15)/ABS(J15)</f>
        <v>-1.8437001594896332E-2</v>
      </c>
      <c r="L15" s="12">
        <f>+L13-L14</f>
        <v>15386</v>
      </c>
      <c r="M15" s="46">
        <f t="shared" si="0"/>
        <v>-4.2506174444300014E-2</v>
      </c>
      <c r="N15" s="12">
        <f>+N13-N14</f>
        <v>14732</v>
      </c>
      <c r="O15" s="46">
        <f t="shared" si="1"/>
        <v>2.5251153950583763E-2</v>
      </c>
      <c r="P15" s="12">
        <f>+P13-P14</f>
        <v>15104</v>
      </c>
    </row>
    <row r="16" spans="1:22" ht="9" customHeight="1">
      <c r="B16" s="12"/>
      <c r="C16" s="44" t="s">
        <v>0</v>
      </c>
      <c r="E16" s="44" t="s">
        <v>0</v>
      </c>
      <c r="G16" s="44" t="s">
        <v>0</v>
      </c>
      <c r="J16" s="12"/>
      <c r="K16" s="46"/>
      <c r="L16" s="12"/>
      <c r="M16" s="46"/>
      <c r="N16" s="12"/>
      <c r="O16" s="46"/>
      <c r="P16" s="12"/>
    </row>
    <row r="17" spans="1:16">
      <c r="A17" t="s">
        <v>334</v>
      </c>
      <c r="B17" s="12"/>
      <c r="C17" s="44" t="s">
        <v>0</v>
      </c>
      <c r="E17" s="44" t="s">
        <v>0</v>
      </c>
      <c r="G17" s="44" t="s">
        <v>0</v>
      </c>
      <c r="J17" s="12"/>
      <c r="K17" s="46"/>
      <c r="L17" s="12"/>
      <c r="M17" s="46"/>
      <c r="N17" s="12"/>
      <c r="O17" s="47" t="s">
        <v>0</v>
      </c>
      <c r="P17" s="12"/>
    </row>
    <row r="18" spans="1:16">
      <c r="A18" t="s">
        <v>335</v>
      </c>
      <c r="B18" s="12">
        <f>+B58</f>
        <v>2503</v>
      </c>
      <c r="C18" s="43">
        <v>0</v>
      </c>
      <c r="D18" s="12">
        <f>+F58</f>
        <v>0</v>
      </c>
      <c r="E18" s="43">
        <v>0</v>
      </c>
      <c r="F18" s="12">
        <f>+J58</f>
        <v>0</v>
      </c>
      <c r="G18" s="43">
        <v>0</v>
      </c>
      <c r="H18" s="12">
        <f>+N58</f>
        <v>0</v>
      </c>
      <c r="J18" s="12">
        <f>+D58</f>
        <v>2160</v>
      </c>
      <c r="K18" s="46">
        <f>+(-J18+L18)/ABS(J18)</f>
        <v>-0.125</v>
      </c>
      <c r="L18" s="12">
        <f>+H58</f>
        <v>1890</v>
      </c>
      <c r="M18" s="46">
        <f>+(-L18+N18)/ABS(L18)</f>
        <v>0.12486772486772486</v>
      </c>
      <c r="N18" s="12">
        <f>+L58</f>
        <v>2126</v>
      </c>
      <c r="O18" s="46">
        <f>+(-N18+P18)/ABS(N18)</f>
        <v>-0.18861712135465664</v>
      </c>
      <c r="P18" s="12">
        <f>+P58</f>
        <v>1725</v>
      </c>
    </row>
    <row r="19" spans="1:16">
      <c r="A19" t="s">
        <v>336</v>
      </c>
      <c r="B19" s="12">
        <f>+B59</f>
        <v>1276</v>
      </c>
      <c r="C19" s="43">
        <v>0</v>
      </c>
      <c r="D19" s="12">
        <f>+F59</f>
        <v>0</v>
      </c>
      <c r="E19" s="43">
        <v>0</v>
      </c>
      <c r="F19" s="12">
        <f>+J59</f>
        <v>0</v>
      </c>
      <c r="G19" s="43">
        <v>0</v>
      </c>
      <c r="H19" s="12">
        <f>+N59</f>
        <v>0</v>
      </c>
      <c r="J19" s="12">
        <f>+D59</f>
        <v>1196</v>
      </c>
      <c r="K19" s="46">
        <f>+(-J19+L19)/ABS(J19)</f>
        <v>0.19147157190635453</v>
      </c>
      <c r="L19" s="12">
        <f>+H59</f>
        <v>1425</v>
      </c>
      <c r="M19" s="46">
        <f>+(-L19+N19)/ABS(L19)</f>
        <v>-6.3157894736842104E-3</v>
      </c>
      <c r="N19" s="12">
        <f>+L59</f>
        <v>1416</v>
      </c>
      <c r="O19" s="46">
        <f>+(-N19+P19)/ABS(N19)</f>
        <v>0.22387005649717515</v>
      </c>
      <c r="P19" s="12">
        <f>+P59</f>
        <v>1733</v>
      </c>
    </row>
    <row r="20" spans="1:16">
      <c r="A20" t="s">
        <v>284</v>
      </c>
      <c r="B20" s="240">
        <f>+B60</f>
        <v>12</v>
      </c>
      <c r="C20" s="43">
        <v>0</v>
      </c>
      <c r="D20" s="240">
        <f>+F60</f>
        <v>0</v>
      </c>
      <c r="E20" s="43">
        <v>0</v>
      </c>
      <c r="F20" s="240">
        <f>+J60</f>
        <v>0</v>
      </c>
      <c r="G20" s="43">
        <v>0</v>
      </c>
      <c r="H20" s="240">
        <f>+N60</f>
        <v>0</v>
      </c>
      <c r="J20" s="240">
        <f>+D60</f>
        <v>21</v>
      </c>
      <c r="K20" s="46">
        <f>+(-J20+L20)/ABS(J20)</f>
        <v>4.7619047619047616E-2</v>
      </c>
      <c r="L20" s="240">
        <f>+H60</f>
        <v>22</v>
      </c>
      <c r="M20" s="46">
        <f>+(-L20+N20)/ABS(L20)</f>
        <v>-0.72727272727272729</v>
      </c>
      <c r="N20" s="240">
        <f>+L60</f>
        <v>6</v>
      </c>
      <c r="O20" s="46">
        <f>+(-N20+P20)/ABS(N20)</f>
        <v>0.66666666666666663</v>
      </c>
      <c r="P20" s="240">
        <f>+P60</f>
        <v>10</v>
      </c>
    </row>
    <row r="21" spans="1:16">
      <c r="B21" s="12">
        <f>SUM(B18:B20)</f>
        <v>3791</v>
      </c>
      <c r="C21" s="43">
        <v>0</v>
      </c>
      <c r="D21" s="12">
        <f>SUM(D18:D20)</f>
        <v>0</v>
      </c>
      <c r="E21" s="43">
        <v>0</v>
      </c>
      <c r="F21" s="12">
        <f>SUM(F18:F20)</f>
        <v>0</v>
      </c>
      <c r="G21" s="43">
        <v>0</v>
      </c>
      <c r="H21" s="12">
        <f>SUM(H18:H20)</f>
        <v>0</v>
      </c>
      <c r="J21" s="12">
        <f>SUM(J18:J20)</f>
        <v>3377</v>
      </c>
      <c r="K21" s="46">
        <f>+(-J21+L21)/ABS(J21)</f>
        <v>-1.1844832691738229E-2</v>
      </c>
      <c r="L21" s="12">
        <f>SUM(L18:L20)</f>
        <v>3337</v>
      </c>
      <c r="M21" s="46">
        <f>+(-L21+N21)/ABS(L21)</f>
        <v>6.3230446508840271E-2</v>
      </c>
      <c r="N21" s="12">
        <f>SUM(N18:N20)</f>
        <v>3548</v>
      </c>
      <c r="O21" s="46">
        <f>+(-N21+P21)/ABS(N21)</f>
        <v>-2.2547914317925591E-2</v>
      </c>
      <c r="P21" s="12">
        <f>SUM(P18:P20)</f>
        <v>3468</v>
      </c>
    </row>
    <row r="22" spans="1:16">
      <c r="B22" s="240"/>
      <c r="C22" s="44" t="s">
        <v>0</v>
      </c>
      <c r="D22" s="379"/>
      <c r="E22" s="44" t="s">
        <v>0</v>
      </c>
      <c r="F22" s="379"/>
      <c r="G22" s="44" t="s">
        <v>0</v>
      </c>
      <c r="H22" s="379"/>
      <c r="J22" s="240"/>
      <c r="K22" s="46"/>
      <c r="L22" s="240"/>
      <c r="M22" s="46"/>
      <c r="N22" s="240"/>
      <c r="O22" s="46"/>
      <c r="P22" s="240"/>
    </row>
    <row r="23" spans="1:16">
      <c r="A23" t="s">
        <v>337</v>
      </c>
      <c r="B23" s="12">
        <f>+B15+B21</f>
        <v>21576</v>
      </c>
      <c r="C23" s="43">
        <v>0</v>
      </c>
      <c r="D23" s="12">
        <f>+D15+D21</f>
        <v>0</v>
      </c>
      <c r="E23" s="43">
        <v>0</v>
      </c>
      <c r="F23" s="12">
        <f>+F15+F21</f>
        <v>0</v>
      </c>
      <c r="G23" s="43">
        <v>0</v>
      </c>
      <c r="H23" s="12">
        <f>+H15+H21</f>
        <v>0</v>
      </c>
      <c r="J23" s="12">
        <f>+J15+J21</f>
        <v>19052</v>
      </c>
      <c r="K23" s="46">
        <f>+(-J23+L23)/ABS(J23)</f>
        <v>-1.7268528238505144E-2</v>
      </c>
      <c r="L23" s="12">
        <f>+L15+L21</f>
        <v>18723</v>
      </c>
      <c r="M23" s="46">
        <f>+(-L23+N23)/ABS(L23)</f>
        <v>-2.3660738129573252E-2</v>
      </c>
      <c r="N23" s="12">
        <f>+N15+N21</f>
        <v>18280</v>
      </c>
      <c r="O23" s="46">
        <f>+(-N23+P23)/ABS(N23)</f>
        <v>1.5973741794310721E-2</v>
      </c>
      <c r="P23" s="12">
        <f>+P15+P21</f>
        <v>18572</v>
      </c>
    </row>
    <row r="24" spans="1:16">
      <c r="B24" s="12"/>
      <c r="C24" s="44" t="s">
        <v>0</v>
      </c>
      <c r="E24" s="44" t="s">
        <v>0</v>
      </c>
      <c r="G24" s="44" t="s">
        <v>0</v>
      </c>
      <c r="J24" s="12"/>
      <c r="K24" s="46"/>
      <c r="L24" s="12"/>
      <c r="M24" s="46"/>
      <c r="N24" s="12"/>
      <c r="O24" s="46"/>
      <c r="P24" s="12"/>
    </row>
    <row r="25" spans="1:16">
      <c r="A25" t="s">
        <v>338</v>
      </c>
      <c r="B25" s="12">
        <f>+B65</f>
        <v>838</v>
      </c>
      <c r="C25" s="43">
        <v>0</v>
      </c>
      <c r="D25" s="12">
        <f>+F65</f>
        <v>0</v>
      </c>
      <c r="E25" s="43">
        <v>0</v>
      </c>
      <c r="F25" s="12">
        <f>+J65</f>
        <v>0</v>
      </c>
      <c r="G25" s="43">
        <v>0</v>
      </c>
      <c r="H25" s="12">
        <f>+N65</f>
        <v>0</v>
      </c>
      <c r="J25" s="12">
        <f>+D65</f>
        <v>500</v>
      </c>
      <c r="K25" s="43">
        <v>0</v>
      </c>
      <c r="L25" s="12">
        <f>+H65</f>
        <v>0</v>
      </c>
      <c r="M25" s="43">
        <v>0</v>
      </c>
      <c r="N25" s="12">
        <f>+L65</f>
        <v>0</v>
      </c>
      <c r="O25" s="46" t="e">
        <f>+(-N25+P25)/ABS(N25)</f>
        <v>#DIV/0!</v>
      </c>
      <c r="P25" s="12">
        <f>+P65</f>
        <v>18060</v>
      </c>
    </row>
    <row r="26" spans="1:16">
      <c r="B26" s="12"/>
      <c r="C26" s="44" t="s">
        <v>0</v>
      </c>
      <c r="E26" s="44" t="s">
        <v>0</v>
      </c>
      <c r="G26" s="44" t="s">
        <v>0</v>
      </c>
      <c r="J26" s="12"/>
      <c r="K26" s="46"/>
      <c r="L26" s="12"/>
      <c r="M26" s="46"/>
      <c r="N26" s="12"/>
      <c r="O26" s="46"/>
      <c r="P26" s="12"/>
    </row>
    <row r="27" spans="1:16">
      <c r="A27" t="s">
        <v>339</v>
      </c>
      <c r="B27" s="240"/>
      <c r="C27" s="44" t="s">
        <v>0</v>
      </c>
      <c r="D27" s="379"/>
      <c r="E27" s="44" t="s">
        <v>0</v>
      </c>
      <c r="F27" s="379"/>
      <c r="G27" s="44" t="s">
        <v>0</v>
      </c>
      <c r="H27" s="379"/>
      <c r="J27" s="240"/>
      <c r="K27" s="46"/>
      <c r="L27" s="240"/>
      <c r="M27" s="46"/>
      <c r="N27" s="240"/>
      <c r="O27" s="46"/>
      <c r="P27" s="240"/>
    </row>
    <row r="28" spans="1:16">
      <c r="A28" t="s">
        <v>340</v>
      </c>
      <c r="B28" s="12">
        <f>+B23-B25</f>
        <v>20738</v>
      </c>
      <c r="C28" s="43">
        <v>0</v>
      </c>
      <c r="D28" s="12">
        <f>+D23-D25</f>
        <v>0</v>
      </c>
      <c r="E28" s="43">
        <v>0</v>
      </c>
      <c r="F28" s="12">
        <f>+F23-F25</f>
        <v>0</v>
      </c>
      <c r="G28" s="43">
        <v>0</v>
      </c>
      <c r="H28" s="12">
        <f>+H23-H25</f>
        <v>0</v>
      </c>
      <c r="J28" s="12">
        <f>+J23-J25</f>
        <v>18552</v>
      </c>
      <c r="K28" s="46">
        <f>+(-J28+L28)/ABS(J28)</f>
        <v>9.2173350582147474E-3</v>
      </c>
      <c r="L28" s="12">
        <f>+L23-L25</f>
        <v>18723</v>
      </c>
      <c r="M28" s="46">
        <f>+(-L28+N28)/ABS(L28)</f>
        <v>-2.3660738129573252E-2</v>
      </c>
      <c r="N28" s="12">
        <f>+N23-N25</f>
        <v>18280</v>
      </c>
      <c r="O28" s="46">
        <f>+(-N28+P28)/ABS(N28)</f>
        <v>-0.97199124726477026</v>
      </c>
      <c r="P28" s="12">
        <f>+P23-P25</f>
        <v>512</v>
      </c>
    </row>
    <row r="29" spans="1:16">
      <c r="B29" s="12"/>
      <c r="C29" s="44" t="s">
        <v>0</v>
      </c>
      <c r="E29" s="44" t="s">
        <v>0</v>
      </c>
      <c r="G29" s="44" t="s">
        <v>0</v>
      </c>
      <c r="J29" s="12"/>
      <c r="K29" s="46"/>
      <c r="L29" s="12"/>
      <c r="M29" s="46"/>
      <c r="N29" s="12"/>
      <c r="O29" s="46"/>
      <c r="P29" s="12"/>
    </row>
    <row r="30" spans="1:16">
      <c r="A30" t="s">
        <v>341</v>
      </c>
      <c r="B30" s="12"/>
      <c r="C30" s="44" t="s">
        <v>0</v>
      </c>
      <c r="E30" s="44" t="s">
        <v>0</v>
      </c>
      <c r="G30" s="44" t="s">
        <v>0</v>
      </c>
      <c r="J30" s="12"/>
      <c r="K30" s="46"/>
      <c r="L30" s="12"/>
      <c r="M30" s="46"/>
      <c r="N30" s="12"/>
      <c r="O30" s="46"/>
      <c r="P30" s="12"/>
    </row>
    <row r="31" spans="1:16">
      <c r="A31" t="s">
        <v>342</v>
      </c>
      <c r="B31" s="12">
        <f>+B71</f>
        <v>8636</v>
      </c>
      <c r="C31" s="43">
        <v>0</v>
      </c>
      <c r="D31" s="12">
        <f>+F71</f>
        <v>0</v>
      </c>
      <c r="E31" s="43">
        <v>0</v>
      </c>
      <c r="F31" s="12">
        <f>+J71</f>
        <v>0</v>
      </c>
      <c r="G31" s="43">
        <v>0</v>
      </c>
      <c r="H31" s="12">
        <f>+N71</f>
        <v>0</v>
      </c>
      <c r="J31" s="12">
        <f>+D71</f>
        <v>8481</v>
      </c>
      <c r="K31" s="46">
        <f>+(-J31+L31)/ABS(J31)</f>
        <v>-0.33710647329324372</v>
      </c>
      <c r="L31" s="12">
        <f>+H71</f>
        <v>5622</v>
      </c>
      <c r="M31" s="46">
        <f>+(-L31+N31)/ABS(L31)</f>
        <v>4.0021344717182494E-2</v>
      </c>
      <c r="N31" s="12">
        <f>+L71</f>
        <v>5847</v>
      </c>
      <c r="O31" s="46">
        <f>+(-N31+P31)/ABS(N31)</f>
        <v>2.9074739182486747E-2</v>
      </c>
      <c r="P31" s="12">
        <f>+P71</f>
        <v>6017</v>
      </c>
    </row>
    <row r="32" spans="1:16">
      <c r="A32" t="s">
        <v>343</v>
      </c>
      <c r="B32" s="12">
        <f>+B72</f>
        <v>1482</v>
      </c>
      <c r="C32" s="43">
        <v>0</v>
      </c>
      <c r="D32" s="12">
        <f>+F72</f>
        <v>0</v>
      </c>
      <c r="E32" s="43">
        <v>0</v>
      </c>
      <c r="F32" s="12">
        <f>+J72</f>
        <v>0</v>
      </c>
      <c r="G32" s="43">
        <v>0</v>
      </c>
      <c r="H32" s="12">
        <f>+N72</f>
        <v>0</v>
      </c>
      <c r="J32" s="12">
        <f>+D72</f>
        <v>1383</v>
      </c>
      <c r="K32" s="46">
        <f>+(-J32+L32)/ABS(J32)</f>
        <v>-1.2979031091829356</v>
      </c>
      <c r="L32" s="12">
        <f>+H72</f>
        <v>-412</v>
      </c>
      <c r="M32" s="46">
        <f>+(-L32+N32)/ABS(L32)</f>
        <v>2.4199029126213594</v>
      </c>
      <c r="N32" s="12">
        <f>+L72</f>
        <v>585</v>
      </c>
      <c r="O32" s="46">
        <f>+(-N32+P32)/ABS(N32)</f>
        <v>3.4188034188034188E-3</v>
      </c>
      <c r="P32" s="12">
        <f>+P72</f>
        <v>587</v>
      </c>
    </row>
    <row r="33" spans="1:22">
      <c r="A33" t="s">
        <v>344</v>
      </c>
      <c r="B33" s="12">
        <f>+B73</f>
        <v>1381</v>
      </c>
      <c r="C33" s="43">
        <v>0</v>
      </c>
      <c r="D33" s="12">
        <f>+F73</f>
        <v>0</v>
      </c>
      <c r="E33" s="43">
        <v>0</v>
      </c>
      <c r="F33" s="12">
        <f>+J73</f>
        <v>0</v>
      </c>
      <c r="G33" s="43">
        <v>0</v>
      </c>
      <c r="H33" s="12">
        <f>+N73</f>
        <v>0</v>
      </c>
      <c r="J33" s="12">
        <f>+D73</f>
        <v>1141</v>
      </c>
      <c r="K33" s="46">
        <f>+(-J33+L33)/ABS(J33)</f>
        <v>6.1349693251533744E-3</v>
      </c>
      <c r="L33" s="12">
        <f>+H73</f>
        <v>1148</v>
      </c>
      <c r="M33" s="46">
        <f>+(-L33+N33)/ABS(L33)</f>
        <v>1.0653310104529616</v>
      </c>
      <c r="N33" s="12">
        <f>+L73</f>
        <v>2371</v>
      </c>
      <c r="O33" s="46">
        <f>+(-N33+P33)/ABS(N33)</f>
        <v>-0.41501476170392237</v>
      </c>
      <c r="P33" s="12">
        <f>+P73</f>
        <v>1387</v>
      </c>
    </row>
    <row r="34" spans="1:22">
      <c r="A34" t="s">
        <v>345</v>
      </c>
      <c r="B34" s="240">
        <f>+B74</f>
        <v>7047</v>
      </c>
      <c r="C34" s="43">
        <v>0</v>
      </c>
      <c r="D34" s="240">
        <f>+F74</f>
        <v>0</v>
      </c>
      <c r="E34" s="43">
        <v>0</v>
      </c>
      <c r="F34" s="240">
        <f>+J74</f>
        <v>0</v>
      </c>
      <c r="G34" s="43">
        <v>0</v>
      </c>
      <c r="H34" s="240">
        <f>+N74</f>
        <v>0</v>
      </c>
      <c r="J34" s="240">
        <f>+D74</f>
        <v>5597</v>
      </c>
      <c r="K34" s="46">
        <f>+(-J34+L34)/ABS(J34)</f>
        <v>-0.40593174915133107</v>
      </c>
      <c r="L34" s="240">
        <f>+H74</f>
        <v>3325</v>
      </c>
      <c r="M34" s="46">
        <f>+(-L34+N34)/ABS(L34)</f>
        <v>0.79699248120300747</v>
      </c>
      <c r="N34" s="240">
        <f>+L74</f>
        <v>5975</v>
      </c>
      <c r="O34" s="46">
        <f>+(-N34+P34)/ABS(N34)</f>
        <v>-0.28267782426778243</v>
      </c>
      <c r="P34" s="240">
        <f>+P74</f>
        <v>4286</v>
      </c>
    </row>
    <row r="35" spans="1:22">
      <c r="B35" s="12">
        <f>SUM(B31:B34)</f>
        <v>18546</v>
      </c>
      <c r="C35" s="43">
        <v>0</v>
      </c>
      <c r="D35" s="12">
        <f>SUM(D31:D34)</f>
        <v>0</v>
      </c>
      <c r="E35" s="43">
        <v>0</v>
      </c>
      <c r="F35" s="12">
        <f>SUM(F31:F34)</f>
        <v>0</v>
      </c>
      <c r="G35" s="43">
        <v>0</v>
      </c>
      <c r="H35" s="12">
        <f>SUM(H31:H34)</f>
        <v>0</v>
      </c>
      <c r="J35" s="12">
        <f>SUM(J31:J34)</f>
        <v>16602</v>
      </c>
      <c r="K35" s="46">
        <f>+(-J35+L35)/ABS(J35)</f>
        <v>-0.41675701722684017</v>
      </c>
      <c r="L35" s="12">
        <f>SUM(L31:L34)</f>
        <v>9683</v>
      </c>
      <c r="M35" s="46">
        <f>+(-L35+N35)/ABS(L35)</f>
        <v>0.52617990292264794</v>
      </c>
      <c r="N35" s="12">
        <f>SUM(N31:N34)</f>
        <v>14778</v>
      </c>
      <c r="O35" s="46">
        <f>+(-N35+P35)/ABS(N35)</f>
        <v>-0.16923805657057789</v>
      </c>
      <c r="P35" s="12">
        <f>SUM(P31:P34)</f>
        <v>12277</v>
      </c>
    </row>
    <row r="36" spans="1:22">
      <c r="B36" s="240"/>
      <c r="C36" s="43"/>
      <c r="D36" s="379"/>
      <c r="E36" s="43"/>
      <c r="F36" s="379"/>
      <c r="G36" s="43"/>
      <c r="H36" s="379"/>
      <c r="J36" s="240"/>
      <c r="K36" s="46"/>
      <c r="L36" s="240"/>
      <c r="M36" s="46"/>
      <c r="N36" s="240"/>
      <c r="O36" s="46"/>
      <c r="P36" s="240"/>
    </row>
    <row r="37" spans="1:22">
      <c r="A37" t="s">
        <v>346</v>
      </c>
      <c r="B37" s="12">
        <f>+B28-B35</f>
        <v>2192</v>
      </c>
      <c r="C37" s="43">
        <v>0</v>
      </c>
      <c r="D37" s="12">
        <f>+D28-D35</f>
        <v>0</v>
      </c>
      <c r="E37" s="43">
        <v>0</v>
      </c>
      <c r="F37" s="12">
        <f>+F28-F35</f>
        <v>0</v>
      </c>
      <c r="G37" s="43">
        <v>0</v>
      </c>
      <c r="H37" s="12">
        <f>+H28-H35</f>
        <v>0</v>
      </c>
      <c r="J37" s="12">
        <f>+J28-J35</f>
        <v>1950</v>
      </c>
      <c r="K37" s="46">
        <f>+(-J37+L37)/ABS(J37)</f>
        <v>3.6358974358974359</v>
      </c>
      <c r="L37" s="12">
        <f>+L28-L35</f>
        <v>9040</v>
      </c>
      <c r="M37" s="46">
        <f>+(-L37+N37)/ABS(L37)</f>
        <v>-0.61261061946902651</v>
      </c>
      <c r="N37" s="12">
        <f>+N28-N35</f>
        <v>3502</v>
      </c>
      <c r="O37" s="116">
        <f>+(-N37+P37)/ABS(N37)</f>
        <v>-4.3595088520845229</v>
      </c>
      <c r="P37" s="12">
        <f>+P28-P35</f>
        <v>-11765</v>
      </c>
    </row>
    <row r="38" spans="1:22">
      <c r="B38" s="12"/>
      <c r="C38" s="44" t="s">
        <v>0</v>
      </c>
      <c r="E38" s="44" t="s">
        <v>0</v>
      </c>
      <c r="G38" s="44" t="s">
        <v>0</v>
      </c>
      <c r="J38" s="12"/>
      <c r="K38" s="46"/>
      <c r="L38" s="12"/>
      <c r="M38" s="46"/>
      <c r="N38" s="12"/>
      <c r="O38" s="46"/>
      <c r="P38" s="12"/>
    </row>
    <row r="39" spans="1:22">
      <c r="A39" t="s">
        <v>347</v>
      </c>
      <c r="B39" s="12">
        <f>+B79</f>
        <v>951</v>
      </c>
      <c r="C39" s="43">
        <v>0</v>
      </c>
      <c r="D39" s="12">
        <f>+F79</f>
        <v>0</v>
      </c>
      <c r="E39" s="43">
        <v>0</v>
      </c>
      <c r="F39" s="12">
        <f>+J79</f>
        <v>0</v>
      </c>
      <c r="G39" s="43">
        <v>0</v>
      </c>
      <c r="H39" s="12">
        <f>+N79</f>
        <v>0</v>
      </c>
      <c r="J39" s="12">
        <f>+D79</f>
        <v>703</v>
      </c>
      <c r="K39" s="43">
        <v>0</v>
      </c>
      <c r="L39" s="12">
        <f>+H79</f>
        <v>3254</v>
      </c>
      <c r="M39" s="46">
        <f>+(-L39+N39)/ABS(L39)</f>
        <v>-0.61247695144437619</v>
      </c>
      <c r="N39" s="12">
        <f>+L79</f>
        <v>1261</v>
      </c>
      <c r="O39" s="113">
        <f>+(-N39+P39)/ABS(N39)</f>
        <v>0.3695479777954005</v>
      </c>
      <c r="P39" s="12">
        <f>+P79</f>
        <v>1727</v>
      </c>
    </row>
    <row r="40" spans="1:22" ht="16.5" thickBot="1">
      <c r="B40" s="76"/>
      <c r="C40" s="44" t="s">
        <v>0</v>
      </c>
      <c r="D40" s="30"/>
      <c r="E40" s="44" t="s">
        <v>0</v>
      </c>
      <c r="F40" s="30"/>
      <c r="G40" s="44" t="s">
        <v>0</v>
      </c>
      <c r="H40" s="30"/>
      <c r="J40" s="76"/>
      <c r="K40" s="46"/>
      <c r="L40" s="76"/>
      <c r="M40" s="46"/>
      <c r="N40" s="76"/>
      <c r="O40" s="46"/>
      <c r="P40" s="76"/>
    </row>
    <row r="41" spans="1:22" s="2" customFormat="1">
      <c r="A41" s="2" t="s">
        <v>359</v>
      </c>
      <c r="B41" s="4">
        <f>+B37-B39</f>
        <v>1241</v>
      </c>
      <c r="C41" s="42">
        <v>0</v>
      </c>
      <c r="D41" s="4">
        <f>+D37-D39</f>
        <v>0</v>
      </c>
      <c r="E41" s="42">
        <v>0</v>
      </c>
      <c r="F41" s="4">
        <f>+F37-F39</f>
        <v>0</v>
      </c>
      <c r="G41" s="42">
        <v>0</v>
      </c>
      <c r="H41" s="4">
        <f>+H37-H39</f>
        <v>0</v>
      </c>
      <c r="I41" s="146"/>
      <c r="J41" s="4">
        <f>+J37-J39</f>
        <v>1247</v>
      </c>
      <c r="K41" s="112">
        <f>+(-J41+L41)/ABS(J41)</f>
        <v>3.6399358460304732</v>
      </c>
      <c r="L41" s="4">
        <f>+L37-L39</f>
        <v>5786</v>
      </c>
      <c r="M41" s="112">
        <f>+(-L41+N41)/ABS(L41)</f>
        <v>-0.61268579329415829</v>
      </c>
      <c r="N41" s="4">
        <f>+N37-N39</f>
        <v>2241</v>
      </c>
      <c r="O41" s="120">
        <f>+(-N41+P41)/ABS(N41)</f>
        <v>-7.0205265506470322</v>
      </c>
      <c r="P41" s="4">
        <f>+P37-P39</f>
        <v>-13492</v>
      </c>
      <c r="Q41" s="146"/>
      <c r="R41" s="146"/>
      <c r="S41" s="146"/>
      <c r="T41" s="146"/>
      <c r="U41" s="146"/>
    </row>
    <row r="42" spans="1:22" ht="5.45" customHeight="1">
      <c r="C42" s="29"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s="2" customFormat="1">
      <c r="B46" s="241" t="s">
        <v>349</v>
      </c>
      <c r="C46" s="146" t="s">
        <v>0</v>
      </c>
      <c r="D46" s="241" t="s">
        <v>350</v>
      </c>
      <c r="E46" s="146"/>
      <c r="F46" s="241" t="s">
        <v>349</v>
      </c>
      <c r="G46" s="146" t="s">
        <v>0</v>
      </c>
      <c r="H46" s="241" t="s">
        <v>350</v>
      </c>
      <c r="I46" s="146"/>
      <c r="J46" s="241" t="s">
        <v>349</v>
      </c>
      <c r="K46" s="146" t="s">
        <v>0</v>
      </c>
      <c r="L46" s="241" t="s">
        <v>350</v>
      </c>
      <c r="M46" s="146"/>
      <c r="N46" s="241" t="s">
        <v>349</v>
      </c>
      <c r="O46" s="146" t="s">
        <v>0</v>
      </c>
      <c r="P46" s="241" t="s">
        <v>350</v>
      </c>
      <c r="Q46" s="146"/>
      <c r="R46" s="993" t="s">
        <v>637</v>
      </c>
      <c r="S46" s="146"/>
      <c r="T46" s="993" t="s">
        <v>623</v>
      </c>
      <c r="U46" s="241" t="s">
        <v>263</v>
      </c>
    </row>
    <row r="47" spans="1:22" ht="16.5" thickBot="1">
      <c r="B47" s="243" t="s">
        <v>353</v>
      </c>
      <c r="C47" s="244"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190</v>
      </c>
      <c r="V47" s="18"/>
    </row>
    <row r="48" spans="1:22">
      <c r="A48" t="s">
        <v>328</v>
      </c>
      <c r="B48" s="29" t="s">
        <v>0</v>
      </c>
    </row>
    <row r="49" spans="1:22">
      <c r="A49" t="s">
        <v>329</v>
      </c>
      <c r="B49" s="16" t="s">
        <v>0</v>
      </c>
      <c r="C49" s="47" t="s">
        <v>0</v>
      </c>
      <c r="D49" s="16" t="s">
        <v>0</v>
      </c>
      <c r="E49" s="29" t="s">
        <v>0</v>
      </c>
      <c r="F49" s="29" t="s">
        <v>0</v>
      </c>
      <c r="G49" s="47" t="s">
        <v>0</v>
      </c>
      <c r="H49" s="16" t="s">
        <v>0</v>
      </c>
      <c r="I49" s="29" t="s">
        <v>0</v>
      </c>
      <c r="J49" s="29" t="s">
        <v>0</v>
      </c>
      <c r="K49" s="47" t="s">
        <v>0</v>
      </c>
      <c r="L49" s="16" t="s">
        <v>0</v>
      </c>
      <c r="M49" s="29" t="s">
        <v>0</v>
      </c>
      <c r="N49" s="29" t="s">
        <v>0</v>
      </c>
      <c r="O49" s="47" t="s">
        <v>0</v>
      </c>
      <c r="P49" s="16" t="s">
        <v>0</v>
      </c>
      <c r="Q49" s="29" t="s">
        <v>0</v>
      </c>
      <c r="R49" s="16" t="s">
        <v>0</v>
      </c>
      <c r="S49" s="47" t="s">
        <v>0</v>
      </c>
      <c r="T49" s="16" t="s">
        <v>0</v>
      </c>
      <c r="U49" s="16" t="s">
        <v>0</v>
      </c>
      <c r="V49" t="s">
        <v>0</v>
      </c>
    </row>
    <row r="50" spans="1:22">
      <c r="A50" t="s">
        <v>330</v>
      </c>
      <c r="B50" s="12">
        <v>22562</v>
      </c>
      <c r="C50" s="46">
        <f t="shared" ref="C50:C55" si="2">+(B50-D50)/ABS(D50)</f>
        <v>-1.549068377187241E-2</v>
      </c>
      <c r="D50" s="12">
        <f>7923+7658+7336</f>
        <v>22917</v>
      </c>
      <c r="E50" s="29"/>
      <c r="F50" s="12">
        <v>0</v>
      </c>
      <c r="G50" s="43">
        <v>0</v>
      </c>
      <c r="H50" s="12">
        <f>6648+6744+9454</f>
        <v>22846</v>
      </c>
      <c r="J50" s="12">
        <v>0</v>
      </c>
      <c r="K50" s="43">
        <v>0</v>
      </c>
      <c r="L50" s="12">
        <f>14653+7519</f>
        <v>22172</v>
      </c>
      <c r="M50" s="29"/>
      <c r="N50" s="12">
        <v>0</v>
      </c>
      <c r="O50" s="43">
        <v>0</v>
      </c>
      <c r="P50" s="12">
        <f>7961+8662+5125</f>
        <v>21748</v>
      </c>
      <c r="R50" s="12">
        <f>+B50</f>
        <v>22562</v>
      </c>
      <c r="S50" s="46">
        <f t="shared" ref="S50:S55" si="3">+(R50-T50)/ABS(T50)</f>
        <v>-1.549068377187241E-2</v>
      </c>
      <c r="T50" s="12">
        <f>+D50</f>
        <v>22917</v>
      </c>
      <c r="U50" s="12">
        <f>+D50+H50+L50+P50</f>
        <v>89683</v>
      </c>
    </row>
    <row r="51" spans="1:22">
      <c r="A51" t="s">
        <v>354</v>
      </c>
      <c r="B51" s="12">
        <v>1572</v>
      </c>
      <c r="C51" s="46">
        <f t="shared" si="2"/>
        <v>5.8947368421052628</v>
      </c>
      <c r="D51" s="12">
        <f>25+64+139</f>
        <v>228</v>
      </c>
      <c r="E51" s="29"/>
      <c r="F51" s="12">
        <v>0</v>
      </c>
      <c r="G51" s="43">
        <v>0</v>
      </c>
      <c r="H51" s="12">
        <f>180+159+107</f>
        <v>446</v>
      </c>
      <c r="J51" s="12">
        <v>0</v>
      </c>
      <c r="K51" s="43">
        <v>0</v>
      </c>
      <c r="L51" s="12">
        <f>571+108</f>
        <v>679</v>
      </c>
      <c r="M51" s="29"/>
      <c r="N51" s="12">
        <v>0</v>
      </c>
      <c r="O51" s="43">
        <v>0</v>
      </c>
      <c r="P51" s="12">
        <f>163+249+359</f>
        <v>771</v>
      </c>
      <c r="R51" s="12">
        <f>+B51</f>
        <v>1572</v>
      </c>
      <c r="S51" s="46">
        <f t="shared" si="3"/>
        <v>5.8947368421052628</v>
      </c>
      <c r="T51" s="12">
        <f>+D51</f>
        <v>228</v>
      </c>
      <c r="U51" s="12">
        <f>+D51+H51+L51+P51</f>
        <v>2124</v>
      </c>
    </row>
    <row r="52" spans="1:22">
      <c r="A52" t="s">
        <v>332</v>
      </c>
      <c r="B52" s="221">
        <v>1143</v>
      </c>
      <c r="C52" s="46">
        <f t="shared" si="2"/>
        <v>9.7173144876325085E-3</v>
      </c>
      <c r="D52" s="221">
        <v>1132</v>
      </c>
      <c r="E52" s="29"/>
      <c r="F52" s="221">
        <v>0</v>
      </c>
      <c r="G52" s="43">
        <v>0</v>
      </c>
      <c r="H52" s="221">
        <f>1120+12+60</f>
        <v>1192</v>
      </c>
      <c r="J52" s="221">
        <v>0</v>
      </c>
      <c r="K52" s="43">
        <v>0</v>
      </c>
      <c r="L52" s="221">
        <f>1235+1</f>
        <v>1236</v>
      </c>
      <c r="M52" s="29"/>
      <c r="N52" s="221">
        <v>0</v>
      </c>
      <c r="O52" s="43">
        <v>0</v>
      </c>
      <c r="P52" s="221">
        <f>1113-5+74</f>
        <v>1182</v>
      </c>
      <c r="R52" s="240">
        <f>+B52</f>
        <v>1143</v>
      </c>
      <c r="S52" s="46">
        <f t="shared" si="3"/>
        <v>9.7173144876325085E-3</v>
      </c>
      <c r="T52" s="240">
        <f>+D52</f>
        <v>1132</v>
      </c>
      <c r="U52" s="240">
        <f>+D52+H52+L52+P52</f>
        <v>4742</v>
      </c>
    </row>
    <row r="53" spans="1:22">
      <c r="B53" s="12">
        <f>SUM(B50:B52)</f>
        <v>25277</v>
      </c>
      <c r="C53" s="46">
        <f t="shared" si="2"/>
        <v>4.119125097829221E-2</v>
      </c>
      <c r="D53" s="12">
        <f>SUM(D50:D52)</f>
        <v>24277</v>
      </c>
      <c r="E53" s="29"/>
      <c r="F53" s="12">
        <f>SUM(F50:F52)</f>
        <v>0</v>
      </c>
      <c r="G53" s="43">
        <v>0</v>
      </c>
      <c r="H53" s="12">
        <f>SUM(H50:H52)</f>
        <v>24484</v>
      </c>
      <c r="J53" s="12">
        <f>SUM(J50:J52)</f>
        <v>0</v>
      </c>
      <c r="K53" s="43">
        <v>0</v>
      </c>
      <c r="L53" s="12">
        <f>SUM(L50:L52)</f>
        <v>24087</v>
      </c>
      <c r="M53" s="29"/>
      <c r="N53" s="12">
        <f>SUM(N50:N52)</f>
        <v>0</v>
      </c>
      <c r="O53" s="43">
        <v>0</v>
      </c>
      <c r="P53" s="12">
        <f>SUM(P50:P52)</f>
        <v>23701</v>
      </c>
      <c r="R53" s="12">
        <f>SUM(R50:R52)</f>
        <v>25277</v>
      </c>
      <c r="S53" s="46">
        <f t="shared" si="3"/>
        <v>4.119125097829221E-2</v>
      </c>
      <c r="T53" s="12">
        <f>SUM(T50:T52)</f>
        <v>24277</v>
      </c>
      <c r="U53" s="12">
        <f>SUM(U50:U52)</f>
        <v>96549</v>
      </c>
    </row>
    <row r="54" spans="1:22">
      <c r="A54" t="s">
        <v>333</v>
      </c>
      <c r="B54" s="240">
        <v>7492</v>
      </c>
      <c r="C54" s="46">
        <f t="shared" si="2"/>
        <v>-0.12903975819576843</v>
      </c>
      <c r="D54" s="240">
        <f>2569+2941+3092</f>
        <v>8602</v>
      </c>
      <c r="E54" s="29" t="s">
        <v>0</v>
      </c>
      <c r="F54" s="240">
        <v>0</v>
      </c>
      <c r="G54" s="43">
        <v>0</v>
      </c>
      <c r="H54" s="240">
        <f>3146+2810+3142</f>
        <v>9098</v>
      </c>
      <c r="J54" s="248">
        <v>0</v>
      </c>
      <c r="K54" s="43">
        <v>0</v>
      </c>
      <c r="L54" s="248">
        <f>6186+3169</f>
        <v>9355</v>
      </c>
      <c r="M54" s="29" t="s">
        <v>0</v>
      </c>
      <c r="N54" s="240">
        <v>0</v>
      </c>
      <c r="O54" s="43">
        <v>0</v>
      </c>
      <c r="P54" s="240">
        <f>3302+2885+2410</f>
        <v>8597</v>
      </c>
      <c r="R54" s="240">
        <f>+B54</f>
        <v>7492</v>
      </c>
      <c r="S54" s="46">
        <f t="shared" si="3"/>
        <v>-0.12903975819576843</v>
      </c>
      <c r="T54" s="240">
        <f>+D54</f>
        <v>8602</v>
      </c>
      <c r="U54" s="240">
        <f>+D54+H54+L54+P54</f>
        <v>35652</v>
      </c>
    </row>
    <row r="55" spans="1:22">
      <c r="B55" s="12">
        <f>+B53-B54</f>
        <v>17785</v>
      </c>
      <c r="C55" s="46">
        <f t="shared" si="2"/>
        <v>0.1346092503987241</v>
      </c>
      <c r="D55" s="12">
        <f>+D53-D54</f>
        <v>15675</v>
      </c>
      <c r="E55" s="29" t="s">
        <v>0</v>
      </c>
      <c r="F55" s="12">
        <f>+F53-F54</f>
        <v>0</v>
      </c>
      <c r="G55" s="43">
        <v>0</v>
      </c>
      <c r="H55" s="12">
        <f>+H53-H54</f>
        <v>15386</v>
      </c>
      <c r="J55" s="12">
        <f>+J53-J54</f>
        <v>0</v>
      </c>
      <c r="K55" s="43">
        <v>0</v>
      </c>
      <c r="L55" s="12">
        <f>+L53-L54</f>
        <v>14732</v>
      </c>
      <c r="M55" s="29" t="s">
        <v>0</v>
      </c>
      <c r="N55" s="12">
        <f>+N53-N54</f>
        <v>0</v>
      </c>
      <c r="O55" s="43">
        <v>0</v>
      </c>
      <c r="P55" s="12">
        <f>+P53-P54</f>
        <v>15104</v>
      </c>
      <c r="R55" s="12">
        <f>+R53-R54</f>
        <v>17785</v>
      </c>
      <c r="S55" s="46">
        <f t="shared" si="3"/>
        <v>0.1346092503987241</v>
      </c>
      <c r="T55" s="12">
        <f>+T53-T54</f>
        <v>15675</v>
      </c>
      <c r="U55" s="12">
        <f>+U53-U54</f>
        <v>60897</v>
      </c>
    </row>
    <row r="56" spans="1:22">
      <c r="B56" s="12"/>
      <c r="C56" s="47" t="s">
        <v>0</v>
      </c>
      <c r="D56" s="12"/>
      <c r="E56" s="29" t="s">
        <v>0</v>
      </c>
      <c r="G56" s="44" t="s">
        <v>0</v>
      </c>
      <c r="K56" s="44" t="s">
        <v>0</v>
      </c>
      <c r="M56" s="29" t="s">
        <v>0</v>
      </c>
      <c r="O56" s="44" t="s">
        <v>0</v>
      </c>
      <c r="R56" s="12"/>
      <c r="S56" s="46"/>
      <c r="T56" s="12"/>
      <c r="U56" s="12"/>
    </row>
    <row r="57" spans="1:22">
      <c r="A57" t="s">
        <v>334</v>
      </c>
      <c r="B57" s="12"/>
      <c r="C57" s="47" t="s">
        <v>0</v>
      </c>
      <c r="D57" s="12"/>
      <c r="E57" s="29" t="s">
        <v>0</v>
      </c>
      <c r="G57" s="44" t="s">
        <v>0</v>
      </c>
      <c r="K57" s="44" t="s">
        <v>0</v>
      </c>
      <c r="M57" s="29" t="s">
        <v>0</v>
      </c>
      <c r="O57" s="44" t="s">
        <v>0</v>
      </c>
      <c r="R57" s="12"/>
      <c r="S57" s="47" t="s">
        <v>0</v>
      </c>
      <c r="T57" s="12"/>
      <c r="U57" s="12"/>
    </row>
    <row r="58" spans="1:22">
      <c r="A58" t="s">
        <v>335</v>
      </c>
      <c r="B58" s="12">
        <v>2503</v>
      </c>
      <c r="C58" s="46">
        <f>+(B58-D58)/ABS(D58)</f>
        <v>0.1587962962962963</v>
      </c>
      <c r="D58" s="12">
        <f>798+819+543</f>
        <v>2160</v>
      </c>
      <c r="E58" s="29" t="s">
        <v>0</v>
      </c>
      <c r="F58" s="12">
        <v>0</v>
      </c>
      <c r="G58" s="43">
        <v>0</v>
      </c>
      <c r="H58" s="12">
        <f>743+638+509</f>
        <v>1890</v>
      </c>
      <c r="J58" s="12">
        <v>0</v>
      </c>
      <c r="K58" s="43">
        <v>0</v>
      </c>
      <c r="L58" s="12">
        <f>1470+656</f>
        <v>2126</v>
      </c>
      <c r="M58" s="29" t="s">
        <v>0</v>
      </c>
      <c r="N58" s="12">
        <v>0</v>
      </c>
      <c r="O58" s="43">
        <v>0</v>
      </c>
      <c r="P58" s="12">
        <f>655+518+552</f>
        <v>1725</v>
      </c>
      <c r="R58" s="12">
        <f>+B58</f>
        <v>2503</v>
      </c>
      <c r="S58" s="46">
        <f>+(R58-T58)/ABS(T58)</f>
        <v>0.1587962962962963</v>
      </c>
      <c r="T58" s="12">
        <f>+D58</f>
        <v>2160</v>
      </c>
      <c r="U58" s="12">
        <f>+D58+H58+L58+P58</f>
        <v>7901</v>
      </c>
    </row>
    <row r="59" spans="1:22">
      <c r="A59" t="s">
        <v>336</v>
      </c>
      <c r="B59" s="12">
        <v>1276</v>
      </c>
      <c r="C59" s="46">
        <f>+(B59-D59)/ABS(D59)</f>
        <v>6.6889632107023408E-2</v>
      </c>
      <c r="D59" s="12">
        <f>318+390+488</f>
        <v>1196</v>
      </c>
      <c r="E59" s="29" t="s">
        <v>0</v>
      </c>
      <c r="F59" s="12">
        <v>0</v>
      </c>
      <c r="G59" s="43">
        <v>0</v>
      </c>
      <c r="H59" s="12">
        <f>363+541+521</f>
        <v>1425</v>
      </c>
      <c r="J59" s="12">
        <v>0</v>
      </c>
      <c r="K59" s="43">
        <v>0</v>
      </c>
      <c r="L59" s="12">
        <f>998+418</f>
        <v>1416</v>
      </c>
      <c r="M59" s="29" t="s">
        <v>0</v>
      </c>
      <c r="N59" s="12">
        <v>0</v>
      </c>
      <c r="O59" s="43">
        <v>0</v>
      </c>
      <c r="P59" s="12">
        <f>401+514+818</f>
        <v>1733</v>
      </c>
      <c r="R59" s="12">
        <f>+B59</f>
        <v>1276</v>
      </c>
      <c r="S59" s="46">
        <f>+(R59-T59)/ABS(T59)</f>
        <v>6.6889632107023408E-2</v>
      </c>
      <c r="T59" s="12">
        <f>+D59</f>
        <v>1196</v>
      </c>
      <c r="U59" s="12">
        <f>+D59+H59+L59+P59</f>
        <v>5770</v>
      </c>
    </row>
    <row r="60" spans="1:22">
      <c r="A60" t="s">
        <v>284</v>
      </c>
      <c r="B60" s="240">
        <v>12</v>
      </c>
      <c r="C60" s="46">
        <f>+(B60-D60)/ABS(D60)</f>
        <v>-0.42857142857142855</v>
      </c>
      <c r="D60" s="240">
        <f>25-21+17</f>
        <v>21</v>
      </c>
      <c r="E60" s="29" t="s">
        <v>0</v>
      </c>
      <c r="F60" s="240">
        <v>0</v>
      </c>
      <c r="G60" s="43">
        <v>0</v>
      </c>
      <c r="H60" s="240">
        <f>19+7-4</f>
        <v>22</v>
      </c>
      <c r="J60" s="240">
        <v>0</v>
      </c>
      <c r="K60" s="43">
        <v>0</v>
      </c>
      <c r="L60" s="240">
        <f>4+2</f>
        <v>6</v>
      </c>
      <c r="M60" s="29" t="s">
        <v>0</v>
      </c>
      <c r="N60" s="240">
        <v>0</v>
      </c>
      <c r="O60" s="43">
        <v>0</v>
      </c>
      <c r="P60" s="240">
        <f>6+3+1</f>
        <v>10</v>
      </c>
      <c r="R60" s="240">
        <f>+B60</f>
        <v>12</v>
      </c>
      <c r="S60" s="46">
        <f>+(R60-T60)/ABS(T60)</f>
        <v>-0.42857142857142855</v>
      </c>
      <c r="T60" s="240">
        <f>+D60</f>
        <v>21</v>
      </c>
      <c r="U60" s="240">
        <f>+D60+H60+L60+P60</f>
        <v>59</v>
      </c>
    </row>
    <row r="61" spans="1:22">
      <c r="B61" s="12">
        <f>SUM(B58:B60)</f>
        <v>3791</v>
      </c>
      <c r="C61" s="46">
        <f>+(B61-D61)/ABS(D61)</f>
        <v>0.12259401835949067</v>
      </c>
      <c r="D61" s="12">
        <f>SUM(D58:D60)</f>
        <v>3377</v>
      </c>
      <c r="E61" s="29" t="s">
        <v>0</v>
      </c>
      <c r="F61" s="12">
        <f>SUM(F58:F60)</f>
        <v>0</v>
      </c>
      <c r="G61" s="43">
        <v>0</v>
      </c>
      <c r="H61" s="12">
        <f>SUM(H58:H60)</f>
        <v>3337</v>
      </c>
      <c r="J61" s="12">
        <f>SUM(J58:J60)</f>
        <v>0</v>
      </c>
      <c r="K61" s="43">
        <v>0</v>
      </c>
      <c r="L61" s="12">
        <f>SUM(L58:L60)</f>
        <v>3548</v>
      </c>
      <c r="M61" s="29" t="s">
        <v>0</v>
      </c>
      <c r="N61" s="12">
        <f>SUM(N58:N60)</f>
        <v>0</v>
      </c>
      <c r="O61" s="43">
        <v>0</v>
      </c>
      <c r="P61" s="12">
        <f>SUM(P58:P60)</f>
        <v>3468</v>
      </c>
      <c r="R61" s="12">
        <f>SUM(R58:R60)</f>
        <v>3791</v>
      </c>
      <c r="S61" s="46">
        <f>+(R61-T61)/ABS(T61)</f>
        <v>0.12259401835949067</v>
      </c>
      <c r="T61" s="12">
        <f>SUM(T58:T60)</f>
        <v>3377</v>
      </c>
      <c r="U61" s="12">
        <f>SUM(U58:U60)</f>
        <v>13730</v>
      </c>
    </row>
    <row r="62" spans="1:22">
      <c r="B62" s="240"/>
      <c r="C62" s="47" t="s">
        <v>0</v>
      </c>
      <c r="D62" s="240"/>
      <c r="E62" s="29" t="s">
        <v>0</v>
      </c>
      <c r="F62" s="240"/>
      <c r="G62" s="44" t="s">
        <v>0</v>
      </c>
      <c r="H62" s="240"/>
      <c r="J62" s="379"/>
      <c r="K62" s="44" t="s">
        <v>0</v>
      </c>
      <c r="L62" s="379"/>
      <c r="M62" s="29" t="s">
        <v>0</v>
      </c>
      <c r="N62" s="379"/>
      <c r="O62" s="44" t="s">
        <v>0</v>
      </c>
      <c r="P62" s="379"/>
      <c r="R62" s="240"/>
      <c r="S62" s="46"/>
      <c r="T62" s="240"/>
      <c r="U62" s="240"/>
    </row>
    <row r="63" spans="1:22">
      <c r="A63" t="s">
        <v>337</v>
      </c>
      <c r="B63" s="12">
        <f>+B55+B61</f>
        <v>21576</v>
      </c>
      <c r="C63" s="46">
        <f>+(B63-D63)/ABS(D63)</f>
        <v>0.13247952970816712</v>
      </c>
      <c r="D63" s="12">
        <f>+D55+D61</f>
        <v>19052</v>
      </c>
      <c r="E63" s="29" t="s">
        <v>0</v>
      </c>
      <c r="F63" s="12">
        <f>+F55+F61</f>
        <v>0</v>
      </c>
      <c r="G63" s="43">
        <v>0</v>
      </c>
      <c r="H63" s="12">
        <f>+H55+H61</f>
        <v>18723</v>
      </c>
      <c r="J63" s="12">
        <f>+J55+J61</f>
        <v>0</v>
      </c>
      <c r="K63" s="43">
        <v>0</v>
      </c>
      <c r="L63" s="12">
        <f>+L55+L61</f>
        <v>18280</v>
      </c>
      <c r="M63" s="29" t="s">
        <v>0</v>
      </c>
      <c r="N63" s="12">
        <f>+N55+N61</f>
        <v>0</v>
      </c>
      <c r="O63" s="43">
        <v>0</v>
      </c>
      <c r="P63" s="12">
        <f>+P55+P61</f>
        <v>18572</v>
      </c>
      <c r="R63" s="12">
        <f>+R55+R61</f>
        <v>21576</v>
      </c>
      <c r="S63" s="46">
        <f>+(R63-T63)/ABS(T63)</f>
        <v>0.13247952970816712</v>
      </c>
      <c r="T63" s="12">
        <f>+T55+T61</f>
        <v>19052</v>
      </c>
      <c r="U63" s="12">
        <f>+U55+U61</f>
        <v>74627</v>
      </c>
    </row>
    <row r="64" spans="1:22">
      <c r="B64" s="12"/>
      <c r="C64" s="47" t="s">
        <v>0</v>
      </c>
      <c r="D64" s="12"/>
      <c r="E64" s="29" t="s">
        <v>0</v>
      </c>
      <c r="F64" s="12"/>
      <c r="G64" s="44" t="s">
        <v>0</v>
      </c>
      <c r="H64" s="12"/>
      <c r="K64" s="44" t="s">
        <v>0</v>
      </c>
      <c r="M64" s="29" t="s">
        <v>0</v>
      </c>
      <c r="O64" s="44" t="s">
        <v>0</v>
      </c>
      <c r="R64" s="12"/>
      <c r="S64" s="46"/>
      <c r="T64" s="12"/>
      <c r="U64" s="12"/>
    </row>
    <row r="65" spans="1:21">
      <c r="A65" t="s">
        <v>338</v>
      </c>
      <c r="B65" s="12">
        <v>838</v>
      </c>
      <c r="C65" s="46">
        <f>+(B65-D65)/ABS(D65)</f>
        <v>0.67600000000000005</v>
      </c>
      <c r="D65" s="12">
        <v>500</v>
      </c>
      <c r="E65" s="29" t="s">
        <v>0</v>
      </c>
      <c r="F65" s="12">
        <f>+D102</f>
        <v>0</v>
      </c>
      <c r="G65" s="43">
        <v>0</v>
      </c>
      <c r="H65" s="12">
        <f>+F102</f>
        <v>0</v>
      </c>
      <c r="J65" s="12">
        <v>0</v>
      </c>
      <c r="K65" s="43">
        <v>0</v>
      </c>
      <c r="L65" s="12">
        <v>0</v>
      </c>
      <c r="M65" s="29" t="s">
        <v>0</v>
      </c>
      <c r="N65" s="16">
        <v>0</v>
      </c>
      <c r="O65" s="883">
        <v>0</v>
      </c>
      <c r="P65" s="16">
        <f>1570+16490</f>
        <v>18060</v>
      </c>
      <c r="R65" s="12">
        <f>+B65</f>
        <v>838</v>
      </c>
      <c r="S65" s="46">
        <f>+(R65-T65)/ABS(T65)</f>
        <v>0.67600000000000005</v>
      </c>
      <c r="T65" s="12">
        <f>+D65</f>
        <v>500</v>
      </c>
      <c r="U65" s="12">
        <f>+D65+H65+L65+P65</f>
        <v>18560</v>
      </c>
    </row>
    <row r="66" spans="1:21">
      <c r="B66" s="12"/>
      <c r="C66" s="47" t="s">
        <v>0</v>
      </c>
      <c r="D66" s="12"/>
      <c r="E66" s="29" t="s">
        <v>0</v>
      </c>
      <c r="F66" s="12"/>
      <c r="G66" s="44" t="s">
        <v>0</v>
      </c>
      <c r="H66" s="12"/>
      <c r="K66" s="44" t="s">
        <v>0</v>
      </c>
      <c r="M66" s="29" t="s">
        <v>0</v>
      </c>
      <c r="O66" s="44" t="s">
        <v>0</v>
      </c>
      <c r="R66" s="12"/>
      <c r="S66" s="46"/>
      <c r="T66" s="12"/>
      <c r="U66" s="12"/>
    </row>
    <row r="67" spans="1:21">
      <c r="A67" t="s">
        <v>339</v>
      </c>
      <c r="B67" s="240"/>
      <c r="C67" s="305" t="s">
        <v>0</v>
      </c>
      <c r="D67" s="240"/>
      <c r="E67" s="29" t="s">
        <v>0</v>
      </c>
      <c r="F67" s="240"/>
      <c r="G67" s="44" t="s">
        <v>0</v>
      </c>
      <c r="H67" s="240"/>
      <c r="J67" s="379"/>
      <c r="K67" s="44" t="s">
        <v>0</v>
      </c>
      <c r="L67" s="379"/>
      <c r="M67" s="29" t="s">
        <v>0</v>
      </c>
      <c r="N67" s="379"/>
      <c r="O67" s="44" t="s">
        <v>0</v>
      </c>
      <c r="P67" s="379"/>
      <c r="R67" s="240"/>
      <c r="S67" s="46"/>
      <c r="T67" s="240"/>
      <c r="U67" s="240"/>
    </row>
    <row r="68" spans="1:21">
      <c r="A68" t="s">
        <v>340</v>
      </c>
      <c r="B68" s="12">
        <f>+B63-B65</f>
        <v>20738</v>
      </c>
      <c r="C68" s="46">
        <f>+(B68-D68)/ABS(D68)</f>
        <v>0.11783096162138854</v>
      </c>
      <c r="D68" s="12">
        <f>+D63-D65</f>
        <v>18552</v>
      </c>
      <c r="E68" s="29" t="s">
        <v>0</v>
      </c>
      <c r="F68" s="12">
        <f>+F63-F65</f>
        <v>0</v>
      </c>
      <c r="G68" s="43">
        <v>0</v>
      </c>
      <c r="H68" s="12">
        <f>+H63-H65</f>
        <v>18723</v>
      </c>
      <c r="J68" s="12">
        <f>+J63-J65</f>
        <v>0</v>
      </c>
      <c r="K68" s="43">
        <v>0</v>
      </c>
      <c r="L68" s="12">
        <f>+L63-L65</f>
        <v>18280</v>
      </c>
      <c r="M68" s="29" t="s">
        <v>0</v>
      </c>
      <c r="N68" s="12">
        <f>+N63-N65</f>
        <v>0</v>
      </c>
      <c r="O68" s="43">
        <v>0</v>
      </c>
      <c r="P68" s="12">
        <f>+P63-P65</f>
        <v>512</v>
      </c>
      <c r="R68" s="12">
        <f>+R63-R65</f>
        <v>20738</v>
      </c>
      <c r="S68" s="46">
        <f>+(R68-T68)/ABS(T68)</f>
        <v>0.11783096162138854</v>
      </c>
      <c r="T68" s="12">
        <f>+T63-T65</f>
        <v>18552</v>
      </c>
      <c r="U68" s="12">
        <f>+U63-U65</f>
        <v>56067</v>
      </c>
    </row>
    <row r="69" spans="1:21">
      <c r="B69" s="12"/>
      <c r="C69" s="47" t="s">
        <v>0</v>
      </c>
      <c r="D69" s="12"/>
      <c r="E69" s="29" t="s">
        <v>0</v>
      </c>
      <c r="F69" s="12"/>
      <c r="G69" s="44" t="s">
        <v>0</v>
      </c>
      <c r="H69" s="12"/>
      <c r="K69" s="44" t="s">
        <v>0</v>
      </c>
      <c r="M69" s="29" t="s">
        <v>0</v>
      </c>
      <c r="O69" s="44" t="s">
        <v>0</v>
      </c>
      <c r="R69" s="12"/>
      <c r="S69" s="46"/>
      <c r="T69" s="12"/>
      <c r="U69" s="12"/>
    </row>
    <row r="70" spans="1:21">
      <c r="A70" t="s">
        <v>341</v>
      </c>
      <c r="B70" s="12"/>
      <c r="C70" s="47" t="s">
        <v>0</v>
      </c>
      <c r="D70" s="12"/>
      <c r="E70" s="29" t="s">
        <v>0</v>
      </c>
      <c r="F70" s="12"/>
      <c r="G70" s="44" t="s">
        <v>0</v>
      </c>
      <c r="H70" s="12"/>
      <c r="K70" s="44" t="s">
        <v>0</v>
      </c>
      <c r="M70" s="29" t="s">
        <v>0</v>
      </c>
      <c r="O70" s="44" t="s">
        <v>0</v>
      </c>
      <c r="R70" s="12"/>
      <c r="S70" s="46"/>
      <c r="T70" s="12"/>
      <c r="U70" s="12"/>
    </row>
    <row r="71" spans="1:21">
      <c r="A71" t="s">
        <v>342</v>
      </c>
      <c r="B71" s="12">
        <v>8636</v>
      </c>
      <c r="C71" s="46">
        <f>+(B71-D71)/ABS(D71)</f>
        <v>1.8276146680815942E-2</v>
      </c>
      <c r="D71" s="12">
        <f>2365+1673+4443</f>
        <v>8481</v>
      </c>
      <c r="E71" s="29" t="s">
        <v>0</v>
      </c>
      <c r="F71" s="12">
        <v>0</v>
      </c>
      <c r="G71" s="43">
        <v>0</v>
      </c>
      <c r="H71" s="12">
        <f>1456+2520+1646</f>
        <v>5622</v>
      </c>
      <c r="J71" s="12">
        <v>0</v>
      </c>
      <c r="K71" s="43">
        <v>0</v>
      </c>
      <c r="L71" s="12">
        <f>4195+1652</f>
        <v>5847</v>
      </c>
      <c r="M71" s="29" t="s">
        <v>0</v>
      </c>
      <c r="N71" s="12">
        <v>0</v>
      </c>
      <c r="O71" s="43">
        <v>0</v>
      </c>
      <c r="P71" s="12">
        <f>1589+1587+2841</f>
        <v>6017</v>
      </c>
      <c r="R71" s="12">
        <f>+B71</f>
        <v>8636</v>
      </c>
      <c r="S71" s="46">
        <f>+(R71-T71)/ABS(T71)</f>
        <v>1.8276146680815942E-2</v>
      </c>
      <c r="T71" s="12">
        <f>+D71</f>
        <v>8481</v>
      </c>
      <c r="U71" s="12">
        <f>+D71+H71+L71+P71</f>
        <v>25967</v>
      </c>
    </row>
    <row r="72" spans="1:21">
      <c r="A72" t="s">
        <v>343</v>
      </c>
      <c r="B72" s="12">
        <v>1482</v>
      </c>
      <c r="C72" s="46">
        <f>+(B72-D72)/ABS(D72)</f>
        <v>7.1583514099783085E-2</v>
      </c>
      <c r="D72" s="12">
        <f>279+1051+53</f>
        <v>1383</v>
      </c>
      <c r="E72" s="29" t="s">
        <v>0</v>
      </c>
      <c r="F72" s="12">
        <v>0</v>
      </c>
      <c r="G72" s="43">
        <v>0</v>
      </c>
      <c r="H72" s="12">
        <f>-638+112+114</f>
        <v>-412</v>
      </c>
      <c r="J72" s="12">
        <v>0</v>
      </c>
      <c r="K72" s="43">
        <v>0</v>
      </c>
      <c r="L72" s="12">
        <f>473+112</f>
        <v>585</v>
      </c>
      <c r="M72" s="29" t="s">
        <v>0</v>
      </c>
      <c r="N72" s="12">
        <v>0</v>
      </c>
      <c r="O72" s="43">
        <v>0</v>
      </c>
      <c r="P72" s="12">
        <f>361+112+114</f>
        <v>587</v>
      </c>
      <c r="R72" s="12">
        <f>+B72</f>
        <v>1482</v>
      </c>
      <c r="S72" s="46">
        <f>+(R72-T72)/ABS(T72)</f>
        <v>7.1583514099783085E-2</v>
      </c>
      <c r="T72" s="12">
        <f>+D72</f>
        <v>1383</v>
      </c>
      <c r="U72" s="12">
        <f>+D72+H72+L72+P72</f>
        <v>2143</v>
      </c>
    </row>
    <row r="73" spans="1:21">
      <c r="A73" t="s">
        <v>344</v>
      </c>
      <c r="B73" s="12">
        <v>1381</v>
      </c>
      <c r="C73" s="46">
        <f>+(B73-D73)/ABS(D73)</f>
        <v>0.21034180543382996</v>
      </c>
      <c r="D73" s="12">
        <v>1141</v>
      </c>
      <c r="E73" s="29" t="s">
        <v>0</v>
      </c>
      <c r="F73" s="16">
        <v>0</v>
      </c>
      <c r="G73" s="43">
        <v>0</v>
      </c>
      <c r="H73" s="16">
        <v>1148</v>
      </c>
      <c r="J73" s="12">
        <v>0</v>
      </c>
      <c r="K73" s="43">
        <v>0</v>
      </c>
      <c r="L73" s="12">
        <f>1938+433</f>
        <v>2371</v>
      </c>
      <c r="M73" s="29" t="s">
        <v>0</v>
      </c>
      <c r="N73" s="12">
        <v>0</v>
      </c>
      <c r="O73" s="43">
        <v>0</v>
      </c>
      <c r="P73" s="12">
        <f>418+454+515</f>
        <v>1387</v>
      </c>
      <c r="R73" s="12">
        <f>+B73</f>
        <v>1381</v>
      </c>
      <c r="S73" s="46">
        <f>+(R73-T73)/ABS(T73)</f>
        <v>0.21034180543382996</v>
      </c>
      <c r="T73" s="12">
        <f>+D73</f>
        <v>1141</v>
      </c>
      <c r="U73" s="12">
        <f>+D73+H73+L73+P73</f>
        <v>6047</v>
      </c>
    </row>
    <row r="74" spans="1:21">
      <c r="A74" t="s">
        <v>345</v>
      </c>
      <c r="B74" s="240">
        <v>7047</v>
      </c>
      <c r="C74" s="46">
        <f>+(B74-D74)/ABS(D74)</f>
        <v>0.25906735751295334</v>
      </c>
      <c r="D74" s="240">
        <f>3629+1090+878</f>
        <v>5597</v>
      </c>
      <c r="E74" s="29" t="s">
        <v>0</v>
      </c>
      <c r="F74" s="240">
        <v>0</v>
      </c>
      <c r="G74" s="43">
        <v>0</v>
      </c>
      <c r="H74" s="240">
        <f>1899+523+903</f>
        <v>3325</v>
      </c>
      <c r="J74" s="240">
        <v>0</v>
      </c>
      <c r="K74" s="43">
        <v>0</v>
      </c>
      <c r="L74" s="240">
        <f>5007+968</f>
        <v>5975</v>
      </c>
      <c r="M74" s="29" t="s">
        <v>0</v>
      </c>
      <c r="N74" s="240">
        <v>0</v>
      </c>
      <c r="O74" s="43">
        <v>0</v>
      </c>
      <c r="P74" s="240">
        <f>1517+1648+1121</f>
        <v>4286</v>
      </c>
      <c r="R74" s="240">
        <f>+B74</f>
        <v>7047</v>
      </c>
      <c r="S74" s="46">
        <f>+(R74-T74)/ABS(T74)</f>
        <v>0.25906735751295334</v>
      </c>
      <c r="T74" s="240">
        <f>+D74</f>
        <v>5597</v>
      </c>
      <c r="U74" s="240">
        <f>+D74+H74+L74+P74</f>
        <v>19183</v>
      </c>
    </row>
    <row r="75" spans="1:21">
      <c r="B75" s="12">
        <f>SUM(B71:B74)</f>
        <v>18546</v>
      </c>
      <c r="C75" s="46">
        <f>+(B75-D75)/ABS(D75)</f>
        <v>0.11709432598482111</v>
      </c>
      <c r="D75" s="12">
        <f>SUM(D71:D74)</f>
        <v>16602</v>
      </c>
      <c r="E75" s="29" t="s">
        <v>0</v>
      </c>
      <c r="F75" s="12">
        <f>SUM(F71:F74)</f>
        <v>0</v>
      </c>
      <c r="G75" s="43">
        <v>0</v>
      </c>
      <c r="H75" s="12">
        <f>SUM(H71:H74)</f>
        <v>9683</v>
      </c>
      <c r="J75" s="12">
        <f>SUM(J71:J74)</f>
        <v>0</v>
      </c>
      <c r="K75" s="43">
        <v>0</v>
      </c>
      <c r="L75" s="12">
        <f>SUM(L71:L74)</f>
        <v>14778</v>
      </c>
      <c r="M75" s="29" t="s">
        <v>0</v>
      </c>
      <c r="N75" s="12">
        <f>SUM(N71:N74)</f>
        <v>0</v>
      </c>
      <c r="O75" s="43">
        <v>0</v>
      </c>
      <c r="P75" s="12">
        <f>SUM(P71:P74)</f>
        <v>12277</v>
      </c>
      <c r="R75" s="12">
        <f>SUM(R71:R74)</f>
        <v>18546</v>
      </c>
      <c r="S75" s="46">
        <f>+(R75-T75)/ABS(T75)</f>
        <v>0.11709432598482111</v>
      </c>
      <c r="T75" s="12">
        <f>SUM(T71:T74)</f>
        <v>16602</v>
      </c>
      <c r="U75" s="12">
        <f>SUM(U71:U74)</f>
        <v>53340</v>
      </c>
    </row>
    <row r="76" spans="1:21">
      <c r="B76" s="240"/>
      <c r="C76" s="46"/>
      <c r="D76" s="240"/>
      <c r="E76" s="29"/>
      <c r="F76" s="379"/>
      <c r="G76" s="43"/>
      <c r="H76" s="379"/>
      <c r="J76" s="379"/>
      <c r="K76" s="43"/>
      <c r="L76" s="379"/>
      <c r="M76" s="29"/>
      <c r="N76" s="379"/>
      <c r="O76" s="43"/>
      <c r="P76" s="379"/>
      <c r="R76" s="240"/>
      <c r="S76" s="46"/>
      <c r="T76" s="240"/>
      <c r="U76" s="240"/>
    </row>
    <row r="77" spans="1:21">
      <c r="A77" t="s">
        <v>346</v>
      </c>
      <c r="B77" s="12">
        <f>+B68-B75</f>
        <v>2192</v>
      </c>
      <c r="C77" s="46">
        <f>+(B77-D77)/ABS(D77)</f>
        <v>0.12410256410256411</v>
      </c>
      <c r="D77" s="12">
        <f>+D68-D75</f>
        <v>1950</v>
      </c>
      <c r="E77" s="29" t="s">
        <v>0</v>
      </c>
      <c r="F77" s="12">
        <f>+F68-F75</f>
        <v>0</v>
      </c>
      <c r="G77" s="43">
        <v>0</v>
      </c>
      <c r="H77" s="12">
        <f>+H68-H75</f>
        <v>9040</v>
      </c>
      <c r="J77" s="12">
        <f>+J68-J75</f>
        <v>0</v>
      </c>
      <c r="K77" s="89">
        <v>0</v>
      </c>
      <c r="L77" s="12">
        <f>+L68-L75</f>
        <v>3502</v>
      </c>
      <c r="M77" s="29" t="s">
        <v>0</v>
      </c>
      <c r="N77" s="12">
        <f>+N68-N75</f>
        <v>0</v>
      </c>
      <c r="O77" s="43">
        <v>0</v>
      </c>
      <c r="P77" s="12">
        <f>+P68-P75</f>
        <v>-11765</v>
      </c>
      <c r="R77" s="12">
        <f>+R68-R75</f>
        <v>2192</v>
      </c>
      <c r="S77" s="46">
        <f>+(R77-T77)/ABS(T77)</f>
        <v>0.12410256410256411</v>
      </c>
      <c r="T77" s="12">
        <f>+T68-T75</f>
        <v>1950</v>
      </c>
      <c r="U77" s="12">
        <f>+U68-U75</f>
        <v>2727</v>
      </c>
    </row>
    <row r="78" spans="1:21">
      <c r="B78" s="12"/>
      <c r="C78" s="47" t="s">
        <v>0</v>
      </c>
      <c r="D78" s="12"/>
      <c r="E78" s="29" t="s">
        <v>0</v>
      </c>
      <c r="G78" s="44" t="s">
        <v>0</v>
      </c>
      <c r="K78" s="44" t="s">
        <v>0</v>
      </c>
      <c r="M78" s="29" t="s">
        <v>0</v>
      </c>
      <c r="O78" s="44" t="s">
        <v>0</v>
      </c>
      <c r="R78" s="12"/>
      <c r="S78" s="46"/>
      <c r="T78" s="12"/>
      <c r="U78" s="12"/>
    </row>
    <row r="79" spans="1:21">
      <c r="A79" t="s">
        <v>347</v>
      </c>
      <c r="B79" s="12">
        <v>951</v>
      </c>
      <c r="C79" s="46">
        <f>+(B79-D79)/ABS(D79)</f>
        <v>0.35277382645803701</v>
      </c>
      <c r="D79" s="12">
        <f>-94+776+21</f>
        <v>703</v>
      </c>
      <c r="E79" s="29" t="s">
        <v>0</v>
      </c>
      <c r="F79" s="12">
        <v>0</v>
      </c>
      <c r="G79" s="43">
        <v>0</v>
      </c>
      <c r="H79" s="12">
        <f>742+765+1747</f>
        <v>3254</v>
      </c>
      <c r="J79" s="12">
        <v>0</v>
      </c>
      <c r="K79" s="43">
        <v>0</v>
      </c>
      <c r="L79" s="12">
        <f>408+853</f>
        <v>1261</v>
      </c>
      <c r="M79" s="29" t="s">
        <v>0</v>
      </c>
      <c r="N79" s="12">
        <v>0</v>
      </c>
      <c r="O79" s="43">
        <v>0</v>
      </c>
      <c r="P79" s="12">
        <f>555+1172</f>
        <v>1727</v>
      </c>
      <c r="R79" s="12">
        <f>+B79</f>
        <v>951</v>
      </c>
      <c r="S79" s="46">
        <f>+(R79-T79)/ABS(T79)</f>
        <v>0.35277382645803701</v>
      </c>
      <c r="T79" s="12">
        <f>+D79</f>
        <v>703</v>
      </c>
      <c r="U79" s="12">
        <f>+D79+H79+L79+P79</f>
        <v>6945</v>
      </c>
    </row>
    <row r="80" spans="1:21" ht="16.5" thickBot="1">
      <c r="B80" s="76"/>
      <c r="C80" s="47" t="s">
        <v>0</v>
      </c>
      <c r="D80" s="76"/>
      <c r="E80" s="29" t="s">
        <v>0</v>
      </c>
      <c r="F80" s="30"/>
      <c r="G80" s="44" t="s">
        <v>0</v>
      </c>
      <c r="H80" s="30"/>
      <c r="J80" s="30"/>
      <c r="K80" s="44" t="s">
        <v>0</v>
      </c>
      <c r="L80" s="30"/>
      <c r="M80" s="29" t="s">
        <v>0</v>
      </c>
      <c r="N80" s="30"/>
      <c r="O80" s="44" t="s">
        <v>0</v>
      </c>
      <c r="P80" s="30"/>
      <c r="R80" s="76"/>
      <c r="S80" s="46"/>
      <c r="T80" s="76"/>
      <c r="U80" s="76"/>
    </row>
    <row r="81" spans="1:21" s="2" customFormat="1">
      <c r="A81" s="2" t="s">
        <v>359</v>
      </c>
      <c r="B81" s="4">
        <f>+B77-B79</f>
        <v>1241</v>
      </c>
      <c r="C81" s="112">
        <f>+(B81-D81)/ABS(D81)</f>
        <v>-4.8115477145148355E-3</v>
      </c>
      <c r="D81" s="4">
        <f>+D77-D79</f>
        <v>1247</v>
      </c>
      <c r="E81" s="146" t="s">
        <v>0</v>
      </c>
      <c r="F81" s="4">
        <f>+F77-F79</f>
        <v>0</v>
      </c>
      <c r="G81" s="42">
        <v>0</v>
      </c>
      <c r="H81" s="4">
        <f>+H77-H79</f>
        <v>5786</v>
      </c>
      <c r="I81" s="146"/>
      <c r="J81" s="4">
        <f>+J77-J79</f>
        <v>0</v>
      </c>
      <c r="K81" s="1097">
        <v>0</v>
      </c>
      <c r="L81" s="4">
        <f>+L77-L79</f>
        <v>2241</v>
      </c>
      <c r="M81" s="146" t="s">
        <v>0</v>
      </c>
      <c r="N81" s="4">
        <f>+N77-N79</f>
        <v>0</v>
      </c>
      <c r="O81" s="42">
        <v>0</v>
      </c>
      <c r="P81" s="4">
        <f>+P77-P79</f>
        <v>-13492</v>
      </c>
      <c r="Q81" s="146"/>
      <c r="R81" s="4">
        <f>+R77-R79</f>
        <v>1241</v>
      </c>
      <c r="S81" s="112">
        <f>+(R81-T81)/ABS(T81)</f>
        <v>-4.8115477145148355E-3</v>
      </c>
      <c r="T81" s="4">
        <f>+T77-T79</f>
        <v>1247</v>
      </c>
      <c r="U81" s="4">
        <f>+U77-U79</f>
        <v>-4218</v>
      </c>
    </row>
    <row r="82" spans="1:21">
      <c r="E82" s="29"/>
      <c r="M82" s="29"/>
    </row>
    <row r="83" spans="1:21">
      <c r="E83" s="29"/>
      <c r="F83" s="29" t="s">
        <v>0</v>
      </c>
      <c r="M83" s="29"/>
    </row>
    <row r="84" spans="1:21">
      <c r="B84" s="565" t="s">
        <v>261</v>
      </c>
      <c r="D84" s="565" t="s">
        <v>261</v>
      </c>
      <c r="E84" s="29" t="s">
        <v>0</v>
      </c>
      <c r="F84" s="565" t="s">
        <v>261</v>
      </c>
      <c r="H84" s="565" t="s">
        <v>261</v>
      </c>
      <c r="M84" s="29" t="s">
        <v>0</v>
      </c>
      <c r="N84" s="29" t="s">
        <v>0</v>
      </c>
    </row>
    <row r="85" spans="1:21">
      <c r="B85" s="26" t="s">
        <v>353</v>
      </c>
      <c r="D85" s="26" t="s">
        <v>533</v>
      </c>
      <c r="F85" s="26" t="s">
        <v>534</v>
      </c>
      <c r="H85" s="26" t="s">
        <v>535</v>
      </c>
      <c r="M85" s="29" t="s">
        <v>0</v>
      </c>
    </row>
    <row r="86" spans="1:21">
      <c r="A86" t="s">
        <v>536</v>
      </c>
      <c r="B86" s="29" t="s">
        <v>0</v>
      </c>
      <c r="D86" s="29" t="s">
        <v>0</v>
      </c>
      <c r="F86" s="29" t="s">
        <v>0</v>
      </c>
      <c r="H86" s="29" t="s">
        <v>0</v>
      </c>
      <c r="M86" s="29" t="s">
        <v>0</v>
      </c>
    </row>
    <row r="87" spans="1:21">
      <c r="A87" t="s">
        <v>329</v>
      </c>
      <c r="B87" s="16" t="s">
        <v>0</v>
      </c>
    </row>
    <row r="88" spans="1:21">
      <c r="A88" t="s">
        <v>330</v>
      </c>
      <c r="B88" s="12">
        <f>+(5860089.5+6140559.8+7015385)/1000</f>
        <v>19016.034299999999</v>
      </c>
      <c r="D88" s="12">
        <v>0</v>
      </c>
      <c r="F88" s="12">
        <v>0</v>
      </c>
      <c r="H88" s="12">
        <v>0</v>
      </c>
    </row>
    <row r="89" spans="1:21" ht="18">
      <c r="A89" t="s">
        <v>537</v>
      </c>
      <c r="B89" s="6">
        <v>0</v>
      </c>
      <c r="D89" s="6">
        <v>0</v>
      </c>
      <c r="F89" s="6">
        <v>0</v>
      </c>
      <c r="H89" s="6">
        <v>0</v>
      </c>
    </row>
    <row r="90" spans="1:21">
      <c r="B90" s="12">
        <f>SUM(B88:B89)</f>
        <v>19016.034299999999</v>
      </c>
      <c r="D90" s="12">
        <f>SUM(D88:D89)</f>
        <v>0</v>
      </c>
      <c r="F90" s="12">
        <f>SUM(F88:F89)</f>
        <v>0</v>
      </c>
      <c r="H90" s="12">
        <f>SUM(H88:H89)</f>
        <v>0</v>
      </c>
    </row>
    <row r="91" spans="1:21">
      <c r="A91" t="s">
        <v>333</v>
      </c>
      <c r="B91" s="12">
        <f>+(1841849.7+1683254.7+1718569)/1000</f>
        <v>5243.6734000000006</v>
      </c>
      <c r="D91" s="12">
        <v>0</v>
      </c>
      <c r="F91" s="12">
        <v>0</v>
      </c>
      <c r="H91" s="12">
        <v>0</v>
      </c>
    </row>
    <row r="92" spans="1:21">
      <c r="B92" s="12">
        <f>+B90-B91</f>
        <v>13772.3609</v>
      </c>
      <c r="D92" s="12">
        <f>+D90-D91</f>
        <v>0</v>
      </c>
      <c r="F92" s="12">
        <f>+F90-F91</f>
        <v>0</v>
      </c>
      <c r="H92" s="12">
        <f>+H90-H91</f>
        <v>0</v>
      </c>
    </row>
    <row r="93" spans="1:21">
      <c r="B93" s="12"/>
      <c r="D93" s="12"/>
      <c r="F93" s="12"/>
      <c r="H93" s="12"/>
    </row>
    <row r="94" spans="1:21">
      <c r="A94" t="s">
        <v>334</v>
      </c>
      <c r="B94" s="12"/>
      <c r="D94" s="12"/>
      <c r="F94" s="12"/>
      <c r="H94" s="12"/>
    </row>
    <row r="95" spans="1:21">
      <c r="A95" t="s">
        <v>335</v>
      </c>
      <c r="B95" s="16">
        <f>+(594503.45+449882.3+701299)/1000</f>
        <v>1745.6847499999999</v>
      </c>
      <c r="D95" s="16">
        <v>0</v>
      </c>
      <c r="F95" s="16">
        <v>0</v>
      </c>
      <c r="H95" s="16">
        <v>0</v>
      </c>
    </row>
    <row r="96" spans="1:21">
      <c r="A96" t="s">
        <v>336</v>
      </c>
      <c r="B96" s="12">
        <f>+(269728.7+193461.7+852112)/1000</f>
        <v>1315.3023999999998</v>
      </c>
      <c r="D96" s="12">
        <v>0</v>
      </c>
      <c r="F96" s="12">
        <v>0</v>
      </c>
      <c r="H96" s="12">
        <v>0</v>
      </c>
    </row>
    <row r="97" spans="1:8">
      <c r="A97" t="s">
        <v>284</v>
      </c>
      <c r="B97" s="12">
        <f>+(16324.15+297875.6+33503)/1000</f>
        <v>347.70274999999998</v>
      </c>
      <c r="D97" s="12">
        <v>0</v>
      </c>
      <c r="F97" s="12">
        <v>0</v>
      </c>
      <c r="H97" s="12">
        <v>0</v>
      </c>
    </row>
    <row r="98" spans="1:8">
      <c r="B98" s="12">
        <f>SUM(B95:B97)</f>
        <v>3408.6898999999999</v>
      </c>
      <c r="D98" s="12">
        <f>SUM(D95:D97)</f>
        <v>0</v>
      </c>
      <c r="F98" s="12">
        <f>SUM(F95:F97)</f>
        <v>0</v>
      </c>
      <c r="H98" s="12">
        <f>SUM(H95:H97)</f>
        <v>0</v>
      </c>
    </row>
    <row r="99" spans="1:8">
      <c r="B99" s="12"/>
      <c r="D99" s="12"/>
      <c r="F99" s="12"/>
      <c r="H99" s="12"/>
    </row>
    <row r="100" spans="1:8">
      <c r="A100" t="s">
        <v>337</v>
      </c>
      <c r="B100" s="12">
        <f>+B92+B98</f>
        <v>17181.050800000001</v>
      </c>
      <c r="D100" s="12">
        <f>+D92+D98</f>
        <v>0</v>
      </c>
      <c r="F100" s="12">
        <f>+F92+F98</f>
        <v>0</v>
      </c>
      <c r="H100" s="12">
        <f>+H92+H98</f>
        <v>0</v>
      </c>
    </row>
    <row r="101" spans="1:8">
      <c r="B101" s="12"/>
      <c r="D101" s="12"/>
      <c r="F101" s="12"/>
      <c r="H101" s="12"/>
    </row>
    <row r="102" spans="1:8">
      <c r="A102" t="s">
        <v>538</v>
      </c>
      <c r="B102" s="12">
        <v>0</v>
      </c>
      <c r="D102" s="12">
        <v>0</v>
      </c>
      <c r="F102" s="12">
        <v>0</v>
      </c>
      <c r="H102" s="12">
        <v>0</v>
      </c>
    </row>
    <row r="103" spans="1:8">
      <c r="B103" s="12"/>
      <c r="D103" s="12"/>
      <c r="F103" s="12"/>
      <c r="H103" s="12"/>
    </row>
    <row r="104" spans="1:8">
      <c r="A104" t="s">
        <v>339</v>
      </c>
      <c r="B104" s="12"/>
      <c r="D104" s="12"/>
      <c r="F104" s="12"/>
      <c r="H104" s="12"/>
    </row>
    <row r="105" spans="1:8">
      <c r="A105" t="s">
        <v>340</v>
      </c>
      <c r="B105" s="12">
        <f>+B100-B102</f>
        <v>17181.050800000001</v>
      </c>
      <c r="D105" s="12">
        <f>+D100-D102</f>
        <v>0</v>
      </c>
      <c r="F105" s="12">
        <f>+F100-F102</f>
        <v>0</v>
      </c>
      <c r="H105" s="12">
        <f>+H100-H102</f>
        <v>0</v>
      </c>
    </row>
    <row r="106" spans="1:8">
      <c r="B106" s="12"/>
      <c r="D106" s="12"/>
      <c r="F106" s="12"/>
      <c r="H106" s="12"/>
    </row>
    <row r="107" spans="1:8">
      <c r="A107" t="s">
        <v>341</v>
      </c>
      <c r="B107" s="12"/>
      <c r="D107" s="12"/>
      <c r="F107" s="12"/>
      <c r="H107" s="12"/>
    </row>
    <row r="108" spans="1:8">
      <c r="A108" t="s">
        <v>342</v>
      </c>
      <c r="B108" s="12">
        <f>+(3124927.15+1604819.05+1456617)/1000</f>
        <v>6186.3631999999998</v>
      </c>
      <c r="D108" s="12">
        <v>0</v>
      </c>
      <c r="F108" s="12">
        <v>0</v>
      </c>
      <c r="H108" s="12">
        <v>0</v>
      </c>
    </row>
    <row r="109" spans="1:8">
      <c r="A109" t="s">
        <v>343</v>
      </c>
      <c r="B109" s="12">
        <f>+(128070+41178.8+439188)/1000</f>
        <v>608.43680000000006</v>
      </c>
      <c r="D109" s="12">
        <v>0</v>
      </c>
      <c r="F109" s="12">
        <v>0</v>
      </c>
      <c r="H109" s="12">
        <v>0</v>
      </c>
    </row>
    <row r="110" spans="1:8">
      <c r="A110" t="s">
        <v>344</v>
      </c>
      <c r="B110" s="12">
        <f>987261/1000</f>
        <v>987.26099999999997</v>
      </c>
      <c r="D110" s="12">
        <v>0</v>
      </c>
      <c r="F110" s="12">
        <v>0</v>
      </c>
      <c r="H110" s="12">
        <v>0</v>
      </c>
    </row>
    <row r="111" spans="1:8">
      <c r="A111" t="s">
        <v>345</v>
      </c>
      <c r="B111" s="12">
        <f>+(1059676.4+666104.15+6026055)/1000</f>
        <v>7751.8355499999998</v>
      </c>
      <c r="D111" s="12">
        <v>0</v>
      </c>
      <c r="F111" s="12">
        <v>0</v>
      </c>
      <c r="H111" s="12">
        <v>0</v>
      </c>
    </row>
    <row r="112" spans="1:8">
      <c r="B112" s="12">
        <f>SUM(B108:B111)</f>
        <v>15533.896549999999</v>
      </c>
      <c r="D112" s="12">
        <f>-SUM(D108:D111)</f>
        <v>0</v>
      </c>
      <c r="F112" s="12">
        <f>-SUM(F108:F111)</f>
        <v>0</v>
      </c>
      <c r="H112" s="12">
        <f>-SUM(H108:H111)</f>
        <v>0</v>
      </c>
    </row>
    <row r="113" spans="1:8">
      <c r="B113" s="12"/>
      <c r="D113" s="12"/>
      <c r="F113" s="12"/>
      <c r="H113" s="12"/>
    </row>
    <row r="114" spans="1:8">
      <c r="A114" t="s">
        <v>346</v>
      </c>
      <c r="B114" s="12">
        <f>+B105-B112</f>
        <v>1647.1542500000014</v>
      </c>
      <c r="D114" s="12">
        <f>+D105+D112</f>
        <v>0</v>
      </c>
      <c r="F114" s="12">
        <f>+F105+F112</f>
        <v>0</v>
      </c>
      <c r="H114" s="12">
        <f>+H105+H112</f>
        <v>0</v>
      </c>
    </row>
    <row r="115" spans="1:8">
      <c r="B115" s="12"/>
      <c r="D115" s="12"/>
      <c r="F115" s="12"/>
      <c r="H115" s="12"/>
    </row>
    <row r="116" spans="1:8">
      <c r="A116" t="s">
        <v>347</v>
      </c>
      <c r="B116" s="12">
        <v>0</v>
      </c>
      <c r="D116" s="12">
        <v>0</v>
      </c>
      <c r="F116" s="12">
        <v>0</v>
      </c>
      <c r="H116" s="12">
        <v>0</v>
      </c>
    </row>
    <row r="117" spans="1:8">
      <c r="B117" s="12"/>
      <c r="D117" s="12"/>
      <c r="F117" s="12"/>
      <c r="H117" s="12"/>
    </row>
    <row r="118" spans="1:8">
      <c r="A118" t="s">
        <v>539</v>
      </c>
      <c r="B118" s="12">
        <f>+B114-B116</f>
        <v>1647.1542500000014</v>
      </c>
      <c r="D118" s="12">
        <f>+D114-D116</f>
        <v>0</v>
      </c>
      <c r="F118" s="12">
        <f>+F114-F116</f>
        <v>0</v>
      </c>
      <c r="H118" s="12">
        <f>+H114-H116</f>
        <v>0</v>
      </c>
    </row>
    <row r="121" spans="1:8">
      <c r="B121" s="29" t="s">
        <v>0</v>
      </c>
    </row>
  </sheetData>
  <pageMargins left="0.2" right="0.2" top="0.43" bottom="0.39" header="0.31" footer="0.2"/>
  <pageSetup scale="43" orientation="landscape" r:id="rId1"/>
  <headerFooter alignWithMargins="0">
    <oddFooter>&amp;R&amp;16&amp;P</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sheetViews>
  <sheetFormatPr defaultRowHeight="15.75"/>
  <cols>
    <col min="1" max="1" width="50" customWidth="1"/>
    <col min="2" max="2" width="15.75" customWidth="1"/>
    <col min="3" max="3" width="9.875" customWidth="1"/>
    <col min="4" max="4" width="15.75" customWidth="1"/>
    <col min="5" max="5" width="6.125" customWidth="1"/>
    <col min="6" max="6" width="16" customWidth="1"/>
    <col min="7" max="7" width="11"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636</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556</v>
      </c>
      <c r="C8" s="114"/>
      <c r="D8" s="34"/>
      <c r="E8" s="2"/>
      <c r="F8" s="114" t="s">
        <v>206</v>
      </c>
      <c r="G8" s="114"/>
      <c r="H8" s="114"/>
      <c r="I8" s="114"/>
      <c r="J8" s="114"/>
      <c r="K8" s="114"/>
      <c r="L8" s="114"/>
    </row>
    <row r="9" spans="1:14" ht="16.5" thickBot="1">
      <c r="B9" s="247" t="s">
        <v>185</v>
      </c>
      <c r="C9" s="226" t="s">
        <v>169</v>
      </c>
      <c r="D9" s="226">
        <v>1999</v>
      </c>
      <c r="E9" s="2"/>
      <c r="F9" s="226">
        <v>1999</v>
      </c>
      <c r="G9" s="226" t="s">
        <v>169</v>
      </c>
      <c r="H9" s="226">
        <v>1998</v>
      </c>
      <c r="I9" s="226" t="s">
        <v>169</v>
      </c>
      <c r="J9" s="226">
        <v>1997</v>
      </c>
      <c r="K9" s="226" t="s">
        <v>169</v>
      </c>
      <c r="L9" s="226">
        <v>1996</v>
      </c>
    </row>
    <row r="10" spans="1:14">
      <c r="A10" t="s">
        <v>328</v>
      </c>
    </row>
    <row r="11" spans="1:14">
      <c r="A11" t="s">
        <v>329</v>
      </c>
      <c r="B11" s="16" t="s">
        <v>0</v>
      </c>
      <c r="C11" s="47" t="s">
        <v>0</v>
      </c>
      <c r="D11" s="16" t="s">
        <v>0</v>
      </c>
      <c r="E11" s="44" t="s">
        <v>0</v>
      </c>
      <c r="F11" s="16" t="s">
        <v>0</v>
      </c>
      <c r="G11" s="44" t="s">
        <v>0</v>
      </c>
      <c r="M11" s="43"/>
      <c r="N11" s="43"/>
    </row>
    <row r="12" spans="1:14">
      <c r="A12" t="s">
        <v>330</v>
      </c>
      <c r="B12" s="12">
        <f>+'SCOTIARÉSULT         '!R50</f>
        <v>22562</v>
      </c>
      <c r="C12" s="46">
        <f t="shared" ref="C12:C17" si="0">+(B12-D12)/ABS(D12)</f>
        <v>-1.549068377187241E-2</v>
      </c>
      <c r="D12" s="12">
        <f>+'SCOTIARÉSULT         '!T50</f>
        <v>22917</v>
      </c>
      <c r="E12" s="44"/>
      <c r="F12" s="12">
        <f>+'SCOTIARÉSULT         '!U50</f>
        <v>89683</v>
      </c>
      <c r="G12" s="46">
        <f>+(F12-H12)/ABS(H12)</f>
        <v>0.11845945096552454</v>
      </c>
      <c r="H12" s="12">
        <v>80184.399999999994</v>
      </c>
      <c r="I12" s="46">
        <f>+(H12-J12)/ABS(J12)</f>
        <v>0.15470930801887062</v>
      </c>
      <c r="J12" s="12">
        <v>69441.2</v>
      </c>
      <c r="K12" s="46">
        <f>+(J12-L12)/ABS(L12)</f>
        <v>0.20656510195854927</v>
      </c>
      <c r="L12" s="12">
        <v>57552.800000000003</v>
      </c>
      <c r="M12" s="43"/>
      <c r="N12" s="43"/>
    </row>
    <row r="13" spans="1:14">
      <c r="A13" t="s">
        <v>354</v>
      </c>
      <c r="B13" s="12">
        <f>+'SCOTIARÉSULT         '!R51</f>
        <v>1572</v>
      </c>
      <c r="C13" s="46">
        <f t="shared" si="0"/>
        <v>5.8947368421052628</v>
      </c>
      <c r="D13" s="12">
        <f>+'SCOTIARÉSULT         '!T51</f>
        <v>228</v>
      </c>
      <c r="E13" s="44"/>
      <c r="F13" s="12">
        <f>+'SCOTIARÉSULT         '!U51</f>
        <v>2124</v>
      </c>
      <c r="G13" s="46"/>
      <c r="H13" s="12">
        <v>0</v>
      </c>
      <c r="I13" s="46"/>
      <c r="J13" s="12">
        <v>0</v>
      </c>
      <c r="K13" s="46"/>
      <c r="L13" s="12">
        <v>0</v>
      </c>
      <c r="M13" s="43"/>
      <c r="N13" s="43"/>
    </row>
    <row r="14" spans="1:14">
      <c r="A14" t="s">
        <v>332</v>
      </c>
      <c r="B14" s="221">
        <f>+'SCOTIARÉSULT         '!R52</f>
        <v>1143</v>
      </c>
      <c r="C14" s="46">
        <f t="shared" si="0"/>
        <v>9.7173144876325085E-3</v>
      </c>
      <c r="D14" s="240">
        <f>+'SCOTIARÉSULT         '!T52</f>
        <v>1132</v>
      </c>
      <c r="E14" s="44"/>
      <c r="F14" s="240">
        <f>+'SCOTIARÉSULT         '!U52</f>
        <v>4742</v>
      </c>
      <c r="G14" s="46">
        <f>+(F14-H14)/ABS(H14)</f>
        <v>0.70330459770114939</v>
      </c>
      <c r="H14" s="240">
        <v>2784</v>
      </c>
      <c r="I14" s="43">
        <v>0</v>
      </c>
      <c r="J14" s="240">
        <v>0</v>
      </c>
      <c r="K14" s="43">
        <v>0</v>
      </c>
      <c r="L14" s="240">
        <v>0</v>
      </c>
      <c r="M14" s="43"/>
      <c r="N14" s="43"/>
    </row>
    <row r="15" spans="1:14">
      <c r="B15" s="12">
        <f>SUM(B12:B14)</f>
        <v>25277</v>
      </c>
      <c r="C15" s="46">
        <f t="shared" si="0"/>
        <v>4.119125097829221E-2</v>
      </c>
      <c r="D15" s="12">
        <f>SUM(D12:D14)</f>
        <v>24277</v>
      </c>
      <c r="E15" s="44"/>
      <c r="F15" s="12">
        <f>SUM(F12:F14)</f>
        <v>96549</v>
      </c>
      <c r="G15" s="46">
        <f>+(F15-H15)/ABS(H15)</f>
        <v>0.16368400499467275</v>
      </c>
      <c r="H15" s="12">
        <f>SUM(H12:H14)</f>
        <v>82968.399999999994</v>
      </c>
      <c r="I15" s="46">
        <f>+(H15-J15)/ABS(J15)</f>
        <v>0.1948007810924926</v>
      </c>
      <c r="J15" s="12">
        <f>SUM(J12:J14)</f>
        <v>69441.2</v>
      </c>
      <c r="K15" s="46">
        <f>+(J15-L15)/ABS(L15)</f>
        <v>0.20656510195854927</v>
      </c>
      <c r="L15" s="12">
        <f>SUM(L12:L14)</f>
        <v>57552.800000000003</v>
      </c>
      <c r="M15" s="43"/>
      <c r="N15" s="43"/>
    </row>
    <row r="16" spans="1:14">
      <c r="A16" t="s">
        <v>333</v>
      </c>
      <c r="B16" s="240">
        <f>+'SCOTIARÉSULT         '!R54</f>
        <v>7492</v>
      </c>
      <c r="C16" s="46">
        <f t="shared" si="0"/>
        <v>-0.12903975819576843</v>
      </c>
      <c r="D16" s="240">
        <f>+'SCOTIARÉSULT         '!T54</f>
        <v>8602</v>
      </c>
      <c r="E16" s="44" t="s">
        <v>0</v>
      </c>
      <c r="F16" s="240">
        <f>+'SCOTIARÉSULT         '!U54</f>
        <v>35652</v>
      </c>
      <c r="G16" s="46">
        <f>+(F16-H16)/ABS(H16)</f>
        <v>0.45747398973897757</v>
      </c>
      <c r="H16" s="240">
        <v>24461.5</v>
      </c>
      <c r="I16" s="46">
        <f>+(H16-J16)/ABS(J16)</f>
        <v>0.19009161100110444</v>
      </c>
      <c r="J16" s="240">
        <v>20554.3</v>
      </c>
      <c r="K16" s="46">
        <f>+(J16-L16)/ABS(L16)</f>
        <v>0.52837119381343634</v>
      </c>
      <c r="L16" s="240">
        <v>13448.5</v>
      </c>
      <c r="M16" s="43"/>
      <c r="N16" s="43"/>
    </row>
    <row r="17" spans="1:14" s="209" customFormat="1">
      <c r="B17" s="16">
        <f>+B15-B16</f>
        <v>17785</v>
      </c>
      <c r="C17" s="46">
        <f t="shared" si="0"/>
        <v>0.1346092503987241</v>
      </c>
      <c r="D17" s="16">
        <f>+D15-D16</f>
        <v>15675</v>
      </c>
      <c r="E17" s="44" t="s">
        <v>0</v>
      </c>
      <c r="F17" s="16">
        <f>+F15-F16</f>
        <v>60897</v>
      </c>
      <c r="G17" s="46">
        <f>+(F17-H17)/ABS(H17)</f>
        <v>4.0851591863523891E-2</v>
      </c>
      <c r="H17" s="16">
        <f>+H15-H16</f>
        <v>58506.899999999994</v>
      </c>
      <c r="I17" s="46">
        <f>+(H17-J17)/ABS(J17)</f>
        <v>0.1967807326707155</v>
      </c>
      <c r="J17" s="16">
        <f>+J12-J16</f>
        <v>48886.899999999994</v>
      </c>
      <c r="K17" s="46">
        <f>+(J17-L17)/ABS(L17)</f>
        <v>0.10843840623249866</v>
      </c>
      <c r="L17" s="16">
        <f>+L12-L16</f>
        <v>44104.3</v>
      </c>
      <c r="M17" s="44"/>
      <c r="N17" s="44"/>
    </row>
    <row r="18" spans="1:14">
      <c r="B18" s="12"/>
      <c r="C18" s="46"/>
      <c r="D18" s="12"/>
      <c r="E18" s="44"/>
      <c r="F18" s="12"/>
      <c r="G18" s="43"/>
      <c r="H18" s="12"/>
      <c r="I18" s="46"/>
      <c r="J18" s="12"/>
      <c r="K18" s="46"/>
      <c r="L18" s="12"/>
      <c r="M18" s="43"/>
      <c r="N18" s="43"/>
    </row>
    <row r="19" spans="1:14">
      <c r="A19" t="s">
        <v>334</v>
      </c>
      <c r="B19" s="12"/>
      <c r="C19" s="46"/>
      <c r="D19" s="12"/>
      <c r="E19" s="44" t="s">
        <v>0</v>
      </c>
      <c r="F19" s="12"/>
      <c r="G19" s="43"/>
      <c r="H19" s="12"/>
      <c r="I19" s="46"/>
      <c r="J19" s="12"/>
      <c r="K19" s="46"/>
      <c r="L19" s="12"/>
      <c r="M19" s="43"/>
      <c r="N19" s="43"/>
    </row>
    <row r="20" spans="1:14">
      <c r="A20" t="s">
        <v>335</v>
      </c>
      <c r="B20" s="12">
        <f>+'SCOTIARÉSULT         '!R58</f>
        <v>2503</v>
      </c>
      <c r="C20" s="46">
        <f>+(B20-D20)/ABS(D20)</f>
        <v>0.1587962962962963</v>
      </c>
      <c r="D20" s="12">
        <f>+'SCOTIARÉSULT         '!T58</f>
        <v>2160</v>
      </c>
      <c r="E20" s="44" t="s">
        <v>0</v>
      </c>
      <c r="F20" s="12">
        <f>+'SCOTIARÉSULT         '!U58</f>
        <v>7901</v>
      </c>
      <c r="G20" s="46">
        <f>+(F20-H20)/ABS(H20)</f>
        <v>0.11875734534075298</v>
      </c>
      <c r="H20" s="12">
        <v>7062.3</v>
      </c>
      <c r="I20" s="46">
        <f>+(H20-J20)/ABS(J20)</f>
        <v>0.12280004451581115</v>
      </c>
      <c r="J20" s="12">
        <v>6289.9</v>
      </c>
      <c r="K20" s="46">
        <f>+(J20-L20)/ABS(L20)</f>
        <v>-0.14473165359041656</v>
      </c>
      <c r="L20" s="12">
        <v>7354.3</v>
      </c>
      <c r="M20" s="43"/>
      <c r="N20" s="43"/>
    </row>
    <row r="21" spans="1:14">
      <c r="A21" t="s">
        <v>336</v>
      </c>
      <c r="B21" s="12">
        <f>+'SCOTIARÉSULT         '!R59</f>
        <v>1276</v>
      </c>
      <c r="C21" s="46">
        <f>+(B21-D21)/ABS(D21)</f>
        <v>6.6889632107023408E-2</v>
      </c>
      <c r="D21" s="12">
        <f>+'SCOTIARÉSULT         '!T59</f>
        <v>1196</v>
      </c>
      <c r="E21" s="44" t="s">
        <v>0</v>
      </c>
      <c r="F21" s="12">
        <f>+'SCOTIARÉSULT         '!U59</f>
        <v>5770</v>
      </c>
      <c r="G21" s="46">
        <f>+(F21-H21)/ABS(H21)</f>
        <v>3.9021842868204454E-2</v>
      </c>
      <c r="H21" s="12">
        <v>5553.3</v>
      </c>
      <c r="I21" s="46">
        <f>+(H21-J21)/ABS(J21)</f>
        <v>0.68660025511753642</v>
      </c>
      <c r="J21" s="12">
        <v>3292.6</v>
      </c>
      <c r="K21" s="46">
        <f>+(J21-L21)/ABS(L21)</f>
        <v>-0.18447515727943731</v>
      </c>
      <c r="L21" s="12">
        <v>4037.4</v>
      </c>
      <c r="M21" s="43"/>
      <c r="N21" s="43"/>
    </row>
    <row r="22" spans="1:14">
      <c r="A22" t="s">
        <v>284</v>
      </c>
      <c r="B22" s="240">
        <f>+'SCOTIARÉSULT         '!R60</f>
        <v>12</v>
      </c>
      <c r="C22" s="46">
        <f>+(B22-D22)/ABS(D22)</f>
        <v>-0.42857142857142855</v>
      </c>
      <c r="D22" s="240">
        <f>+'SCOTIARÉSULT         '!T60</f>
        <v>21</v>
      </c>
      <c r="E22" s="44" t="s">
        <v>0</v>
      </c>
      <c r="F22" s="240">
        <f>+'SCOTIARÉSULT         '!U60</f>
        <v>59</v>
      </c>
      <c r="G22" s="46">
        <f>+(F22-H22)/ABS(H22)</f>
        <v>-0.8523523523523524</v>
      </c>
      <c r="H22" s="240">
        <v>399.6</v>
      </c>
      <c r="I22" s="46">
        <f>+(H22-J22)/ABS(J22)</f>
        <v>0.10723192019950138</v>
      </c>
      <c r="J22" s="240">
        <v>360.9</v>
      </c>
      <c r="K22" s="46">
        <f>+(J22-L22)/ABS(L22)</f>
        <v>-8.5634659234861951E-2</v>
      </c>
      <c r="L22" s="240">
        <v>394.7</v>
      </c>
      <c r="M22" s="43"/>
      <c r="N22" s="43"/>
    </row>
    <row r="23" spans="1:14" s="209" customFormat="1">
      <c r="B23" s="16">
        <f>SUM(B20:B22)</f>
        <v>3791</v>
      </c>
      <c r="C23" s="46">
        <f>+(B23-D23)/ABS(D23)</f>
        <v>0.12259401835949067</v>
      </c>
      <c r="D23" s="16">
        <f>SUM(D20:D22)</f>
        <v>3377</v>
      </c>
      <c r="E23" s="44" t="s">
        <v>0</v>
      </c>
      <c r="F23" s="16">
        <f>SUM(F20:F22)</f>
        <v>13730</v>
      </c>
      <c r="G23" s="46">
        <f>+(F23-H23)/ABS(H23)</f>
        <v>5.4920400762185691E-2</v>
      </c>
      <c r="H23" s="16">
        <f>SUM(H20:H22)</f>
        <v>13015.2</v>
      </c>
      <c r="I23" s="46">
        <f>+(H23-J23)/ABS(J23)</f>
        <v>0.30892853551099236</v>
      </c>
      <c r="J23" s="16">
        <f>SUM(J20:J22)</f>
        <v>9943.4</v>
      </c>
      <c r="K23" s="46">
        <f>+(J23-L23)/ABS(L23)</f>
        <v>-0.15636665987918291</v>
      </c>
      <c r="L23" s="16">
        <f>SUM(L20:L22)</f>
        <v>11786.400000000001</v>
      </c>
      <c r="M23" s="44"/>
      <c r="N23" s="44"/>
    </row>
    <row r="24" spans="1:14">
      <c r="B24" s="240"/>
      <c r="C24" s="46"/>
      <c r="D24" s="240"/>
      <c r="E24" s="44"/>
      <c r="F24" s="240"/>
      <c r="G24" s="43"/>
      <c r="H24" s="240"/>
      <c r="I24" s="46"/>
      <c r="J24" s="240"/>
      <c r="K24" s="46"/>
      <c r="L24" s="240"/>
      <c r="M24" s="43"/>
      <c r="N24" s="43"/>
    </row>
    <row r="25" spans="1:14" s="209" customFormat="1">
      <c r="A25" s="209" t="s">
        <v>337</v>
      </c>
      <c r="B25" s="16">
        <f>+B17+B23</f>
        <v>21576</v>
      </c>
      <c r="C25" s="46">
        <f>+(B25-D25)/ABS(D25)</f>
        <v>0.13247952970816712</v>
      </c>
      <c r="D25" s="16">
        <f>+D17+D23</f>
        <v>19052</v>
      </c>
      <c r="E25" s="44" t="s">
        <v>0</v>
      </c>
      <c r="F25" s="16">
        <f>+F17+F23</f>
        <v>74627</v>
      </c>
      <c r="G25" s="46">
        <f>+(F25-H25)/ABS(H25)</f>
        <v>4.3411756645848051E-2</v>
      </c>
      <c r="H25" s="16">
        <f>+H17+H23</f>
        <v>71522.099999999991</v>
      </c>
      <c r="I25" s="46">
        <f>+(H25-J25)/ABS(J25)</f>
        <v>0.21573576881300957</v>
      </c>
      <c r="J25" s="16">
        <f>+J17+J23</f>
        <v>58830.299999999996</v>
      </c>
      <c r="K25" s="46">
        <f>+(J25-L25)/ABS(L25)</f>
        <v>5.259551231242391E-2</v>
      </c>
      <c r="L25" s="16">
        <f>+L17+L23</f>
        <v>55890.700000000004</v>
      </c>
      <c r="M25" s="44"/>
      <c r="N25" s="44"/>
    </row>
    <row r="26" spans="1:14">
      <c r="B26" s="12"/>
      <c r="C26" s="46"/>
      <c r="D26" s="12"/>
      <c r="E26" s="44" t="s">
        <v>0</v>
      </c>
      <c r="F26" s="12"/>
      <c r="G26" s="43"/>
      <c r="H26" s="12"/>
      <c r="I26" s="46"/>
      <c r="J26" s="12"/>
      <c r="K26" s="46"/>
      <c r="L26" s="12"/>
      <c r="M26" s="43"/>
      <c r="N26" s="43"/>
    </row>
    <row r="27" spans="1:14">
      <c r="A27" t="s">
        <v>338</v>
      </c>
      <c r="B27" s="12">
        <f>+'SCOTIARÉSULT         '!R65</f>
        <v>838</v>
      </c>
      <c r="C27" s="46">
        <f>+(B27-D27)/ABS(D27)</f>
        <v>0.67600000000000005</v>
      </c>
      <c r="D27" s="12">
        <f>+'SCOTIARÉSULT         '!T65</f>
        <v>500</v>
      </c>
      <c r="E27" s="44" t="s">
        <v>0</v>
      </c>
      <c r="F27" s="12">
        <f>+'SCOTIARÉSULT         '!U65</f>
        <v>18560</v>
      </c>
      <c r="G27" s="46">
        <f>+(F27-H27)/ABS(H27)</f>
        <v>3.4669073405535498</v>
      </c>
      <c r="H27" s="12">
        <v>4155</v>
      </c>
      <c r="I27" s="43">
        <v>0</v>
      </c>
      <c r="J27" s="12">
        <v>0</v>
      </c>
      <c r="K27" s="43">
        <v>0</v>
      </c>
      <c r="L27" s="12">
        <v>0</v>
      </c>
      <c r="M27" s="43"/>
      <c r="N27" s="43"/>
    </row>
    <row r="28" spans="1:14">
      <c r="B28" s="12"/>
      <c r="C28" s="46"/>
      <c r="D28" s="12"/>
      <c r="E28" s="44" t="s">
        <v>0</v>
      </c>
      <c r="F28" s="12"/>
      <c r="G28" s="43"/>
      <c r="H28" s="12"/>
      <c r="I28" s="46"/>
      <c r="J28" s="12"/>
      <c r="K28" s="46"/>
      <c r="L28" s="12"/>
      <c r="M28" s="43"/>
      <c r="N28" s="43"/>
    </row>
    <row r="29" spans="1:14">
      <c r="A29" t="s">
        <v>339</v>
      </c>
      <c r="B29" s="240"/>
      <c r="C29" s="46"/>
      <c r="D29" s="240"/>
      <c r="E29" s="44" t="s">
        <v>0</v>
      </c>
      <c r="F29" s="240"/>
      <c r="G29" s="43"/>
      <c r="H29" s="240"/>
      <c r="I29" s="46"/>
      <c r="J29" s="240"/>
      <c r="K29" s="46"/>
      <c r="L29" s="240"/>
      <c r="M29" s="43"/>
      <c r="N29" s="43"/>
    </row>
    <row r="30" spans="1:14" s="209" customFormat="1">
      <c r="A30" s="209" t="s">
        <v>340</v>
      </c>
      <c r="B30" s="16">
        <f>+B25-B27</f>
        <v>20738</v>
      </c>
      <c r="C30" s="46">
        <f>+(B30-D30)/ABS(D30)</f>
        <v>0.11783096162138854</v>
      </c>
      <c r="D30" s="16">
        <f>+D25-D27</f>
        <v>18552</v>
      </c>
      <c r="E30" s="44" t="s">
        <v>0</v>
      </c>
      <c r="F30" s="16">
        <f>+F25-F27</f>
        <v>56067</v>
      </c>
      <c r="G30" s="46">
        <f>+(F30-H30)/ABS(H30)</f>
        <v>-0.16773914863486766</v>
      </c>
      <c r="H30" s="16">
        <f>+H25-H27</f>
        <v>67367.099999999991</v>
      </c>
      <c r="I30" s="46">
        <f>+(H30-J30)/ABS(J30)</f>
        <v>0.14510889796584406</v>
      </c>
      <c r="J30" s="16">
        <f>+J25-J27</f>
        <v>58830.299999999996</v>
      </c>
      <c r="K30" s="46">
        <f>+(J30-L30)/ABS(L30)</f>
        <v>5.259551231242391E-2</v>
      </c>
      <c r="L30" s="16">
        <f>+L25-L27</f>
        <v>55890.700000000004</v>
      </c>
      <c r="M30" s="44"/>
      <c r="N30" s="44"/>
    </row>
    <row r="31" spans="1:14">
      <c r="B31" s="12"/>
      <c r="C31" s="46"/>
      <c r="D31" s="12"/>
      <c r="E31" s="44" t="s">
        <v>0</v>
      </c>
      <c r="F31" s="12"/>
      <c r="G31" s="43"/>
      <c r="H31" s="12"/>
      <c r="I31" s="46"/>
      <c r="J31" s="12"/>
      <c r="K31" s="46"/>
      <c r="L31" s="12"/>
      <c r="M31" s="43"/>
      <c r="N31" s="43"/>
    </row>
    <row r="32" spans="1:14">
      <c r="A32" t="s">
        <v>341</v>
      </c>
      <c r="B32" s="12"/>
      <c r="C32" s="46"/>
      <c r="D32" s="12"/>
      <c r="E32" s="44" t="s">
        <v>0</v>
      </c>
      <c r="F32" s="12"/>
      <c r="G32" s="43"/>
      <c r="H32" s="12"/>
      <c r="I32" s="46"/>
      <c r="J32" s="12"/>
      <c r="K32" s="46"/>
      <c r="L32" s="12"/>
      <c r="M32" s="43"/>
      <c r="N32" s="43"/>
    </row>
    <row r="33" spans="1:14">
      <c r="A33" t="s">
        <v>342</v>
      </c>
      <c r="B33" s="12">
        <f>+'SCOTIARÉSULT         '!R71</f>
        <v>8636</v>
      </c>
      <c r="C33" s="46">
        <f>+(B33-D33)/ABS(D33)</f>
        <v>1.8276146680815942E-2</v>
      </c>
      <c r="D33" s="12">
        <f>+'SCOTIARÉSULT         '!T71</f>
        <v>8481</v>
      </c>
      <c r="E33" s="44" t="s">
        <v>0</v>
      </c>
      <c r="F33" s="12">
        <f>+'SCOTIARÉSULT         '!U71</f>
        <v>25967</v>
      </c>
      <c r="G33" s="46">
        <f>+(F33-H33)/ABS(H33)</f>
        <v>0.25525702628754854</v>
      </c>
      <c r="H33" s="12">
        <v>20686.599999999999</v>
      </c>
      <c r="I33" s="46">
        <f>+(H33-J33)/ABS(J33)</f>
        <v>0.17769023193323219</v>
      </c>
      <c r="J33" s="12">
        <v>17565.400000000001</v>
      </c>
      <c r="K33" s="46">
        <f>+(J33-L33)/ABS(L33)</f>
        <v>0.15427429900707731</v>
      </c>
      <c r="L33" s="12">
        <v>15217.7</v>
      </c>
      <c r="M33" s="43"/>
      <c r="N33" s="43"/>
    </row>
    <row r="34" spans="1:14">
      <c r="A34" t="s">
        <v>343</v>
      </c>
      <c r="B34" s="12">
        <f>+'SCOTIARÉSULT         '!R72</f>
        <v>1482</v>
      </c>
      <c r="C34" s="46">
        <f>+(B34-D34)/ABS(D34)</f>
        <v>7.1583514099783085E-2</v>
      </c>
      <c r="D34" s="12">
        <f>+'SCOTIARÉSULT         '!T72</f>
        <v>1383</v>
      </c>
      <c r="E34" s="44" t="s">
        <v>0</v>
      </c>
      <c r="F34" s="12">
        <f>+'SCOTIARÉSULT         '!U72</f>
        <v>2143</v>
      </c>
      <c r="G34" s="46">
        <f>+(F34-H34)/ABS(H34)</f>
        <v>0.12540699506354372</v>
      </c>
      <c r="H34" s="12">
        <v>1904.2</v>
      </c>
      <c r="I34" s="46">
        <f>+(H34-J34)/ABS(J34)</f>
        <v>-4.7471362112950763E-2</v>
      </c>
      <c r="J34" s="12">
        <v>1999.1</v>
      </c>
      <c r="K34" s="46">
        <f>+(J34-L34)/ABS(L34)</f>
        <v>-0.17453959864563559</v>
      </c>
      <c r="L34" s="12">
        <v>2421.8000000000002</v>
      </c>
      <c r="M34" s="43"/>
      <c r="N34" s="43"/>
    </row>
    <row r="35" spans="1:14">
      <c r="A35" t="s">
        <v>344</v>
      </c>
      <c r="B35" s="12">
        <f>+'SCOTIARÉSULT         '!R73</f>
        <v>1381</v>
      </c>
      <c r="C35" s="46">
        <f>+(B35-D35)/ABS(D35)</f>
        <v>0.21034180543382996</v>
      </c>
      <c r="D35" s="12">
        <f>+'SCOTIARÉSULT         '!T73</f>
        <v>1141</v>
      </c>
      <c r="E35" s="44" t="s">
        <v>0</v>
      </c>
      <c r="F35" s="12">
        <f>+'SCOTIARÉSULT         '!U73</f>
        <v>6047</v>
      </c>
      <c r="G35" s="46">
        <f>+(F35-H35)/ABS(H35)</f>
        <v>0.43181871995832638</v>
      </c>
      <c r="H35" s="12">
        <v>4223.3</v>
      </c>
      <c r="I35" s="46">
        <f>+(H35-J35)/ABS(J35)</f>
        <v>2.040095018715808</v>
      </c>
      <c r="J35" s="12">
        <v>1389.2</v>
      </c>
      <c r="K35" s="46">
        <f>+(J35-L35)/ABS(L35)</f>
        <v>0.89212748569871969</v>
      </c>
      <c r="L35" s="12">
        <v>734.2</v>
      </c>
      <c r="M35" s="43"/>
      <c r="N35" s="43"/>
    </row>
    <row r="36" spans="1:14">
      <c r="A36" t="s">
        <v>345</v>
      </c>
      <c r="B36" s="240">
        <f>+'SCOTIARÉSULT         '!R74</f>
        <v>7047</v>
      </c>
      <c r="C36" s="46">
        <f>+(B36-D36)/ABS(D36)</f>
        <v>0.25906735751295334</v>
      </c>
      <c r="D36" s="240">
        <f>+'SCOTIARÉSULT         '!T74</f>
        <v>5597</v>
      </c>
      <c r="E36" s="44" t="s">
        <v>0</v>
      </c>
      <c r="F36" s="240">
        <f>+'SCOTIARÉSULT         '!U74</f>
        <v>19183</v>
      </c>
      <c r="G36" s="46">
        <f>+(F36-H36)/ABS(H36)</f>
        <v>3.9627570209952459E-2</v>
      </c>
      <c r="H36" s="240">
        <v>18451.8</v>
      </c>
      <c r="I36" s="46">
        <f>+(H36-J36)/ABS(J36)</f>
        <v>0.34399195868629401</v>
      </c>
      <c r="J36" s="240">
        <v>13729.1</v>
      </c>
      <c r="K36" s="46">
        <f>+(J36-L36)/ABS(L36)</f>
        <v>-4.4646398574878073E-2</v>
      </c>
      <c r="L36" s="240">
        <v>14370.7</v>
      </c>
      <c r="M36" s="43"/>
      <c r="N36" s="43"/>
    </row>
    <row r="37" spans="1:14" s="209" customFormat="1">
      <c r="B37" s="16">
        <f>SUM(B33:B36)</f>
        <v>18546</v>
      </c>
      <c r="C37" s="46">
        <f>+(B37-D37)/ABS(D37)</f>
        <v>0.11709432598482111</v>
      </c>
      <c r="D37" s="16">
        <f>SUM(D33:D36)</f>
        <v>16602</v>
      </c>
      <c r="E37" s="44" t="s">
        <v>0</v>
      </c>
      <c r="F37" s="16">
        <f>SUM(F33:F36)</f>
        <v>53340</v>
      </c>
      <c r="G37" s="46">
        <f>+(F37-H37)/ABS(H37)</f>
        <v>0.17837047313761589</v>
      </c>
      <c r="H37" s="16">
        <f>SUM(H33:H36)</f>
        <v>45265.899999999994</v>
      </c>
      <c r="I37" s="46">
        <f>+(H37-J37)/ABS(J37)</f>
        <v>0.3051397234364005</v>
      </c>
      <c r="J37" s="16">
        <f>SUM(J33:J36)</f>
        <v>34682.800000000003</v>
      </c>
      <c r="K37" s="46">
        <f>+(J37-L37)/ABS(L37)</f>
        <v>5.9197908650028747E-2</v>
      </c>
      <c r="L37" s="16">
        <f>SUM(L33:L36)</f>
        <v>32744.400000000001</v>
      </c>
      <c r="M37" s="44"/>
      <c r="N37" s="44"/>
    </row>
    <row r="38" spans="1:14">
      <c r="B38" s="249"/>
      <c r="C38" s="112"/>
      <c r="D38" s="249"/>
      <c r="E38" s="42"/>
      <c r="F38" s="249"/>
      <c r="G38" s="42"/>
      <c r="H38" s="249"/>
      <c r="I38" s="112"/>
      <c r="J38" s="249"/>
      <c r="K38" s="112"/>
      <c r="L38" s="249"/>
      <c r="M38" s="43"/>
      <c r="N38" s="43"/>
    </row>
    <row r="39" spans="1:14" s="209" customFormat="1">
      <c r="A39" s="209" t="s">
        <v>346</v>
      </c>
      <c r="B39" s="16">
        <f>+B30-B37</f>
        <v>2192</v>
      </c>
      <c r="C39" s="46">
        <f>+(B39-D39)/ABS(D39)</f>
        <v>0.12410256410256411</v>
      </c>
      <c r="D39" s="16">
        <f>+D30-D37</f>
        <v>1950</v>
      </c>
      <c r="E39" s="44" t="s">
        <v>0</v>
      </c>
      <c r="F39" s="16">
        <f>+F30-F37</f>
        <v>2727</v>
      </c>
      <c r="G39" s="46">
        <f>+(F39-H39)/ABS(H39)</f>
        <v>-0.87661303458635731</v>
      </c>
      <c r="H39" s="16">
        <f>+H30-H37</f>
        <v>22101.199999999997</v>
      </c>
      <c r="I39" s="46">
        <f>+(H39-J39)/ABS(J39)</f>
        <v>-8.4741691686509829E-2</v>
      </c>
      <c r="J39" s="16">
        <f>+J30-J37</f>
        <v>24147.499999999993</v>
      </c>
      <c r="K39" s="46">
        <f>+(J39-L39)/ABS(L39)</f>
        <v>4.3255293502632804E-2</v>
      </c>
      <c r="L39" s="16">
        <f>+L30-L37</f>
        <v>23146.300000000003</v>
      </c>
      <c r="M39" s="44"/>
      <c r="N39" s="44"/>
    </row>
    <row r="40" spans="1:14">
      <c r="B40" s="12"/>
      <c r="C40" s="46"/>
      <c r="D40" s="12"/>
      <c r="E40" s="44" t="s">
        <v>0</v>
      </c>
      <c r="F40" s="12"/>
      <c r="G40" s="46"/>
      <c r="H40" s="12"/>
      <c r="I40" s="46"/>
      <c r="J40" s="12"/>
      <c r="K40" s="46"/>
      <c r="L40" s="12"/>
      <c r="M40" s="43"/>
      <c r="N40" s="43"/>
    </row>
    <row r="41" spans="1:14">
      <c r="A41" t="s">
        <v>347</v>
      </c>
      <c r="B41" s="12">
        <f>+'SCOTIARÉSULT         '!R79</f>
        <v>951</v>
      </c>
      <c r="C41" s="46">
        <f>+(B41-D41)/ABS(D41)</f>
        <v>0.35277382645803701</v>
      </c>
      <c r="D41" s="12">
        <f>+'SCOTIARÉSULT         '!T79</f>
        <v>703</v>
      </c>
      <c r="E41" s="44" t="s">
        <v>0</v>
      </c>
      <c r="F41" s="12">
        <f>+'SCOTIARÉSULT         '!U79</f>
        <v>6945</v>
      </c>
      <c r="G41" s="104">
        <f>+(F41-H41)/ABS(H41)</f>
        <v>-1.5186965584719495E-2</v>
      </c>
      <c r="H41" s="12">
        <v>7052.1</v>
      </c>
      <c r="I41" s="943">
        <f>+(H41-J41)/ABS(J41)</f>
        <v>23506</v>
      </c>
      <c r="J41" s="12">
        <v>0.3</v>
      </c>
      <c r="K41" s="46">
        <f>+(J41-L41)/ABS(L41)</f>
        <v>2.5</v>
      </c>
      <c r="L41" s="12">
        <v>-0.2</v>
      </c>
      <c r="M41" s="43"/>
      <c r="N41" s="43"/>
    </row>
    <row r="42" spans="1:14" ht="16.5" thickBot="1">
      <c r="B42" s="76"/>
      <c r="C42" s="46"/>
      <c r="D42" s="76"/>
      <c r="E42" s="44" t="s">
        <v>0</v>
      </c>
      <c r="F42" s="76"/>
      <c r="G42" s="46"/>
      <c r="H42" s="76"/>
      <c r="I42" s="46"/>
      <c r="J42" s="76"/>
      <c r="K42" s="46"/>
      <c r="L42" s="76"/>
      <c r="M42" s="43"/>
      <c r="N42" s="43"/>
    </row>
    <row r="43" spans="1:14">
      <c r="A43" s="2" t="s">
        <v>427</v>
      </c>
      <c r="B43" s="4">
        <f>+B39-B41</f>
        <v>1241</v>
      </c>
      <c r="C43" s="112">
        <f>+(B43-D43)/ABS(D43)</f>
        <v>-4.8115477145148355E-3</v>
      </c>
      <c r="D43" s="4">
        <f>+D39-D41</f>
        <v>1247</v>
      </c>
      <c r="E43" s="42" t="s">
        <v>0</v>
      </c>
      <c r="F43" s="4">
        <f>+F39-F41</f>
        <v>-4218</v>
      </c>
      <c r="G43" s="112">
        <f>+(F43-H43)/ABS(H43)</f>
        <v>-1.2802825418131318</v>
      </c>
      <c r="H43" s="4">
        <f>+H39-H41</f>
        <v>15049.099999999997</v>
      </c>
      <c r="I43" s="112">
        <f>+(H43-J43)/ABS(J43)</f>
        <v>-0.37677660349854225</v>
      </c>
      <c r="J43" s="4">
        <f>+J39-J41</f>
        <v>24147.199999999993</v>
      </c>
      <c r="K43" s="112">
        <f>+(J43-L43)/ABS(L43)</f>
        <v>4.3233318212256268E-2</v>
      </c>
      <c r="L43" s="4">
        <f>+L39-L41</f>
        <v>23146.500000000004</v>
      </c>
      <c r="M43" s="43"/>
      <c r="N43" s="43"/>
    </row>
    <row r="44" spans="1:14">
      <c r="E44" t="s">
        <v>0</v>
      </c>
    </row>
    <row r="45" spans="1:14">
      <c r="E45" t="s">
        <v>0</v>
      </c>
    </row>
  </sheetData>
  <pageMargins left="0.43" right="0.49" top="0.84" bottom="0.75" header="0.5" footer="0.5"/>
  <pageSetup scale="62" orientation="landscape" r:id="rId1"/>
  <headerFooter alignWithMargins="0">
    <oddFooter>&amp;R&amp;P</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7"/>
  <sheetViews>
    <sheetView workbookViewId="0"/>
  </sheetViews>
  <sheetFormatPr defaultRowHeight="15.75"/>
  <cols>
    <col min="1" max="1" width="33.5" customWidth="1"/>
    <col min="2" max="2" width="14.75" customWidth="1"/>
    <col min="3" max="3" width="12.75" customWidth="1"/>
    <col min="4" max="4" width="12.5" customWidth="1"/>
    <col min="5" max="5" width="13.75" customWidth="1"/>
    <col min="6" max="6" width="15.125" customWidth="1"/>
    <col min="7" max="7" width="8.875" customWidth="1"/>
    <col min="8" max="8" width="14.25" customWidth="1"/>
    <col min="9" max="9" width="12.875" customWidth="1"/>
    <col min="10" max="10" width="14.5" customWidth="1"/>
    <col min="11" max="11" width="13.125" customWidth="1"/>
    <col min="12" max="12" width="14.875" customWidth="1"/>
    <col min="13" max="13" width="11" customWidth="1"/>
    <col min="14" max="14" width="13.75" customWidth="1"/>
    <col min="15" max="15" width="13.5" customWidth="1"/>
    <col min="16" max="16" width="16" customWidth="1"/>
    <col min="17" max="17" width="11" customWidth="1"/>
    <col min="18" max="18" width="15.875" customWidth="1"/>
    <col min="19" max="19" width="11" customWidth="1"/>
    <col min="20" max="20" width="15.875" customWidth="1"/>
    <col min="21" max="256" width="11" customWidth="1"/>
  </cols>
  <sheetData>
    <row r="1" spans="1:27">
      <c r="A1" s="114" t="s">
        <v>638</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166</v>
      </c>
      <c r="J4" s="175" t="s">
        <v>167</v>
      </c>
      <c r="K4" s="176"/>
      <c r="L4" s="176"/>
      <c r="M4" s="176"/>
      <c r="N4" s="176"/>
      <c r="O4" s="176"/>
      <c r="P4" s="176"/>
    </row>
    <row r="5" spans="1:27" ht="16.5" thickBot="1">
      <c r="B5" s="174" t="s">
        <v>168</v>
      </c>
      <c r="C5" s="174" t="s">
        <v>169</v>
      </c>
      <c r="D5" s="173" t="s">
        <v>170</v>
      </c>
      <c r="E5" s="174" t="s">
        <v>169</v>
      </c>
      <c r="F5" s="173" t="s">
        <v>171</v>
      </c>
      <c r="G5" s="174" t="s">
        <v>169</v>
      </c>
      <c r="H5" s="174" t="s">
        <v>172</v>
      </c>
      <c r="I5" s="173" t="s">
        <v>173</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+socabkvar!B22</f>
        <v>2520617.6999999997</v>
      </c>
      <c r="C11" s="57">
        <v>0</v>
      </c>
      <c r="D11" s="12">
        <f>+socabkvar!D22</f>
        <v>0</v>
      </c>
      <c r="E11" s="57">
        <v>0</v>
      </c>
      <c r="F11" s="43">
        <f>+socabkvar!F22</f>
        <v>0</v>
      </c>
      <c r="G11" s="57">
        <v>0</v>
      </c>
      <c r="H11" s="43">
        <f>+socabkvar!H22</f>
        <v>0</v>
      </c>
      <c r="I11" s="46">
        <f>+(B11-J11)/ABS(J11)</f>
        <v>9.8739387830441505E-2</v>
      </c>
      <c r="J11" s="12">
        <f>+socabkvar!J22</f>
        <v>2294099.7000000002</v>
      </c>
      <c r="K11" s="46">
        <f>+(-L11+J11)/ABS(L11)</f>
        <v>0.52970308913247199</v>
      </c>
      <c r="L11" s="12">
        <f>+socabkvar!L22</f>
        <v>1499702.6</v>
      </c>
      <c r="M11" s="46">
        <f>+(-N11+L11)/ABS(N11)</f>
        <v>0.46974407171421345</v>
      </c>
      <c r="N11" s="12">
        <f>+socabkvar!N22</f>
        <v>1020383.5</v>
      </c>
      <c r="O11" s="46">
        <f>+(-P11+N11)/ABS(P11)</f>
        <v>0.83068892245203974</v>
      </c>
      <c r="P11" s="12">
        <f>+socabkvar!P22</f>
        <v>557376.78175999993</v>
      </c>
      <c r="Q11" s="43"/>
      <c r="R11" s="43"/>
      <c r="S11" s="43"/>
      <c r="T11" s="43"/>
      <c r="U11" s="43"/>
      <c r="V11" s="43"/>
      <c r="W11" s="43"/>
      <c r="X11" s="43"/>
      <c r="Y11" s="43"/>
      <c r="Z11" s="43"/>
      <c r="AA11" s="43"/>
    </row>
    <row r="12" spans="1:27">
      <c r="A12" t="s">
        <v>181</v>
      </c>
      <c r="B12" s="12">
        <f>+socabkvar!B17</f>
        <v>50000</v>
      </c>
      <c r="C12" s="57">
        <v>0</v>
      </c>
      <c r="D12" s="12">
        <f>+socabkvar!D17</f>
        <v>0</v>
      </c>
      <c r="E12" s="57">
        <v>0</v>
      </c>
      <c r="F12" s="12">
        <f>+socabkvar!F17</f>
        <v>0</v>
      </c>
      <c r="G12" s="57">
        <v>0</v>
      </c>
      <c r="H12" s="12">
        <f>+socabkvar!H17</f>
        <v>0</v>
      </c>
      <c r="I12" s="46">
        <f>+(B12-J12)/ABS(J12)</f>
        <v>-0.89795918367346939</v>
      </c>
      <c r="J12" s="12">
        <f>+socabkvar!J17</f>
        <v>490000</v>
      </c>
      <c r="K12" s="46">
        <f>+(-L12+J12)/ABS(L12)</f>
        <v>7.166666666666667</v>
      </c>
      <c r="L12" s="12">
        <f>+socabkvar!L17</f>
        <v>60000</v>
      </c>
      <c r="M12" s="43">
        <v>0</v>
      </c>
      <c r="N12" s="12">
        <v>0</v>
      </c>
      <c r="O12" s="43">
        <v>0</v>
      </c>
      <c r="P12" s="12">
        <v>0</v>
      </c>
      <c r="Q12" s="43"/>
      <c r="R12" s="43"/>
      <c r="S12" s="43"/>
      <c r="T12" s="43"/>
      <c r="U12" s="43"/>
      <c r="V12" s="43"/>
      <c r="W12" s="43"/>
      <c r="X12" s="43"/>
      <c r="Y12" s="43"/>
      <c r="Z12" s="43"/>
      <c r="AA12" s="43"/>
    </row>
    <row r="13" spans="1:27">
      <c r="A13" t="s">
        <v>182</v>
      </c>
      <c r="B13" s="12">
        <f>+socabkvar!B19</f>
        <v>1484208</v>
      </c>
      <c r="C13" s="57">
        <v>0</v>
      </c>
      <c r="D13" s="12">
        <f>+socabkvar!D19</f>
        <v>0</v>
      </c>
      <c r="E13" s="57">
        <v>0</v>
      </c>
      <c r="F13" s="43">
        <f>+socabkvar!F19</f>
        <v>0</v>
      </c>
      <c r="G13" s="57">
        <v>0</v>
      </c>
      <c r="H13" s="43">
        <f>+socabkvar!H19</f>
        <v>0</v>
      </c>
      <c r="I13" s="46">
        <f>+(B13-J13)/ABS(J13)</f>
        <v>0.20167712481230471</v>
      </c>
      <c r="J13" s="12">
        <f>+socabkvar!J19</f>
        <v>1235113.8</v>
      </c>
      <c r="K13" s="46">
        <f>+(-L13+J13)/ABS(L13)</f>
        <v>0.44886771742714654</v>
      </c>
      <c r="L13" s="12">
        <f>+socabkvar!L19</f>
        <v>852468.3</v>
      </c>
      <c r="M13" s="46">
        <f>+(-N13+L13)/ABS(N13)</f>
        <v>0.6513166955778904</v>
      </c>
      <c r="N13" s="12">
        <f>+socabkvar!N19</f>
        <v>516235.5</v>
      </c>
      <c r="O13" s="46">
        <f>+(-P13+N13)/ABS(P13)</f>
        <v>0.81823995815553507</v>
      </c>
      <c r="P13" s="12">
        <f>+socabkvar!P19</f>
        <v>283920.44607999997</v>
      </c>
      <c r="Q13" s="43"/>
      <c r="R13" s="43"/>
      <c r="S13" s="43"/>
      <c r="T13" s="43"/>
      <c r="U13" s="43"/>
      <c r="V13" s="43"/>
      <c r="W13" s="43"/>
      <c r="X13" s="43"/>
      <c r="Y13" s="43"/>
      <c r="Z13" s="43"/>
      <c r="AA13" s="43"/>
    </row>
    <row r="14" spans="1:27">
      <c r="A14" t="s">
        <v>183</v>
      </c>
      <c r="B14" s="12">
        <f>+socabkvar!B29</f>
        <v>2284054.7999999998</v>
      </c>
      <c r="C14" s="57">
        <v>0</v>
      </c>
      <c r="D14" s="12">
        <f>+socabkvar!D29</f>
        <v>0</v>
      </c>
      <c r="E14" s="57">
        <v>0</v>
      </c>
      <c r="F14" s="43">
        <f>+socabkvar!F29</f>
        <v>0</v>
      </c>
      <c r="G14" s="57">
        <v>0</v>
      </c>
      <c r="H14" s="43">
        <f>+socabkvar!H29</f>
        <v>0</v>
      </c>
      <c r="I14" s="46">
        <f>+(B14-J14)/ABS(J14)</f>
        <v>0.13224603968774146</v>
      </c>
      <c r="J14" s="12">
        <f>+socabkvar!J29</f>
        <v>2017277.8</v>
      </c>
      <c r="K14" s="46">
        <f>+(-L14+J14)/ABS(L14)</f>
        <v>0.50743349318994679</v>
      </c>
      <c r="L14" s="12">
        <f>+socabkvar!L29</f>
        <v>1338220.1000000001</v>
      </c>
      <c r="M14" s="46">
        <f>+(-N14+L14)/ABS(N14)</f>
        <v>0.50053541690307268</v>
      </c>
      <c r="N14" s="12">
        <f>+socabkvar!N29</f>
        <v>891828.39999999991</v>
      </c>
      <c r="O14" s="46">
        <f>+(-P14+N14)/ABS(P14)</f>
        <v>0.81788722479730958</v>
      </c>
      <c r="P14" s="12">
        <f>+socabkvar!P29</f>
        <v>490585.10771999997</v>
      </c>
      <c r="Q14" s="43"/>
      <c r="R14" s="43"/>
      <c r="S14" s="43"/>
      <c r="T14" s="43"/>
      <c r="U14" s="43"/>
      <c r="V14" s="43"/>
      <c r="W14" s="43"/>
      <c r="X14" s="43"/>
      <c r="Y14" s="43"/>
      <c r="Z14" s="43"/>
      <c r="AA14" s="43"/>
    </row>
    <row r="15" spans="1:27">
      <c r="A15" t="s">
        <v>184</v>
      </c>
      <c r="B15" s="12">
        <f>+socabkvar!B51</f>
        <v>122955.29999999999</v>
      </c>
      <c r="C15" s="57">
        <v>0</v>
      </c>
      <c r="D15" s="12">
        <f>+socabkvar!D51</f>
        <v>0</v>
      </c>
      <c r="E15" s="57">
        <v>0</v>
      </c>
      <c r="F15" s="43">
        <f>+socabkvar!F51</f>
        <v>0</v>
      </c>
      <c r="G15" s="57">
        <v>0</v>
      </c>
      <c r="H15" s="43">
        <f>+socabkvar!H51</f>
        <v>0</v>
      </c>
      <c r="I15" s="46">
        <f>+(B15-J15)/ABS(J15)</f>
        <v>7.7446627286134537E-2</v>
      </c>
      <c r="J15" s="12">
        <f>+socabkvar!J51</f>
        <v>114117.29999999999</v>
      </c>
      <c r="K15" s="46">
        <f>+(-L15+J15)/ABS(L15)</f>
        <v>0.3672489872988523</v>
      </c>
      <c r="L15" s="12">
        <f>+socabkvar!L51</f>
        <v>83464.900000000009</v>
      </c>
      <c r="M15" s="46">
        <f>+(-N15+L15)/ABS(N15)</f>
        <v>0.60217334551625146</v>
      </c>
      <c r="N15" s="12">
        <f>+socabkvar!N51</f>
        <v>52094.799999999996</v>
      </c>
      <c r="O15" s="46">
        <f>+(-P15+N15)/ABS(P15)</f>
        <v>1.0275657028260567</v>
      </c>
      <c r="P15" s="12">
        <f>+socabkvar!P51</f>
        <v>25693.273429999997</v>
      </c>
      <c r="Q15" s="43"/>
      <c r="R15" s="43"/>
      <c r="S15" s="43"/>
      <c r="T15" s="43"/>
      <c r="U15" s="43"/>
      <c r="V15" s="43"/>
      <c r="W15" s="43"/>
      <c r="X15" s="43"/>
      <c r="Y15" s="43"/>
      <c r="Z15" s="43"/>
      <c r="AA15" s="43"/>
    </row>
    <row r="16" spans="1:27" ht="8.4499999999999993" customHeight="1">
      <c r="B16" s="12"/>
      <c r="C16" s="43"/>
      <c r="D16" s="43"/>
      <c r="E16" s="43"/>
      <c r="F16" s="43"/>
      <c r="G16" s="43"/>
      <c r="H16" s="43"/>
      <c r="I16" s="43"/>
      <c r="J16" s="12"/>
      <c r="K16" s="46"/>
      <c r="L16" s="12"/>
      <c r="M16" s="43"/>
      <c r="N16" s="12"/>
      <c r="O16" s="43"/>
      <c r="P16" s="12"/>
      <c r="Q16" s="43"/>
      <c r="R16" s="43"/>
      <c r="S16" s="43"/>
      <c r="T16" s="43"/>
      <c r="U16" s="43"/>
      <c r="V16" s="43"/>
      <c r="W16" s="43"/>
      <c r="X16" s="43"/>
      <c r="Y16" s="43"/>
      <c r="Z16" s="43"/>
      <c r="AA16" s="43"/>
    </row>
    <row r="17" spans="1:27" ht="16.5" thickBot="1">
      <c r="B17" s="187"/>
      <c r="C17" s="187"/>
      <c r="D17" s="187"/>
      <c r="E17" s="187"/>
      <c r="F17" s="187"/>
      <c r="G17" s="187"/>
      <c r="H17" s="187"/>
      <c r="I17" s="187"/>
      <c r="J17" s="187"/>
      <c r="K17" s="187"/>
      <c r="L17" s="187"/>
      <c r="M17" s="187"/>
      <c r="N17" s="187"/>
      <c r="O17" s="187"/>
      <c r="P17" s="187"/>
      <c r="Q17" s="43"/>
      <c r="R17" s="43"/>
      <c r="S17" s="43"/>
      <c r="T17" s="43"/>
      <c r="U17" s="43"/>
      <c r="V17" s="43"/>
      <c r="W17" s="43"/>
      <c r="X17" s="43"/>
      <c r="Y17" s="43"/>
      <c r="Z17" s="43"/>
      <c r="AA17" s="43"/>
    </row>
    <row r="18" spans="1:27">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row>
    <row r="19" spans="1:27">
      <c r="B19" s="51" t="s">
        <v>185</v>
      </c>
      <c r="C19" s="43"/>
      <c r="D19" s="51" t="s">
        <v>174</v>
      </c>
      <c r="E19" s="43"/>
      <c r="F19" s="51" t="s">
        <v>185</v>
      </c>
      <c r="G19" s="43"/>
      <c r="H19" s="51" t="s">
        <v>174</v>
      </c>
      <c r="I19" s="43"/>
      <c r="J19" s="51" t="s">
        <v>185</v>
      </c>
      <c r="K19" s="43"/>
      <c r="L19" s="51" t="s">
        <v>174</v>
      </c>
      <c r="M19" s="43"/>
      <c r="N19" s="51" t="s">
        <v>185</v>
      </c>
      <c r="O19" s="43"/>
      <c r="P19" s="51" t="s">
        <v>174</v>
      </c>
      <c r="Q19" s="43"/>
      <c r="R19" s="51" t="s">
        <v>185</v>
      </c>
      <c r="S19" s="43"/>
      <c r="T19" s="51" t="s">
        <v>174</v>
      </c>
      <c r="U19" s="43"/>
      <c r="V19" s="43"/>
      <c r="W19" s="43"/>
      <c r="X19" s="43"/>
      <c r="Y19" s="43"/>
      <c r="Z19" s="43"/>
      <c r="AA19" s="43"/>
    </row>
    <row r="20" spans="1:27">
      <c r="B20" s="50" t="s">
        <v>186</v>
      </c>
      <c r="C20" s="50" t="s">
        <v>169</v>
      </c>
      <c r="D20" s="50" t="s">
        <v>186</v>
      </c>
      <c r="E20" s="43"/>
      <c r="F20" s="50" t="s">
        <v>187</v>
      </c>
      <c r="G20" s="50" t="s">
        <v>169</v>
      </c>
      <c r="H20" s="50" t="s">
        <v>187</v>
      </c>
      <c r="I20" s="43"/>
      <c r="J20" s="50" t="s">
        <v>188</v>
      </c>
      <c r="K20" s="50" t="s">
        <v>169</v>
      </c>
      <c r="L20" s="50" t="s">
        <v>188</v>
      </c>
      <c r="M20" s="43"/>
      <c r="N20" s="50" t="s">
        <v>189</v>
      </c>
      <c r="O20" s="50" t="s">
        <v>169</v>
      </c>
      <c r="P20" s="50" t="s">
        <v>189</v>
      </c>
      <c r="Q20" s="43"/>
      <c r="R20" s="50" t="s">
        <v>190</v>
      </c>
      <c r="S20" s="50" t="s">
        <v>169</v>
      </c>
      <c r="T20" s="50" t="s">
        <v>190</v>
      </c>
      <c r="U20" s="43"/>
      <c r="V20" s="43"/>
      <c r="W20" s="43"/>
      <c r="X20" s="43"/>
      <c r="Y20" s="43"/>
      <c r="Z20" s="43"/>
      <c r="AA20" s="43"/>
    </row>
    <row r="21" spans="1:27" ht="16.5" thickBot="1">
      <c r="B21" s="326" t="s">
        <v>191</v>
      </c>
      <c r="C21" s="326"/>
      <c r="D21" s="326" t="s">
        <v>192</v>
      </c>
      <c r="E21" s="208"/>
      <c r="F21" s="326" t="s">
        <v>193</v>
      </c>
      <c r="G21" s="326"/>
      <c r="H21" s="326" t="s">
        <v>194</v>
      </c>
      <c r="I21" s="208"/>
      <c r="J21" s="326" t="s">
        <v>195</v>
      </c>
      <c r="K21" s="326"/>
      <c r="L21" s="326" t="s">
        <v>196</v>
      </c>
      <c r="M21" s="208"/>
      <c r="N21" s="326" t="s">
        <v>197</v>
      </c>
      <c r="O21" s="326"/>
      <c r="P21" s="326" t="s">
        <v>198</v>
      </c>
      <c r="Q21" s="208"/>
      <c r="R21" s="326" t="s">
        <v>199</v>
      </c>
      <c r="S21" s="326"/>
      <c r="T21" s="326" t="s">
        <v>200</v>
      </c>
      <c r="U21" s="43"/>
      <c r="V21" s="43"/>
      <c r="W21" s="43"/>
      <c r="X21" s="43"/>
      <c r="Y21" s="43"/>
      <c r="Z21" s="43"/>
      <c r="AA21" s="43"/>
    </row>
    <row r="22" spans="1:27">
      <c r="A22" s="2" t="s">
        <v>52</v>
      </c>
      <c r="B22" s="43"/>
      <c r="C22" s="43"/>
      <c r="D22" s="43"/>
      <c r="E22" s="43"/>
      <c r="F22" s="43"/>
      <c r="G22" s="43"/>
      <c r="H22" s="43"/>
      <c r="I22" s="43"/>
      <c r="J22" s="43"/>
      <c r="K22" s="43"/>
      <c r="L22" s="43"/>
      <c r="M22" s="43"/>
      <c r="N22" s="43"/>
      <c r="O22" s="43"/>
      <c r="P22" s="43"/>
      <c r="Q22" s="43"/>
      <c r="R22" s="43"/>
      <c r="S22" s="47" t="s">
        <v>0</v>
      </c>
      <c r="T22" s="43"/>
      <c r="U22" s="43"/>
      <c r="V22" s="43"/>
      <c r="W22" s="43"/>
      <c r="X22" s="43"/>
      <c r="Y22" s="43"/>
      <c r="Z22" s="43"/>
      <c r="AA22" s="43"/>
    </row>
    <row r="23" spans="1:27">
      <c r="A23" t="s">
        <v>201</v>
      </c>
      <c r="B23" s="12">
        <f>+SOCABKRÉSULT!B15</f>
        <v>19733.099999999999</v>
      </c>
      <c r="C23" s="46">
        <f>+(-D23+B23)/ABS(D23)</f>
        <v>0.59356375676330442</v>
      </c>
      <c r="D23" s="12">
        <f>+SOCABKRÉSULT!D55</f>
        <v>12383</v>
      </c>
      <c r="E23" s="43"/>
      <c r="F23" s="43">
        <f>+SOCABKRÉSULT!D15</f>
        <v>0</v>
      </c>
      <c r="G23" s="43">
        <v>0</v>
      </c>
      <c r="H23" s="12">
        <f>+SOCABKRÉSULT!H55</f>
        <v>10839.30000000001</v>
      </c>
      <c r="I23" s="43"/>
      <c r="J23" s="43">
        <f>+SOCABKRÉSULT!F15</f>
        <v>0</v>
      </c>
      <c r="K23" s="43">
        <v>0</v>
      </c>
      <c r="L23" s="12">
        <f>+SOCABKRÉSULT!L55</f>
        <v>15986.900000000009</v>
      </c>
      <c r="M23" s="43"/>
      <c r="N23" s="43">
        <f>+SOCABKRÉSULT!H15</f>
        <v>0</v>
      </c>
      <c r="O23" s="43">
        <v>0</v>
      </c>
      <c r="P23" s="12">
        <f>+SOCABKRÉSULT!P55</f>
        <v>15521.900000000001</v>
      </c>
      <c r="Q23" s="43"/>
      <c r="R23" s="12">
        <f>+SOCABKRÉSULT!R55</f>
        <v>19733.099999999999</v>
      </c>
      <c r="S23" s="46">
        <f>+(-T23+R23)/ABS(T23)</f>
        <v>0.59356375676330442</v>
      </c>
      <c r="T23" s="12">
        <f>+SOCABKRÉSULT!T55</f>
        <v>12383</v>
      </c>
      <c r="U23" s="43"/>
      <c r="V23" s="43"/>
      <c r="W23" s="43"/>
      <c r="X23" s="43"/>
      <c r="Y23" s="43"/>
      <c r="Z23" s="43"/>
      <c r="AA23" s="43"/>
    </row>
    <row r="24" spans="1:27">
      <c r="A24" t="s">
        <v>202</v>
      </c>
      <c r="B24" s="12">
        <f>+SOCABKRÉSULT!B21</f>
        <v>12178.900000000001</v>
      </c>
      <c r="C24" s="46">
        <f>+(-D24+B24)/ABS(D24)</f>
        <v>5.8869046584013131E-2</v>
      </c>
      <c r="D24" s="12">
        <f>+SOCABKRÉSULT!D61</f>
        <v>11501.8</v>
      </c>
      <c r="E24" s="43"/>
      <c r="F24" s="43">
        <f>+SOCABKRÉSULT!D21</f>
        <v>0</v>
      </c>
      <c r="G24" s="43">
        <v>0</v>
      </c>
      <c r="H24" s="12">
        <f>+SOCABKRÉSULT!H61</f>
        <v>10695.5</v>
      </c>
      <c r="I24" s="43"/>
      <c r="J24" s="43">
        <f>+SOCABKRÉSULT!F21</f>
        <v>0</v>
      </c>
      <c r="K24" s="43">
        <v>0</v>
      </c>
      <c r="L24" s="12">
        <f>+SOCABKRÉSULT!L61</f>
        <v>12436.9</v>
      </c>
      <c r="M24" s="43"/>
      <c r="N24" s="43">
        <f>+SOCABKRÉSULT!H21</f>
        <v>0</v>
      </c>
      <c r="O24" s="43">
        <v>0</v>
      </c>
      <c r="P24" s="12">
        <f>+SOCABKRÉSULT!P61</f>
        <v>17673.599999999999</v>
      </c>
      <c r="Q24" s="43"/>
      <c r="R24" s="12">
        <f>+SOCABKRÉSULT!R61</f>
        <v>12178.900000000001</v>
      </c>
      <c r="S24" s="46">
        <f>+(-T24+R24)/ABS(T24)</f>
        <v>5.8869046584013131E-2</v>
      </c>
      <c r="T24" s="12">
        <f>+SOCABKRÉSULT!T61</f>
        <v>11501.8</v>
      </c>
      <c r="U24" s="43"/>
      <c r="V24" s="43"/>
      <c r="W24" s="43"/>
      <c r="X24" s="43"/>
      <c r="Y24" s="43"/>
      <c r="Z24" s="43"/>
      <c r="AA24" s="43"/>
    </row>
    <row r="25" spans="1:27">
      <c r="A25" t="s">
        <v>447</v>
      </c>
      <c r="B25" s="12">
        <f>+SOCABKRÉSULT!B25</f>
        <v>2300</v>
      </c>
      <c r="C25" s="46">
        <f>+(-D25+B25)/ABS(D25)</f>
        <v>-0.28125</v>
      </c>
      <c r="D25" s="12">
        <f>+SOCABKRÉSULT!D65</f>
        <v>3200</v>
      </c>
      <c r="E25" s="43"/>
      <c r="F25" s="43">
        <f>+SOCABKRÉSULT!D25</f>
        <v>0</v>
      </c>
      <c r="G25" s="43">
        <v>0</v>
      </c>
      <c r="H25" s="12">
        <f>+SOCABKRÉSULT!H65</f>
        <v>2800</v>
      </c>
      <c r="I25" s="43"/>
      <c r="J25" s="43">
        <f>+SOCABKRÉSULT!F25</f>
        <v>0</v>
      </c>
      <c r="K25" s="43">
        <v>0</v>
      </c>
      <c r="L25" s="12">
        <f>+SOCABKRÉSULT!L65</f>
        <v>4500</v>
      </c>
      <c r="M25" s="43"/>
      <c r="N25" s="43">
        <f>+SOCABKRÉSULT!H25</f>
        <v>0</v>
      </c>
      <c r="O25" s="43">
        <v>0</v>
      </c>
      <c r="P25" s="12">
        <f>+SOCABKRÉSULT!P65</f>
        <v>2500</v>
      </c>
      <c r="Q25" s="43"/>
      <c r="R25" s="12">
        <f>+SOCABKRÉSULT!R65</f>
        <v>2300</v>
      </c>
      <c r="S25" s="46">
        <f>+(-T25+R25)/ABS(T25)</f>
        <v>-0.28125</v>
      </c>
      <c r="T25" s="12">
        <f>+SOCABKRÉSULT!T65</f>
        <v>3200</v>
      </c>
      <c r="U25" s="43"/>
      <c r="V25" s="43"/>
      <c r="W25" s="43"/>
      <c r="X25" s="43"/>
      <c r="Y25" s="43"/>
      <c r="Z25" s="43"/>
      <c r="AA25" s="43"/>
    </row>
    <row r="26" spans="1:27">
      <c r="A26" t="s">
        <v>204</v>
      </c>
      <c r="B26" s="12">
        <f>+SOCABKRÉSULT!B35</f>
        <v>23108</v>
      </c>
      <c r="C26" s="46">
        <f>+(-D26+B26)/ABS(D26)</f>
        <v>0.27983163025117003</v>
      </c>
      <c r="D26" s="12">
        <f>+SOCABKRÉSULT!D75</f>
        <v>18055.5</v>
      </c>
      <c r="E26" s="43"/>
      <c r="F26" s="43">
        <f>+SOCABKRÉSULT!D35</f>
        <v>0</v>
      </c>
      <c r="G26" s="43">
        <v>0</v>
      </c>
      <c r="H26" s="12">
        <f>+SOCABKRÉSULT!H75</f>
        <v>16457.300000000003</v>
      </c>
      <c r="I26" s="43"/>
      <c r="J26" s="43">
        <f>+SOCABKRÉSULT!F35</f>
        <v>0</v>
      </c>
      <c r="K26" s="43">
        <v>0</v>
      </c>
      <c r="L26" s="12">
        <f>+SOCABKRÉSULT!L75</f>
        <v>17777.5</v>
      </c>
      <c r="M26" s="43"/>
      <c r="N26" s="43">
        <f>+SOCABKRÉSULT!H35</f>
        <v>0</v>
      </c>
      <c r="O26" s="43">
        <v>0</v>
      </c>
      <c r="P26" s="12">
        <f>+SOCABKRÉSULT!P75</f>
        <v>21160.899999999998</v>
      </c>
      <c r="Q26" s="43"/>
      <c r="R26" s="12">
        <f>+SOCABKRÉSULT!R75</f>
        <v>23108</v>
      </c>
      <c r="S26" s="46">
        <f>+(-T26+R26)/ABS(T26)</f>
        <v>0.27983163025117003</v>
      </c>
      <c r="T26" s="12">
        <f>+SOCABKRÉSULT!T75</f>
        <v>18055.5</v>
      </c>
      <c r="U26" s="43"/>
      <c r="V26" s="43"/>
      <c r="W26" s="43"/>
      <c r="X26" s="43"/>
      <c r="Y26" s="43"/>
      <c r="Z26" s="43"/>
      <c r="AA26" s="43"/>
    </row>
    <row r="27" spans="1:27">
      <c r="A27" t="s">
        <v>448</v>
      </c>
      <c r="B27" s="12">
        <f>+SOCABKRÉSULT!B41</f>
        <v>5804</v>
      </c>
      <c r="C27" s="46">
        <f>+(-D27+B27)/ABS(D27)</f>
        <v>2.0883839727558144</v>
      </c>
      <c r="D27" s="12">
        <f>+SOCABKRÉSULT!D81</f>
        <v>1879.2999999999993</v>
      </c>
      <c r="E27" s="43"/>
      <c r="F27" s="43">
        <f>+SOCABKRÉSULT!D41</f>
        <v>0</v>
      </c>
      <c r="G27" s="43">
        <v>0</v>
      </c>
      <c r="H27" s="12">
        <f>+SOCABKRÉSULT!H81</f>
        <v>1942.5000000000073</v>
      </c>
      <c r="I27" s="43"/>
      <c r="J27" s="43">
        <f>+SOCABKRÉSULT!F41</f>
        <v>0</v>
      </c>
      <c r="K27" s="43">
        <v>0</v>
      </c>
      <c r="L27" s="12">
        <f>+SOCABKRÉSULT!L81</f>
        <v>4996.3000000000102</v>
      </c>
      <c r="M27" s="43"/>
      <c r="N27" s="43">
        <f>+SOCABKRÉSULT!H41</f>
        <v>0</v>
      </c>
      <c r="O27" s="43">
        <v>0</v>
      </c>
      <c r="P27" s="12">
        <f>+SOCABKRÉSULT!P81</f>
        <v>8279.6000000000022</v>
      </c>
      <c r="Q27" s="43"/>
      <c r="R27" s="12">
        <f>+SOCABKRÉSULT!R81</f>
        <v>5804</v>
      </c>
      <c r="S27" s="46">
        <f>+(-T27+R27)/ABS(T27)</f>
        <v>2.0883839727558144</v>
      </c>
      <c r="T27" s="12">
        <f>+SOCABKRÉSULT!T81</f>
        <v>1879.2999999999993</v>
      </c>
      <c r="U27" s="43"/>
      <c r="V27" s="43"/>
      <c r="W27" s="43"/>
      <c r="X27" s="43"/>
      <c r="Y27" s="43"/>
      <c r="Z27" s="43"/>
      <c r="AA27" s="43"/>
    </row>
    <row r="28" spans="1:27" ht="9" customHeight="1">
      <c r="B28" s="43"/>
      <c r="C28" s="43"/>
      <c r="D28" s="43"/>
      <c r="E28" s="43"/>
      <c r="F28" s="43"/>
      <c r="G28" s="43"/>
      <c r="H28" s="43"/>
      <c r="I28" s="43"/>
      <c r="J28" s="43"/>
      <c r="K28" s="43"/>
      <c r="L28" s="43"/>
      <c r="M28" s="43"/>
      <c r="N28" s="43"/>
      <c r="O28" s="43"/>
      <c r="P28" s="43"/>
      <c r="Q28" s="43"/>
      <c r="R28" s="12"/>
      <c r="S28" s="43"/>
      <c r="T28" s="12"/>
      <c r="U28" s="43"/>
      <c r="V28" s="43"/>
      <c r="W28" s="43"/>
      <c r="X28" s="43"/>
      <c r="Y28" s="43"/>
      <c r="Z28" s="43"/>
      <c r="AA28" s="43"/>
    </row>
    <row r="29" spans="1:27" ht="16.5" thickBot="1">
      <c r="A29" s="20"/>
      <c r="B29" s="187"/>
      <c r="C29" s="187"/>
      <c r="D29" s="187"/>
      <c r="E29" s="187"/>
      <c r="F29" s="187"/>
      <c r="G29" s="187"/>
      <c r="H29" s="187"/>
      <c r="I29" s="187"/>
      <c r="J29" s="187"/>
      <c r="K29" s="187"/>
      <c r="L29" s="187"/>
      <c r="M29" s="187"/>
      <c r="N29" s="187"/>
      <c r="O29" s="187"/>
      <c r="P29" s="187"/>
      <c r="Q29" s="187"/>
      <c r="R29" s="187"/>
      <c r="S29" s="187"/>
      <c r="T29" s="187"/>
      <c r="U29" s="43"/>
      <c r="V29" s="43"/>
      <c r="W29" s="43"/>
      <c r="X29" s="43"/>
      <c r="Y29" s="43"/>
      <c r="Z29" s="43"/>
      <c r="AA29" s="43"/>
    </row>
    <row r="30" spans="1:27">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c r="B31" s="51" t="s">
        <v>185</v>
      </c>
      <c r="C31" s="51" t="s">
        <v>174</v>
      </c>
      <c r="D31" s="43"/>
      <c r="E31" s="51" t="s">
        <v>185</v>
      </c>
      <c r="F31" s="51" t="s">
        <v>174</v>
      </c>
      <c r="G31" s="43"/>
      <c r="H31" s="51" t="s">
        <v>185</v>
      </c>
      <c r="I31" s="51" t="s">
        <v>174</v>
      </c>
      <c r="J31" s="43"/>
      <c r="K31" s="51" t="s">
        <v>185</v>
      </c>
      <c r="L31" s="51" t="s">
        <v>174</v>
      </c>
      <c r="M31" s="43"/>
      <c r="N31" s="51" t="s">
        <v>185</v>
      </c>
      <c r="O31" s="51" t="s">
        <v>174</v>
      </c>
      <c r="P31" s="43"/>
      <c r="U31" s="43"/>
      <c r="V31" s="43"/>
      <c r="W31" s="43"/>
      <c r="X31" s="43"/>
      <c r="Y31" s="43"/>
      <c r="Z31" s="43"/>
      <c r="AA31" s="43"/>
    </row>
    <row r="32" spans="1:27" ht="16.5" thickBot="1">
      <c r="B32" s="50" t="s">
        <v>186</v>
      </c>
      <c r="C32" s="50" t="s">
        <v>186</v>
      </c>
      <c r="D32" s="43"/>
      <c r="E32" s="50" t="s">
        <v>187</v>
      </c>
      <c r="F32" s="50" t="s">
        <v>187</v>
      </c>
      <c r="G32" s="43"/>
      <c r="H32" s="50" t="s">
        <v>188</v>
      </c>
      <c r="I32" s="50" t="s">
        <v>188</v>
      </c>
      <c r="J32" s="43"/>
      <c r="K32" s="50" t="s">
        <v>189</v>
      </c>
      <c r="L32" s="50" t="s">
        <v>189</v>
      </c>
      <c r="M32" s="43"/>
      <c r="N32" s="50" t="s">
        <v>190</v>
      </c>
      <c r="O32" s="50" t="s">
        <v>190</v>
      </c>
      <c r="P32" s="43"/>
      <c r="Q32" s="114" t="s">
        <v>206</v>
      </c>
      <c r="R32" s="114"/>
      <c r="S32" s="114"/>
      <c r="T32" s="114"/>
      <c r="U32" s="43"/>
      <c r="V32" s="43"/>
      <c r="W32" s="43"/>
      <c r="X32" s="43"/>
      <c r="Y32" s="43"/>
      <c r="Z32" s="43"/>
      <c r="AA32" s="43"/>
    </row>
    <row r="33" spans="1:27" ht="16.5" thickBot="1">
      <c r="B33" s="326" t="s">
        <v>191</v>
      </c>
      <c r="C33" s="326" t="s">
        <v>192</v>
      </c>
      <c r="D33" s="208"/>
      <c r="E33" s="326" t="s">
        <v>193</v>
      </c>
      <c r="F33" s="326" t="s">
        <v>194</v>
      </c>
      <c r="G33" s="208"/>
      <c r="H33" s="326" t="s">
        <v>195</v>
      </c>
      <c r="I33" s="326" t="s">
        <v>196</v>
      </c>
      <c r="J33" s="208"/>
      <c r="K33" s="326" t="s">
        <v>197</v>
      </c>
      <c r="L33" s="326" t="s">
        <v>198</v>
      </c>
      <c r="M33" s="208"/>
      <c r="N33" s="181" t="s">
        <v>199</v>
      </c>
      <c r="O33" s="181" t="s">
        <v>200</v>
      </c>
      <c r="P33" s="43"/>
      <c r="Q33" s="182" t="s">
        <v>174</v>
      </c>
      <c r="R33" s="182" t="s">
        <v>175</v>
      </c>
      <c r="S33" s="182" t="s">
        <v>176</v>
      </c>
      <c r="T33" s="182" t="s">
        <v>177</v>
      </c>
      <c r="U33" s="43"/>
      <c r="V33" s="43"/>
      <c r="W33" s="43"/>
      <c r="X33" s="43"/>
      <c r="Y33" s="43"/>
      <c r="Z33" s="43"/>
      <c r="AA33" s="43"/>
    </row>
    <row r="34" spans="1:27">
      <c r="B34" s="355"/>
      <c r="C34" s="355"/>
      <c r="D34" s="208"/>
      <c r="E34" s="355"/>
      <c r="F34" s="355"/>
      <c r="G34" s="208"/>
      <c r="H34" s="355"/>
      <c r="I34" s="355"/>
      <c r="J34" s="208"/>
      <c r="K34" s="355"/>
      <c r="L34" s="355"/>
      <c r="M34" s="208"/>
      <c r="N34" s="355"/>
      <c r="O34" s="355"/>
      <c r="P34" s="43"/>
      <c r="Q34" s="356"/>
      <c r="R34" s="356"/>
      <c r="S34" s="356"/>
      <c r="T34" s="356"/>
      <c r="U34" s="43"/>
      <c r="V34" s="43"/>
      <c r="W34" s="43"/>
      <c r="X34" s="43"/>
      <c r="Y34" s="43"/>
      <c r="Z34" s="43"/>
      <c r="AA34" s="43"/>
    </row>
    <row r="35" spans="1:27">
      <c r="A35" s="2" t="s">
        <v>207</v>
      </c>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row>
    <row r="36" spans="1:27">
      <c r="A36" s="183" t="s">
        <v>208</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2" t="s">
        <v>209</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t="s">
        <v>210</v>
      </c>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s="2"/>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row>
    <row r="41" spans="1:27">
      <c r="A41" t="s">
        <v>211</v>
      </c>
      <c r="B41" s="57"/>
      <c r="C41" s="57"/>
      <c r="D41" s="57"/>
      <c r="E41" s="57"/>
      <c r="F41" s="57"/>
      <c r="G41" s="57"/>
      <c r="H41" s="57"/>
      <c r="I41" s="57"/>
      <c r="J41" s="57"/>
      <c r="K41" s="57"/>
      <c r="L41" s="57"/>
      <c r="M41" s="57"/>
      <c r="N41" s="57"/>
      <c r="O41" s="57"/>
      <c r="P41" s="57"/>
      <c r="Q41" s="57"/>
      <c r="R41" s="57"/>
      <c r="S41" s="57"/>
      <c r="T41" s="57"/>
      <c r="U41" s="43"/>
      <c r="V41" s="43"/>
      <c r="W41" s="43"/>
      <c r="X41" s="43"/>
      <c r="Y41" s="43"/>
      <c r="Z41" s="43"/>
      <c r="AA41" s="43"/>
    </row>
    <row r="42" spans="1:27">
      <c r="A42" t="s">
        <v>212</v>
      </c>
      <c r="B42" s="58">
        <f>+socabkvar!B51/socabkvar!B22</f>
        <v>4.8779828849095208E-2</v>
      </c>
      <c r="C42" s="59">
        <v>5.5899999999999998E-2</v>
      </c>
      <c r="D42" s="59"/>
      <c r="E42" s="364">
        <v>0</v>
      </c>
      <c r="F42" s="59">
        <v>5.5399999999999998E-2</v>
      </c>
      <c r="G42" s="59"/>
      <c r="H42" s="364">
        <v>0</v>
      </c>
      <c r="I42" s="59">
        <v>4.8300000000000003E-2</v>
      </c>
      <c r="J42" s="59"/>
      <c r="K42" s="364">
        <v>0</v>
      </c>
      <c r="L42" s="59">
        <v>4.9700000000000001E-2</v>
      </c>
      <c r="M42" s="59"/>
      <c r="N42" s="58">
        <f>+B42</f>
        <v>4.8779828849095208E-2</v>
      </c>
      <c r="O42" s="59">
        <f>+C42</f>
        <v>5.5899999999999998E-2</v>
      </c>
      <c r="P42" s="59"/>
      <c r="Q42" s="59">
        <f>+socabkvar!J51/socabkvar!J22</f>
        <v>4.9743827611328305E-2</v>
      </c>
      <c r="R42" s="59">
        <v>5.57E-2</v>
      </c>
      <c r="S42" s="59">
        <v>5.11E-2</v>
      </c>
      <c r="T42" s="59">
        <v>4.6100000000000002E-2</v>
      </c>
      <c r="U42" s="43"/>
      <c r="V42" s="43"/>
      <c r="W42" s="43"/>
      <c r="X42" s="43"/>
      <c r="Y42" s="43"/>
      <c r="Z42" s="43"/>
      <c r="AA42" s="43"/>
    </row>
    <row r="43" spans="1:27">
      <c r="B43" s="58"/>
      <c r="C43" s="59"/>
      <c r="D43" s="59"/>
      <c r="E43" s="57"/>
      <c r="F43" s="59"/>
      <c r="G43" s="59"/>
      <c r="H43" s="57"/>
      <c r="I43" s="59"/>
      <c r="J43" s="59"/>
      <c r="K43" s="57"/>
      <c r="L43" s="59"/>
      <c r="M43" s="59"/>
      <c r="N43" s="58"/>
      <c r="O43" s="59"/>
      <c r="P43" s="59"/>
      <c r="Q43" s="59"/>
      <c r="R43" s="59"/>
      <c r="S43" s="59"/>
      <c r="T43" s="57"/>
      <c r="U43" s="43"/>
      <c r="V43" s="43"/>
      <c r="W43" s="43"/>
      <c r="X43" s="43"/>
      <c r="Y43" s="43"/>
      <c r="Z43" s="43"/>
      <c r="AA43" s="43"/>
    </row>
    <row r="44" spans="1:27">
      <c r="A44" t="s">
        <v>213</v>
      </c>
      <c r="B44" s="58">
        <f>+socabkvar!B29/socabkvar!B22</f>
        <v>0.90614883804077073</v>
      </c>
      <c r="C44" s="59">
        <v>0.8901</v>
      </c>
      <c r="D44" s="59"/>
      <c r="E44" s="364">
        <v>0</v>
      </c>
      <c r="F44" s="59">
        <v>0.90620000000000001</v>
      </c>
      <c r="G44" s="59"/>
      <c r="H44" s="364">
        <v>0</v>
      </c>
      <c r="I44" s="59">
        <v>0.87790000000000001</v>
      </c>
      <c r="J44" s="59"/>
      <c r="K44" s="364">
        <v>0</v>
      </c>
      <c r="L44" s="59">
        <v>0.87929999999999997</v>
      </c>
      <c r="M44" s="59"/>
      <c r="N44" s="58">
        <f>+B44</f>
        <v>0.90614883804077073</v>
      </c>
      <c r="O44" s="59">
        <f>+C44</f>
        <v>0.8901</v>
      </c>
      <c r="P44" s="59"/>
      <c r="Q44" s="59">
        <f>+socabkvar!J29/socabkvar!J22</f>
        <v>0.87933309960329964</v>
      </c>
      <c r="R44" s="59">
        <v>0.89229999999999998</v>
      </c>
      <c r="S44" s="59">
        <v>0.874</v>
      </c>
      <c r="T44" s="59">
        <v>0.88019999999999998</v>
      </c>
      <c r="U44" s="43"/>
      <c r="V44" s="43"/>
      <c r="W44" s="43"/>
      <c r="X44" s="43"/>
      <c r="Y44" s="43"/>
      <c r="Z44" s="43"/>
      <c r="AA44" s="43"/>
    </row>
    <row r="45" spans="1:27">
      <c r="A45" t="s">
        <v>0</v>
      </c>
      <c r="B45" s="57"/>
      <c r="C45" s="59"/>
      <c r="D45" s="59"/>
      <c r="E45" s="57"/>
      <c r="F45" s="59"/>
      <c r="G45" s="59"/>
      <c r="H45" s="57"/>
      <c r="I45" s="59"/>
      <c r="J45" s="59"/>
      <c r="K45" s="57"/>
      <c r="L45" s="59"/>
      <c r="M45" s="59"/>
      <c r="N45" s="59"/>
      <c r="O45" s="59"/>
      <c r="P45" s="59"/>
      <c r="Q45" s="59"/>
      <c r="R45" s="59"/>
      <c r="S45" s="59"/>
      <c r="T45" s="57"/>
      <c r="U45" s="43"/>
      <c r="V45" s="43"/>
      <c r="W45" s="43"/>
      <c r="X45" s="43"/>
      <c r="Y45" s="43"/>
      <c r="Z45" s="43"/>
      <c r="AA45" s="43"/>
    </row>
    <row r="46" spans="1:27">
      <c r="A46" s="2" t="s">
        <v>214</v>
      </c>
      <c r="B46" s="57"/>
      <c r="C46" s="59"/>
      <c r="D46" s="59"/>
      <c r="E46" s="57"/>
      <c r="F46" s="59"/>
      <c r="G46" s="59"/>
      <c r="H46" s="57"/>
      <c r="I46" s="59"/>
      <c r="J46" s="59"/>
      <c r="K46" s="57"/>
      <c r="L46" s="59"/>
      <c r="M46" s="59"/>
      <c r="N46" s="59"/>
      <c r="O46" s="59"/>
      <c r="P46" s="59"/>
      <c r="Q46" s="59"/>
      <c r="R46" s="59"/>
      <c r="S46" s="59"/>
      <c r="T46" s="57"/>
      <c r="U46" s="43"/>
      <c r="V46" s="43"/>
      <c r="W46" s="43"/>
      <c r="X46" s="43"/>
      <c r="Y46" s="43"/>
      <c r="Z46" s="43"/>
      <c r="AA46" s="43"/>
    </row>
    <row r="47" spans="1:27">
      <c r="A47" s="2"/>
      <c r="B47" s="57"/>
      <c r="C47" s="59"/>
      <c r="D47" s="59"/>
      <c r="E47" s="57"/>
      <c r="F47" s="59"/>
      <c r="G47" s="59"/>
      <c r="H47" s="57"/>
      <c r="I47" s="59"/>
      <c r="J47" s="59"/>
      <c r="K47" s="57"/>
      <c r="L47" s="59"/>
      <c r="M47" s="59"/>
      <c r="N47" s="59"/>
      <c r="O47" s="59"/>
      <c r="P47" s="59"/>
      <c r="Q47" s="59"/>
      <c r="R47" s="59"/>
      <c r="S47" s="59"/>
      <c r="T47" s="57"/>
      <c r="U47" s="43"/>
      <c r="V47" s="43"/>
      <c r="W47" s="43"/>
      <c r="X47" s="43"/>
      <c r="Y47" s="43"/>
      <c r="Z47" s="43"/>
      <c r="AA47" s="43"/>
    </row>
    <row r="48" spans="1:27">
      <c r="A48" t="s">
        <v>215</v>
      </c>
      <c r="B48" s="57"/>
      <c r="C48" s="59"/>
      <c r="D48" s="59"/>
      <c r="E48" s="57"/>
      <c r="F48" s="59"/>
      <c r="G48" s="59"/>
      <c r="H48" s="57"/>
      <c r="I48" s="57"/>
      <c r="J48" s="59"/>
      <c r="K48" s="57"/>
      <c r="L48" s="59"/>
      <c r="M48" s="59"/>
      <c r="N48" s="59"/>
      <c r="O48" s="59"/>
      <c r="P48" s="59"/>
      <c r="Q48" s="59"/>
      <c r="R48" s="59"/>
      <c r="S48" s="59"/>
      <c r="T48" s="57"/>
      <c r="U48" s="43"/>
      <c r="V48" s="43"/>
      <c r="W48" s="43"/>
      <c r="X48" s="43"/>
      <c r="Y48" s="43"/>
      <c r="Z48" s="43"/>
      <c r="AA48" s="43"/>
    </row>
    <row r="49" spans="1:27">
      <c r="A49" t="s">
        <v>216</v>
      </c>
      <c r="B49" s="59">
        <f>+socabkvar!B62/socabkvar!B60</f>
        <v>5.0538493313214902E-2</v>
      </c>
      <c r="C49" s="59">
        <v>7.1599999999999997E-2</v>
      </c>
      <c r="D49" s="59"/>
      <c r="E49" s="57">
        <v>0</v>
      </c>
      <c r="F49" s="59">
        <v>6.0699999999999997E-2</v>
      </c>
      <c r="G49" s="59"/>
      <c r="H49" s="364">
        <v>0</v>
      </c>
      <c r="I49" s="59">
        <v>5.6599999999999998E-2</v>
      </c>
      <c r="J49" s="59"/>
      <c r="K49" s="57">
        <v>0</v>
      </c>
      <c r="L49" s="59">
        <v>5.4399999999999997E-2</v>
      </c>
      <c r="M49" s="59"/>
      <c r="N49" s="58">
        <f>+B49</f>
        <v>5.0538493313214902E-2</v>
      </c>
      <c r="O49" s="59">
        <f>+C49</f>
        <v>7.1599999999999997E-2</v>
      </c>
      <c r="P49" s="59"/>
      <c r="Q49" s="59">
        <f>+socabkvar!J62/socabkvar!J60</f>
        <v>5.4417829070198917E-2</v>
      </c>
      <c r="R49" s="59">
        <v>7.7399999999999997E-2</v>
      </c>
      <c r="S49" s="57">
        <v>0</v>
      </c>
      <c r="T49" s="57">
        <v>0</v>
      </c>
      <c r="U49" s="43"/>
      <c r="V49" s="43"/>
      <c r="W49" s="43"/>
      <c r="X49" s="43"/>
      <c r="Y49" s="43"/>
      <c r="Z49" s="43"/>
      <c r="AA49" s="43"/>
    </row>
    <row r="50" spans="1:27">
      <c r="B50" s="57"/>
      <c r="C50" s="59"/>
      <c r="D50" s="59"/>
      <c r="E50" s="57"/>
      <c r="F50" s="59"/>
      <c r="G50" s="59"/>
      <c r="H50" s="57"/>
      <c r="I50" s="59"/>
      <c r="J50" s="59"/>
      <c r="K50" s="57"/>
      <c r="L50" s="59"/>
      <c r="M50" s="59"/>
      <c r="N50" s="59"/>
      <c r="O50" s="59"/>
      <c r="P50" s="59"/>
      <c r="Q50" s="59"/>
      <c r="R50" s="59"/>
      <c r="S50" s="59"/>
      <c r="T50" s="57"/>
      <c r="U50" s="43"/>
      <c r="V50" s="43"/>
      <c r="W50" s="43"/>
      <c r="X50" s="43"/>
      <c r="Y50" s="43"/>
      <c r="Z50" s="43"/>
      <c r="AA50" s="43"/>
    </row>
    <row r="51" spans="1:27">
      <c r="A51" t="s">
        <v>217</v>
      </c>
      <c r="B51" s="57"/>
      <c r="C51" s="59"/>
      <c r="D51" s="59"/>
      <c r="E51" s="57"/>
      <c r="F51" s="59"/>
      <c r="G51" s="59"/>
      <c r="H51" s="57"/>
      <c r="I51" s="59"/>
      <c r="J51" s="59"/>
      <c r="K51" s="57"/>
      <c r="L51" s="59"/>
      <c r="M51" s="59"/>
      <c r="N51" s="59"/>
      <c r="O51" s="59"/>
      <c r="P51" s="59"/>
      <c r="Q51" s="59"/>
      <c r="R51" s="59"/>
      <c r="S51" s="59"/>
      <c r="T51" s="57"/>
      <c r="U51" s="43"/>
      <c r="V51" s="43"/>
      <c r="W51" s="43"/>
      <c r="X51" s="43"/>
      <c r="Y51" s="43"/>
      <c r="Z51" s="43"/>
      <c r="AA51" s="43"/>
    </row>
    <row r="52" spans="1:27">
      <c r="A52" t="s">
        <v>218</v>
      </c>
      <c r="B52" s="59">
        <f>+socabkvar!B61/socabkvar!B62</f>
        <v>0.42370614864776718</v>
      </c>
      <c r="C52" s="59">
        <v>0.31319999999999998</v>
      </c>
      <c r="D52" s="59"/>
      <c r="E52" s="57">
        <v>0</v>
      </c>
      <c r="F52" s="59">
        <v>0.35820000000000002</v>
      </c>
      <c r="G52" s="59"/>
      <c r="H52" s="364">
        <v>0</v>
      </c>
      <c r="I52" s="59">
        <v>0.379</v>
      </c>
      <c r="J52" s="59"/>
      <c r="K52" s="57">
        <v>0</v>
      </c>
      <c r="L52" s="59">
        <v>0.43430000000000002</v>
      </c>
      <c r="M52" s="59"/>
      <c r="N52" s="58">
        <f>+B52</f>
        <v>0.42370614864776718</v>
      </c>
      <c r="O52" s="59">
        <f>+C52</f>
        <v>0.31319999999999998</v>
      </c>
      <c r="P52" s="59"/>
      <c r="Q52" s="59">
        <f>+socabkvar!J61/socabkvar!J62</f>
        <v>0.43426545998634497</v>
      </c>
      <c r="R52" s="59">
        <v>0.25080000000000002</v>
      </c>
      <c r="S52" s="57">
        <v>0</v>
      </c>
      <c r="T52" s="57">
        <v>0</v>
      </c>
      <c r="U52" s="43"/>
      <c r="V52" s="43"/>
      <c r="W52" s="43"/>
      <c r="X52" s="43"/>
      <c r="Y52" s="43"/>
      <c r="Z52" s="43"/>
      <c r="AA52" s="43"/>
    </row>
    <row r="53" spans="1:27">
      <c r="B53" s="57"/>
      <c r="C53" s="59"/>
      <c r="D53" s="59"/>
      <c r="E53" s="57"/>
      <c r="F53" s="59"/>
      <c r="G53" s="59"/>
      <c r="H53" s="57"/>
      <c r="I53" s="59"/>
      <c r="J53" s="59"/>
      <c r="K53" s="57"/>
      <c r="L53" s="59"/>
      <c r="M53" s="59"/>
      <c r="N53" s="59"/>
      <c r="O53" s="59"/>
      <c r="P53" s="59"/>
      <c r="Q53" s="59"/>
      <c r="R53" s="59"/>
      <c r="S53" s="59"/>
      <c r="T53" s="57"/>
      <c r="U53" s="43"/>
      <c r="V53" s="43"/>
      <c r="W53" s="43"/>
      <c r="X53" s="43"/>
      <c r="Y53" s="43"/>
      <c r="Z53" s="43"/>
      <c r="AA53" s="43"/>
    </row>
    <row r="54" spans="1:27">
      <c r="A54" t="s">
        <v>219</v>
      </c>
      <c r="B54" s="57"/>
      <c r="C54" s="59"/>
      <c r="D54" s="59"/>
      <c r="E54" s="57"/>
      <c r="F54" s="59"/>
      <c r="G54" s="59"/>
      <c r="H54" s="57"/>
      <c r="I54" s="59"/>
      <c r="J54" s="59"/>
      <c r="K54" s="57"/>
      <c r="L54" s="59"/>
      <c r="M54" s="59"/>
      <c r="N54" s="59"/>
      <c r="O54" s="59"/>
      <c r="P54" s="59"/>
      <c r="Q54" s="59"/>
      <c r="R54" s="59"/>
      <c r="S54" s="59"/>
      <c r="T54" s="57"/>
      <c r="U54" s="43"/>
      <c r="V54" s="43"/>
      <c r="W54" s="43"/>
      <c r="X54" s="43"/>
      <c r="Y54" s="43"/>
      <c r="Z54" s="43"/>
      <c r="AA54" s="43"/>
    </row>
    <row r="55" spans="1:27">
      <c r="A55" t="s">
        <v>220</v>
      </c>
      <c r="B55" s="59">
        <f>+(socabkvar!B62-socabkvar!B61)/socabkvar!B51</f>
        <v>0.35926470839402613</v>
      </c>
      <c r="C55" s="59">
        <v>0.51029999999999998</v>
      </c>
      <c r="D55" s="59"/>
      <c r="E55" s="57">
        <v>0</v>
      </c>
      <c r="F55" s="59">
        <v>0.4284</v>
      </c>
      <c r="G55" s="59"/>
      <c r="H55" s="364">
        <v>0</v>
      </c>
      <c r="I55" s="59">
        <v>0.40400000000000003</v>
      </c>
      <c r="J55" s="59"/>
      <c r="K55" s="57">
        <v>0</v>
      </c>
      <c r="L55" s="59">
        <v>0.34129999999999999</v>
      </c>
      <c r="M55" s="59"/>
      <c r="N55" s="58">
        <f>+B55</f>
        <v>0.35926470839402613</v>
      </c>
      <c r="O55" s="59">
        <f>+C55</f>
        <v>0.51029999999999998</v>
      </c>
      <c r="P55" s="59"/>
      <c r="Q55" s="59">
        <f>+(socabkvar!J62-socabkvar!J61)/socabkvar!J51</f>
        <v>0.34126815127942917</v>
      </c>
      <c r="R55" s="59">
        <v>0.60370000000000001</v>
      </c>
      <c r="S55" s="59">
        <v>-0.15040000000000001</v>
      </c>
      <c r="T55" s="57">
        <v>0</v>
      </c>
      <c r="U55" s="43"/>
      <c r="V55" s="43"/>
      <c r="W55" s="43"/>
      <c r="X55" s="43"/>
      <c r="Y55" s="43"/>
      <c r="Z55" s="43"/>
      <c r="AA55" s="43"/>
    </row>
    <row r="56" spans="1:27">
      <c r="A56" t="s">
        <v>0</v>
      </c>
      <c r="B56" s="57"/>
      <c r="C56" s="59"/>
      <c r="D56" s="59"/>
      <c r="E56" s="57"/>
      <c r="F56" s="59"/>
      <c r="G56" s="59"/>
      <c r="H56" s="57"/>
      <c r="I56" s="59"/>
      <c r="J56" s="59"/>
      <c r="K56" s="57"/>
      <c r="L56" s="59"/>
      <c r="M56" s="59"/>
      <c r="N56" s="57"/>
      <c r="O56" s="59"/>
      <c r="P56" s="59"/>
      <c r="Q56" s="59"/>
      <c r="R56" s="59"/>
      <c r="S56" s="59"/>
      <c r="T56" s="57"/>
      <c r="U56" s="43"/>
      <c r="V56" s="43"/>
      <c r="W56" s="43"/>
      <c r="X56" s="43"/>
      <c r="Y56" s="43"/>
      <c r="Z56" s="43"/>
      <c r="AA56" s="43"/>
    </row>
    <row r="57" spans="1:27">
      <c r="A57" s="2" t="s">
        <v>221</v>
      </c>
      <c r="B57" s="57"/>
      <c r="C57" s="59"/>
      <c r="D57" s="59"/>
      <c r="E57" s="57"/>
      <c r="F57" s="59"/>
      <c r="G57" s="59"/>
      <c r="H57" s="57"/>
      <c r="I57" s="59"/>
      <c r="J57" s="59"/>
      <c r="K57" s="57"/>
      <c r="L57" s="59"/>
      <c r="M57" s="59"/>
      <c r="N57" s="57"/>
      <c r="O57" s="59"/>
      <c r="P57" s="59"/>
      <c r="Q57" s="59"/>
      <c r="R57" s="59"/>
      <c r="S57" s="59"/>
      <c r="T57" s="57"/>
      <c r="U57" s="43"/>
      <c r="V57" s="43"/>
      <c r="W57" s="43"/>
      <c r="X57" s="43"/>
      <c r="Y57" s="43"/>
      <c r="Z57" s="43"/>
      <c r="AA57" s="43"/>
    </row>
    <row r="58" spans="1:27">
      <c r="A58" s="2"/>
      <c r="B58" s="57"/>
      <c r="C58" s="59"/>
      <c r="D58" s="59"/>
      <c r="E58" s="57"/>
      <c r="F58" s="59"/>
      <c r="G58" s="59"/>
      <c r="H58" s="57"/>
      <c r="I58" s="59"/>
      <c r="J58" s="59"/>
      <c r="K58" s="57"/>
      <c r="L58" s="59"/>
      <c r="M58" s="59"/>
      <c r="N58" s="57"/>
      <c r="O58" s="59"/>
      <c r="P58" s="59"/>
      <c r="Q58" s="59"/>
      <c r="R58" s="59"/>
      <c r="S58" s="59"/>
      <c r="T58" s="57"/>
      <c r="U58" s="43"/>
      <c r="V58" s="43"/>
      <c r="W58" s="43"/>
      <c r="X58" s="43"/>
      <c r="Y58" s="43"/>
      <c r="Z58" s="43"/>
      <c r="AA58" s="43"/>
    </row>
    <row r="59" spans="1:27">
      <c r="A59" t="s">
        <v>222</v>
      </c>
      <c r="B59" s="59">
        <f>+(SOCABKRÉSULT!B41/((socabkvar!B22+socabkvar!J22)/2)*4)</f>
        <v>9.6437643463767979E-3</v>
      </c>
      <c r="C59" s="59">
        <v>5.0000000000000001E-3</v>
      </c>
      <c r="D59" s="59"/>
      <c r="E59" s="57">
        <v>0</v>
      </c>
      <c r="F59" s="59">
        <v>4.7999999999999996E-3</v>
      </c>
      <c r="G59" s="59"/>
      <c r="H59" s="364">
        <v>0</v>
      </c>
      <c r="I59" s="59">
        <v>1.04E-2</v>
      </c>
      <c r="J59" s="59"/>
      <c r="K59" s="57">
        <v>0</v>
      </c>
      <c r="L59" s="59">
        <v>1.4999999999999999E-2</v>
      </c>
      <c r="M59" s="59"/>
      <c r="N59" s="58">
        <f>+'sysratfinclé '!H37</f>
        <v>9.6437643463767979E-3</v>
      </c>
      <c r="O59" s="58">
        <f>+'sysratfinclé '!H38</f>
        <v>5.0000000000000001E-3</v>
      </c>
      <c r="P59" s="59"/>
      <c r="Q59" s="59">
        <f>+'SOCABKVARAN  '!F43/((socabkvar!J22+socabkvar!L22)/2)</f>
        <v>9.0134902390670221E-3</v>
      </c>
      <c r="R59" s="59">
        <v>8.3000000000000001E-3</v>
      </c>
      <c r="S59" s="59">
        <v>2.2100000000000002E-2</v>
      </c>
      <c r="T59" s="59">
        <v>1.04E-2</v>
      </c>
      <c r="U59" s="43"/>
      <c r="V59" s="43"/>
      <c r="W59" s="43"/>
      <c r="X59" s="43"/>
      <c r="Y59" s="43"/>
      <c r="Z59" s="43"/>
      <c r="AA59" s="43"/>
    </row>
    <row r="60" spans="1:27" ht="7.15" customHeight="1">
      <c r="B60" s="57"/>
      <c r="C60" s="59"/>
      <c r="D60" s="59"/>
      <c r="E60" s="57"/>
      <c r="F60" s="59"/>
      <c r="G60" s="59"/>
      <c r="H60" s="57"/>
      <c r="I60" s="59"/>
      <c r="J60" s="59"/>
      <c r="K60" s="57"/>
      <c r="L60" s="59"/>
      <c r="M60" s="59"/>
      <c r="N60" s="57"/>
      <c r="O60" s="59"/>
      <c r="P60" s="59"/>
      <c r="Q60" s="59"/>
      <c r="R60" s="59"/>
      <c r="S60" s="59"/>
      <c r="T60" s="364" t="s">
        <v>0</v>
      </c>
      <c r="U60" s="43"/>
      <c r="V60" s="43"/>
      <c r="W60" s="43"/>
      <c r="X60" s="43"/>
      <c r="Y60" s="43"/>
      <c r="Z60" s="43"/>
      <c r="AA60" s="43"/>
    </row>
    <row r="61" spans="1:27">
      <c r="A61" t="s">
        <v>547</v>
      </c>
      <c r="B61" s="59">
        <f>+(SOCABKRÉSULT!B41/((socabkvar!J51+socabkvar!B51)/2)*4)</f>
        <v>0.19585561553718145</v>
      </c>
      <c r="C61" s="59">
        <v>8.8800000000000004E-2</v>
      </c>
      <c r="D61" s="59"/>
      <c r="E61" s="57">
        <v>0</v>
      </c>
      <c r="F61" s="59">
        <v>8.5699999999999998E-2</v>
      </c>
      <c r="G61" s="59"/>
      <c r="H61" s="364">
        <v>0</v>
      </c>
      <c r="I61" s="59">
        <v>0.2016</v>
      </c>
      <c r="J61" s="59"/>
      <c r="K61" s="57">
        <v>0</v>
      </c>
      <c r="L61" s="59">
        <v>0.3054</v>
      </c>
      <c r="M61" s="59"/>
      <c r="N61" s="58">
        <f>+'sysratfinclé '!H43</f>
        <v>0.19585561553718145</v>
      </c>
      <c r="O61" s="58">
        <f>+'sysratfinclé '!H44</f>
        <v>8.8800000000000004E-2</v>
      </c>
      <c r="P61" s="59"/>
      <c r="Q61" s="59">
        <f>+'SOCABKVARAN  '!F43/((socabkvar!J51+socabkvar!L51)/2)</f>
        <v>0.17306923396945686</v>
      </c>
      <c r="R61" s="59">
        <v>0.1545</v>
      </c>
      <c r="S61" s="59">
        <v>0.44879999999999998</v>
      </c>
      <c r="T61" s="59">
        <v>0.1782</v>
      </c>
      <c r="U61" s="43"/>
      <c r="V61" s="43"/>
      <c r="W61" s="43"/>
      <c r="X61" s="43"/>
      <c r="Y61" s="43"/>
      <c r="Z61" s="43"/>
      <c r="AA61" s="43"/>
    </row>
    <row r="62" spans="1:27" ht="7.15" customHeight="1">
      <c r="B62" s="57"/>
      <c r="C62" s="59"/>
      <c r="D62" s="59"/>
      <c r="E62" s="57"/>
      <c r="F62" s="59"/>
      <c r="G62" s="59"/>
      <c r="H62" s="57"/>
      <c r="I62" s="59"/>
      <c r="J62" s="59"/>
      <c r="K62" s="57"/>
      <c r="L62" s="59"/>
      <c r="M62" s="59"/>
      <c r="N62" s="57"/>
      <c r="O62" s="59"/>
      <c r="P62" s="59"/>
      <c r="Q62" s="59"/>
      <c r="R62" s="59"/>
      <c r="S62" s="59"/>
      <c r="T62" s="57"/>
      <c r="U62" s="43"/>
      <c r="V62" s="43"/>
      <c r="W62" s="43"/>
      <c r="X62" s="43"/>
      <c r="Y62" s="43"/>
      <c r="Z62" s="43"/>
      <c r="AA62" s="43"/>
    </row>
    <row r="63" spans="1:27">
      <c r="A63" t="s">
        <v>201</v>
      </c>
      <c r="B63" s="57"/>
      <c r="C63" s="59"/>
      <c r="D63" s="59"/>
      <c r="E63" s="57"/>
      <c r="F63" s="59"/>
      <c r="G63" s="59"/>
      <c r="H63" s="57"/>
      <c r="I63" s="59"/>
      <c r="J63" s="59"/>
      <c r="K63" s="57"/>
      <c r="L63" s="59"/>
      <c r="M63" s="59"/>
      <c r="N63" s="57"/>
      <c r="O63" s="59"/>
      <c r="P63" s="59"/>
      <c r="Q63" s="59"/>
      <c r="R63" s="59"/>
      <c r="S63" s="59"/>
      <c r="T63" s="57"/>
      <c r="U63" s="43"/>
      <c r="V63" s="43"/>
      <c r="W63" s="43"/>
      <c r="X63" s="43"/>
      <c r="Y63" s="43"/>
      <c r="Z63" s="43"/>
      <c r="AA63" s="43"/>
    </row>
    <row r="64" spans="1:27">
      <c r="A64" t="s">
        <v>225</v>
      </c>
      <c r="B64" s="59">
        <f>+SOCABKRÉSULT!B15/SOCABKRÉSULT!B13</f>
        <v>0.33479411615004834</v>
      </c>
      <c r="C64" s="59">
        <v>0.27400000000000002</v>
      </c>
      <c r="D64" s="59"/>
      <c r="E64" s="57">
        <v>0</v>
      </c>
      <c r="F64" s="59">
        <v>0.2455</v>
      </c>
      <c r="G64" s="59"/>
      <c r="H64" s="364">
        <v>0</v>
      </c>
      <c r="I64" s="59">
        <v>0.33129999999999998</v>
      </c>
      <c r="J64" s="59"/>
      <c r="K64" s="57">
        <v>0</v>
      </c>
      <c r="L64" s="59">
        <v>0.29220000000000002</v>
      </c>
      <c r="M64" s="59"/>
      <c r="N64" s="58">
        <f>+'sysratfinclé '!H50</f>
        <v>0.33479411615004834</v>
      </c>
      <c r="O64" s="58">
        <f>+'sysratfinclé '!H51</f>
        <v>0.27396320755760573</v>
      </c>
      <c r="P64" s="59"/>
      <c r="Q64" s="59">
        <f>+'SOCABKVARAN  '!F17/'SOCABKVARAN  '!F15</f>
        <v>0.28694913610280259</v>
      </c>
      <c r="R64" s="59">
        <v>0.3468</v>
      </c>
      <c r="S64" s="59">
        <v>0.48249999999999998</v>
      </c>
      <c r="T64" s="59">
        <v>0.52639999999999998</v>
      </c>
      <c r="U64" s="43"/>
      <c r="V64" s="43"/>
      <c r="W64" s="43"/>
      <c r="X64" s="43"/>
      <c r="Y64" s="43"/>
      <c r="Z64" s="43"/>
      <c r="AA64" s="43"/>
    </row>
    <row r="65" spans="1:27" ht="7.15" customHeight="1">
      <c r="B65" s="57"/>
      <c r="C65" s="59"/>
      <c r="D65" s="59"/>
      <c r="E65" s="57"/>
      <c r="F65" s="59"/>
      <c r="G65" s="59"/>
      <c r="H65" s="57"/>
      <c r="I65" s="59"/>
      <c r="J65" s="59"/>
      <c r="K65" s="57"/>
      <c r="L65" s="59"/>
      <c r="M65" s="59"/>
      <c r="N65" s="57"/>
      <c r="O65" s="59"/>
      <c r="P65" s="59"/>
      <c r="Q65" s="59"/>
      <c r="R65" s="59"/>
      <c r="S65" s="59"/>
      <c r="T65" s="57"/>
      <c r="U65" s="43"/>
      <c r="V65" s="43"/>
      <c r="W65" s="43"/>
      <c r="X65" s="43"/>
      <c r="Y65" s="43"/>
      <c r="Z65" s="43"/>
      <c r="AA65" s="43"/>
    </row>
    <row r="66" spans="1:27">
      <c r="A66" t="s">
        <v>226</v>
      </c>
      <c r="B66" s="59">
        <f>+(SOCABKRÉSULT!B10/((socabkvar!B60+socabkvar!J60)/2)*4)</f>
        <v>0.15100181590805628</v>
      </c>
      <c r="C66" s="56">
        <v>0.18090000000000001</v>
      </c>
      <c r="D66" s="56"/>
      <c r="E66" s="49">
        <v>0</v>
      </c>
      <c r="F66" s="56">
        <v>0.1656</v>
      </c>
      <c r="G66" s="56"/>
      <c r="H66" s="364">
        <v>0</v>
      </c>
      <c r="I66" s="56">
        <v>0.15479999999999999</v>
      </c>
      <c r="J66" s="56"/>
      <c r="K66" s="49">
        <v>0</v>
      </c>
      <c r="L66" s="56">
        <v>0.15160000000000001</v>
      </c>
      <c r="M66" s="56"/>
      <c r="N66" s="58">
        <f>+'sysratfinclé '!H56</f>
        <v>0.15100181590805628</v>
      </c>
      <c r="O66" s="58">
        <f>+'sysratfinclé '!H57</f>
        <v>0.21340000000000001</v>
      </c>
      <c r="P66" s="56"/>
      <c r="Q66" s="56">
        <f>+'SOCABKVARAN  '!F12/((socabkvar!J60+socabkvar!L60)/2)</f>
        <v>0.15999961768132062</v>
      </c>
      <c r="R66" s="56">
        <v>0.2293</v>
      </c>
      <c r="S66" s="56">
        <v>0.21540000000000001</v>
      </c>
      <c r="T66" s="56">
        <v>0.17799999999999999</v>
      </c>
    </row>
    <row r="67" spans="1:27" ht="7.15" customHeight="1">
      <c r="B67" s="9"/>
      <c r="C67" s="56"/>
      <c r="D67" s="56"/>
      <c r="E67" s="49"/>
      <c r="F67" s="56"/>
      <c r="G67" s="56"/>
      <c r="H67" s="49"/>
      <c r="I67" s="56"/>
      <c r="J67" s="56"/>
      <c r="K67" s="49"/>
      <c r="L67" s="56"/>
      <c r="M67" s="56"/>
      <c r="N67" s="9"/>
      <c r="O67" s="56"/>
      <c r="P67" s="56"/>
      <c r="Q67" s="56"/>
      <c r="R67" s="56"/>
      <c r="S67" s="56"/>
      <c r="T67" s="49"/>
    </row>
    <row r="68" spans="1:27">
      <c r="A68" t="s">
        <v>227</v>
      </c>
      <c r="B68" s="59">
        <f>+(SOCABKRÉSULT!B14/((socabkvar!J29+socabkvar!B29)/2)*4)</f>
        <v>7.2922331093391857E-2</v>
      </c>
      <c r="C68" s="56">
        <v>9.7100000000000006E-2</v>
      </c>
      <c r="D68" s="56"/>
      <c r="E68" s="49">
        <v>0</v>
      </c>
      <c r="F68" s="56">
        <v>9.0999999999999998E-2</v>
      </c>
      <c r="G68" s="56"/>
      <c r="H68" s="364">
        <v>0</v>
      </c>
      <c r="I68" s="56">
        <v>7.5300000000000006E-2</v>
      </c>
      <c r="J68" s="56"/>
      <c r="K68" s="49">
        <v>0</v>
      </c>
      <c r="L68" s="56">
        <v>7.7499999999999999E-2</v>
      </c>
      <c r="M68" s="56"/>
      <c r="N68" s="58">
        <f>+'sysratfinclé '!H62</f>
        <v>7.2922331093391857E-2</v>
      </c>
      <c r="O68" s="58">
        <f>+'sysratfinclé '!H63</f>
        <v>9.7100000000000006E-2</v>
      </c>
      <c r="P68" s="56"/>
      <c r="Q68" s="56">
        <f>+'SOCABKVARAN  '!F16/((socabkvar!J29+socabkvar!L29)/2)</f>
        <v>8.1063021973579522E-2</v>
      </c>
      <c r="R68" s="56">
        <v>9.6299999999999997E-2</v>
      </c>
      <c r="S68" s="56">
        <v>6.6500000000000004E-2</v>
      </c>
      <c r="T68" s="56">
        <v>4.9599999999999998E-2</v>
      </c>
    </row>
    <row r="69" spans="1:27" ht="6" customHeight="1">
      <c r="B69" s="9"/>
      <c r="C69" s="56"/>
      <c r="D69" s="56"/>
      <c r="E69" s="49"/>
      <c r="F69" s="56"/>
      <c r="G69" s="56"/>
      <c r="H69" s="49"/>
      <c r="I69" s="56"/>
      <c r="J69" s="56"/>
      <c r="K69" s="49"/>
      <c r="L69" s="56"/>
      <c r="M69" s="56"/>
      <c r="N69" s="9"/>
      <c r="O69" s="56"/>
      <c r="P69" s="56"/>
      <c r="Q69" s="56"/>
      <c r="R69" s="56"/>
      <c r="S69" s="56"/>
      <c r="T69" s="49"/>
    </row>
    <row r="70" spans="1:27">
      <c r="A70" t="s">
        <v>204</v>
      </c>
      <c r="B70" s="9"/>
      <c r="C70" s="56"/>
      <c r="D70" s="56"/>
      <c r="E70" s="49"/>
      <c r="F70" s="56"/>
      <c r="G70" s="56"/>
      <c r="H70" s="49"/>
      <c r="I70" s="56"/>
      <c r="J70" s="56"/>
      <c r="K70" s="49"/>
      <c r="L70" s="56"/>
      <c r="M70" s="56"/>
      <c r="N70" s="9"/>
      <c r="O70" s="56"/>
      <c r="P70" s="56"/>
      <c r="Q70" s="56"/>
      <c r="R70" s="56"/>
      <c r="S70" s="56"/>
      <c r="T70" s="49"/>
    </row>
    <row r="71" spans="1:27">
      <c r="A71" t="s">
        <v>228</v>
      </c>
      <c r="B71" s="59">
        <f>+SOCABKRÉSULT!B35/SOCABKRÉSULT!B23</f>
        <v>0.72411631987966907</v>
      </c>
      <c r="C71" s="56">
        <v>0.75590000000000002</v>
      </c>
      <c r="D71" s="56"/>
      <c r="E71" s="57">
        <v>0</v>
      </c>
      <c r="F71" s="56">
        <v>0.76419999999999999</v>
      </c>
      <c r="G71" s="56"/>
      <c r="H71" s="364">
        <v>0</v>
      </c>
      <c r="I71" s="56">
        <v>0.62539999999999996</v>
      </c>
      <c r="J71" s="56"/>
      <c r="K71" s="57">
        <v>0</v>
      </c>
      <c r="L71" s="56">
        <v>0.63749999999999996</v>
      </c>
      <c r="M71" s="56"/>
      <c r="N71" s="58">
        <f>+'sysratfinclé '!H70</f>
        <v>0.72411631987966907</v>
      </c>
      <c r="O71" s="58">
        <f>+'sysratfinclé '!H71</f>
        <v>0.75594101688102899</v>
      </c>
      <c r="P71" s="56"/>
      <c r="Q71" s="56">
        <f>+'SOCABKVARAN  '!F37/'SOCABKVARAN  '!F25</f>
        <v>0.68621034035289963</v>
      </c>
      <c r="R71" s="56">
        <v>0.71279999999999999</v>
      </c>
      <c r="S71" s="56">
        <v>0.64059999999999995</v>
      </c>
      <c r="T71" s="56">
        <v>0.74590000000000001</v>
      </c>
    </row>
    <row r="72" spans="1:27">
      <c r="A72" t="s">
        <v>452</v>
      </c>
      <c r="B72" s="9"/>
      <c r="C72" s="56"/>
      <c r="D72" s="56"/>
      <c r="E72" s="49"/>
      <c r="F72" s="56"/>
      <c r="G72" s="56"/>
      <c r="H72" s="49"/>
      <c r="I72" s="56"/>
      <c r="J72" s="56"/>
      <c r="K72" s="49"/>
      <c r="L72" s="56"/>
      <c r="M72" s="56"/>
      <c r="N72" s="56"/>
      <c r="O72" s="56"/>
      <c r="P72" s="56"/>
      <c r="Q72" s="56"/>
      <c r="R72" s="56"/>
      <c r="S72" s="56"/>
      <c r="T72" s="49"/>
    </row>
    <row r="73" spans="1:27">
      <c r="B73" s="9"/>
      <c r="C73" s="56"/>
      <c r="D73" s="56"/>
      <c r="E73" s="49"/>
      <c r="F73" s="56"/>
      <c r="G73" s="56"/>
      <c r="H73" s="49"/>
      <c r="I73" s="56"/>
      <c r="J73" s="56"/>
      <c r="K73" s="49"/>
      <c r="L73" s="56"/>
      <c r="M73" s="56"/>
      <c r="N73" s="56"/>
      <c r="O73" s="56"/>
      <c r="P73" s="56"/>
      <c r="Q73" s="56"/>
      <c r="R73" s="56"/>
      <c r="S73" s="56"/>
      <c r="T73" s="49"/>
    </row>
    <row r="74" spans="1:27">
      <c r="A74" t="s">
        <v>453</v>
      </c>
      <c r="B74" s="49">
        <f>+(SOCABKRÉSULT!B23/((177+188)/2)*4)</f>
        <v>699.44109589041091</v>
      </c>
      <c r="C74" s="49">
        <v>649.92999999999995</v>
      </c>
      <c r="D74" s="56"/>
      <c r="E74" s="49">
        <v>0</v>
      </c>
      <c r="F74" s="49">
        <v>570.46</v>
      </c>
      <c r="G74" s="56"/>
      <c r="H74" s="364">
        <v>0</v>
      </c>
      <c r="I74" s="49">
        <v>719.59</v>
      </c>
      <c r="J74" s="56"/>
      <c r="K74" s="49">
        <v>0</v>
      </c>
      <c r="L74" s="49">
        <v>778.78</v>
      </c>
      <c r="M74" s="56"/>
      <c r="N74" s="364">
        <f>+'sysratfinclé '!H76</f>
        <v>699.44109589041091</v>
      </c>
      <c r="O74" s="364">
        <f>+'sysratfinclé '!H77</f>
        <v>649.92999999999995</v>
      </c>
      <c r="P74" s="56"/>
      <c r="Q74" s="546">
        <v>666.91</v>
      </c>
      <c r="R74" s="546">
        <v>642.20000000000005</v>
      </c>
      <c r="S74" s="49">
        <v>559.88</v>
      </c>
      <c r="T74" s="49">
        <v>349.18</v>
      </c>
    </row>
    <row r="75" spans="1:27" ht="16.5" thickBot="1">
      <c r="A75" s="20"/>
      <c r="B75" s="19"/>
      <c r="C75" s="354"/>
      <c r="D75" s="354"/>
      <c r="E75" s="212"/>
      <c r="F75" s="354"/>
      <c r="G75" s="354"/>
      <c r="H75" s="354"/>
      <c r="I75" s="354"/>
      <c r="J75" s="354"/>
      <c r="K75" s="354"/>
      <c r="L75" s="354"/>
      <c r="M75" s="354"/>
      <c r="N75" s="354"/>
      <c r="O75" s="354"/>
      <c r="P75" s="354"/>
      <c r="Q75" s="354"/>
      <c r="R75" s="354"/>
      <c r="S75" s="354"/>
      <c r="T75" s="354"/>
    </row>
    <row r="77" spans="1:27">
      <c r="A77" t="s">
        <v>0</v>
      </c>
    </row>
  </sheetData>
  <pageMargins left="0.2" right="0.2" top="0.66" bottom="0.48" header="0.32" footer="0.27"/>
  <pageSetup scale="44" orientation="landscape" r:id="rId1"/>
  <headerFooter alignWithMargins="0">
    <oddFooter>&amp;LA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0"/>
  <sheetViews>
    <sheetView workbookViewId="0"/>
  </sheetViews>
  <sheetFormatPr defaultRowHeight="15.75"/>
  <cols>
    <col min="1" max="1" width="33.25" customWidth="1"/>
    <col min="2" max="2" width="17.62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11.3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8" width="15.75" style="12" customWidth="1"/>
    <col min="19" max="21" width="15.75" customWidth="1"/>
    <col min="22" max="256" width="11" customWidth="1"/>
  </cols>
  <sheetData>
    <row r="1" spans="1:21">
      <c r="A1" s="114" t="s">
        <v>638</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6" spans="1:21" ht="16.5" thickBot="1">
      <c r="B6" s="238" t="s">
        <v>0</v>
      </c>
      <c r="C6" s="215"/>
      <c r="D6" s="216"/>
      <c r="E6" s="215"/>
      <c r="F6" s="216"/>
      <c r="G6" s="215"/>
      <c r="H6" s="216"/>
      <c r="I6" s="67" t="s">
        <v>166</v>
      </c>
      <c r="J6" s="123" t="s">
        <v>167</v>
      </c>
      <c r="K6" s="38"/>
      <c r="L6" s="37"/>
      <c r="M6" s="38"/>
      <c r="N6" s="37"/>
      <c r="O6" s="38"/>
      <c r="P6" s="37"/>
    </row>
    <row r="7" spans="1:21" s="2" customFormat="1" ht="16.5" thickBot="1">
      <c r="B7" s="223" t="s">
        <v>168</v>
      </c>
      <c r="C7" s="224" t="s">
        <v>169</v>
      </c>
      <c r="D7" s="225" t="s">
        <v>170</v>
      </c>
      <c r="E7" s="224" t="s">
        <v>169</v>
      </c>
      <c r="F7" s="225" t="s">
        <v>171</v>
      </c>
      <c r="G7" s="224" t="s">
        <v>169</v>
      </c>
      <c r="H7" s="225" t="s">
        <v>172</v>
      </c>
      <c r="I7" s="445" t="s">
        <v>173</v>
      </c>
      <c r="J7" s="228" t="s">
        <v>174</v>
      </c>
      <c r="K7" s="227" t="s">
        <v>169</v>
      </c>
      <c r="L7" s="228" t="s">
        <v>175</v>
      </c>
      <c r="M7" s="227" t="s">
        <v>169</v>
      </c>
      <c r="N7" s="228" t="s">
        <v>176</v>
      </c>
      <c r="O7" s="227" t="s">
        <v>169</v>
      </c>
      <c r="P7" s="228" t="s">
        <v>177</v>
      </c>
      <c r="Q7" s="80"/>
      <c r="R7" s="80"/>
      <c r="S7" s="18"/>
      <c r="T7" s="18"/>
      <c r="U7" s="18"/>
    </row>
    <row r="8" spans="1:21">
      <c r="A8" s="87" t="s">
        <v>243</v>
      </c>
      <c r="B8" s="125"/>
      <c r="C8" s="124"/>
      <c r="D8" s="125"/>
      <c r="E8" s="124"/>
      <c r="F8" s="125"/>
      <c r="G8" s="124"/>
      <c r="H8" s="125"/>
      <c r="I8" s="124"/>
      <c r="J8" s="219"/>
      <c r="K8" s="124"/>
      <c r="L8" s="219"/>
      <c r="M8" s="124"/>
      <c r="N8" s="219"/>
      <c r="O8" s="124"/>
      <c r="P8" s="219"/>
      <c r="Q8" s="14"/>
      <c r="R8" s="14"/>
      <c r="S8" s="9"/>
      <c r="T8" s="9"/>
      <c r="U8" s="9"/>
    </row>
    <row r="9" spans="1:21">
      <c r="A9" s="1" t="s">
        <v>264</v>
      </c>
      <c r="B9"/>
    </row>
    <row r="10" spans="1:21">
      <c r="A10" s="1" t="s">
        <v>265</v>
      </c>
      <c r="B10" s="12">
        <v>91122.4</v>
      </c>
      <c r="C10" s="44">
        <v>0</v>
      </c>
      <c r="D10" s="12">
        <v>0</v>
      </c>
      <c r="E10" s="44">
        <v>0</v>
      </c>
      <c r="F10" s="12">
        <v>0</v>
      </c>
      <c r="G10" s="44">
        <v>0</v>
      </c>
      <c r="H10" s="12">
        <v>0</v>
      </c>
      <c r="I10" s="47">
        <f t="shared" ref="I10:I15" si="0">+(B10-J10)/ABS(J10)</f>
        <v>0.5196843302524623</v>
      </c>
      <c r="J10" s="12">
        <v>59961.4</v>
      </c>
      <c r="K10" s="47">
        <f t="shared" ref="K10:K17" si="1">+(J10-L10)/ABS(L10)</f>
        <v>7.4423021788990851E-2</v>
      </c>
      <c r="L10" s="12">
        <v>55808</v>
      </c>
      <c r="M10" s="47">
        <f t="shared" ref="M10:M15" si="2">+(L10-N10)/ABS(N10)</f>
        <v>-0.18820712587967994</v>
      </c>
      <c r="N10" s="12">
        <v>68746.600000000006</v>
      </c>
      <c r="O10" s="47">
        <f t="shared" ref="O10:O15" si="3">+(N10-P10)/ABS(P10)</f>
        <v>-0.15271565180497446</v>
      </c>
      <c r="P10" s="12">
        <f>81137578.13/1000</f>
        <v>81137.578129999994</v>
      </c>
    </row>
    <row r="11" spans="1:21">
      <c r="A11" s="1" t="s">
        <v>266</v>
      </c>
      <c r="B11" s="12">
        <v>482100.1</v>
      </c>
      <c r="C11" s="44">
        <v>0</v>
      </c>
      <c r="D11" s="12">
        <v>0</v>
      </c>
      <c r="E11" s="44">
        <v>0</v>
      </c>
      <c r="F11" s="12">
        <v>0</v>
      </c>
      <c r="G11" s="44">
        <v>0</v>
      </c>
      <c r="H11" s="12">
        <v>0</v>
      </c>
      <c r="I11" s="47">
        <f t="shared" si="0"/>
        <v>3.1577988250188871</v>
      </c>
      <c r="J11" s="12">
        <v>115950.8</v>
      </c>
      <c r="K11" s="47">
        <f t="shared" si="1"/>
        <v>-0.47286441093288489</v>
      </c>
      <c r="L11" s="12">
        <v>219963.9</v>
      </c>
      <c r="M11" s="47">
        <f t="shared" si="2"/>
        <v>0.58276332509681616</v>
      </c>
      <c r="N11" s="12">
        <v>138974.6</v>
      </c>
      <c r="O11" s="47">
        <f t="shared" si="3"/>
        <v>5.8113050747552135</v>
      </c>
      <c r="P11" s="12">
        <f>20403520.1/1000</f>
        <v>20403.520100000002</v>
      </c>
    </row>
    <row r="12" spans="1:21">
      <c r="A12" s="1" t="s">
        <v>267</v>
      </c>
      <c r="B12" s="12">
        <v>72353.899999999994</v>
      </c>
      <c r="C12" s="44">
        <v>0</v>
      </c>
      <c r="D12" s="12">
        <v>0</v>
      </c>
      <c r="E12" s="44">
        <v>0</v>
      </c>
      <c r="F12" s="12">
        <v>0</v>
      </c>
      <c r="G12" s="44">
        <v>0</v>
      </c>
      <c r="H12" s="12">
        <v>0</v>
      </c>
      <c r="I12" s="47">
        <f t="shared" si="0"/>
        <v>0.76523300551620799</v>
      </c>
      <c r="J12" s="12">
        <v>40988.300000000003</v>
      </c>
      <c r="K12" s="47">
        <f t="shared" si="1"/>
        <v>0.36286949293433096</v>
      </c>
      <c r="L12" s="12">
        <v>30075</v>
      </c>
      <c r="M12" s="47">
        <f t="shared" si="2"/>
        <v>0.24908109993894761</v>
      </c>
      <c r="N12" s="12">
        <v>24077.7</v>
      </c>
      <c r="O12" s="47">
        <f t="shared" si="3"/>
        <v>-0.32904134888015524</v>
      </c>
      <c r="P12" s="12">
        <f>35885519.86/1000</f>
        <v>35885.51986</v>
      </c>
    </row>
    <row r="13" spans="1:21">
      <c r="A13" s="1" t="s">
        <v>268</v>
      </c>
      <c r="B13" s="12">
        <v>2781.6</v>
      </c>
      <c r="C13" s="44">
        <v>0</v>
      </c>
      <c r="D13" s="12">
        <v>0</v>
      </c>
      <c r="E13" s="44">
        <v>0</v>
      </c>
      <c r="F13" s="12">
        <v>0</v>
      </c>
      <c r="G13" s="44">
        <v>0</v>
      </c>
      <c r="H13" s="12">
        <v>0</v>
      </c>
      <c r="I13" s="47">
        <f t="shared" si="0"/>
        <v>-0.49100623982140568</v>
      </c>
      <c r="J13" s="12">
        <v>5464.9</v>
      </c>
      <c r="K13" s="47">
        <f t="shared" si="1"/>
        <v>-0.79451246108261775</v>
      </c>
      <c r="L13" s="12">
        <v>26594.799999999999</v>
      </c>
      <c r="M13" s="47">
        <f t="shared" si="2"/>
        <v>1.9047577438944467</v>
      </c>
      <c r="N13" s="12">
        <v>9155.6</v>
      </c>
      <c r="O13" s="47">
        <f t="shared" si="3"/>
        <v>-0.39553730080023214</v>
      </c>
      <c r="P13" s="12">
        <f>15146674.91/1000</f>
        <v>15146.67491</v>
      </c>
    </row>
    <row r="14" spans="1:21">
      <c r="A14" s="1" t="s">
        <v>269</v>
      </c>
      <c r="B14" s="221">
        <v>70586.5</v>
      </c>
      <c r="C14" s="44">
        <v>0</v>
      </c>
      <c r="D14" s="221">
        <v>0</v>
      </c>
      <c r="E14" s="44">
        <v>0</v>
      </c>
      <c r="F14" s="221">
        <v>0</v>
      </c>
      <c r="G14" s="44">
        <v>0</v>
      </c>
      <c r="H14" s="221">
        <v>0</v>
      </c>
      <c r="I14" s="47">
        <f t="shared" si="0"/>
        <v>-0.36168817839253919</v>
      </c>
      <c r="J14" s="221">
        <v>110583.1</v>
      </c>
      <c r="K14" s="47">
        <f t="shared" si="1"/>
        <v>0.15990337556194695</v>
      </c>
      <c r="L14" s="221">
        <f>35761.5+59576.7</f>
        <v>95338.2</v>
      </c>
      <c r="M14" s="47">
        <f t="shared" si="2"/>
        <v>0.28828789872952459</v>
      </c>
      <c r="N14" s="221">
        <v>74003.8</v>
      </c>
      <c r="O14" s="47">
        <f t="shared" si="3"/>
        <v>1.504474773354328</v>
      </c>
      <c r="P14" s="221">
        <f>29548630.63/1000</f>
        <v>29548.63063</v>
      </c>
    </row>
    <row r="15" spans="1:21" ht="15.6" customHeight="1">
      <c r="A15" s="1"/>
      <c r="B15" s="12">
        <f>SUM(B10:B14)</f>
        <v>718944.5</v>
      </c>
      <c r="C15" s="44">
        <v>0</v>
      </c>
      <c r="D15" s="12">
        <f>SUM(D10:D14)</f>
        <v>0</v>
      </c>
      <c r="E15" s="44">
        <v>0</v>
      </c>
      <c r="F15" s="12">
        <f>SUM(F10:F14)</f>
        <v>0</v>
      </c>
      <c r="G15" s="44">
        <v>0</v>
      </c>
      <c r="H15" s="12">
        <f>SUM(H10:H14)</f>
        <v>0</v>
      </c>
      <c r="I15" s="47">
        <f t="shared" si="0"/>
        <v>1.159326442377725</v>
      </c>
      <c r="J15" s="12">
        <f>SUM(J10:J14)</f>
        <v>332948.5</v>
      </c>
      <c r="K15" s="47">
        <f t="shared" si="1"/>
        <v>-0.22168269243131811</v>
      </c>
      <c r="L15" s="12">
        <f>SUM(L10:L14)</f>
        <v>427779.9</v>
      </c>
      <c r="M15" s="47">
        <f t="shared" si="2"/>
        <v>0.35821122986757281</v>
      </c>
      <c r="N15" s="12">
        <f>SUM(N10:N14)</f>
        <v>314958.30000000005</v>
      </c>
      <c r="O15" s="47">
        <f t="shared" si="3"/>
        <v>0.72938157978097806</v>
      </c>
      <c r="P15" s="12">
        <f>SUM(P10:P14)</f>
        <v>182121.92363</v>
      </c>
    </row>
    <row r="16" spans="1:21" ht="7.9" customHeight="1">
      <c r="A16" s="1"/>
      <c r="C16" s="44" t="s">
        <v>0</v>
      </c>
      <c r="E16" s="44" t="s">
        <v>0</v>
      </c>
      <c r="G16" s="44" t="s">
        <v>0</v>
      </c>
      <c r="I16" s="47" t="s">
        <v>0</v>
      </c>
      <c r="K16" s="47" t="s">
        <v>0</v>
      </c>
      <c r="M16" s="44" t="s">
        <v>0</v>
      </c>
      <c r="O16" s="44" t="s">
        <v>0</v>
      </c>
    </row>
    <row r="17" spans="1:16" ht="15.6" customHeight="1">
      <c r="A17" s="1" t="s">
        <v>270</v>
      </c>
      <c r="B17" s="12">
        <v>50000</v>
      </c>
      <c r="C17" s="44">
        <v>0</v>
      </c>
      <c r="D17" s="12">
        <v>0</v>
      </c>
      <c r="E17" s="44">
        <v>0</v>
      </c>
      <c r="F17" s="12">
        <v>0</v>
      </c>
      <c r="G17" s="44">
        <v>0</v>
      </c>
      <c r="H17" s="12">
        <v>0</v>
      </c>
      <c r="I17" s="47">
        <f t="shared" ref="I17:I22" si="4">+(B17-J17)/ABS(J17)</f>
        <v>-0.89795918367346939</v>
      </c>
      <c r="J17" s="12">
        <v>490000</v>
      </c>
      <c r="K17" s="47">
        <f t="shared" si="1"/>
        <v>7.166666666666667</v>
      </c>
      <c r="L17" s="12">
        <v>60000</v>
      </c>
      <c r="M17" s="44">
        <v>0</v>
      </c>
      <c r="N17" s="12">
        <v>0</v>
      </c>
      <c r="O17" s="44">
        <v>0</v>
      </c>
      <c r="P17" s="12">
        <v>0</v>
      </c>
    </row>
    <row r="18" spans="1:16">
      <c r="A18" s="1" t="s">
        <v>639</v>
      </c>
      <c r="B18" s="12">
        <v>109376.9</v>
      </c>
      <c r="C18" s="44">
        <v>0</v>
      </c>
      <c r="D18" s="12">
        <v>0</v>
      </c>
      <c r="E18" s="44">
        <v>0</v>
      </c>
      <c r="F18" s="12">
        <v>0</v>
      </c>
      <c r="G18" s="44">
        <v>0</v>
      </c>
      <c r="H18" s="12">
        <v>0</v>
      </c>
      <c r="I18" s="47">
        <f t="shared" si="4"/>
        <v>-9.489026329857228E-2</v>
      </c>
      <c r="J18" s="12">
        <v>120843.8</v>
      </c>
      <c r="K18" s="47">
        <f>+(J18-L18)/ABS(L18)</f>
        <v>0.19692003846980505</v>
      </c>
      <c r="L18" s="12">
        <v>100962.3</v>
      </c>
      <c r="M18" s="47">
        <f>+(L18-N18)/ABS(N18)</f>
        <v>-0.3334374263453912</v>
      </c>
      <c r="N18" s="12">
        <v>151467.1</v>
      </c>
      <c r="O18" s="44">
        <v>0</v>
      </c>
      <c r="P18" s="12">
        <f>60423400/1000</f>
        <v>60423.4</v>
      </c>
    </row>
    <row r="19" spans="1:16">
      <c r="A19" s="1" t="s">
        <v>272</v>
      </c>
      <c r="B19" s="12">
        <v>1484208</v>
      </c>
      <c r="C19" s="44">
        <v>0</v>
      </c>
      <c r="D19" s="12">
        <v>0</v>
      </c>
      <c r="E19" s="44">
        <v>0</v>
      </c>
      <c r="F19" s="12">
        <v>0</v>
      </c>
      <c r="G19" s="44">
        <v>0</v>
      </c>
      <c r="H19" s="12">
        <v>0</v>
      </c>
      <c r="I19" s="47">
        <f t="shared" si="4"/>
        <v>0.20167712481230471</v>
      </c>
      <c r="J19" s="12">
        <v>1235113.8</v>
      </c>
      <c r="K19" s="47">
        <f>+(J19-L19)/ABS(L19)</f>
        <v>0.44886771742714654</v>
      </c>
      <c r="L19" s="12">
        <v>852468.3</v>
      </c>
      <c r="M19" s="47">
        <f>+(L19-N19)/ABS(N19)</f>
        <v>0.6513166955778904</v>
      </c>
      <c r="N19" s="12">
        <v>516235.5</v>
      </c>
      <c r="O19" s="47">
        <f>+(N19-P19)/ABS(P19)</f>
        <v>0.81823995815553507</v>
      </c>
      <c r="P19" s="12">
        <f>283920446.08/1000</f>
        <v>283920.44607999997</v>
      </c>
    </row>
    <row r="20" spans="1:16">
      <c r="A20" s="1" t="s">
        <v>273</v>
      </c>
      <c r="B20" s="12">
        <v>72823.399999999994</v>
      </c>
      <c r="C20" s="44">
        <v>0</v>
      </c>
      <c r="D20" s="12">
        <v>0</v>
      </c>
      <c r="E20" s="44">
        <v>0</v>
      </c>
      <c r="F20" s="12">
        <v>0</v>
      </c>
      <c r="G20" s="44">
        <v>0</v>
      </c>
      <c r="H20" s="12">
        <v>0</v>
      </c>
      <c r="I20" s="47">
        <f t="shared" si="4"/>
        <v>0.11746147684621115</v>
      </c>
      <c r="J20" s="12">
        <v>65168.6</v>
      </c>
      <c r="K20" s="47">
        <f>+(J20-L20)/ABS(L20)</f>
        <v>0.72608733654526147</v>
      </c>
      <c r="L20" s="12">
        <v>37755.1</v>
      </c>
      <c r="M20" s="47">
        <f>+(L20-N20)/ABS(N20)</f>
        <v>0.33573083794732089</v>
      </c>
      <c r="N20" s="12">
        <v>28265.5</v>
      </c>
      <c r="O20" s="47">
        <f>+(N20-P20)/ABS(P20)</f>
        <v>0.27474806528303702</v>
      </c>
      <c r="P20" s="12">
        <f>22173400.98/1000</f>
        <v>22173.400980000002</v>
      </c>
    </row>
    <row r="21" spans="1:16" ht="16.5" thickBot="1">
      <c r="A21" s="1" t="s">
        <v>274</v>
      </c>
      <c r="B21" s="99">
        <v>85264.9</v>
      </c>
      <c r="C21" s="44">
        <v>0</v>
      </c>
      <c r="D21" s="99">
        <v>0</v>
      </c>
      <c r="E21" s="44">
        <v>0</v>
      </c>
      <c r="F21" s="99">
        <v>0</v>
      </c>
      <c r="G21" s="44">
        <v>0</v>
      </c>
      <c r="H21" s="99">
        <v>0</v>
      </c>
      <c r="I21" s="47">
        <f t="shared" si="4"/>
        <v>0.70444577711144418</v>
      </c>
      <c r="J21" s="99">
        <v>50025</v>
      </c>
      <c r="K21" s="47">
        <f>+(J21-L21)/ABS(L21)</f>
        <v>1.4123547282634903</v>
      </c>
      <c r="L21" s="99">
        <v>20737</v>
      </c>
      <c r="M21" s="47">
        <f>+(L21-N21)/ABS(N21)</f>
        <v>1.1927208899039883</v>
      </c>
      <c r="N21" s="99">
        <v>9457.2000000000007</v>
      </c>
      <c r="O21" s="47">
        <f>+(N21-P21)/ABS(P21)</f>
        <v>8.2355339947627101E-2</v>
      </c>
      <c r="P21" s="99">
        <f>8737611.07/1000</f>
        <v>8737.6110700000008</v>
      </c>
    </row>
    <row r="22" spans="1:16">
      <c r="A22" s="1" t="s">
        <v>275</v>
      </c>
      <c r="B22" s="4">
        <f>SUM(B15:B21)</f>
        <v>2520617.6999999997</v>
      </c>
      <c r="C22" s="44">
        <v>0</v>
      </c>
      <c r="D22" s="4">
        <f>SUM(D15:D21)</f>
        <v>0</v>
      </c>
      <c r="E22" s="44">
        <v>0</v>
      </c>
      <c r="F22" s="4">
        <f>SUM(F15:F21)</f>
        <v>0</v>
      </c>
      <c r="G22" s="44">
        <v>0</v>
      </c>
      <c r="H22" s="4">
        <f>SUM(H15:H21)</f>
        <v>0</v>
      </c>
      <c r="I22" s="47">
        <f t="shared" si="4"/>
        <v>9.8739387830441505E-2</v>
      </c>
      <c r="J22" s="4">
        <f>SUM(J15:J21)</f>
        <v>2294099.7000000002</v>
      </c>
      <c r="K22" s="47">
        <f>+(J22-L22)/ABS(L22)</f>
        <v>0.52970308913247199</v>
      </c>
      <c r="L22" s="4">
        <f>SUM(L15:L21)</f>
        <v>1499702.6</v>
      </c>
      <c r="M22" s="47">
        <f>+(L22-N22)/ABS(N22)</f>
        <v>0.46974407171421345</v>
      </c>
      <c r="N22" s="4">
        <f>SUM(N15:N21)-0.1</f>
        <v>1020383.5</v>
      </c>
      <c r="O22" s="47">
        <f>+(N22-P22)/ABS(P22)</f>
        <v>0.83068892245203974</v>
      </c>
      <c r="P22" s="4">
        <f>SUM(P15:P21)</f>
        <v>557376.78175999993</v>
      </c>
    </row>
    <row r="23" spans="1:16" ht="7.9" customHeight="1">
      <c r="A23" s="1"/>
      <c r="C23" s="44" t="s">
        <v>0</v>
      </c>
      <c r="E23" s="44" t="s">
        <v>0</v>
      </c>
      <c r="G23" s="44" t="s">
        <v>0</v>
      </c>
      <c r="I23" s="47" t="s">
        <v>0</v>
      </c>
      <c r="K23" s="47" t="s">
        <v>0</v>
      </c>
      <c r="M23" s="44" t="s">
        <v>0</v>
      </c>
      <c r="O23" s="44" t="s">
        <v>0</v>
      </c>
    </row>
    <row r="24" spans="1:16">
      <c r="A24" s="87" t="s">
        <v>276</v>
      </c>
      <c r="C24" s="44" t="s">
        <v>0</v>
      </c>
      <c r="E24" s="44" t="s">
        <v>0</v>
      </c>
      <c r="G24" s="44" t="s">
        <v>0</v>
      </c>
      <c r="I24" s="47" t="s">
        <v>0</v>
      </c>
      <c r="K24" s="47" t="s">
        <v>0</v>
      </c>
      <c r="M24" s="44" t="s">
        <v>0</v>
      </c>
      <c r="O24" s="44" t="s">
        <v>0</v>
      </c>
    </row>
    <row r="25" spans="1:16">
      <c r="A25" s="1" t="s">
        <v>277</v>
      </c>
      <c r="C25" s="44" t="s">
        <v>0</v>
      </c>
      <c r="E25" s="44" t="s">
        <v>0</v>
      </c>
      <c r="G25" s="44" t="s">
        <v>0</v>
      </c>
      <c r="I25" s="47" t="s">
        <v>0</v>
      </c>
      <c r="K25" s="47" t="s">
        <v>0</v>
      </c>
      <c r="M25" s="44" t="s">
        <v>0</v>
      </c>
      <c r="O25" s="44" t="s">
        <v>0</v>
      </c>
    </row>
    <row r="26" spans="1:16">
      <c r="A26" s="1" t="s">
        <v>278</v>
      </c>
      <c r="B26" s="12">
        <v>398833.8</v>
      </c>
      <c r="C26" s="44">
        <v>0</v>
      </c>
      <c r="D26" s="12">
        <v>0</v>
      </c>
      <c r="E26" s="44">
        <v>0</v>
      </c>
      <c r="F26" s="12">
        <v>0</v>
      </c>
      <c r="G26" s="44">
        <v>0</v>
      </c>
      <c r="H26" s="12">
        <v>0</v>
      </c>
      <c r="I26" s="47">
        <f>+(B26-J26)/ABS(J26)</f>
        <v>1.1495503196295844</v>
      </c>
      <c r="J26" s="12">
        <v>185542.9</v>
      </c>
      <c r="K26" s="47">
        <f>+(J26-L26)/ABS(L26)</f>
        <v>0.33014626075162046</v>
      </c>
      <c r="L26" s="12">
        <v>139490.6</v>
      </c>
      <c r="M26" s="47">
        <f>+(L26-N26)/ABS(N26)</f>
        <v>0.12538342259018609</v>
      </c>
      <c r="N26" s="12">
        <v>123949.4</v>
      </c>
      <c r="O26" s="47">
        <f>+(N26-P26)/ABS(P26)</f>
        <v>1.2411354382566049E-2</v>
      </c>
      <c r="P26" s="12">
        <f>122429879.38/1000</f>
        <v>122429.87938</v>
      </c>
    </row>
    <row r="27" spans="1:16">
      <c r="A27" s="1" t="s">
        <v>279</v>
      </c>
      <c r="B27" s="12">
        <v>547332.80000000005</v>
      </c>
      <c r="C27" s="44">
        <v>0</v>
      </c>
      <c r="D27" s="12">
        <v>0</v>
      </c>
      <c r="E27" s="44">
        <v>0</v>
      </c>
      <c r="F27" s="12">
        <v>0</v>
      </c>
      <c r="G27" s="44">
        <v>0</v>
      </c>
      <c r="H27" s="12">
        <v>0</v>
      </c>
      <c r="I27" s="47">
        <f>+(B27-J27)/ABS(J27)</f>
        <v>0.1000850590348293</v>
      </c>
      <c r="J27" s="12">
        <v>497536.8</v>
      </c>
      <c r="K27" s="47">
        <f>+(J27-L27)/ABS(L27)</f>
        <v>0.49820770398207698</v>
      </c>
      <c r="L27" s="12">
        <v>332088</v>
      </c>
      <c r="M27" s="47">
        <f>+(L27-N27)/ABS(N27)</f>
        <v>0.59670051383784994</v>
      </c>
      <c r="N27" s="12">
        <v>207983.9</v>
      </c>
      <c r="O27" s="47">
        <f>+(N27-P27)/ABS(P27)</f>
        <v>0.4187878070067072</v>
      </c>
      <c r="P27" s="12">
        <f>146592675.08/1000</f>
        <v>146592.67508000002</v>
      </c>
    </row>
    <row r="28" spans="1:16">
      <c r="A28" s="1" t="s">
        <v>280</v>
      </c>
      <c r="B28" s="221">
        <v>1337888.2</v>
      </c>
      <c r="C28" s="44">
        <v>0</v>
      </c>
      <c r="D28" s="221">
        <v>0</v>
      </c>
      <c r="E28" s="44">
        <v>0</v>
      </c>
      <c r="F28" s="221">
        <v>0</v>
      </c>
      <c r="G28" s="44">
        <v>0</v>
      </c>
      <c r="H28" s="221">
        <v>0</v>
      </c>
      <c r="I28" s="47">
        <f>+(B28-J28)/ABS(J28)</f>
        <v>2.7657811834688266E-3</v>
      </c>
      <c r="J28" s="221">
        <v>1334198.1000000001</v>
      </c>
      <c r="K28" s="47">
        <f>+(J28-L28)/ABS(L28)</f>
        <v>0.53950405098301901</v>
      </c>
      <c r="L28" s="221">
        <v>866641.5</v>
      </c>
      <c r="M28" s="47">
        <f>+(L28-N28)/ABS(N28)</f>
        <v>0.54786405524892079</v>
      </c>
      <c r="N28" s="221">
        <v>559895.1</v>
      </c>
      <c r="O28" s="47">
        <f>+(N28-P28)/ABS(P28)</f>
        <v>1.5270294630653241</v>
      </c>
      <c r="P28" s="221">
        <f>221562553.26/1000</f>
        <v>221562.55325999999</v>
      </c>
    </row>
    <row r="29" spans="1:16">
      <c r="A29" s="1"/>
      <c r="B29" s="12">
        <f>SUM(B26:B28)</f>
        <v>2284054.7999999998</v>
      </c>
      <c r="C29" s="44">
        <v>0</v>
      </c>
      <c r="D29" s="12">
        <f>SUM(D26:D28)</f>
        <v>0</v>
      </c>
      <c r="E29" s="44">
        <v>0</v>
      </c>
      <c r="F29" s="12">
        <f>SUM(F26:F28)</f>
        <v>0</v>
      </c>
      <c r="G29" s="44">
        <v>0</v>
      </c>
      <c r="H29" s="12">
        <f>SUM(H26:H28)</f>
        <v>0</v>
      </c>
      <c r="I29" s="47">
        <f>+(B29-J29)/ABS(J29)</f>
        <v>0.13224603968774146</v>
      </c>
      <c r="J29" s="12">
        <f>SUM(J26:J28)</f>
        <v>2017277.8</v>
      </c>
      <c r="K29" s="47">
        <f>+(J29-L29)/ABS(L29)</f>
        <v>0.50743349318994679</v>
      </c>
      <c r="L29" s="12">
        <f>SUM(L26:L28)</f>
        <v>1338220.1000000001</v>
      </c>
      <c r="M29" s="47">
        <f>+(L29-N29)/ABS(N29)</f>
        <v>0.50053541690307268</v>
      </c>
      <c r="N29" s="12">
        <f>SUM(N26:N28)</f>
        <v>891828.39999999991</v>
      </c>
      <c r="O29" s="47">
        <f>+(N29-P29)/ABS(P29)</f>
        <v>0.81788722479730958</v>
      </c>
      <c r="P29" s="12">
        <f>SUM(P26:P28)</f>
        <v>490585.10771999997</v>
      </c>
    </row>
    <row r="30" spans="1:16" ht="7.9" customHeight="1">
      <c r="A30" s="1"/>
      <c r="C30" s="44" t="s">
        <v>0</v>
      </c>
      <c r="E30" s="44" t="s">
        <v>0</v>
      </c>
      <c r="G30" s="44" t="s">
        <v>0</v>
      </c>
      <c r="I30" s="47" t="s">
        <v>0</v>
      </c>
      <c r="K30" s="47" t="s">
        <v>0</v>
      </c>
      <c r="M30" s="44" t="s">
        <v>0</v>
      </c>
      <c r="O30" s="44" t="s">
        <v>0</v>
      </c>
    </row>
    <row r="31" spans="1:16">
      <c r="A31" s="1" t="s">
        <v>281</v>
      </c>
      <c r="C31" s="44" t="s">
        <v>0</v>
      </c>
      <c r="E31" s="44" t="s">
        <v>0</v>
      </c>
      <c r="G31" s="44" t="s">
        <v>0</v>
      </c>
      <c r="I31" s="47" t="s">
        <v>0</v>
      </c>
      <c r="K31" s="47" t="s">
        <v>0</v>
      </c>
      <c r="M31" s="44" t="s">
        <v>0</v>
      </c>
      <c r="O31" s="44" t="s">
        <v>0</v>
      </c>
    </row>
    <row r="32" spans="1:16">
      <c r="A32" s="1" t="s">
        <v>282</v>
      </c>
      <c r="B32" s="12">
        <f>+B139</f>
        <v>0</v>
      </c>
      <c r="C32" s="44">
        <v>0</v>
      </c>
      <c r="D32" s="12">
        <f>+D139</f>
        <v>0</v>
      </c>
      <c r="E32" s="44">
        <v>0</v>
      </c>
      <c r="F32" s="12">
        <f>+F139</f>
        <v>0</v>
      </c>
      <c r="G32" s="44">
        <v>0</v>
      </c>
      <c r="H32" s="12">
        <f>+H139</f>
        <v>0</v>
      </c>
      <c r="I32" s="44">
        <v>0</v>
      </c>
      <c r="J32" s="12">
        <f>+J139</f>
        <v>0</v>
      </c>
      <c r="K32" s="44">
        <v>0</v>
      </c>
      <c r="L32" s="12">
        <f>+L139</f>
        <v>0</v>
      </c>
      <c r="M32" s="44">
        <v>0</v>
      </c>
      <c r="N32" s="12">
        <v>0</v>
      </c>
      <c r="O32" s="44">
        <v>0</v>
      </c>
      <c r="P32" s="12">
        <v>0</v>
      </c>
    </row>
    <row r="33" spans="1:21">
      <c r="A33" s="1" t="s">
        <v>283</v>
      </c>
      <c r="B33" s="12">
        <f>+B140</f>
        <v>0</v>
      </c>
      <c r="C33" s="44">
        <v>0</v>
      </c>
      <c r="D33" s="12">
        <f>+D140</f>
        <v>0</v>
      </c>
      <c r="E33" s="44">
        <v>0</v>
      </c>
      <c r="F33" s="12">
        <f>+F140</f>
        <v>0</v>
      </c>
      <c r="G33" s="44">
        <v>0</v>
      </c>
      <c r="H33" s="12">
        <f>+H140</f>
        <v>0</v>
      </c>
      <c r="I33" s="44">
        <v>0</v>
      </c>
      <c r="J33" s="12">
        <f>+J140</f>
        <v>0</v>
      </c>
      <c r="K33" s="44">
        <v>0</v>
      </c>
      <c r="L33" s="12">
        <f>+L140</f>
        <v>0</v>
      </c>
      <c r="M33" s="44">
        <v>0</v>
      </c>
      <c r="N33" s="12">
        <v>0</v>
      </c>
      <c r="O33" s="44">
        <v>0</v>
      </c>
      <c r="P33" s="12">
        <v>0</v>
      </c>
    </row>
    <row r="34" spans="1:21" ht="18">
      <c r="A34" s="1" t="s">
        <v>284</v>
      </c>
      <c r="B34" s="221">
        <v>113607.6</v>
      </c>
      <c r="C34" s="44">
        <v>0</v>
      </c>
      <c r="D34" s="221">
        <v>0</v>
      </c>
      <c r="E34" s="44">
        <v>0</v>
      </c>
      <c r="F34" s="221">
        <v>0</v>
      </c>
      <c r="G34" s="44">
        <v>0</v>
      </c>
      <c r="H34" s="221">
        <v>0</v>
      </c>
      <c r="I34" s="47">
        <f>+(B34-J34)/ABS(J34)</f>
        <v>-0.22060323743598359</v>
      </c>
      <c r="J34" s="221">
        <v>145763.5</v>
      </c>
      <c r="K34" s="47">
        <f>+(J34-L34)/ABS(L34)</f>
        <v>0.86834124607780794</v>
      </c>
      <c r="L34" s="221">
        <v>78017.600000000006</v>
      </c>
      <c r="M34" s="47">
        <f>+(L34-N34)/ABS(N34)</f>
        <v>1.0535594897792659</v>
      </c>
      <c r="N34" s="221">
        <v>37991.4</v>
      </c>
      <c r="O34" s="47">
        <f>+(N34-P34)/ABS(P34)</f>
        <v>0.22629844275630101</v>
      </c>
      <c r="P34" s="221">
        <f>30980549.82/1000</f>
        <v>30980.54982</v>
      </c>
      <c r="Q34" s="6"/>
      <c r="R34" s="6"/>
      <c r="S34" s="7"/>
      <c r="T34" s="7"/>
      <c r="U34" s="7"/>
    </row>
    <row r="35" spans="1:21">
      <c r="A35" s="1"/>
      <c r="B35" s="12">
        <f>SUM(B32:B34)</f>
        <v>113607.6</v>
      </c>
      <c r="C35" s="44">
        <v>0</v>
      </c>
      <c r="D35" s="12">
        <f>SUM(D32:D34)</f>
        <v>0</v>
      </c>
      <c r="E35" s="44">
        <v>0</v>
      </c>
      <c r="F35" s="12">
        <f>SUM(F32:F34)</f>
        <v>0</v>
      </c>
      <c r="G35" s="44">
        <v>0</v>
      </c>
      <c r="H35" s="12">
        <f>SUM(H32:H34)</f>
        <v>0</v>
      </c>
      <c r="I35" s="47">
        <f>+(B35-J35)/ABS(J35)</f>
        <v>-0.22060323743598359</v>
      </c>
      <c r="J35" s="12">
        <f>SUM(J32:J34)</f>
        <v>145763.5</v>
      </c>
      <c r="K35" s="47">
        <f>+(J35-L35)/ABS(L35)</f>
        <v>0.86834124607780794</v>
      </c>
      <c r="L35" s="12">
        <f>SUM(L32:L34)</f>
        <v>78017.600000000006</v>
      </c>
      <c r="M35" s="47">
        <f>+(L35-N35)/ABS(N35)</f>
        <v>1.0535594897792659</v>
      </c>
      <c r="N35" s="12">
        <f>SUM(N32:N34)</f>
        <v>37991.4</v>
      </c>
      <c r="O35" s="47">
        <f>+(N35-P35)/ABS(P35)</f>
        <v>0.22629844275630101</v>
      </c>
      <c r="P35" s="12">
        <f>SUM(P32:P34)</f>
        <v>30980.54982</v>
      </c>
    </row>
    <row r="36" spans="1:21" ht="7.15" customHeight="1">
      <c r="A36" s="1"/>
      <c r="C36" s="44" t="s">
        <v>0</v>
      </c>
      <c r="E36" s="44" t="s">
        <v>0</v>
      </c>
      <c r="G36" s="44" t="s">
        <v>0</v>
      </c>
      <c r="I36" s="47" t="s">
        <v>0</v>
      </c>
      <c r="K36" s="47" t="s">
        <v>0</v>
      </c>
      <c r="M36" s="44" t="s">
        <v>0</v>
      </c>
      <c r="O36" s="44" t="s">
        <v>0</v>
      </c>
    </row>
    <row r="37" spans="1:21">
      <c r="A37" s="1" t="s">
        <v>285</v>
      </c>
      <c r="C37" s="44" t="s">
        <v>0</v>
      </c>
      <c r="E37" s="44" t="s">
        <v>0</v>
      </c>
      <c r="G37" s="44" t="s">
        <v>0</v>
      </c>
      <c r="I37" s="47" t="s">
        <v>0</v>
      </c>
      <c r="K37" s="47" t="s">
        <v>0</v>
      </c>
      <c r="M37" s="44" t="s">
        <v>0</v>
      </c>
      <c r="O37" s="44" t="s">
        <v>0</v>
      </c>
    </row>
    <row r="38" spans="1:21">
      <c r="A38" s="1" t="s">
        <v>282</v>
      </c>
      <c r="B38" s="12">
        <v>0</v>
      </c>
      <c r="C38" s="44">
        <v>0</v>
      </c>
      <c r="D38" s="12">
        <v>0</v>
      </c>
      <c r="E38" s="44">
        <v>0</v>
      </c>
      <c r="F38" s="12">
        <v>0</v>
      </c>
      <c r="G38" s="44">
        <v>0</v>
      </c>
      <c r="H38" s="12">
        <v>0</v>
      </c>
      <c r="I38" s="44">
        <v>0</v>
      </c>
      <c r="J38" s="12">
        <v>16941.099999999999</v>
      </c>
      <c r="K38" s="44">
        <v>0</v>
      </c>
      <c r="L38" s="12">
        <f>+L146</f>
        <v>0</v>
      </c>
      <c r="M38" s="44">
        <v>0</v>
      </c>
      <c r="N38" s="12">
        <v>38468.9</v>
      </c>
      <c r="O38" s="44">
        <v>0</v>
      </c>
      <c r="P38" s="12">
        <v>0</v>
      </c>
    </row>
    <row r="39" spans="1:21">
      <c r="A39" s="1" t="s">
        <v>286</v>
      </c>
      <c r="B39" s="12">
        <f>+B147</f>
        <v>0</v>
      </c>
      <c r="C39" s="44">
        <v>0</v>
      </c>
      <c r="D39" s="12">
        <f>+D147</f>
        <v>0</v>
      </c>
      <c r="E39" s="44">
        <v>0</v>
      </c>
      <c r="F39" s="12">
        <f>+F147</f>
        <v>0</v>
      </c>
      <c r="G39" s="44">
        <v>0</v>
      </c>
      <c r="H39" s="12">
        <f>+H147</f>
        <v>0</v>
      </c>
      <c r="I39" s="44">
        <v>0</v>
      </c>
      <c r="J39" s="12">
        <f>+J147</f>
        <v>0</v>
      </c>
      <c r="K39" s="44">
        <v>0</v>
      </c>
      <c r="L39" s="12">
        <f>+L147</f>
        <v>0</v>
      </c>
      <c r="M39" s="44">
        <v>0</v>
      </c>
      <c r="N39" s="12">
        <v>0</v>
      </c>
      <c r="O39" s="44">
        <v>0</v>
      </c>
      <c r="P39" s="12">
        <v>0</v>
      </c>
    </row>
    <row r="40" spans="1:21">
      <c r="A40" s="1" t="s">
        <v>284</v>
      </c>
      <c r="B40" s="221">
        <f>+B144+B145+B148+B149+B150</f>
        <v>0</v>
      </c>
      <c r="C40" s="44">
        <v>0</v>
      </c>
      <c r="D40" s="221">
        <f>+D144+D145+D148+D149+D150</f>
        <v>0</v>
      </c>
      <c r="E40" s="44">
        <v>0</v>
      </c>
      <c r="F40" s="221">
        <v>0</v>
      </c>
      <c r="G40" s="44">
        <v>0</v>
      </c>
      <c r="H40" s="221">
        <f>+H144+H145+H148+H149+H150</f>
        <v>0</v>
      </c>
      <c r="I40" s="44">
        <v>0</v>
      </c>
      <c r="J40" s="221">
        <f>+J144+J145+J148+J149+J150</f>
        <v>0</v>
      </c>
      <c r="K40" s="44">
        <v>0</v>
      </c>
      <c r="L40" s="221">
        <f>+L144+L145+L148+L149+L150</f>
        <v>0</v>
      </c>
      <c r="M40" s="44">
        <v>0</v>
      </c>
      <c r="N40" s="221">
        <v>0</v>
      </c>
      <c r="O40" s="44">
        <v>0</v>
      </c>
      <c r="P40" s="221">
        <f>10117850.79/1000</f>
        <v>10117.850789999999</v>
      </c>
    </row>
    <row r="41" spans="1:21">
      <c r="A41" s="1"/>
      <c r="B41" s="12">
        <f>SUM(B38:B40)</f>
        <v>0</v>
      </c>
      <c r="C41" s="44">
        <v>0</v>
      </c>
      <c r="D41" s="12">
        <f>SUM(D38:D40)</f>
        <v>0</v>
      </c>
      <c r="E41" s="44">
        <v>0</v>
      </c>
      <c r="F41" s="12">
        <f>SUM(F38:F40)</f>
        <v>0</v>
      </c>
      <c r="G41" s="44">
        <v>0</v>
      </c>
      <c r="H41" s="12">
        <f>SUM(H38:H40)</f>
        <v>0</v>
      </c>
      <c r="I41" s="47">
        <f>+(B41-J41)/ABS(J41)</f>
        <v>-1</v>
      </c>
      <c r="J41" s="12">
        <f>SUM(J38:J40)</f>
        <v>16941.099999999999</v>
      </c>
      <c r="K41" s="44">
        <v>0</v>
      </c>
      <c r="L41" s="12">
        <f>SUM(L38:L40)</f>
        <v>0</v>
      </c>
      <c r="M41" s="47">
        <f>+(L41-N41)/ABS(N41)</f>
        <v>-1</v>
      </c>
      <c r="N41" s="12">
        <f>SUM(N38:N40)</f>
        <v>38468.9</v>
      </c>
      <c r="O41" s="47">
        <f>+(N41-P41)/ABS(P41)</f>
        <v>2.8020821613638374</v>
      </c>
      <c r="P41" s="12">
        <f>SUM(P38:P40)</f>
        <v>10117.850789999999</v>
      </c>
    </row>
    <row r="42" spans="1:21" ht="8.4499999999999993" customHeight="1">
      <c r="A42" s="1"/>
      <c r="C42" s="44" t="s">
        <v>0</v>
      </c>
      <c r="E42" s="44" t="s">
        <v>0</v>
      </c>
      <c r="G42" s="44" t="s">
        <v>0</v>
      </c>
      <c r="I42" s="47" t="s">
        <v>0</v>
      </c>
      <c r="K42" s="47" t="s">
        <v>0</v>
      </c>
      <c r="M42" s="44" t="s">
        <v>0</v>
      </c>
      <c r="O42" s="44" t="s">
        <v>0</v>
      </c>
    </row>
    <row r="43" spans="1:21" ht="18">
      <c r="A43" s="1" t="s">
        <v>287</v>
      </c>
      <c r="B43" s="221">
        <f>+B152+B154+B156</f>
        <v>0</v>
      </c>
      <c r="C43" s="44">
        <v>0</v>
      </c>
      <c r="D43" s="221">
        <f>+D152+D154+D156</f>
        <v>0</v>
      </c>
      <c r="E43" s="44">
        <v>0</v>
      </c>
      <c r="F43" s="221">
        <f>+F152+F154+F156</f>
        <v>0</v>
      </c>
      <c r="G43" s="44">
        <v>0</v>
      </c>
      <c r="H43" s="221">
        <f>+H152+H154+H156</f>
        <v>0</v>
      </c>
      <c r="I43" s="44">
        <v>0</v>
      </c>
      <c r="J43" s="221">
        <f>+J152+J154+J156</f>
        <v>0</v>
      </c>
      <c r="K43" s="44">
        <v>0</v>
      </c>
      <c r="L43" s="221">
        <f>+L152+L154+L156</f>
        <v>0</v>
      </c>
      <c r="M43" s="44">
        <v>0</v>
      </c>
      <c r="N43" s="221">
        <v>0</v>
      </c>
      <c r="O43" s="44">
        <v>0</v>
      </c>
      <c r="P43" s="221">
        <v>0</v>
      </c>
      <c r="Q43" s="6"/>
      <c r="R43" s="6"/>
    </row>
    <row r="44" spans="1:21">
      <c r="A44" s="1"/>
      <c r="B44" s="12">
        <f t="shared" ref="B44:L44" si="5">+B29+B35+B41+B43</f>
        <v>2397662.4</v>
      </c>
      <c r="C44" s="44">
        <v>0</v>
      </c>
      <c r="D44" s="12">
        <f t="shared" si="5"/>
        <v>0</v>
      </c>
      <c r="E44" s="44">
        <v>0</v>
      </c>
      <c r="F44" s="12">
        <f t="shared" si="5"/>
        <v>0</v>
      </c>
      <c r="G44" s="44">
        <v>0</v>
      </c>
      <c r="H44" s="12">
        <f t="shared" si="5"/>
        <v>0</v>
      </c>
      <c r="I44" s="47">
        <f>+(B44-J44)/ABS(J44)</f>
        <v>9.9854017170046883E-2</v>
      </c>
      <c r="J44" s="12">
        <f t="shared" si="5"/>
        <v>2179982.4</v>
      </c>
      <c r="K44" s="47">
        <f>+(J44-L44)/ABS(L44)</f>
        <v>0.53927719901821536</v>
      </c>
      <c r="L44" s="12">
        <f t="shared" si="5"/>
        <v>1416237.7000000002</v>
      </c>
      <c r="M44" s="47">
        <f>+(L44-N44)/ABS(N44)</f>
        <v>0.46261925807871168</v>
      </c>
      <c r="N44" s="12">
        <f>+N29+N35+N41+N43</f>
        <v>968288.7</v>
      </c>
      <c r="O44" s="47">
        <f>+(N44-P44)/ABS(P44)</f>
        <v>0.82117497501730341</v>
      </c>
      <c r="P44" s="12">
        <f>+P29+P35+P41+P43</f>
        <v>531683.50832999998</v>
      </c>
    </row>
    <row r="45" spans="1:21" ht="8.4499999999999993" customHeight="1">
      <c r="A45" s="1"/>
      <c r="C45" s="44" t="s">
        <v>0</v>
      </c>
      <c r="E45" s="44" t="s">
        <v>0</v>
      </c>
      <c r="G45" s="44" t="s">
        <v>0</v>
      </c>
      <c r="I45" s="47" t="s">
        <v>0</v>
      </c>
      <c r="K45" s="47" t="s">
        <v>0</v>
      </c>
      <c r="M45" s="44" t="s">
        <v>0</v>
      </c>
      <c r="O45" s="44" t="s">
        <v>0</v>
      </c>
    </row>
    <row r="46" spans="1:21">
      <c r="A46" s="87" t="s">
        <v>288</v>
      </c>
      <c r="C46" s="44" t="s">
        <v>0</v>
      </c>
      <c r="E46" s="44" t="s">
        <v>0</v>
      </c>
      <c r="G46" s="44" t="s">
        <v>0</v>
      </c>
      <c r="I46" s="47" t="s">
        <v>0</v>
      </c>
      <c r="K46" s="47" t="s">
        <v>0</v>
      </c>
      <c r="M46" s="44" t="s">
        <v>0</v>
      </c>
      <c r="O46" s="44" t="s">
        <v>0</v>
      </c>
    </row>
    <row r="47" spans="1:21">
      <c r="A47" s="1" t="s">
        <v>289</v>
      </c>
      <c r="B47" s="12">
        <v>93083.4</v>
      </c>
      <c r="C47" s="44">
        <v>0</v>
      </c>
      <c r="D47" s="12">
        <v>0</v>
      </c>
      <c r="E47" s="44">
        <v>0</v>
      </c>
      <c r="F47" s="12">
        <v>0</v>
      </c>
      <c r="G47" s="44">
        <v>0</v>
      </c>
      <c r="H47" s="12">
        <v>0</v>
      </c>
      <c r="I47" s="47">
        <f t="shared" ref="I47:I52" si="6">+(B47-J47)/ABS(J47)</f>
        <v>1.553134525713553E-2</v>
      </c>
      <c r="J47" s="12">
        <v>91659.8</v>
      </c>
      <c r="K47" s="47">
        <f>+(J47-L47)/ABS(L47)</f>
        <v>0.30538275740278681</v>
      </c>
      <c r="L47" s="12">
        <v>70216.800000000003</v>
      </c>
      <c r="M47" s="47">
        <f>+(L47-N47)/ABS(N47)</f>
        <v>0.63919301898861258</v>
      </c>
      <c r="N47" s="12">
        <v>42836.2</v>
      </c>
      <c r="O47" s="47">
        <f>+(N47-P47)/ABS(P47)</f>
        <v>0.52779902881283691</v>
      </c>
      <c r="P47" s="12">
        <f>28037850/1000</f>
        <v>28037.85</v>
      </c>
    </row>
    <row r="48" spans="1:21">
      <c r="A48" s="1" t="s">
        <v>290</v>
      </c>
      <c r="B48" s="12">
        <v>5168.7</v>
      </c>
      <c r="C48" s="44">
        <v>0</v>
      </c>
      <c r="D48" s="12">
        <v>0</v>
      </c>
      <c r="E48" s="44">
        <v>0</v>
      </c>
      <c r="F48" s="12">
        <v>0</v>
      </c>
      <c r="G48" s="44">
        <v>0</v>
      </c>
      <c r="H48" s="12">
        <v>0</v>
      </c>
      <c r="I48" s="47">
        <f t="shared" si="6"/>
        <v>0.44834253369574356</v>
      </c>
      <c r="J48" s="12">
        <v>3568.7</v>
      </c>
      <c r="K48" s="47">
        <f>+(J48-L48)/ABS(L48)</f>
        <v>0.58884288321980316</v>
      </c>
      <c r="L48" s="12">
        <f>1321.1+925</f>
        <v>2246.1</v>
      </c>
      <c r="M48" s="44">
        <v>0</v>
      </c>
      <c r="N48" s="12">
        <v>0</v>
      </c>
      <c r="O48" s="44">
        <v>0</v>
      </c>
      <c r="P48" s="12">
        <v>0</v>
      </c>
    </row>
    <row r="49" spans="1:21">
      <c r="A49" s="1" t="s">
        <v>302</v>
      </c>
      <c r="B49" s="12">
        <v>68.400000000000006</v>
      </c>
      <c r="C49" s="44">
        <v>0</v>
      </c>
      <c r="D49" s="12">
        <f>+D161</f>
        <v>0</v>
      </c>
      <c r="E49" s="44">
        <v>0</v>
      </c>
      <c r="F49" s="12">
        <f>+F161</f>
        <v>0</v>
      </c>
      <c r="G49" s="44">
        <v>0</v>
      </c>
      <c r="H49" s="12">
        <v>0</v>
      </c>
      <c r="I49" s="47">
        <f t="shared" si="6"/>
        <v>3.7936267071320182E-2</v>
      </c>
      <c r="J49" s="12">
        <v>65.900000000000006</v>
      </c>
      <c r="K49" s="44">
        <v>0</v>
      </c>
      <c r="L49" s="12">
        <f>+L161</f>
        <v>0</v>
      </c>
      <c r="M49" s="44">
        <v>0</v>
      </c>
      <c r="N49" s="12">
        <v>0</v>
      </c>
      <c r="O49" s="44">
        <v>0</v>
      </c>
      <c r="P49" s="12">
        <v>0</v>
      </c>
    </row>
    <row r="50" spans="1:21" ht="18">
      <c r="A50" s="1" t="s">
        <v>292</v>
      </c>
      <c r="B50" s="221">
        <v>24634.799999999999</v>
      </c>
      <c r="C50" s="44">
        <v>0</v>
      </c>
      <c r="D50" s="221">
        <v>0</v>
      </c>
      <c r="E50" s="44">
        <v>0</v>
      </c>
      <c r="F50" s="221">
        <v>0</v>
      </c>
      <c r="G50" s="44">
        <v>0</v>
      </c>
      <c r="H50" s="221">
        <v>0</v>
      </c>
      <c r="I50" s="47">
        <f t="shared" si="6"/>
        <v>0.30876751191367946</v>
      </c>
      <c r="J50" s="221">
        <v>18822.900000000001</v>
      </c>
      <c r="K50" s="47">
        <f>+(J50-L50)/ABS(L50)</f>
        <v>0.71086166151608809</v>
      </c>
      <c r="L50" s="221">
        <f>10471+531</f>
        <v>11002</v>
      </c>
      <c r="M50" s="47">
        <f>+(L50-N50)/ABS(N50)</f>
        <v>0.18830060700321857</v>
      </c>
      <c r="N50" s="221">
        <v>9258.6</v>
      </c>
      <c r="O50" s="47">
        <f>+(N50-P50)/ABS(P50)</f>
        <v>4.948943326683505</v>
      </c>
      <c r="P50" s="221">
        <f>-2344576.57/1000</f>
        <v>-2344.5765699999997</v>
      </c>
      <c r="Q50" s="6"/>
      <c r="R50" s="6"/>
      <c r="S50" s="7"/>
      <c r="T50" s="7"/>
      <c r="U50" s="7"/>
    </row>
    <row r="51" spans="1:21" ht="16.5" thickBot="1">
      <c r="A51" s="1" t="s">
        <v>275</v>
      </c>
      <c r="B51" s="76">
        <f>SUM(B47:B50)</f>
        <v>122955.29999999999</v>
      </c>
      <c r="C51" s="44">
        <v>0</v>
      </c>
      <c r="D51" s="76">
        <f>SUM(D47:D50)</f>
        <v>0</v>
      </c>
      <c r="E51" s="44">
        <v>0</v>
      </c>
      <c r="F51" s="76">
        <f>SUM(F47:F50)</f>
        <v>0</v>
      </c>
      <c r="G51" s="44">
        <v>0</v>
      </c>
      <c r="H51" s="76">
        <f>SUM(H47:H50)</f>
        <v>0</v>
      </c>
      <c r="I51" s="47">
        <f t="shared" si="6"/>
        <v>7.7446627286134537E-2</v>
      </c>
      <c r="J51" s="76">
        <f>SUM(J47:J50)</f>
        <v>114117.29999999999</v>
      </c>
      <c r="K51" s="47">
        <f>+(J51-L51)/ABS(L51)</f>
        <v>0.3672489872988523</v>
      </c>
      <c r="L51" s="76">
        <f>SUM(L47:L50)</f>
        <v>83464.900000000009</v>
      </c>
      <c r="M51" s="47">
        <f>+(L51-N51)/ABS(N51)</f>
        <v>0.60217334551625146</v>
      </c>
      <c r="N51" s="76">
        <f>SUM(N47:N50)</f>
        <v>52094.799999999996</v>
      </c>
      <c r="O51" s="47">
        <f>+(N51-P51)/ABS(P51)</f>
        <v>1.0275657028260567</v>
      </c>
      <c r="P51" s="76">
        <f>SUM(P47:P50)</f>
        <v>25693.273429999997</v>
      </c>
    </row>
    <row r="52" spans="1:21">
      <c r="A52" s="1" t="s">
        <v>0</v>
      </c>
      <c r="B52" s="4">
        <f>+B29+B35+B41+B43+B51</f>
        <v>2520617.6999999997</v>
      </c>
      <c r="C52" s="44">
        <v>0</v>
      </c>
      <c r="D52" s="4">
        <f>+D29+D35+D41+D43+D51</f>
        <v>0</v>
      </c>
      <c r="E52" s="44">
        <v>0</v>
      </c>
      <c r="F52" s="4">
        <f>+F29+F35+F41+F43+F51</f>
        <v>0</v>
      </c>
      <c r="G52" s="44">
        <v>0</v>
      </c>
      <c r="H52" s="4">
        <f>+H29+H35+H41+H43+H51</f>
        <v>0</v>
      </c>
      <c r="I52" s="47">
        <f t="shared" si="6"/>
        <v>9.8739387830441727E-2</v>
      </c>
      <c r="J52" s="4">
        <f>+J29+J35+J41+J43+J51</f>
        <v>2294099.6999999997</v>
      </c>
      <c r="K52" s="47">
        <f>+(J52-L52)/ABS(L52)</f>
        <v>0.52970308913247177</v>
      </c>
      <c r="L52" s="4">
        <f>+L29+L35+L41+L43+L51</f>
        <v>1499702.6</v>
      </c>
      <c r="M52" s="47">
        <f>+(L52-N52)/ABS(N52)</f>
        <v>0.46974407171421345</v>
      </c>
      <c r="N52" s="4">
        <f>+N29+N35+N41+N43+N51</f>
        <v>1020383.5</v>
      </c>
      <c r="O52" s="47">
        <f>+(N52-P52)/ABS(P52)</f>
        <v>0.83068892245203974</v>
      </c>
      <c r="P52" s="4">
        <f>+P29+P35+P41+P43+P51</f>
        <v>557376.78175999993</v>
      </c>
    </row>
    <row r="53" spans="1:21">
      <c r="A53" s="1"/>
      <c r="B53" s="4"/>
      <c r="C53" s="15"/>
      <c r="D53" s="4"/>
      <c r="E53" s="15"/>
      <c r="F53" s="4"/>
      <c r="G53" s="15"/>
      <c r="H53" s="4"/>
      <c r="I53" s="15"/>
      <c r="J53" s="4"/>
      <c r="K53" s="15"/>
      <c r="L53" s="4"/>
      <c r="M53" s="15"/>
      <c r="N53" s="4"/>
      <c r="O53" s="15"/>
      <c r="P53" s="4"/>
    </row>
    <row r="54" spans="1:21">
      <c r="A54" s="1"/>
      <c r="B54" s="4"/>
      <c r="C54" s="15"/>
      <c r="D54" s="4"/>
      <c r="E54" s="15"/>
      <c r="F54" s="4"/>
      <c r="G54" s="15"/>
      <c r="H54" s="4"/>
      <c r="I54" s="15"/>
      <c r="J54" s="4"/>
      <c r="K54" s="15"/>
      <c r="L54" s="4"/>
      <c r="M54" s="15"/>
      <c r="N54" s="4"/>
      <c r="O54" s="15"/>
      <c r="P54" s="4"/>
    </row>
    <row r="55" spans="1:21">
      <c r="A55" s="185" t="s">
        <v>293</v>
      </c>
      <c r="B55" s="4"/>
      <c r="C55" s="15"/>
      <c r="D55" s="4"/>
      <c r="E55" s="15"/>
      <c r="F55" s="4"/>
      <c r="G55" s="15"/>
      <c r="H55" s="4"/>
      <c r="I55" s="15"/>
      <c r="J55" s="4"/>
      <c r="K55" s="15"/>
      <c r="L55" s="4"/>
      <c r="M55" s="15"/>
      <c r="N55" s="4"/>
      <c r="O55" s="15"/>
      <c r="P55" s="4"/>
    </row>
    <row r="56" spans="1:21">
      <c r="A56" t="s">
        <v>294</v>
      </c>
      <c r="B56" s="4">
        <v>0</v>
      </c>
      <c r="C56" s="15"/>
      <c r="D56" s="42">
        <v>0</v>
      </c>
      <c r="E56" s="44"/>
      <c r="F56" s="42">
        <v>0</v>
      </c>
      <c r="G56" s="44"/>
      <c r="H56" s="42">
        <v>0</v>
      </c>
      <c r="I56" s="44"/>
      <c r="J56" s="42">
        <v>0</v>
      </c>
      <c r="K56" s="44"/>
      <c r="L56" s="42">
        <v>0</v>
      </c>
      <c r="M56" s="44"/>
      <c r="N56" s="4">
        <v>0</v>
      </c>
      <c r="O56" s="44"/>
      <c r="P56" s="4">
        <v>0</v>
      </c>
    </row>
    <row r="57" spans="1:21">
      <c r="A57" t="s">
        <v>295</v>
      </c>
      <c r="B57" s="16">
        <v>48625.1</v>
      </c>
      <c r="C57" s="15"/>
      <c r="D57" s="16">
        <v>0</v>
      </c>
      <c r="E57" s="44"/>
      <c r="F57" s="16">
        <v>0</v>
      </c>
      <c r="G57" s="44"/>
      <c r="H57" s="16">
        <v>0</v>
      </c>
      <c r="I57" s="44"/>
      <c r="J57" s="16">
        <v>108895.3</v>
      </c>
      <c r="K57" s="44"/>
      <c r="L57" s="42">
        <v>0</v>
      </c>
      <c r="M57" s="44"/>
      <c r="N57" s="4">
        <v>0</v>
      </c>
      <c r="O57" s="44"/>
      <c r="P57" s="4">
        <v>0</v>
      </c>
    </row>
    <row r="58" spans="1:21">
      <c r="A58" t="s">
        <v>284</v>
      </c>
      <c r="B58" s="12">
        <v>77964.2</v>
      </c>
      <c r="D58" s="12">
        <v>0</v>
      </c>
      <c r="E58" s="43"/>
      <c r="F58" s="12">
        <v>0</v>
      </c>
      <c r="G58" s="43"/>
      <c r="H58" s="12">
        <v>0</v>
      </c>
      <c r="I58" s="43"/>
      <c r="J58" s="12">
        <v>109465.2</v>
      </c>
      <c r="K58" s="43"/>
      <c r="L58" s="12">
        <v>14382.6</v>
      </c>
      <c r="M58" s="43"/>
      <c r="N58" s="12">
        <v>81704.899999999994</v>
      </c>
      <c r="O58" s="43"/>
      <c r="P58" s="12">
        <v>0</v>
      </c>
    </row>
    <row r="59" spans="1:21">
      <c r="D59" s="43"/>
      <c r="E59" s="43"/>
      <c r="F59" s="43"/>
      <c r="G59" s="43"/>
      <c r="H59" s="43"/>
      <c r="I59" s="43"/>
      <c r="J59" s="43"/>
      <c r="K59" s="43"/>
      <c r="L59" s="43"/>
      <c r="M59" s="43"/>
      <c r="N59" s="43"/>
      <c r="O59" s="43"/>
      <c r="P59" s="43"/>
    </row>
    <row r="60" spans="1:21">
      <c r="A60" t="s">
        <v>640</v>
      </c>
      <c r="B60" s="12">
        <v>1516685.5</v>
      </c>
      <c r="D60" s="12">
        <v>0</v>
      </c>
      <c r="E60" s="43"/>
      <c r="F60" s="12">
        <v>0</v>
      </c>
      <c r="G60" s="43"/>
      <c r="H60" s="12">
        <v>0</v>
      </c>
      <c r="I60" s="43"/>
      <c r="J60" s="12">
        <v>1265008.2</v>
      </c>
      <c r="K60" s="43"/>
      <c r="L60" s="12">
        <v>869336.9</v>
      </c>
      <c r="M60" s="43"/>
      <c r="N60" s="12">
        <v>524069.5</v>
      </c>
      <c r="O60" s="43"/>
      <c r="P60" s="1098">
        <v>288144.3</v>
      </c>
    </row>
    <row r="61" spans="1:21">
      <c r="A61" t="s">
        <v>217</v>
      </c>
      <c r="B61" s="12">
        <v>32477.5</v>
      </c>
      <c r="D61" s="12">
        <v>0</v>
      </c>
      <c r="E61" s="43"/>
      <c r="F61" s="12">
        <v>0</v>
      </c>
      <c r="G61" s="43"/>
      <c r="H61" s="12">
        <v>0</v>
      </c>
      <c r="I61" s="43"/>
      <c r="J61" s="12">
        <v>29894.400000000001</v>
      </c>
      <c r="K61" s="43"/>
      <c r="L61" s="12">
        <v>16868.599999999999</v>
      </c>
      <c r="M61" s="43"/>
      <c r="N61" s="12">
        <v>7834.1</v>
      </c>
      <c r="O61" s="43"/>
      <c r="P61" s="1098">
        <v>4223.8999999999996</v>
      </c>
    </row>
    <row r="62" spans="1:21">
      <c r="A62" t="s">
        <v>297</v>
      </c>
      <c r="B62" s="12">
        <v>76651</v>
      </c>
      <c r="D62" s="12">
        <v>0</v>
      </c>
      <c r="E62" s="43"/>
      <c r="F62" s="12">
        <v>0</v>
      </c>
      <c r="G62" s="43"/>
      <c r="H62" s="12">
        <v>0</v>
      </c>
      <c r="I62" s="43"/>
      <c r="J62" s="12">
        <v>68839</v>
      </c>
      <c r="K62" s="43"/>
      <c r="L62" s="12">
        <v>67253</v>
      </c>
      <c r="M62" s="43"/>
      <c r="N62" s="12">
        <v>0</v>
      </c>
      <c r="O62" s="43"/>
      <c r="P62" s="1098">
        <v>0</v>
      </c>
    </row>
    <row r="67" spans="1:15">
      <c r="B67" s="17" t="s">
        <v>548</v>
      </c>
      <c r="D67" s="17" t="s">
        <v>549</v>
      </c>
      <c r="F67" s="17" t="s">
        <v>138</v>
      </c>
      <c r="H67" s="17" t="s">
        <v>528</v>
      </c>
    </row>
    <row r="69" spans="1:15">
      <c r="A69" t="s">
        <v>414</v>
      </c>
      <c r="B69" s="4">
        <f t="shared" ref="B69:M69" si="7">SUM(B70:B78)</f>
        <v>386502.02038</v>
      </c>
      <c r="C69" s="11" t="s">
        <v>0</v>
      </c>
      <c r="D69" s="4">
        <f t="shared" si="7"/>
        <v>0</v>
      </c>
      <c r="E69" s="11">
        <f t="shared" si="7"/>
        <v>0</v>
      </c>
      <c r="F69" s="4">
        <f t="shared" si="7"/>
        <v>0</v>
      </c>
      <c r="G69" s="11">
        <f t="shared" si="7"/>
        <v>0</v>
      </c>
      <c r="H69" s="4">
        <f t="shared" si="7"/>
        <v>0</v>
      </c>
      <c r="I69" s="11">
        <f t="shared" si="7"/>
        <v>0</v>
      </c>
      <c r="J69" s="4">
        <f t="shared" si="7"/>
        <v>0</v>
      </c>
      <c r="K69" s="11">
        <f t="shared" si="7"/>
        <v>0</v>
      </c>
      <c r="L69" s="4">
        <f t="shared" si="7"/>
        <v>0</v>
      </c>
      <c r="M69" s="11">
        <f t="shared" si="7"/>
        <v>0</v>
      </c>
      <c r="O69" s="11">
        <f>SUM(O70:O78)</f>
        <v>0</v>
      </c>
    </row>
    <row r="70" spans="1:15">
      <c r="A70" t="s">
        <v>461</v>
      </c>
      <c r="B70" s="12">
        <f>24870208.9/1000</f>
        <v>24870.208899999998</v>
      </c>
      <c r="D70" s="12">
        <v>0</v>
      </c>
      <c r="F70" s="12">
        <v>0</v>
      </c>
      <c r="H70" s="12">
        <v>0</v>
      </c>
    </row>
    <row r="71" spans="1:15">
      <c r="A71" t="s">
        <v>462</v>
      </c>
      <c r="B71" s="12">
        <f>56760308.24/1000</f>
        <v>56760.308239999998</v>
      </c>
      <c r="D71" s="12">
        <v>0</v>
      </c>
      <c r="F71" s="12">
        <v>0</v>
      </c>
      <c r="H71" s="12">
        <v>0</v>
      </c>
    </row>
    <row r="72" spans="1:15">
      <c r="A72" t="s">
        <v>463</v>
      </c>
      <c r="B72" s="12">
        <f>7768775.67/1000</f>
        <v>7768.77567</v>
      </c>
      <c r="D72" s="12">
        <v>0</v>
      </c>
      <c r="F72" s="12">
        <v>0</v>
      </c>
      <c r="H72" s="12">
        <v>0</v>
      </c>
    </row>
    <row r="73" spans="1:15">
      <c r="A73" t="s">
        <v>464</v>
      </c>
      <c r="B73" s="12">
        <f>225588777.45/1000</f>
        <v>225588.77744999999</v>
      </c>
      <c r="D73" s="12">
        <v>0</v>
      </c>
      <c r="F73" s="12">
        <v>0</v>
      </c>
      <c r="H73" s="12">
        <v>0</v>
      </c>
    </row>
    <row r="74" spans="1:15">
      <c r="A74" t="s">
        <v>465</v>
      </c>
      <c r="B74" s="12">
        <v>0</v>
      </c>
      <c r="D74" s="12">
        <v>0</v>
      </c>
      <c r="F74" s="12">
        <v>0</v>
      </c>
      <c r="H74" s="12">
        <v>0</v>
      </c>
    </row>
    <row r="75" spans="1:15">
      <c r="A75" t="s">
        <v>466</v>
      </c>
      <c r="B75" s="12">
        <f>21428950.13/1000</f>
        <v>21428.950129999997</v>
      </c>
      <c r="D75" s="12">
        <v>0</v>
      </c>
      <c r="F75" s="12">
        <v>0</v>
      </c>
      <c r="H75" s="12">
        <v>0</v>
      </c>
    </row>
    <row r="76" spans="1:15">
      <c r="A76" t="s">
        <v>467</v>
      </c>
      <c r="B76" s="12">
        <f>10893715.15/1000</f>
        <v>10893.71515</v>
      </c>
      <c r="D76" s="12">
        <v>0</v>
      </c>
      <c r="F76" s="12">
        <v>0</v>
      </c>
      <c r="H76" s="12">
        <v>0</v>
      </c>
    </row>
    <row r="77" spans="1:15">
      <c r="A77" t="s">
        <v>468</v>
      </c>
      <c r="B77" s="12">
        <v>0</v>
      </c>
      <c r="D77" s="12">
        <v>0</v>
      </c>
      <c r="F77" s="12">
        <v>0</v>
      </c>
      <c r="H77" s="12">
        <v>0</v>
      </c>
    </row>
    <row r="78" spans="1:15">
      <c r="A78" t="s">
        <v>469</v>
      </c>
      <c r="B78" s="12">
        <f>39191284.84/1000</f>
        <v>39191.28484</v>
      </c>
      <c r="D78" s="12">
        <v>0</v>
      </c>
      <c r="F78" s="12">
        <v>0</v>
      </c>
      <c r="H78" s="12">
        <v>0</v>
      </c>
    </row>
    <row r="80" spans="1:15">
      <c r="A80" t="s">
        <v>470</v>
      </c>
      <c r="B80" s="4">
        <f t="shared" ref="B80:M80" si="8">SUM(B81:B82)</f>
        <v>81858.683749999997</v>
      </c>
      <c r="C80" s="11" t="s">
        <v>0</v>
      </c>
      <c r="D80" s="4">
        <f t="shared" si="8"/>
        <v>0</v>
      </c>
      <c r="E80" s="11">
        <f t="shared" si="8"/>
        <v>0</v>
      </c>
      <c r="F80" s="4">
        <f t="shared" si="8"/>
        <v>0</v>
      </c>
      <c r="G80" s="11">
        <f t="shared" si="8"/>
        <v>0</v>
      </c>
      <c r="H80" s="4">
        <f t="shared" si="8"/>
        <v>0</v>
      </c>
      <c r="I80" s="11">
        <f t="shared" si="8"/>
        <v>0</v>
      </c>
      <c r="J80" s="4">
        <f t="shared" si="8"/>
        <v>0</v>
      </c>
      <c r="K80" s="11">
        <f t="shared" si="8"/>
        <v>0</v>
      </c>
      <c r="L80" s="4">
        <f t="shared" si="8"/>
        <v>0</v>
      </c>
      <c r="M80" s="11">
        <f t="shared" si="8"/>
        <v>0</v>
      </c>
      <c r="O80" s="11">
        <f>SUM(O81:O82)</f>
        <v>0</v>
      </c>
    </row>
    <row r="81" spans="1:15">
      <c r="A81" t="s">
        <v>471</v>
      </c>
      <c r="B81" s="12">
        <v>0</v>
      </c>
      <c r="D81" s="12">
        <v>0</v>
      </c>
      <c r="F81" s="12">
        <v>0</v>
      </c>
      <c r="H81" s="12">
        <v>0</v>
      </c>
    </row>
    <row r="82" spans="1:15">
      <c r="A82" t="s">
        <v>472</v>
      </c>
      <c r="B82" s="12">
        <f>81858683.75/1000</f>
        <v>81858.683749999997</v>
      </c>
      <c r="D82" s="12">
        <v>0</v>
      </c>
      <c r="F82" s="12">
        <v>0</v>
      </c>
      <c r="H82" s="12">
        <v>0</v>
      </c>
    </row>
    <row r="84" spans="1:15">
      <c r="A84" t="s">
        <v>473</v>
      </c>
      <c r="B84" s="4">
        <f t="shared" ref="B84:M84" si="9">SUM(B85:B95)</f>
        <v>648159.79134</v>
      </c>
      <c r="C84" s="11" t="s">
        <v>0</v>
      </c>
      <c r="D84" s="4">
        <f t="shared" si="9"/>
        <v>0</v>
      </c>
      <c r="E84" s="11">
        <f t="shared" si="9"/>
        <v>0</v>
      </c>
      <c r="F84" s="4">
        <f t="shared" si="9"/>
        <v>0</v>
      </c>
      <c r="G84" s="11">
        <f t="shared" si="9"/>
        <v>0</v>
      </c>
      <c r="H84" s="4">
        <f t="shared" si="9"/>
        <v>0</v>
      </c>
      <c r="I84" s="11">
        <f t="shared" si="9"/>
        <v>0</v>
      </c>
      <c r="J84" s="4">
        <f t="shared" si="9"/>
        <v>0</v>
      </c>
      <c r="K84" s="11">
        <f t="shared" si="9"/>
        <v>0</v>
      </c>
      <c r="L84" s="4">
        <f t="shared" si="9"/>
        <v>0</v>
      </c>
      <c r="M84" s="11">
        <f t="shared" si="9"/>
        <v>0</v>
      </c>
      <c r="O84" s="11">
        <f>SUM(O85:O95)</f>
        <v>0</v>
      </c>
    </row>
    <row r="85" spans="1:15">
      <c r="A85" t="s">
        <v>474</v>
      </c>
      <c r="B85" s="12">
        <v>0</v>
      </c>
      <c r="D85" s="12">
        <v>0</v>
      </c>
      <c r="F85" s="12">
        <v>0</v>
      </c>
      <c r="H85" s="12">
        <v>0</v>
      </c>
    </row>
    <row r="86" spans="1:15">
      <c r="A86" t="s">
        <v>475</v>
      </c>
      <c r="B86" s="12">
        <f>160585319.14/1000</f>
        <v>160585.31913999998</v>
      </c>
      <c r="D86" s="12">
        <v>0</v>
      </c>
      <c r="F86" s="12">
        <v>0</v>
      </c>
      <c r="H86" s="12">
        <v>0</v>
      </c>
    </row>
    <row r="87" spans="1:15">
      <c r="A87" t="s">
        <v>476</v>
      </c>
      <c r="B87" s="12">
        <f>495667759.84/1000</f>
        <v>495667.75983999996</v>
      </c>
      <c r="D87" s="12">
        <v>0</v>
      </c>
      <c r="F87" s="12">
        <v>0</v>
      </c>
      <c r="H87" s="12">
        <v>0</v>
      </c>
    </row>
    <row r="88" spans="1:15">
      <c r="A88" t="s">
        <v>477</v>
      </c>
      <c r="B88" s="12">
        <v>0</v>
      </c>
      <c r="D88" s="12">
        <v>0</v>
      </c>
      <c r="F88" s="12">
        <v>0</v>
      </c>
      <c r="H88" s="12">
        <v>0</v>
      </c>
    </row>
    <row r="89" spans="1:15">
      <c r="A89" t="s">
        <v>478</v>
      </c>
      <c r="B89" s="12">
        <v>0</v>
      </c>
      <c r="D89" s="12">
        <v>0</v>
      </c>
      <c r="F89" s="12">
        <v>0</v>
      </c>
      <c r="H89" s="12">
        <v>0</v>
      </c>
    </row>
    <row r="90" spans="1:15">
      <c r="A90" t="s">
        <v>479</v>
      </c>
      <c r="B90" s="12">
        <v>0</v>
      </c>
      <c r="D90" s="12">
        <v>0</v>
      </c>
      <c r="F90" s="12">
        <v>0</v>
      </c>
      <c r="H90" s="12">
        <v>0</v>
      </c>
    </row>
    <row r="91" spans="1:15">
      <c r="A91" t="s">
        <v>480</v>
      </c>
      <c r="B91" s="12">
        <v>0</v>
      </c>
      <c r="D91" s="12">
        <v>0</v>
      </c>
      <c r="F91" s="12">
        <v>0</v>
      </c>
      <c r="H91" s="12">
        <v>0</v>
      </c>
    </row>
    <row r="92" spans="1:15">
      <c r="A92" t="s">
        <v>481</v>
      </c>
      <c r="B92" s="12">
        <v>0</v>
      </c>
      <c r="D92" s="12">
        <v>0</v>
      </c>
      <c r="F92" s="12">
        <v>0</v>
      </c>
      <c r="H92" s="12">
        <v>0</v>
      </c>
    </row>
    <row r="93" spans="1:15">
      <c r="A93" t="s">
        <v>482</v>
      </c>
      <c r="B93" s="12">
        <v>0</v>
      </c>
      <c r="D93" s="12">
        <v>0</v>
      </c>
      <c r="F93" s="12">
        <v>0</v>
      </c>
      <c r="H93" s="12">
        <v>0</v>
      </c>
    </row>
    <row r="94" spans="1:15">
      <c r="A94" t="s">
        <v>483</v>
      </c>
      <c r="B94" s="12">
        <v>0</v>
      </c>
      <c r="D94" s="12">
        <v>0</v>
      </c>
      <c r="F94" s="12">
        <v>0</v>
      </c>
      <c r="H94" s="12">
        <v>0</v>
      </c>
    </row>
    <row r="95" spans="1:15">
      <c r="A95" t="s">
        <v>484</v>
      </c>
      <c r="B95" s="12">
        <f>-8093287.64/1000</f>
        <v>-8093.2876399999996</v>
      </c>
      <c r="D95" s="12">
        <v>0</v>
      </c>
      <c r="F95" s="12">
        <v>0</v>
      </c>
      <c r="H95" s="12">
        <v>0</v>
      </c>
    </row>
    <row r="97" spans="1:15">
      <c r="A97" t="s">
        <v>485</v>
      </c>
      <c r="B97" s="4">
        <f t="shared" ref="B97:M97" si="10">SUM(B98:B101)</f>
        <v>14085.95967</v>
      </c>
      <c r="C97" s="11" t="s">
        <v>0</v>
      </c>
      <c r="D97" s="4">
        <f t="shared" si="10"/>
        <v>0</v>
      </c>
      <c r="E97" s="11">
        <f t="shared" si="10"/>
        <v>0</v>
      </c>
      <c r="F97" s="4">
        <f t="shared" si="10"/>
        <v>0</v>
      </c>
      <c r="G97" s="11">
        <f t="shared" si="10"/>
        <v>0</v>
      </c>
      <c r="H97" s="4">
        <f t="shared" si="10"/>
        <v>0</v>
      </c>
      <c r="I97" s="11">
        <f t="shared" si="10"/>
        <v>0</v>
      </c>
      <c r="J97" s="4">
        <f t="shared" si="10"/>
        <v>0</v>
      </c>
      <c r="K97" s="11">
        <f t="shared" si="10"/>
        <v>0</v>
      </c>
      <c r="L97" s="4">
        <f t="shared" si="10"/>
        <v>0</v>
      </c>
      <c r="M97" s="11">
        <f t="shared" si="10"/>
        <v>0</v>
      </c>
      <c r="O97" s="11">
        <f>SUM(O98:O101)</f>
        <v>0</v>
      </c>
    </row>
    <row r="98" spans="1:15">
      <c r="A98" t="s">
        <v>486</v>
      </c>
      <c r="B98" s="12">
        <v>0</v>
      </c>
      <c r="D98" s="12">
        <v>0</v>
      </c>
      <c r="F98" s="12">
        <v>0</v>
      </c>
      <c r="H98" s="12">
        <v>0</v>
      </c>
    </row>
    <row r="99" spans="1:15">
      <c r="A99" t="s">
        <v>487</v>
      </c>
      <c r="B99" s="12">
        <v>0</v>
      </c>
      <c r="D99" s="12">
        <v>0</v>
      </c>
      <c r="F99" s="12">
        <v>0</v>
      </c>
      <c r="H99" s="12">
        <v>0</v>
      </c>
    </row>
    <row r="100" spans="1:15">
      <c r="A100" t="s">
        <v>488</v>
      </c>
      <c r="B100" s="12">
        <v>0</v>
      </c>
      <c r="D100" s="12">
        <v>0</v>
      </c>
      <c r="F100" s="12">
        <v>0</v>
      </c>
      <c r="H100" s="12">
        <v>0</v>
      </c>
    </row>
    <row r="101" spans="1:15">
      <c r="A101" t="s">
        <v>489</v>
      </c>
      <c r="B101" s="12">
        <f>14085959.67/1000</f>
        <v>14085.95967</v>
      </c>
      <c r="D101" s="12">
        <v>0</v>
      </c>
      <c r="F101" s="12">
        <v>0</v>
      </c>
      <c r="H101" s="12">
        <v>0</v>
      </c>
    </row>
    <row r="103" spans="1:15">
      <c r="A103" t="s">
        <v>490</v>
      </c>
      <c r="B103" s="4">
        <f>1793479.64/1000</f>
        <v>1793.4796399999998</v>
      </c>
      <c r="C103" s="11" t="s">
        <v>0</v>
      </c>
      <c r="D103" s="4">
        <v>0</v>
      </c>
      <c r="E103" s="11">
        <v>0</v>
      </c>
      <c r="F103" s="4">
        <v>0</v>
      </c>
      <c r="G103" s="11">
        <v>0</v>
      </c>
      <c r="H103" s="4">
        <v>0</v>
      </c>
      <c r="I103" s="11">
        <v>0</v>
      </c>
      <c r="J103" s="4">
        <v>0</v>
      </c>
      <c r="K103" s="11">
        <v>0</v>
      </c>
      <c r="L103" s="4">
        <v>0</v>
      </c>
      <c r="M103" s="11">
        <v>0</v>
      </c>
      <c r="N103" s="12">
        <v>0</v>
      </c>
      <c r="O103" s="11">
        <v>0</v>
      </c>
    </row>
    <row r="104" spans="1:15">
      <c r="B104" s="16" t="s">
        <v>0</v>
      </c>
      <c r="D104" s="16" t="s">
        <v>0</v>
      </c>
      <c r="F104" s="16" t="s">
        <v>0</v>
      </c>
      <c r="H104" s="16" t="s">
        <v>0</v>
      </c>
    </row>
    <row r="105" spans="1:15">
      <c r="A105" t="s">
        <v>491</v>
      </c>
      <c r="B105" s="4">
        <v>0</v>
      </c>
      <c r="D105" s="4">
        <v>0</v>
      </c>
      <c r="F105" s="4">
        <v>0</v>
      </c>
      <c r="H105" s="4">
        <v>0</v>
      </c>
    </row>
    <row r="107" spans="1:15">
      <c r="A107" t="s">
        <v>492</v>
      </c>
      <c r="B107" s="4">
        <f t="shared" ref="B107:M107" si="11">SUM(B108:B111)</f>
        <v>30281.28282</v>
      </c>
      <c r="C107" s="11" t="s">
        <v>0</v>
      </c>
      <c r="D107" s="4">
        <f t="shared" si="11"/>
        <v>0</v>
      </c>
      <c r="E107" s="11">
        <f t="shared" si="11"/>
        <v>0</v>
      </c>
      <c r="F107" s="4">
        <f t="shared" si="11"/>
        <v>0</v>
      </c>
      <c r="G107" s="11">
        <f t="shared" si="11"/>
        <v>0</v>
      </c>
      <c r="H107" s="4">
        <f t="shared" si="11"/>
        <v>0</v>
      </c>
      <c r="I107" s="11">
        <f t="shared" si="11"/>
        <v>0</v>
      </c>
      <c r="J107" s="4">
        <f t="shared" si="11"/>
        <v>0</v>
      </c>
      <c r="K107" s="11">
        <f t="shared" si="11"/>
        <v>0</v>
      </c>
      <c r="L107" s="4">
        <f t="shared" si="11"/>
        <v>0</v>
      </c>
      <c r="M107" s="11">
        <f t="shared" si="11"/>
        <v>0</v>
      </c>
      <c r="O107" s="11">
        <f>SUM(O108:O111)</f>
        <v>0</v>
      </c>
    </row>
    <row r="108" spans="1:15">
      <c r="A108" t="s">
        <v>493</v>
      </c>
      <c r="B108" s="12">
        <f>38400586.77/1000</f>
        <v>38400.586770000002</v>
      </c>
      <c r="D108" s="12">
        <v>0</v>
      </c>
      <c r="F108" s="12">
        <v>0</v>
      </c>
      <c r="H108" s="12">
        <v>0</v>
      </c>
    </row>
    <row r="109" spans="1:15">
      <c r="A109" t="s">
        <v>494</v>
      </c>
      <c r="B109" s="12">
        <v>0</v>
      </c>
      <c r="D109" s="12">
        <v>0</v>
      </c>
      <c r="F109" s="12">
        <v>0</v>
      </c>
      <c r="H109" s="12">
        <v>0</v>
      </c>
    </row>
    <row r="110" spans="1:15">
      <c r="A110" t="s">
        <v>495</v>
      </c>
      <c r="B110" s="12">
        <f>-9768551.95/1000</f>
        <v>-9768.5519499999991</v>
      </c>
      <c r="D110" s="12">
        <v>0</v>
      </c>
      <c r="F110" s="12">
        <v>0</v>
      </c>
      <c r="H110" s="12">
        <v>0</v>
      </c>
    </row>
    <row r="111" spans="1:15">
      <c r="A111" t="s">
        <v>496</v>
      </c>
      <c r="B111" s="12">
        <f>1649248/1000</f>
        <v>1649.248</v>
      </c>
      <c r="D111" s="12">
        <v>0</v>
      </c>
      <c r="F111" s="12">
        <v>0</v>
      </c>
      <c r="H111" s="12">
        <v>0</v>
      </c>
    </row>
    <row r="113" spans="1:15">
      <c r="A113" t="s">
        <v>497</v>
      </c>
      <c r="B113" s="12">
        <v>0</v>
      </c>
      <c r="D113" s="12">
        <v>0</v>
      </c>
      <c r="F113" s="12">
        <v>0</v>
      </c>
      <c r="H113" s="12">
        <v>0</v>
      </c>
    </row>
    <row r="115" spans="1:15">
      <c r="A115" s="2" t="s">
        <v>498</v>
      </c>
      <c r="B115" s="4">
        <f t="shared" ref="B115:M115" si="12">+B69+B80+B84+B97+B103+B105+B107+B113</f>
        <v>1162681.2176000001</v>
      </c>
      <c r="C115" s="11" t="s">
        <v>0</v>
      </c>
      <c r="D115" s="4">
        <f t="shared" si="12"/>
        <v>0</v>
      </c>
      <c r="E115" s="11">
        <f t="shared" si="12"/>
        <v>0</v>
      </c>
      <c r="F115" s="4">
        <f t="shared" si="12"/>
        <v>0</v>
      </c>
      <c r="G115" s="11">
        <f t="shared" si="12"/>
        <v>0</v>
      </c>
      <c r="H115" s="4">
        <f t="shared" si="12"/>
        <v>0</v>
      </c>
      <c r="I115" s="11">
        <f t="shared" si="12"/>
        <v>0</v>
      </c>
      <c r="J115" s="4">
        <f t="shared" si="12"/>
        <v>0</v>
      </c>
      <c r="K115" s="11">
        <f t="shared" si="12"/>
        <v>0</v>
      </c>
      <c r="L115" s="4">
        <f t="shared" si="12"/>
        <v>0</v>
      </c>
      <c r="M115" s="11">
        <f t="shared" si="12"/>
        <v>0</v>
      </c>
      <c r="O115" s="11">
        <f>+O69+O80+O84+O97+O103+O105+O107+O113</f>
        <v>0</v>
      </c>
    </row>
    <row r="118" spans="1:15">
      <c r="A118" t="s">
        <v>276</v>
      </c>
    </row>
    <row r="120" spans="1:15">
      <c r="A120" t="s">
        <v>499</v>
      </c>
      <c r="B120" s="4">
        <f>SUM(B121:B122)</f>
        <v>132621.14921</v>
      </c>
      <c r="C120" s="11"/>
      <c r="D120" s="4">
        <f>SUM(D121:D122)</f>
        <v>0</v>
      </c>
      <c r="E120" s="11"/>
      <c r="F120" s="4">
        <f>SUM(F121:F122)</f>
        <v>0</v>
      </c>
      <c r="G120" s="11"/>
      <c r="H120" s="4">
        <f>SUM(H121:H122)</f>
        <v>0</v>
      </c>
      <c r="I120" s="11"/>
      <c r="J120" s="4"/>
      <c r="K120" s="11"/>
      <c r="L120" s="4"/>
      <c r="M120" s="11"/>
      <c r="O120" s="11"/>
    </row>
    <row r="121" spans="1:15">
      <c r="A121" t="s">
        <v>500</v>
      </c>
      <c r="B121" s="12">
        <f>130577003.29/1000</f>
        <v>130577.00329000001</v>
      </c>
      <c r="D121" s="12">
        <v>0</v>
      </c>
      <c r="F121" s="12">
        <v>0</v>
      </c>
      <c r="H121" s="12">
        <v>0</v>
      </c>
    </row>
    <row r="122" spans="1:15">
      <c r="A122" t="s">
        <v>501</v>
      </c>
      <c r="B122" s="12">
        <f>2044145.92/1000</f>
        <v>2044.1459199999999</v>
      </c>
      <c r="D122" s="12">
        <v>0</v>
      </c>
      <c r="F122" s="12">
        <v>0</v>
      </c>
      <c r="H122" s="12">
        <v>0</v>
      </c>
    </row>
    <row r="123" spans="1:15">
      <c r="A123" t="s">
        <v>0</v>
      </c>
    </row>
    <row r="124" spans="1:15">
      <c r="A124" t="s">
        <v>502</v>
      </c>
      <c r="B124" s="4">
        <f>254663171.71/1000</f>
        <v>254663.17171</v>
      </c>
      <c r="C124" s="11"/>
      <c r="D124" s="4">
        <v>0</v>
      </c>
      <c r="E124" s="11"/>
      <c r="F124" s="4">
        <v>0</v>
      </c>
      <c r="G124" s="11"/>
      <c r="H124" s="4">
        <v>0</v>
      </c>
      <c r="I124" s="11"/>
      <c r="J124" s="4"/>
      <c r="K124" s="11"/>
      <c r="L124" s="4"/>
      <c r="M124" s="11"/>
      <c r="O124" s="11"/>
    </row>
    <row r="126" spans="1:15">
      <c r="A126" t="s">
        <v>503</v>
      </c>
      <c r="B126" s="4">
        <f>644730334.84/1000</f>
        <v>644730.33484000002</v>
      </c>
      <c r="C126" s="11"/>
      <c r="D126" s="4">
        <v>0</v>
      </c>
      <c r="E126" s="11"/>
      <c r="F126" s="4">
        <v>0</v>
      </c>
      <c r="G126" s="11"/>
      <c r="H126" s="4">
        <v>0</v>
      </c>
      <c r="I126" s="11"/>
      <c r="J126" s="4"/>
      <c r="K126" s="11"/>
      <c r="L126" s="4"/>
      <c r="M126" s="11"/>
      <c r="O126" s="11"/>
    </row>
    <row r="128" spans="1:15">
      <c r="A128" t="s">
        <v>504</v>
      </c>
      <c r="B128" s="4">
        <f>SUM(B129:B141)</f>
        <v>69445.478560000003</v>
      </c>
      <c r="C128" s="11"/>
      <c r="D128" s="4">
        <f>SUM(D129:D141)</f>
        <v>0</v>
      </c>
      <c r="E128" s="11"/>
      <c r="F128" s="4">
        <f>SUM(F129:F141)</f>
        <v>0</v>
      </c>
      <c r="G128" s="11"/>
      <c r="H128" s="4">
        <f>SUM(H129:H141)</f>
        <v>0</v>
      </c>
      <c r="I128" s="11"/>
      <c r="J128" s="4"/>
      <c r="K128" s="11"/>
      <c r="L128" s="4"/>
      <c r="M128" s="11"/>
      <c r="O128" s="11"/>
    </row>
    <row r="129" spans="1:15">
      <c r="A129" t="s">
        <v>505</v>
      </c>
      <c r="B129" s="12">
        <f>37315899.14/1000</f>
        <v>37315.899140000001</v>
      </c>
      <c r="D129" s="12">
        <v>0</v>
      </c>
      <c r="F129" s="12">
        <v>0</v>
      </c>
      <c r="H129" s="12">
        <v>0</v>
      </c>
    </row>
    <row r="130" spans="1:15">
      <c r="A130" t="s">
        <v>506</v>
      </c>
      <c r="B130" s="12">
        <v>0</v>
      </c>
      <c r="D130" s="12">
        <v>0</v>
      </c>
      <c r="F130" s="12">
        <v>0</v>
      </c>
      <c r="H130" s="12">
        <v>0</v>
      </c>
    </row>
    <row r="131" spans="1:15">
      <c r="A131" t="s">
        <v>507</v>
      </c>
      <c r="B131" s="12">
        <v>0</v>
      </c>
      <c r="D131" s="12">
        <v>0</v>
      </c>
      <c r="F131" s="12">
        <v>0</v>
      </c>
      <c r="H131" s="12">
        <v>0</v>
      </c>
    </row>
    <row r="132" spans="1:15">
      <c r="A132" t="s">
        <v>508</v>
      </c>
      <c r="B132" s="12">
        <v>0</v>
      </c>
      <c r="D132" s="12">
        <v>0</v>
      </c>
      <c r="F132" s="12">
        <v>0</v>
      </c>
      <c r="H132" s="12">
        <v>0</v>
      </c>
    </row>
    <row r="133" spans="1:15">
      <c r="A133" t="s">
        <v>509</v>
      </c>
      <c r="B133" s="12">
        <v>0</v>
      </c>
      <c r="D133" s="12">
        <v>0</v>
      </c>
      <c r="F133" s="12">
        <v>0</v>
      </c>
      <c r="H133" s="12">
        <v>0</v>
      </c>
    </row>
    <row r="134" spans="1:15">
      <c r="A134" t="s">
        <v>510</v>
      </c>
      <c r="B134" s="12">
        <f>14925843.14/1000</f>
        <v>14925.843140000001</v>
      </c>
      <c r="D134" s="12">
        <v>0</v>
      </c>
      <c r="F134" s="12">
        <v>0</v>
      </c>
      <c r="H134" s="12">
        <v>0</v>
      </c>
    </row>
    <row r="135" spans="1:15">
      <c r="A135" t="s">
        <v>511</v>
      </c>
      <c r="B135" s="12">
        <v>0</v>
      </c>
      <c r="D135" s="12">
        <v>0</v>
      </c>
      <c r="F135" s="12">
        <v>0</v>
      </c>
      <c r="H135" s="12">
        <v>0</v>
      </c>
    </row>
    <row r="136" spans="1:15">
      <c r="A136" t="s">
        <v>512</v>
      </c>
      <c r="B136" s="12">
        <f>17203736.28/1000</f>
        <v>17203.736280000001</v>
      </c>
      <c r="D136" s="12">
        <v>0</v>
      </c>
      <c r="F136" s="12">
        <v>0</v>
      </c>
      <c r="H136" s="12">
        <v>0</v>
      </c>
    </row>
    <row r="137" spans="1:15">
      <c r="A137" t="s">
        <v>513</v>
      </c>
      <c r="B137" s="12">
        <v>0</v>
      </c>
      <c r="D137" s="12">
        <v>0</v>
      </c>
      <c r="F137" s="12">
        <v>0</v>
      </c>
      <c r="H137" s="12">
        <v>0</v>
      </c>
    </row>
    <row r="138" spans="1:15">
      <c r="A138" t="s">
        <v>514</v>
      </c>
      <c r="B138" s="12">
        <v>0</v>
      </c>
      <c r="D138" s="12">
        <v>0</v>
      </c>
      <c r="F138" s="12">
        <v>0</v>
      </c>
      <c r="H138" s="12">
        <v>0</v>
      </c>
    </row>
    <row r="139" spans="1:15">
      <c r="A139" t="s">
        <v>515</v>
      </c>
      <c r="B139" s="12">
        <v>0</v>
      </c>
      <c r="D139" s="12">
        <v>0</v>
      </c>
      <c r="F139" s="12">
        <v>0</v>
      </c>
      <c r="H139" s="12">
        <v>0</v>
      </c>
    </row>
    <row r="140" spans="1:15">
      <c r="A140" t="s">
        <v>516</v>
      </c>
      <c r="B140" s="12">
        <v>0</v>
      </c>
      <c r="D140" s="12">
        <v>0</v>
      </c>
      <c r="F140" s="12">
        <v>0</v>
      </c>
      <c r="H140" s="12">
        <v>0</v>
      </c>
    </row>
    <row r="141" spans="1:15">
      <c r="A141" t="s">
        <v>273</v>
      </c>
      <c r="B141" s="12">
        <v>0</v>
      </c>
      <c r="D141" s="12">
        <v>0</v>
      </c>
      <c r="F141" s="12">
        <v>0</v>
      </c>
      <c r="H141" s="12">
        <v>0</v>
      </c>
    </row>
    <row r="143" spans="1:15">
      <c r="A143" t="s">
        <v>517</v>
      </c>
      <c r="B143" s="4">
        <f>SUM(B144:B150)</f>
        <v>8655.5</v>
      </c>
      <c r="C143" s="11"/>
      <c r="D143" s="4">
        <f>SUM(D144:D150)</f>
        <v>0</v>
      </c>
      <c r="E143" s="11"/>
      <c r="F143" s="4">
        <f>SUM(F144:F150)</f>
        <v>0</v>
      </c>
      <c r="G143" s="11"/>
      <c r="H143" s="4">
        <f>SUM(H144:H150)</f>
        <v>0</v>
      </c>
      <c r="I143" s="11"/>
      <c r="J143" s="4"/>
      <c r="K143" s="11"/>
      <c r="L143" s="4"/>
      <c r="M143" s="11"/>
      <c r="O143" s="11"/>
    </row>
    <row r="144" spans="1:15">
      <c r="A144" t="s">
        <v>518</v>
      </c>
      <c r="B144" s="12">
        <v>0</v>
      </c>
      <c r="D144" s="12">
        <v>0</v>
      </c>
      <c r="F144" s="12">
        <v>0</v>
      </c>
      <c r="H144" s="12">
        <v>0</v>
      </c>
    </row>
    <row r="145" spans="1:15">
      <c r="A145" t="s">
        <v>519</v>
      </c>
      <c r="B145" s="12">
        <v>0</v>
      </c>
      <c r="D145" s="12">
        <v>0</v>
      </c>
      <c r="F145" s="12">
        <v>0</v>
      </c>
      <c r="H145" s="12">
        <v>0</v>
      </c>
    </row>
    <row r="146" spans="1:15">
      <c r="A146" t="s">
        <v>520</v>
      </c>
      <c r="B146" s="12">
        <f>8655500/1000</f>
        <v>8655.5</v>
      </c>
      <c r="D146" s="12">
        <v>0</v>
      </c>
      <c r="F146" s="12">
        <v>0</v>
      </c>
      <c r="H146" s="12">
        <v>0</v>
      </c>
    </row>
    <row r="147" spans="1:15">
      <c r="A147" t="s">
        <v>521</v>
      </c>
      <c r="B147" s="12">
        <v>0</v>
      </c>
      <c r="D147" s="12">
        <v>0</v>
      </c>
      <c r="F147" s="12">
        <v>0</v>
      </c>
      <c r="H147" s="12">
        <v>0</v>
      </c>
    </row>
    <row r="148" spans="1:15">
      <c r="A148" t="s">
        <v>522</v>
      </c>
      <c r="B148" s="12">
        <v>0</v>
      </c>
      <c r="D148" s="12">
        <v>0</v>
      </c>
      <c r="F148" s="12">
        <v>0</v>
      </c>
      <c r="H148" s="12">
        <v>0</v>
      </c>
    </row>
    <row r="149" spans="1:15">
      <c r="A149" t="s">
        <v>523</v>
      </c>
      <c r="B149" s="12">
        <v>0</v>
      </c>
      <c r="D149" s="12">
        <v>0</v>
      </c>
      <c r="F149" s="12">
        <v>0</v>
      </c>
      <c r="H149" s="12">
        <v>0</v>
      </c>
    </row>
    <row r="150" spans="1:15">
      <c r="A150" t="s">
        <v>524</v>
      </c>
      <c r="B150" s="12">
        <v>0</v>
      </c>
      <c r="D150" s="12">
        <v>0</v>
      </c>
      <c r="F150" s="12">
        <v>0</v>
      </c>
      <c r="H150" s="12">
        <v>0</v>
      </c>
    </row>
    <row r="152" spans="1:15">
      <c r="A152" t="s">
        <v>525</v>
      </c>
      <c r="B152" s="4">
        <v>0</v>
      </c>
      <c r="C152" s="11"/>
      <c r="D152" s="4">
        <v>0</v>
      </c>
      <c r="E152" s="11"/>
      <c r="F152" s="4">
        <v>0</v>
      </c>
      <c r="G152" s="11"/>
      <c r="H152" s="4">
        <v>0</v>
      </c>
      <c r="I152" s="11"/>
      <c r="J152" s="4"/>
      <c r="K152" s="11"/>
      <c r="L152" s="4"/>
      <c r="M152" s="11"/>
      <c r="O152" s="11"/>
    </row>
    <row r="154" spans="1:15">
      <c r="A154" t="s">
        <v>374</v>
      </c>
      <c r="B154" s="4">
        <v>0</v>
      </c>
      <c r="C154" s="11"/>
      <c r="D154" s="4">
        <v>0</v>
      </c>
      <c r="E154" s="11"/>
      <c r="F154" s="4">
        <v>0</v>
      </c>
      <c r="G154" s="11"/>
      <c r="H154" s="4">
        <v>0</v>
      </c>
      <c r="I154" s="11"/>
      <c r="J154" s="4"/>
      <c r="K154" s="11"/>
      <c r="L154" s="4"/>
      <c r="M154" s="11"/>
      <c r="O154" s="11"/>
    </row>
    <row r="156" spans="1:15">
      <c r="A156" t="s">
        <v>375</v>
      </c>
      <c r="B156" s="4">
        <v>0</v>
      </c>
      <c r="C156" s="11"/>
      <c r="D156" s="4">
        <v>0</v>
      </c>
      <c r="E156" s="11"/>
      <c r="F156" s="4">
        <v>0</v>
      </c>
      <c r="G156" s="11"/>
      <c r="H156" s="4">
        <v>0</v>
      </c>
      <c r="I156" s="11"/>
      <c r="J156" s="4"/>
      <c r="K156" s="11"/>
      <c r="L156" s="4"/>
      <c r="M156" s="11"/>
      <c r="O156" s="11"/>
    </row>
    <row r="158" spans="1:15">
      <c r="A158" t="s">
        <v>376</v>
      </c>
      <c r="B158" s="4">
        <f>+B161+B162+B163+B164</f>
        <v>52565.583279999999</v>
      </c>
      <c r="C158" s="11"/>
      <c r="D158" s="4">
        <f>+D162+D163+D164</f>
        <v>0</v>
      </c>
      <c r="E158" s="11"/>
      <c r="F158" s="4">
        <f>+F162+F163+F164</f>
        <v>0</v>
      </c>
      <c r="G158" s="11"/>
      <c r="H158" s="4">
        <f>+H162+H163+H164</f>
        <v>0</v>
      </c>
      <c r="I158" s="11"/>
      <c r="J158" s="4"/>
      <c r="K158" s="11"/>
      <c r="L158" s="4"/>
      <c r="M158" s="11"/>
      <c r="O158" s="11"/>
    </row>
    <row r="159" spans="1:15">
      <c r="A159" t="s">
        <v>377</v>
      </c>
      <c r="B159" s="12">
        <f>43796213.6/1000</f>
        <v>43796.213600000003</v>
      </c>
      <c r="D159" s="12">
        <v>0</v>
      </c>
      <c r="F159" s="12">
        <v>0</v>
      </c>
      <c r="H159" s="12">
        <v>0</v>
      </c>
    </row>
    <row r="160" spans="1:15">
      <c r="A160" t="s">
        <v>378</v>
      </c>
      <c r="B160" s="12">
        <f>-(43796213.6-43756000)/1000</f>
        <v>-40.213600000001492</v>
      </c>
      <c r="D160" s="12">
        <v>0</v>
      </c>
      <c r="F160" s="12">
        <v>0</v>
      </c>
      <c r="H160" s="12">
        <v>0</v>
      </c>
    </row>
    <row r="161" spans="1:15">
      <c r="A161" t="s">
        <v>302</v>
      </c>
      <c r="B161" s="12">
        <f>40213.6/1000</f>
        <v>40.2136</v>
      </c>
      <c r="D161" s="12">
        <v>0</v>
      </c>
      <c r="F161" s="12">
        <v>0</v>
      </c>
      <c r="H161" s="12">
        <v>0</v>
      </c>
    </row>
    <row r="162" spans="1:15">
      <c r="A162" t="s">
        <v>289</v>
      </c>
      <c r="B162" s="4">
        <f>+B159+B160</f>
        <v>43756</v>
      </c>
      <c r="D162" s="4">
        <f>+D159+D160</f>
        <v>0</v>
      </c>
      <c r="F162" s="4">
        <f>+F159+F160</f>
        <v>0</v>
      </c>
      <c r="H162" s="4">
        <f>+H159+H160</f>
        <v>0</v>
      </c>
    </row>
    <row r="163" spans="1:15">
      <c r="A163" t="s">
        <v>379</v>
      </c>
      <c r="B163" s="12">
        <f>6148768.54/1000</f>
        <v>6148.76854</v>
      </c>
      <c r="D163" s="12">
        <v>0</v>
      </c>
      <c r="F163" s="12">
        <v>0</v>
      </c>
      <c r="H163" s="12">
        <v>0</v>
      </c>
    </row>
    <row r="164" spans="1:15">
      <c r="A164" t="s">
        <v>380</v>
      </c>
      <c r="B164" s="12">
        <f>2620601.14/1000</f>
        <v>2620.6011400000002</v>
      </c>
      <c r="D164" s="12">
        <v>0</v>
      </c>
      <c r="F164" s="12">
        <v>0</v>
      </c>
      <c r="H164" s="12">
        <v>0</v>
      </c>
    </row>
    <row r="166" spans="1:15">
      <c r="A166" t="s">
        <v>381</v>
      </c>
      <c r="B166" s="4">
        <f>SUM(B167:B168)</f>
        <v>0</v>
      </c>
      <c r="C166" s="11"/>
      <c r="D166" s="4">
        <f>SUM(D167:D168)</f>
        <v>0</v>
      </c>
      <c r="E166" s="11"/>
      <c r="F166" s="4">
        <f>SUM(F167:F168)</f>
        <v>0</v>
      </c>
      <c r="G166" s="11"/>
      <c r="H166" s="4">
        <f>SUM(H167:H168)</f>
        <v>0</v>
      </c>
      <c r="I166" s="11"/>
      <c r="J166" s="4"/>
      <c r="K166" s="11"/>
      <c r="L166" s="4"/>
      <c r="M166" s="11"/>
      <c r="O166" s="11"/>
    </row>
    <row r="167" spans="1:15">
      <c r="A167" t="s">
        <v>382</v>
      </c>
      <c r="B167" s="12">
        <v>0</v>
      </c>
      <c r="D167" s="12">
        <v>0</v>
      </c>
      <c r="F167" s="12">
        <v>0</v>
      </c>
      <c r="H167" s="12">
        <v>0</v>
      </c>
    </row>
    <row r="168" spans="1:15">
      <c r="A168" t="s">
        <v>383</v>
      </c>
      <c r="B168" s="12">
        <v>0</v>
      </c>
      <c r="D168" s="12">
        <v>0</v>
      </c>
      <c r="F168" s="12">
        <v>0</v>
      </c>
      <c r="H168" s="12">
        <v>0</v>
      </c>
    </row>
    <row r="170" spans="1:15">
      <c r="A170" t="s">
        <v>384</v>
      </c>
      <c r="B170" s="4">
        <f t="shared" ref="B170:M170" si="13">+B120+B124+B126+B128+B143+B152+B154+B156+B158+B166</f>
        <v>1162681.2175999999</v>
      </c>
      <c r="C170" s="11" t="s">
        <v>0</v>
      </c>
      <c r="D170" s="4">
        <f t="shared" si="13"/>
        <v>0</v>
      </c>
      <c r="E170" s="11">
        <f t="shared" si="13"/>
        <v>0</v>
      </c>
      <c r="F170" s="4">
        <f t="shared" si="13"/>
        <v>0</v>
      </c>
      <c r="G170" s="11">
        <f t="shared" si="13"/>
        <v>0</v>
      </c>
      <c r="H170" s="4">
        <f t="shared" si="13"/>
        <v>0</v>
      </c>
      <c r="I170" s="11">
        <f t="shared" si="13"/>
        <v>0</v>
      </c>
      <c r="J170" s="4">
        <f t="shared" si="13"/>
        <v>0</v>
      </c>
      <c r="K170" s="11">
        <f t="shared" si="13"/>
        <v>0</v>
      </c>
      <c r="L170" s="4">
        <f t="shared" si="13"/>
        <v>0</v>
      </c>
      <c r="M170" s="11">
        <f t="shared" si="13"/>
        <v>0</v>
      </c>
      <c r="O170" s="11">
        <f>+O120+O124+O126+O128+O143+O152+O154+O156+O158+O166</f>
        <v>0</v>
      </c>
    </row>
  </sheetData>
  <pageMargins left="0.32" right="0.2" top="0.47" bottom="0.64" header="0.32" footer="0.38"/>
  <pageSetup scale="54" orientation="landscape" r:id="rId1"/>
  <headerFooter alignWithMargins="0">
    <oddFooter>&amp;R&amp;P</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8"/>
  <sheetViews>
    <sheetView workbookViewId="0"/>
  </sheetViews>
  <sheetFormatPr defaultRowHeight="15.75"/>
  <cols>
    <col min="1" max="1" width="33.25" customWidth="1"/>
    <col min="2" max="2" width="17"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10" style="13" customWidth="1"/>
    <col min="12" max="12" width="15.75" style="12" customWidth="1"/>
    <col min="13" max="13" width="9.25" style="13" customWidth="1"/>
    <col min="14" max="14" width="15.75" style="12" customWidth="1"/>
    <col min="15" max="15" width="9.75" style="13" customWidth="1"/>
    <col min="16" max="16" width="15.75" style="12" customWidth="1"/>
    <col min="17" max="17" width="9.75" style="13" customWidth="1"/>
    <col min="18" max="18" width="15.75" style="12" customWidth="1"/>
    <col min="19" max="21" width="15.75" customWidth="1"/>
    <col min="22" max="256" width="11" customWidth="1"/>
  </cols>
  <sheetData>
    <row r="1" spans="1:21">
      <c r="A1" s="114" t="s">
        <v>638</v>
      </c>
      <c r="B1" s="37"/>
      <c r="C1" s="38"/>
      <c r="D1" s="37"/>
      <c r="E1" s="38"/>
      <c r="F1" s="37"/>
      <c r="G1" s="38"/>
      <c r="H1" s="37"/>
      <c r="I1" s="38"/>
      <c r="J1" s="37"/>
      <c r="K1" s="38"/>
      <c r="L1" s="37"/>
      <c r="M1" s="38"/>
      <c r="N1" s="37"/>
      <c r="O1" s="38"/>
      <c r="P1" s="37"/>
      <c r="Q1" s="38"/>
    </row>
    <row r="2" spans="1:21">
      <c r="A2" s="114" t="s">
        <v>305</v>
      </c>
      <c r="B2" s="37"/>
      <c r="C2" s="38"/>
      <c r="D2" s="37"/>
      <c r="E2" s="38"/>
      <c r="F2" s="37"/>
      <c r="G2" s="38"/>
      <c r="H2" s="37"/>
      <c r="I2" s="38"/>
      <c r="J2" s="37"/>
      <c r="K2" s="38"/>
      <c r="L2" s="37"/>
      <c r="M2" s="38"/>
      <c r="N2" s="37"/>
      <c r="O2" s="38"/>
      <c r="P2" s="37"/>
      <c r="Q2" s="38"/>
    </row>
    <row r="3" spans="1:21">
      <c r="A3" s="114" t="s">
        <v>526</v>
      </c>
      <c r="B3" s="37"/>
      <c r="C3" s="38"/>
      <c r="D3" s="37"/>
      <c r="E3" s="38"/>
      <c r="F3" s="37"/>
      <c r="G3" s="38"/>
      <c r="H3" s="37"/>
      <c r="I3" s="38"/>
      <c r="J3" s="37"/>
      <c r="K3" s="38"/>
      <c r="L3" s="37"/>
      <c r="M3" s="38"/>
      <c r="N3" s="37"/>
      <c r="O3" s="38"/>
      <c r="P3" s="37"/>
      <c r="Q3" s="38"/>
    </row>
    <row r="4" spans="1:21">
      <c r="A4" s="114" t="s">
        <v>179</v>
      </c>
      <c r="B4" s="37"/>
      <c r="C4" s="38"/>
      <c r="D4" s="37"/>
      <c r="E4" s="38"/>
      <c r="F4" s="37"/>
      <c r="G4" s="38"/>
      <c r="H4" s="37"/>
      <c r="I4" s="38"/>
      <c r="J4" s="37"/>
      <c r="K4" s="38"/>
      <c r="L4" s="37"/>
      <c r="M4" s="38"/>
      <c r="N4" s="37"/>
      <c r="O4" s="38"/>
      <c r="P4" s="37"/>
      <c r="Q4" s="38"/>
    </row>
    <row r="6" spans="1:21" s="2" customFormat="1" ht="16.5" thickBot="1">
      <c r="B6" s="4"/>
      <c r="C6" s="11"/>
      <c r="D6" s="4"/>
      <c r="E6" s="11"/>
      <c r="F6" s="4"/>
      <c r="G6" s="11"/>
      <c r="H6" s="4"/>
      <c r="I6" s="11"/>
      <c r="J6" s="123" t="s">
        <v>167</v>
      </c>
      <c r="K6" s="230"/>
      <c r="L6" s="123"/>
      <c r="M6" s="230"/>
      <c r="N6" s="123"/>
      <c r="O6" s="230"/>
      <c r="P6" s="123"/>
      <c r="Q6" s="230"/>
      <c r="R6" s="4"/>
    </row>
    <row r="7" spans="1:21" s="2" customFormat="1" ht="16.5" thickBot="1">
      <c r="B7" s="223" t="s">
        <v>168</v>
      </c>
      <c r="C7" s="224" t="s">
        <v>301</v>
      </c>
      <c r="D7" s="225" t="s">
        <v>170</v>
      </c>
      <c r="E7" s="224" t="s">
        <v>301</v>
      </c>
      <c r="F7" s="225" t="s">
        <v>171</v>
      </c>
      <c r="G7" s="224" t="s">
        <v>301</v>
      </c>
      <c r="H7" s="225" t="s">
        <v>172</v>
      </c>
      <c r="I7" s="224" t="s">
        <v>301</v>
      </c>
      <c r="J7" s="228" t="s">
        <v>174</v>
      </c>
      <c r="K7" s="227" t="s">
        <v>301</v>
      </c>
      <c r="L7" s="228" t="s">
        <v>175</v>
      </c>
      <c r="M7" s="227" t="s">
        <v>301</v>
      </c>
      <c r="N7" s="228" t="s">
        <v>176</v>
      </c>
      <c r="O7" s="227" t="s">
        <v>301</v>
      </c>
      <c r="P7" s="228" t="s">
        <v>177</v>
      </c>
      <c r="Q7" s="227" t="s">
        <v>301</v>
      </c>
      <c r="R7" s="80"/>
      <c r="S7" s="18"/>
      <c r="T7" s="18"/>
      <c r="U7" s="18"/>
    </row>
    <row r="8" spans="1:21">
      <c r="A8" s="87" t="s">
        <v>243</v>
      </c>
      <c r="B8" s="125"/>
      <c r="C8" s="124"/>
      <c r="D8" s="125"/>
      <c r="E8" s="124"/>
      <c r="F8" s="125"/>
      <c r="G8" s="124"/>
      <c r="H8" s="125"/>
      <c r="I8" s="124"/>
      <c r="J8" s="219"/>
      <c r="K8" s="124"/>
      <c r="L8" s="219"/>
      <c r="M8" s="124"/>
      <c r="N8" s="219"/>
      <c r="O8" s="124"/>
      <c r="P8" s="219"/>
      <c r="Q8" s="124"/>
      <c r="R8" s="14"/>
      <c r="S8" s="9"/>
      <c r="T8" s="9"/>
      <c r="U8" s="9"/>
    </row>
    <row r="9" spans="1:21">
      <c r="A9" s="1" t="s">
        <v>264</v>
      </c>
      <c r="B9"/>
    </row>
    <row r="10" spans="1:21">
      <c r="A10" s="1" t="s">
        <v>265</v>
      </c>
      <c r="B10" s="12">
        <f>+socabkvar!B10</f>
        <v>91122.4</v>
      </c>
      <c r="C10" s="47">
        <f t="shared" ref="C10:C15" si="0">+B10/$B$22</f>
        <v>3.6150821284798566E-2</v>
      </c>
      <c r="D10" s="12">
        <f>+socabkvar!D10</f>
        <v>0</v>
      </c>
      <c r="E10" s="44">
        <v>0</v>
      </c>
      <c r="F10" s="12">
        <f>+socabkvar!F10</f>
        <v>0</v>
      </c>
      <c r="G10" s="44">
        <v>0</v>
      </c>
      <c r="H10" s="12">
        <f>+socabkvar!H10</f>
        <v>0</v>
      </c>
      <c r="I10" s="44">
        <v>0</v>
      </c>
      <c r="J10" s="12">
        <f>+socabkvar!J10</f>
        <v>59961.4</v>
      </c>
      <c r="K10" s="47">
        <f t="shared" ref="K10:K15" si="1">+J10/$J$22</f>
        <v>2.6137224986342134E-2</v>
      </c>
      <c r="L10" s="12">
        <f>+socabkvar!L10</f>
        <v>55808</v>
      </c>
      <c r="M10" s="47">
        <f t="shared" ref="M10:M15" si="2">+L10/$L$22</f>
        <v>3.7212711373575E-2</v>
      </c>
      <c r="N10" s="12">
        <f>+socabkvar!N10</f>
        <v>68746.600000000006</v>
      </c>
      <c r="O10" s="47">
        <f t="shared" ref="O10:O15" si="3">+N10/$N$22</f>
        <v>6.7373289809832315E-2</v>
      </c>
      <c r="P10" s="12">
        <f>+socabkvar!P10</f>
        <v>81137.578129999994</v>
      </c>
      <c r="Q10" s="47">
        <f t="shared" ref="Q10:Q15" si="4">+P10/$P$22</f>
        <v>0.14557043060494204</v>
      </c>
    </row>
    <row r="11" spans="1:21">
      <c r="A11" s="1" t="s">
        <v>266</v>
      </c>
      <c r="B11" s="12">
        <f>+socabkvar!B11</f>
        <v>482100.1</v>
      </c>
      <c r="C11" s="47">
        <f t="shared" si="0"/>
        <v>0.19126268136576205</v>
      </c>
      <c r="D11" s="12">
        <f>+socabkvar!D11</f>
        <v>0</v>
      </c>
      <c r="E11" s="44">
        <v>0</v>
      </c>
      <c r="F11" s="12">
        <f>+socabkvar!F11</f>
        <v>0</v>
      </c>
      <c r="G11" s="44">
        <v>0</v>
      </c>
      <c r="H11" s="12">
        <f>+socabkvar!H11</f>
        <v>0</v>
      </c>
      <c r="I11" s="44">
        <v>0</v>
      </c>
      <c r="J11" s="12">
        <f>+socabkvar!J11</f>
        <v>115950.8</v>
      </c>
      <c r="K11" s="47">
        <f t="shared" si="1"/>
        <v>5.0543051812438664E-2</v>
      </c>
      <c r="L11" s="12">
        <f>+socabkvar!L11</f>
        <v>219963.9</v>
      </c>
      <c r="M11" s="47">
        <f t="shared" si="2"/>
        <v>0.14667168010510884</v>
      </c>
      <c r="N11" s="12">
        <f>+socabkvar!N11</f>
        <v>138974.6</v>
      </c>
      <c r="O11" s="47">
        <f t="shared" si="3"/>
        <v>0.13619838656756147</v>
      </c>
      <c r="P11" s="12">
        <f>+socabkvar!P11</f>
        <v>20403.520100000002</v>
      </c>
      <c r="Q11" s="47">
        <f t="shared" si="4"/>
        <v>3.6606333036645081E-2</v>
      </c>
    </row>
    <row r="12" spans="1:21">
      <c r="A12" s="1" t="s">
        <v>267</v>
      </c>
      <c r="B12" s="12">
        <f>+socabkvar!B12</f>
        <v>72353.899999999994</v>
      </c>
      <c r="C12" s="47">
        <f t="shared" si="0"/>
        <v>2.8704828979023673E-2</v>
      </c>
      <c r="D12" s="12">
        <f>+socabkvar!D12</f>
        <v>0</v>
      </c>
      <c r="E12" s="44">
        <v>0</v>
      </c>
      <c r="F12" s="12">
        <f>+socabkvar!F12</f>
        <v>0</v>
      </c>
      <c r="G12" s="44">
        <v>0</v>
      </c>
      <c r="H12" s="12">
        <f>+socabkvar!H12</f>
        <v>0</v>
      </c>
      <c r="I12" s="44">
        <v>0</v>
      </c>
      <c r="J12" s="12">
        <f>+socabkvar!J12</f>
        <v>40988.300000000003</v>
      </c>
      <c r="K12" s="47">
        <f t="shared" si="1"/>
        <v>1.7866834645416673E-2</v>
      </c>
      <c r="L12" s="12">
        <f>+socabkvar!L12</f>
        <v>30075</v>
      </c>
      <c r="M12" s="47">
        <f t="shared" si="2"/>
        <v>2.0053976034981869E-2</v>
      </c>
      <c r="N12" s="12">
        <f>+socabkvar!N12</f>
        <v>24077.7</v>
      </c>
      <c r="O12" s="47">
        <f t="shared" si="3"/>
        <v>2.3596714020099892E-2</v>
      </c>
      <c r="P12" s="12">
        <f>+socabkvar!P12</f>
        <v>35885.51986</v>
      </c>
      <c r="Q12" s="47">
        <f t="shared" si="4"/>
        <v>6.4382875344549062E-2</v>
      </c>
    </row>
    <row r="13" spans="1:21">
      <c r="A13" s="1" t="s">
        <v>268</v>
      </c>
      <c r="B13" s="12">
        <f>+socabkvar!B13</f>
        <v>2781.6</v>
      </c>
      <c r="C13" s="47">
        <f t="shared" si="0"/>
        <v>1.1035390253746136E-3</v>
      </c>
      <c r="D13" s="12">
        <f>+socabkvar!D13</f>
        <v>0</v>
      </c>
      <c r="E13" s="44">
        <v>0</v>
      </c>
      <c r="F13" s="12">
        <f>+socabkvar!F13</f>
        <v>0</v>
      </c>
      <c r="G13" s="44">
        <v>0</v>
      </c>
      <c r="H13" s="12">
        <f>+socabkvar!H13</f>
        <v>0</v>
      </c>
      <c r="I13" s="44">
        <v>0</v>
      </c>
      <c r="J13" s="12">
        <f>+socabkvar!J13</f>
        <v>5464.9</v>
      </c>
      <c r="K13" s="47">
        <f t="shared" si="1"/>
        <v>2.3821545332140532E-3</v>
      </c>
      <c r="L13" s="12">
        <f>+socabkvar!L13</f>
        <v>26594.799999999999</v>
      </c>
      <c r="M13" s="47">
        <f t="shared" si="2"/>
        <v>1.7733382605324546E-2</v>
      </c>
      <c r="N13" s="12">
        <f>+socabkvar!N13</f>
        <v>9155.6</v>
      </c>
      <c r="O13" s="47">
        <f t="shared" si="3"/>
        <v>8.9727039909304699E-3</v>
      </c>
      <c r="P13" s="12">
        <f>+socabkvar!P13</f>
        <v>15146.67491</v>
      </c>
      <c r="Q13" s="47">
        <f t="shared" si="4"/>
        <v>2.7174929788377846E-2</v>
      </c>
    </row>
    <row r="14" spans="1:21">
      <c r="A14" s="1" t="s">
        <v>269</v>
      </c>
      <c r="B14" s="221">
        <f>+socabkvar!B14</f>
        <v>70586.5</v>
      </c>
      <c r="C14" s="47">
        <f t="shared" si="0"/>
        <v>2.8003651644594896E-2</v>
      </c>
      <c r="D14" s="221">
        <f>+socabkvar!D14</f>
        <v>0</v>
      </c>
      <c r="E14" s="545">
        <v>0</v>
      </c>
      <c r="F14" s="221">
        <f>+socabkvar!F14</f>
        <v>0</v>
      </c>
      <c r="G14" s="545">
        <v>0</v>
      </c>
      <c r="H14" s="221">
        <f>+socabkvar!H14</f>
        <v>0</v>
      </c>
      <c r="I14" s="545">
        <v>0</v>
      </c>
      <c r="J14" s="221">
        <f>+socabkvar!J14</f>
        <v>110583.1</v>
      </c>
      <c r="K14" s="328">
        <f t="shared" si="1"/>
        <v>4.8203266841454186E-2</v>
      </c>
      <c r="L14" s="221">
        <f>+socabkvar!L14</f>
        <v>95338.2</v>
      </c>
      <c r="M14" s="328">
        <f t="shared" si="2"/>
        <v>6.3571404090384309E-2</v>
      </c>
      <c r="N14" s="221">
        <f>+socabkvar!N14</f>
        <v>74003.8</v>
      </c>
      <c r="O14" s="236">
        <f t="shared" si="3"/>
        <v>7.2525469833109826E-2</v>
      </c>
      <c r="P14" s="221">
        <f>+socabkvar!P14</f>
        <v>29548.63063</v>
      </c>
      <c r="Q14" s="236">
        <f t="shared" si="4"/>
        <v>5.3013745094827619E-2</v>
      </c>
    </row>
    <row r="15" spans="1:21" ht="15.6" customHeight="1">
      <c r="A15" s="1"/>
      <c r="B15" s="12">
        <f>SUM(B10:B14)</f>
        <v>718944.5</v>
      </c>
      <c r="C15" s="47">
        <f t="shared" si="0"/>
        <v>0.28522552229955384</v>
      </c>
      <c r="D15" s="12">
        <f>SUM(D10:D14)</f>
        <v>0</v>
      </c>
      <c r="E15" s="44">
        <v>0</v>
      </c>
      <c r="F15" s="12">
        <f>SUM(F10:F14)</f>
        <v>0</v>
      </c>
      <c r="G15" s="44">
        <v>0</v>
      </c>
      <c r="H15" s="12">
        <f>SUM(H10:H14)</f>
        <v>0</v>
      </c>
      <c r="I15" s="44">
        <v>0</v>
      </c>
      <c r="J15" s="12">
        <f>SUM(J10:J14)</f>
        <v>332948.5</v>
      </c>
      <c r="K15" s="47">
        <f t="shared" si="1"/>
        <v>0.14513253281886571</v>
      </c>
      <c r="L15" s="12">
        <f>SUM(L10:L14)</f>
        <v>427779.9</v>
      </c>
      <c r="M15" s="47">
        <f t="shared" si="2"/>
        <v>0.28524315420937457</v>
      </c>
      <c r="N15" s="12">
        <f>SUM(N10:N14)</f>
        <v>314958.30000000005</v>
      </c>
      <c r="O15" s="47">
        <f t="shared" si="3"/>
        <v>0.30866656422153399</v>
      </c>
      <c r="P15" s="12">
        <f>SUM(P10:P14)</f>
        <v>182121.92363</v>
      </c>
      <c r="Q15" s="47">
        <f t="shared" si="4"/>
        <v>0.32674831386934167</v>
      </c>
    </row>
    <row r="16" spans="1:21" ht="7.9" customHeight="1">
      <c r="A16" s="1"/>
      <c r="C16" s="47" t="s">
        <v>0</v>
      </c>
      <c r="E16" s="44" t="s">
        <v>0</v>
      </c>
      <c r="G16" s="44" t="s">
        <v>0</v>
      </c>
      <c r="I16" s="44" t="s">
        <v>0</v>
      </c>
      <c r="K16" s="47" t="s">
        <v>0</v>
      </c>
      <c r="M16" s="47" t="s">
        <v>0</v>
      </c>
      <c r="O16" s="44" t="s">
        <v>0</v>
      </c>
      <c r="Q16" s="44" t="s">
        <v>0</v>
      </c>
    </row>
    <row r="17" spans="1:17" ht="15.6" customHeight="1">
      <c r="A17" s="1" t="s">
        <v>270</v>
      </c>
      <c r="B17" s="12">
        <f>+socabkvar!B17</f>
        <v>50000</v>
      </c>
      <c r="C17" s="47">
        <f t="shared" ref="C17:C22" si="5">+B17/$B$22</f>
        <v>1.9836407559940566E-2</v>
      </c>
      <c r="D17" s="12">
        <f>+socabkvar!D17</f>
        <v>0</v>
      </c>
      <c r="E17" s="44">
        <v>0</v>
      </c>
      <c r="F17" s="12">
        <f>+socabkvar!F17</f>
        <v>0</v>
      </c>
      <c r="G17" s="44">
        <v>0</v>
      </c>
      <c r="H17" s="12">
        <f>+socabkvar!H17</f>
        <v>0</v>
      </c>
      <c r="I17" s="44">
        <v>0</v>
      </c>
      <c r="J17" s="12">
        <f>+socabkvar!J17</f>
        <v>490000</v>
      </c>
      <c r="K17" s="47">
        <f t="shared" ref="K17:K22" si="6">+J17/$J$22</f>
        <v>0.21359141453180958</v>
      </c>
      <c r="L17" s="12">
        <f>+socabkvar!L17</f>
        <v>60000</v>
      </c>
      <c r="M17" s="47">
        <f t="shared" ref="M17:M22" si="7">+L17/$L$22</f>
        <v>4.0007932239365322E-2</v>
      </c>
      <c r="N17" s="12">
        <f>+socabkvar!N17</f>
        <v>0</v>
      </c>
      <c r="O17" s="47">
        <f t="shared" ref="O17:O22" si="8">+N17/$N$22</f>
        <v>0</v>
      </c>
      <c r="P17" s="12">
        <f>+socabkvar!P17</f>
        <v>0</v>
      </c>
      <c r="Q17" s="47">
        <f t="shared" ref="Q17:Q22" si="9">+P17/$P$22</f>
        <v>0</v>
      </c>
    </row>
    <row r="18" spans="1:17">
      <c r="A18" s="1" t="s">
        <v>271</v>
      </c>
      <c r="B18" s="12">
        <f>+socabkvar!B18</f>
        <v>109376.9</v>
      </c>
      <c r="C18" s="47">
        <f t="shared" si="5"/>
        <v>4.3392895320857265E-2</v>
      </c>
      <c r="D18" s="12">
        <f>+socabkvar!D18</f>
        <v>0</v>
      </c>
      <c r="E18" s="44">
        <v>0</v>
      </c>
      <c r="F18" s="12">
        <f>+socabkvar!F18</f>
        <v>0</v>
      </c>
      <c r="G18" s="44">
        <v>0</v>
      </c>
      <c r="H18" s="12">
        <f>+socabkvar!H18</f>
        <v>0</v>
      </c>
      <c r="I18" s="44">
        <v>0</v>
      </c>
      <c r="J18" s="12">
        <f>+socabkvar!J18</f>
        <v>120843.8</v>
      </c>
      <c r="K18" s="47">
        <f t="shared" si="6"/>
        <v>5.2675914651834875E-2</v>
      </c>
      <c r="L18" s="12">
        <f>+socabkvar!L18</f>
        <v>100962.3</v>
      </c>
      <c r="M18" s="47">
        <f t="shared" si="7"/>
        <v>6.7321547618841224E-2</v>
      </c>
      <c r="N18" s="12">
        <f>+socabkvar!N18</f>
        <v>151467.1</v>
      </c>
      <c r="O18" s="47">
        <f t="shared" si="8"/>
        <v>0.14844133127972658</v>
      </c>
      <c r="P18" s="12">
        <f>+socabkvar!P18</f>
        <v>60423.4</v>
      </c>
      <c r="Q18" s="47">
        <f t="shared" si="9"/>
        <v>0.10840674024706258</v>
      </c>
    </row>
    <row r="19" spans="1:17">
      <c r="A19" s="1" t="s">
        <v>272</v>
      </c>
      <c r="B19" s="12">
        <f>+socabkvar!B19</f>
        <v>1484208</v>
      </c>
      <c r="C19" s="47">
        <f t="shared" si="5"/>
        <v>0.58882709583448545</v>
      </c>
      <c r="D19" s="12">
        <f>+socabkvar!D19</f>
        <v>0</v>
      </c>
      <c r="E19" s="44">
        <v>0</v>
      </c>
      <c r="F19" s="12">
        <f>+socabkvar!F19</f>
        <v>0</v>
      </c>
      <c r="G19" s="44">
        <v>0</v>
      </c>
      <c r="H19" s="12">
        <f>+socabkvar!H19</f>
        <v>0</v>
      </c>
      <c r="I19" s="44">
        <v>0</v>
      </c>
      <c r="J19" s="12">
        <f>+socabkvar!J19</f>
        <v>1235113.8</v>
      </c>
      <c r="K19" s="47">
        <f t="shared" si="6"/>
        <v>0.53838715030562967</v>
      </c>
      <c r="L19" s="12">
        <f>+socabkvar!L19</f>
        <v>852468.3</v>
      </c>
      <c r="M19" s="47">
        <f t="shared" si="7"/>
        <v>0.56842489971011589</v>
      </c>
      <c r="N19" s="12">
        <f>+socabkvar!N19</f>
        <v>516235.5</v>
      </c>
      <c r="O19" s="47">
        <f t="shared" si="8"/>
        <v>0.50592296857769958</v>
      </c>
      <c r="P19" s="12">
        <f>+socabkvar!P19</f>
        <v>283920.44607999997</v>
      </c>
      <c r="Q19" s="47">
        <f t="shared" si="9"/>
        <v>0.50938692706839894</v>
      </c>
    </row>
    <row r="20" spans="1:17">
      <c r="A20" s="1" t="s">
        <v>273</v>
      </c>
      <c r="B20" s="12">
        <f>+socabkvar!B20</f>
        <v>72823.399999999994</v>
      </c>
      <c r="C20" s="47">
        <f t="shared" si="5"/>
        <v>2.8891092846011518E-2</v>
      </c>
      <c r="D20" s="12">
        <f>+socabkvar!D20</f>
        <v>0</v>
      </c>
      <c r="E20" s="44">
        <v>0</v>
      </c>
      <c r="F20" s="12">
        <f>+socabkvar!F20</f>
        <v>0</v>
      </c>
      <c r="G20" s="44">
        <v>0</v>
      </c>
      <c r="H20" s="12">
        <f>+socabkvar!H20</f>
        <v>0</v>
      </c>
      <c r="I20" s="44">
        <v>0</v>
      </c>
      <c r="J20" s="12">
        <f>+socabkvar!J20</f>
        <v>65168.6</v>
      </c>
      <c r="K20" s="47">
        <f t="shared" si="6"/>
        <v>2.8407047871546295E-2</v>
      </c>
      <c r="L20" s="12">
        <f>+socabkvar!L20</f>
        <v>37755.1</v>
      </c>
      <c r="M20" s="47">
        <f t="shared" si="7"/>
        <v>2.5175058041507693E-2</v>
      </c>
      <c r="N20" s="12">
        <f>+socabkvar!N20</f>
        <v>28265.5</v>
      </c>
      <c r="O20" s="47">
        <f t="shared" si="8"/>
        <v>2.7700856815025252E-2</v>
      </c>
      <c r="P20" s="12">
        <f>+socabkvar!P20</f>
        <v>22173.400980000002</v>
      </c>
      <c r="Q20" s="47">
        <f t="shared" si="9"/>
        <v>3.9781709080138207E-2</v>
      </c>
    </row>
    <row r="21" spans="1:17" ht="16.5" thickBot="1">
      <c r="A21" s="1" t="s">
        <v>274</v>
      </c>
      <c r="B21" s="99">
        <f>+socabkvar!B21</f>
        <v>85264.9</v>
      </c>
      <c r="C21" s="47">
        <f t="shared" si="5"/>
        <v>3.3826986139151527E-2</v>
      </c>
      <c r="D21" s="99">
        <f>+socabkvar!D21</f>
        <v>0</v>
      </c>
      <c r="E21" s="232">
        <v>0</v>
      </c>
      <c r="F21" s="99">
        <f>+socabkvar!F21</f>
        <v>0</v>
      </c>
      <c r="G21" s="232">
        <v>0</v>
      </c>
      <c r="H21" s="99">
        <f>+socabkvar!H21</f>
        <v>0</v>
      </c>
      <c r="I21" s="232">
        <v>0</v>
      </c>
      <c r="J21" s="99">
        <f>+socabkvar!J21</f>
        <v>50025</v>
      </c>
      <c r="K21" s="329">
        <f t="shared" si="6"/>
        <v>2.1805939820313824E-2</v>
      </c>
      <c r="L21" s="99">
        <f>+socabkvar!L21</f>
        <v>20737</v>
      </c>
      <c r="M21" s="329">
        <f t="shared" si="7"/>
        <v>1.3827408180795312E-2</v>
      </c>
      <c r="N21" s="99">
        <f>+socabkvar!N21</f>
        <v>9457.2000000000007</v>
      </c>
      <c r="O21" s="231">
        <f t="shared" si="8"/>
        <v>9.2682791060146406E-3</v>
      </c>
      <c r="P21" s="99">
        <f>+socabkvar!P21</f>
        <v>8737.6110700000008</v>
      </c>
      <c r="Q21" s="231">
        <f t="shared" si="9"/>
        <v>1.5676309735058746E-2</v>
      </c>
    </row>
    <row r="22" spans="1:17">
      <c r="A22" s="1" t="s">
        <v>275</v>
      </c>
      <c r="B22" s="4">
        <f>SUM(B15:B21)</f>
        <v>2520617.6999999997</v>
      </c>
      <c r="C22" s="112">
        <f t="shared" si="5"/>
        <v>1</v>
      </c>
      <c r="D22" s="4">
        <f>SUM(D15:D21)</f>
        <v>0</v>
      </c>
      <c r="E22" s="42">
        <v>0</v>
      </c>
      <c r="F22" s="4">
        <f>SUM(F15:F21)</f>
        <v>0</v>
      </c>
      <c r="G22" s="42">
        <v>0</v>
      </c>
      <c r="H22" s="4">
        <f>SUM(H15:H21)</f>
        <v>0</v>
      </c>
      <c r="I22" s="42">
        <v>0</v>
      </c>
      <c r="J22" s="4">
        <f>SUM(J15:J21)</f>
        <v>2294099.7000000002</v>
      </c>
      <c r="K22" s="112">
        <f t="shared" si="6"/>
        <v>1</v>
      </c>
      <c r="L22" s="4">
        <f>SUM(L15:L21)</f>
        <v>1499702.6</v>
      </c>
      <c r="M22" s="47">
        <f t="shared" si="7"/>
        <v>1</v>
      </c>
      <c r="N22" s="4">
        <f>SUM(N15:N21)</f>
        <v>1020383.6</v>
      </c>
      <c r="O22" s="112">
        <f t="shared" si="8"/>
        <v>1</v>
      </c>
      <c r="P22" s="4">
        <f>SUM(P15:P21)</f>
        <v>557376.78175999993</v>
      </c>
      <c r="Q22" s="112">
        <f t="shared" si="9"/>
        <v>1</v>
      </c>
    </row>
    <row r="23" spans="1:17" ht="7.9" customHeight="1">
      <c r="A23" s="1"/>
      <c r="C23" s="44" t="s">
        <v>0</v>
      </c>
      <c r="E23" s="44" t="s">
        <v>0</v>
      </c>
      <c r="G23" s="44" t="s">
        <v>0</v>
      </c>
      <c r="I23" s="44" t="s">
        <v>0</v>
      </c>
      <c r="K23" s="47" t="s">
        <v>0</v>
      </c>
      <c r="M23" s="47" t="s">
        <v>0</v>
      </c>
      <c r="O23" s="44" t="s">
        <v>0</v>
      </c>
      <c r="Q23" s="44" t="s">
        <v>0</v>
      </c>
    </row>
    <row r="24" spans="1:17">
      <c r="A24" s="87" t="s">
        <v>276</v>
      </c>
      <c r="C24" s="44" t="s">
        <v>0</v>
      </c>
      <c r="E24" s="44" t="s">
        <v>0</v>
      </c>
      <c r="G24" s="44" t="s">
        <v>0</v>
      </c>
      <c r="I24" s="44" t="s">
        <v>0</v>
      </c>
      <c r="K24" s="47" t="s">
        <v>0</v>
      </c>
      <c r="M24" s="47" t="s">
        <v>0</v>
      </c>
      <c r="O24" s="44" t="s">
        <v>0</v>
      </c>
      <c r="Q24" s="44" t="s">
        <v>0</v>
      </c>
    </row>
    <row r="25" spans="1:17">
      <c r="A25" s="1" t="s">
        <v>277</v>
      </c>
      <c r="C25" s="44" t="s">
        <v>0</v>
      </c>
      <c r="E25" s="44" t="s">
        <v>0</v>
      </c>
      <c r="G25" s="44" t="s">
        <v>0</v>
      </c>
      <c r="I25" s="44" t="s">
        <v>0</v>
      </c>
      <c r="K25" s="47" t="s">
        <v>0</v>
      </c>
      <c r="M25" s="47" t="s">
        <v>0</v>
      </c>
      <c r="O25" s="44" t="s">
        <v>0</v>
      </c>
      <c r="Q25" s="44" t="s">
        <v>0</v>
      </c>
    </row>
    <row r="26" spans="1:17">
      <c r="A26" s="1" t="s">
        <v>278</v>
      </c>
      <c r="B26" s="12">
        <f>+socabkvar!B26</f>
        <v>398833.8</v>
      </c>
      <c r="C26" s="47">
        <f>+B26/$B$22</f>
        <v>0.15822859610959647</v>
      </c>
      <c r="D26" s="12">
        <f>+socabkvar!D26</f>
        <v>0</v>
      </c>
      <c r="E26" s="44">
        <v>0</v>
      </c>
      <c r="F26" s="12">
        <f>+socabkvar!F26</f>
        <v>0</v>
      </c>
      <c r="G26" s="44">
        <v>0</v>
      </c>
      <c r="H26" s="12">
        <f>+socabkvar!H26</f>
        <v>0</v>
      </c>
      <c r="I26" s="44">
        <v>0</v>
      </c>
      <c r="J26" s="12">
        <f>+socabkvar!J26</f>
        <v>185542.9</v>
      </c>
      <c r="K26" s="47">
        <f>+J26/$J$22</f>
        <v>8.0878307076192021E-2</v>
      </c>
      <c r="L26" s="12">
        <f>+socabkvar!L26</f>
        <v>139490.6</v>
      </c>
      <c r="M26" s="47">
        <f>+L26/$L$22</f>
        <v>9.3012174547140211E-2</v>
      </c>
      <c r="N26" s="12">
        <f>+socabkvar!N26</f>
        <v>123949.4</v>
      </c>
      <c r="O26" s="47">
        <f>+N26/$N$22</f>
        <v>0.12147333610614675</v>
      </c>
      <c r="P26" s="12">
        <f>+socabkvar!P26</f>
        <v>122429.87938</v>
      </c>
      <c r="Q26" s="47">
        <f>+P26/$P$22</f>
        <v>0.21965371250917465</v>
      </c>
    </row>
    <row r="27" spans="1:17">
      <c r="A27" s="1" t="s">
        <v>279</v>
      </c>
      <c r="B27" s="12">
        <f>+socabkvar!B27</f>
        <v>547332.80000000005</v>
      </c>
      <c r="C27" s="47">
        <f>+B27/$B$22</f>
        <v>0.21714232983446879</v>
      </c>
      <c r="D27" s="12">
        <f>+socabkvar!D27</f>
        <v>0</v>
      </c>
      <c r="E27" s="44">
        <v>0</v>
      </c>
      <c r="F27" s="12">
        <f>+socabkvar!F27</f>
        <v>0</v>
      </c>
      <c r="G27" s="44">
        <v>0</v>
      </c>
      <c r="H27" s="12">
        <f>+socabkvar!H27</f>
        <v>0</v>
      </c>
      <c r="I27" s="44">
        <v>0</v>
      </c>
      <c r="J27" s="12">
        <f>+socabkvar!J27</f>
        <v>497536.8</v>
      </c>
      <c r="K27" s="47">
        <f>+J27/$J$22</f>
        <v>0.21687671202781639</v>
      </c>
      <c r="L27" s="12">
        <f>+socabkvar!L27</f>
        <v>332088</v>
      </c>
      <c r="M27" s="47">
        <f>+L27/$L$22</f>
        <v>0.22143590335843918</v>
      </c>
      <c r="N27" s="12">
        <f>+socabkvar!N27</f>
        <v>207983.9</v>
      </c>
      <c r="O27" s="47">
        <f>+N27/$N$22</f>
        <v>0.20382912857478305</v>
      </c>
      <c r="P27" s="12">
        <f>+socabkvar!P27</f>
        <v>146592.67508000002</v>
      </c>
      <c r="Q27" s="47">
        <f>+P27/$P$22</f>
        <v>0.26300463147587866</v>
      </c>
    </row>
    <row r="28" spans="1:17">
      <c r="A28" s="1" t="s">
        <v>280</v>
      </c>
      <c r="B28" s="221">
        <f>+socabkvar!B28</f>
        <v>1337888.2</v>
      </c>
      <c r="C28" s="47">
        <f>+B28/$B$22</f>
        <v>0.53077791209670555</v>
      </c>
      <c r="D28" s="221">
        <f>+socabkvar!D28</f>
        <v>0</v>
      </c>
      <c r="E28" s="44">
        <v>0</v>
      </c>
      <c r="F28" s="221">
        <f>+socabkvar!F28</f>
        <v>0</v>
      </c>
      <c r="G28" s="545">
        <v>0</v>
      </c>
      <c r="H28" s="221">
        <f>+socabkvar!H28</f>
        <v>0</v>
      </c>
      <c r="I28" s="545">
        <v>0</v>
      </c>
      <c r="J28" s="221">
        <f>+socabkvar!J28</f>
        <v>1334198.1000000001</v>
      </c>
      <c r="K28" s="328">
        <f>+J28/$J$22</f>
        <v>0.58157808049929127</v>
      </c>
      <c r="L28" s="221">
        <f>+socabkvar!L28</f>
        <v>866641.5</v>
      </c>
      <c r="M28" s="328">
        <f>+L28/$L$22</f>
        <v>0.57787557346369867</v>
      </c>
      <c r="N28" s="221">
        <f>+socabkvar!N28</f>
        <v>559895.1</v>
      </c>
      <c r="O28" s="236">
        <f>+N28/$N$22</f>
        <v>0.54871040655690662</v>
      </c>
      <c r="P28" s="221">
        <f>+socabkvar!P28</f>
        <v>221562.55325999999</v>
      </c>
      <c r="Q28" s="236">
        <f>+P28/$P$22</f>
        <v>0.39750947744967657</v>
      </c>
    </row>
    <row r="29" spans="1:17">
      <c r="A29" s="1"/>
      <c r="B29" s="12">
        <f>SUM(B26:B28)</f>
        <v>2284054.7999999998</v>
      </c>
      <c r="C29" s="47">
        <f>+B29/$B$22</f>
        <v>0.90614883804077073</v>
      </c>
      <c r="D29" s="12">
        <f>SUM(D26:D28)</f>
        <v>0</v>
      </c>
      <c r="E29" s="44">
        <v>0</v>
      </c>
      <c r="F29" s="12">
        <f>SUM(F26:F28)</f>
        <v>0</v>
      </c>
      <c r="G29" s="44">
        <v>0</v>
      </c>
      <c r="H29" s="12">
        <f>SUM(H26:H28)</f>
        <v>0</v>
      </c>
      <c r="I29" s="44">
        <v>0</v>
      </c>
      <c r="J29" s="12">
        <f>SUM(J26:J28)</f>
        <v>2017277.8</v>
      </c>
      <c r="K29" s="47">
        <f>+J29/$J$22</f>
        <v>0.87933309960329964</v>
      </c>
      <c r="L29" s="12">
        <f>SUM(L26:L28)</f>
        <v>1338220.1000000001</v>
      </c>
      <c r="M29" s="47">
        <f>+L29/$L$22</f>
        <v>0.89232365136927816</v>
      </c>
      <c r="N29" s="12">
        <f>SUM(N26:N28)</f>
        <v>891828.39999999991</v>
      </c>
      <c r="O29" s="47">
        <f>+N29/$N$22</f>
        <v>0.87401287123783633</v>
      </c>
      <c r="P29" s="12">
        <f>SUM(P26:P28)</f>
        <v>490585.10771999997</v>
      </c>
      <c r="Q29" s="47">
        <f>+P29/$P$22</f>
        <v>0.88016782143472982</v>
      </c>
    </row>
    <row r="30" spans="1:17" ht="7.9" customHeight="1">
      <c r="A30" s="1"/>
      <c r="C30" s="47" t="s">
        <v>0</v>
      </c>
      <c r="E30" s="44" t="s">
        <v>0</v>
      </c>
      <c r="G30" s="44" t="s">
        <v>0</v>
      </c>
      <c r="I30" s="44" t="s">
        <v>0</v>
      </c>
      <c r="K30" s="47" t="s">
        <v>0</v>
      </c>
      <c r="M30" s="47" t="s">
        <v>0</v>
      </c>
      <c r="O30" s="44" t="s">
        <v>0</v>
      </c>
      <c r="Q30" s="44" t="s">
        <v>0</v>
      </c>
    </row>
    <row r="31" spans="1:17">
      <c r="A31" s="1" t="s">
        <v>281</v>
      </c>
      <c r="C31" s="47" t="s">
        <v>0</v>
      </c>
      <c r="E31" s="44" t="s">
        <v>0</v>
      </c>
      <c r="G31" s="44" t="s">
        <v>0</v>
      </c>
      <c r="I31" s="44" t="s">
        <v>0</v>
      </c>
      <c r="K31" s="47" t="s">
        <v>0</v>
      </c>
      <c r="M31" s="47" t="s">
        <v>0</v>
      </c>
      <c r="O31" s="44" t="s">
        <v>0</v>
      </c>
      <c r="Q31" s="44" t="s">
        <v>0</v>
      </c>
    </row>
    <row r="32" spans="1:17">
      <c r="A32" s="1" t="s">
        <v>282</v>
      </c>
      <c r="B32" s="12">
        <f>+socabkvar!B32</f>
        <v>0</v>
      </c>
      <c r="C32" s="47">
        <f>+B32/$B$22</f>
        <v>0</v>
      </c>
      <c r="D32" s="12">
        <f>+socabkvar!D32</f>
        <v>0</v>
      </c>
      <c r="E32" s="44">
        <v>0</v>
      </c>
      <c r="F32" s="12">
        <f>+socabkvar!F32</f>
        <v>0</v>
      </c>
      <c r="G32" s="44">
        <v>0</v>
      </c>
      <c r="H32" s="12">
        <f>+socabkvar!H32</f>
        <v>0</v>
      </c>
      <c r="I32" s="44">
        <v>0</v>
      </c>
      <c r="J32" s="12">
        <f>+socabkvar!J32</f>
        <v>0</v>
      </c>
      <c r="K32" s="47">
        <f>+J32/$J$22</f>
        <v>0</v>
      </c>
      <c r="L32" s="12">
        <f>+socabkvar!L32</f>
        <v>0</v>
      </c>
      <c r="M32" s="47">
        <f>+L32/$L$22</f>
        <v>0</v>
      </c>
      <c r="N32" s="12">
        <f>+socabkvar!N32</f>
        <v>0</v>
      </c>
      <c r="O32" s="47">
        <f>+N32/$N$22</f>
        <v>0</v>
      </c>
      <c r="P32" s="12">
        <f>+socabkvar!P32</f>
        <v>0</v>
      </c>
      <c r="Q32" s="47">
        <f>+P32/$P$22</f>
        <v>0</v>
      </c>
    </row>
    <row r="33" spans="1:21">
      <c r="A33" s="1" t="s">
        <v>283</v>
      </c>
      <c r="B33" s="12">
        <f>+socabkvar!B33</f>
        <v>0</v>
      </c>
      <c r="C33" s="47">
        <f>+B33/$B$22</f>
        <v>0</v>
      </c>
      <c r="D33" s="12">
        <f>+socabkvar!D33</f>
        <v>0</v>
      </c>
      <c r="E33" s="44">
        <v>0</v>
      </c>
      <c r="F33" s="12">
        <f>+socabkvar!F33</f>
        <v>0</v>
      </c>
      <c r="G33" s="44">
        <v>0</v>
      </c>
      <c r="H33" s="12">
        <f>+socabkvar!H33</f>
        <v>0</v>
      </c>
      <c r="I33" s="44">
        <v>0</v>
      </c>
      <c r="J33" s="12">
        <f>+socabkvar!J33</f>
        <v>0</v>
      </c>
      <c r="K33" s="47">
        <f>+J33/$J$22</f>
        <v>0</v>
      </c>
      <c r="L33" s="12">
        <f>+socabkvar!L33</f>
        <v>0</v>
      </c>
      <c r="M33" s="47">
        <f>+L33/$L$22</f>
        <v>0</v>
      </c>
      <c r="N33" s="12">
        <f>+socabkvar!N33</f>
        <v>0</v>
      </c>
      <c r="O33" s="47">
        <f>+N33/$N$22</f>
        <v>0</v>
      </c>
      <c r="P33" s="12">
        <f>+socabkvar!P33</f>
        <v>0</v>
      </c>
      <c r="Q33" s="47">
        <f>+P33/$P$22</f>
        <v>0</v>
      </c>
    </row>
    <row r="34" spans="1:21" ht="18">
      <c r="A34" s="1" t="s">
        <v>284</v>
      </c>
      <c r="B34" s="221">
        <f>+socabkvar!B34</f>
        <v>113607.6</v>
      </c>
      <c r="C34" s="47">
        <f>+B34/$B$22</f>
        <v>4.5071333110134081E-2</v>
      </c>
      <c r="D34" s="221">
        <f>+socabkvar!D34</f>
        <v>0</v>
      </c>
      <c r="E34" s="545">
        <v>0</v>
      </c>
      <c r="F34" s="221">
        <f>+socabkvar!F34</f>
        <v>0</v>
      </c>
      <c r="G34" s="545">
        <v>0</v>
      </c>
      <c r="H34" s="221">
        <f>+socabkvar!H34</f>
        <v>0</v>
      </c>
      <c r="I34" s="545">
        <v>0</v>
      </c>
      <c r="J34" s="221">
        <f>+socabkvar!J34</f>
        <v>145763.5</v>
      </c>
      <c r="K34" s="328">
        <f>+J34/$J$22</f>
        <v>6.3538432963484534E-2</v>
      </c>
      <c r="L34" s="221">
        <f>+socabkvar!L34</f>
        <v>78017.600000000006</v>
      </c>
      <c r="M34" s="328">
        <f>+L34/$L$22</f>
        <v>5.2022047571298469E-2</v>
      </c>
      <c r="N34" s="221">
        <f>+socabkvar!N34</f>
        <v>37991.4</v>
      </c>
      <c r="O34" s="236">
        <f>+N34/$N$22</f>
        <v>3.7232468259975955E-2</v>
      </c>
      <c r="P34" s="221">
        <f>+socabkvar!P34</f>
        <v>30980.54982</v>
      </c>
      <c r="Q34" s="236">
        <f>+P34/$P$22</f>
        <v>5.5582777815348379E-2</v>
      </c>
      <c r="R34" s="6"/>
      <c r="S34" s="7"/>
      <c r="T34" s="7"/>
      <c r="U34" s="7"/>
    </row>
    <row r="35" spans="1:21">
      <c r="A35" s="1"/>
      <c r="B35" s="12">
        <f>SUM(B32:B34)</f>
        <v>113607.6</v>
      </c>
      <c r="C35" s="47">
        <f>+B35/$B$22</f>
        <v>4.5071333110134081E-2</v>
      </c>
      <c r="D35" s="12">
        <f>SUM(D32:D34)</f>
        <v>0</v>
      </c>
      <c r="E35" s="44">
        <v>0</v>
      </c>
      <c r="F35" s="12">
        <f>SUM(F32:F34)</f>
        <v>0</v>
      </c>
      <c r="G35" s="44">
        <v>0</v>
      </c>
      <c r="H35" s="12">
        <f>SUM(H32:H34)</f>
        <v>0</v>
      </c>
      <c r="I35" s="44">
        <v>0</v>
      </c>
      <c r="J35" s="12">
        <f>SUM(J32:J34)</f>
        <v>145763.5</v>
      </c>
      <c r="K35" s="47">
        <f>+J35/$J$22</f>
        <v>6.3538432963484534E-2</v>
      </c>
      <c r="L35" s="12">
        <f>SUM(L32:L34)</f>
        <v>78017.600000000006</v>
      </c>
      <c r="M35" s="47">
        <f>+L35/$L$22</f>
        <v>5.2022047571298469E-2</v>
      </c>
      <c r="N35" s="12">
        <f>SUM(N32:N34)</f>
        <v>37991.4</v>
      </c>
      <c r="O35" s="47">
        <f>+N35/$N$22</f>
        <v>3.7232468259975955E-2</v>
      </c>
      <c r="P35" s="12">
        <f>SUM(P32:P34)</f>
        <v>30980.54982</v>
      </c>
      <c r="Q35" s="47">
        <f>+P35/$P$22</f>
        <v>5.5582777815348379E-2</v>
      </c>
    </row>
    <row r="36" spans="1:21" ht="7.15" customHeight="1">
      <c r="A36" s="1"/>
      <c r="C36" s="47" t="s">
        <v>0</v>
      </c>
      <c r="E36" s="44" t="s">
        <v>0</v>
      </c>
      <c r="G36" s="44" t="s">
        <v>0</v>
      </c>
      <c r="I36" s="44" t="s">
        <v>0</v>
      </c>
      <c r="K36" s="47" t="s">
        <v>0</v>
      </c>
      <c r="M36" s="47" t="s">
        <v>0</v>
      </c>
      <c r="O36" s="44" t="s">
        <v>0</v>
      </c>
      <c r="Q36" s="44" t="s">
        <v>0</v>
      </c>
    </row>
    <row r="37" spans="1:21">
      <c r="A37" s="1" t="s">
        <v>285</v>
      </c>
      <c r="C37" s="47" t="s">
        <v>0</v>
      </c>
      <c r="E37" s="44" t="s">
        <v>0</v>
      </c>
      <c r="G37" s="44" t="s">
        <v>0</v>
      </c>
      <c r="I37" s="44" t="s">
        <v>0</v>
      </c>
      <c r="K37" s="47" t="s">
        <v>0</v>
      </c>
      <c r="M37" s="47" t="s">
        <v>0</v>
      </c>
      <c r="O37" s="44" t="s">
        <v>0</v>
      </c>
      <c r="Q37" s="44" t="s">
        <v>0</v>
      </c>
    </row>
    <row r="38" spans="1:21">
      <c r="A38" s="1" t="s">
        <v>282</v>
      </c>
      <c r="B38" s="12">
        <f>+socabkvar!B38</f>
        <v>0</v>
      </c>
      <c r="C38" s="47">
        <f>+B38/$B$22</f>
        <v>0</v>
      </c>
      <c r="D38" s="12">
        <f>+socabkvar!D38</f>
        <v>0</v>
      </c>
      <c r="E38" s="44">
        <v>0</v>
      </c>
      <c r="F38" s="12">
        <f>+socabkvar!F38</f>
        <v>0</v>
      </c>
      <c r="G38" s="44">
        <v>0</v>
      </c>
      <c r="H38" s="12">
        <f>+socabkvar!H38</f>
        <v>0</v>
      </c>
      <c r="I38" s="44">
        <v>0</v>
      </c>
      <c r="J38" s="12">
        <f>+socabkvar!J38</f>
        <v>16941.099999999999</v>
      </c>
      <c r="K38" s="47">
        <f>+J38/$J$22</f>
        <v>7.3846398218874263E-3</v>
      </c>
      <c r="L38" s="12">
        <f>+socabkvar!L38</f>
        <v>0</v>
      </c>
      <c r="M38" s="47">
        <f>+L38/$L$22</f>
        <v>0</v>
      </c>
      <c r="N38" s="12">
        <f>+socabkvar!N38</f>
        <v>38468.9</v>
      </c>
      <c r="O38" s="47">
        <f>+N38/$N$22</f>
        <v>3.7700429524739523E-2</v>
      </c>
      <c r="P38" s="12">
        <f>+socabkvar!P38</f>
        <v>0</v>
      </c>
      <c r="Q38" s="47">
        <f>+P38/$P$22</f>
        <v>0</v>
      </c>
    </row>
    <row r="39" spans="1:21">
      <c r="A39" s="1" t="s">
        <v>286</v>
      </c>
      <c r="B39" s="12">
        <f>+socabkvar!B39</f>
        <v>0</v>
      </c>
      <c r="C39" s="47">
        <f>+B39/$B$22</f>
        <v>0</v>
      </c>
      <c r="D39" s="12">
        <f>+socabkvar!D39</f>
        <v>0</v>
      </c>
      <c r="E39" s="44">
        <v>0</v>
      </c>
      <c r="F39" s="12">
        <f>+socabkvar!F39</f>
        <v>0</v>
      </c>
      <c r="G39" s="44">
        <v>0</v>
      </c>
      <c r="H39" s="12">
        <f>+socabkvar!H39</f>
        <v>0</v>
      </c>
      <c r="I39" s="44">
        <v>0</v>
      </c>
      <c r="J39" s="12">
        <f>+socabkvar!J39</f>
        <v>0</v>
      </c>
      <c r="K39" s="47">
        <f>+J39/$J$22</f>
        <v>0</v>
      </c>
      <c r="L39" s="12">
        <f>+socabkvar!L39</f>
        <v>0</v>
      </c>
      <c r="M39" s="47">
        <f>+L39/$L$22</f>
        <v>0</v>
      </c>
      <c r="N39" s="12">
        <f>+socabkvar!N39</f>
        <v>0</v>
      </c>
      <c r="O39" s="47">
        <f>+N39/$N$22</f>
        <v>0</v>
      </c>
      <c r="P39" s="12">
        <f>+socabkvar!P39</f>
        <v>0</v>
      </c>
      <c r="Q39" s="47">
        <f>+P39/$P$22</f>
        <v>0</v>
      </c>
    </row>
    <row r="40" spans="1:21">
      <c r="A40" s="1" t="s">
        <v>284</v>
      </c>
      <c r="B40" s="221">
        <f>+socabkvar!B40</f>
        <v>0</v>
      </c>
      <c r="C40" s="47">
        <f>+B40/$B$22</f>
        <v>0</v>
      </c>
      <c r="D40" s="221">
        <f>+socabkvar!D40</f>
        <v>0</v>
      </c>
      <c r="E40" s="545">
        <v>0</v>
      </c>
      <c r="F40" s="221">
        <f>+socabkvar!F40</f>
        <v>0</v>
      </c>
      <c r="G40" s="545">
        <v>0</v>
      </c>
      <c r="H40" s="221">
        <f>+socabkvar!H40</f>
        <v>0</v>
      </c>
      <c r="I40" s="545">
        <v>0</v>
      </c>
      <c r="J40" s="221">
        <f>+socabkvar!J40</f>
        <v>0</v>
      </c>
      <c r="K40" s="328">
        <f>+J40/$J$22</f>
        <v>0</v>
      </c>
      <c r="L40" s="221">
        <f>+socabkvar!L40</f>
        <v>0</v>
      </c>
      <c r="M40" s="328">
        <f>+L40/$L$22</f>
        <v>0</v>
      </c>
      <c r="N40" s="221">
        <f>+socabkvar!N40</f>
        <v>0</v>
      </c>
      <c r="O40" s="236">
        <f>+N40/$N$22</f>
        <v>0</v>
      </c>
      <c r="P40" s="221">
        <f>+socabkvar!P40</f>
        <v>10117.850789999999</v>
      </c>
      <c r="Q40" s="236">
        <f>+P40/$P$22</f>
        <v>1.8152623361976764E-2</v>
      </c>
    </row>
    <row r="41" spans="1:21">
      <c r="A41" s="1"/>
      <c r="B41" s="12">
        <f>SUM(B38:B40)</f>
        <v>0</v>
      </c>
      <c r="C41" s="47">
        <f>+B41/$B$22</f>
        <v>0</v>
      </c>
      <c r="D41" s="12">
        <f>SUM(D38:D40)</f>
        <v>0</v>
      </c>
      <c r="E41" s="44">
        <v>0</v>
      </c>
      <c r="F41" s="12">
        <f>SUM(F38:F40)</f>
        <v>0</v>
      </c>
      <c r="G41" s="44">
        <v>0</v>
      </c>
      <c r="H41" s="12">
        <f>SUM(H38:H40)</f>
        <v>0</v>
      </c>
      <c r="I41" s="44">
        <v>0</v>
      </c>
      <c r="J41" s="12">
        <f>SUM(J38:J40)</f>
        <v>16941.099999999999</v>
      </c>
      <c r="K41" s="47">
        <f>+J41/$J$22</f>
        <v>7.3846398218874263E-3</v>
      </c>
      <c r="L41" s="12">
        <f>SUM(L38:L40)</f>
        <v>0</v>
      </c>
      <c r="M41" s="47">
        <f>+L41/$L$22</f>
        <v>0</v>
      </c>
      <c r="N41" s="12">
        <f>SUM(N38:N40)</f>
        <v>38468.9</v>
      </c>
      <c r="O41" s="47">
        <f>+N41/$N$22</f>
        <v>3.7700429524739523E-2</v>
      </c>
      <c r="P41" s="12">
        <f>SUM(P38:P40)</f>
        <v>10117.850789999999</v>
      </c>
      <c r="Q41" s="47">
        <f>+P41/$P$22</f>
        <v>1.8152623361976764E-2</v>
      </c>
    </row>
    <row r="42" spans="1:21" ht="8.4499999999999993" customHeight="1">
      <c r="A42" s="1"/>
      <c r="C42" s="47" t="s">
        <v>0</v>
      </c>
      <c r="E42" s="44" t="s">
        <v>0</v>
      </c>
      <c r="G42" s="44" t="s">
        <v>0</v>
      </c>
      <c r="I42" s="44" t="s">
        <v>0</v>
      </c>
      <c r="K42" s="47" t="s">
        <v>0</v>
      </c>
      <c r="M42" s="47" t="s">
        <v>0</v>
      </c>
      <c r="O42" s="44" t="s">
        <v>0</v>
      </c>
      <c r="Q42" s="44" t="s">
        <v>0</v>
      </c>
    </row>
    <row r="43" spans="1:21" ht="18">
      <c r="A43" s="1" t="s">
        <v>287</v>
      </c>
      <c r="B43" s="221">
        <f>+socabkvar!B43</f>
        <v>0</v>
      </c>
      <c r="C43" s="47">
        <f>+B43/$B$22</f>
        <v>0</v>
      </c>
      <c r="D43" s="221">
        <f>+socabkvar!D43</f>
        <v>0</v>
      </c>
      <c r="E43" s="545">
        <v>0</v>
      </c>
      <c r="F43" s="221">
        <f>+socabkvar!F43</f>
        <v>0</v>
      </c>
      <c r="G43" s="545">
        <v>0</v>
      </c>
      <c r="H43" s="221">
        <f>+socabkvar!H43</f>
        <v>0</v>
      </c>
      <c r="I43" s="545">
        <v>0</v>
      </c>
      <c r="J43" s="221">
        <f>+socabkvar!J43</f>
        <v>0</v>
      </c>
      <c r="K43" s="328">
        <f>+J43/$J$22</f>
        <v>0</v>
      </c>
      <c r="L43" s="221">
        <f>+socabkvar!L43</f>
        <v>0</v>
      </c>
      <c r="M43" s="328">
        <f>+L43/$L$22</f>
        <v>0</v>
      </c>
      <c r="N43" s="221">
        <f>+socabkvar!N43</f>
        <v>0</v>
      </c>
      <c r="O43" s="236">
        <f>+N43/$N$22</f>
        <v>0</v>
      </c>
      <c r="P43" s="221">
        <f>+socabkvar!P43</f>
        <v>0</v>
      </c>
      <c r="Q43" s="236">
        <f>+P43/$P$22</f>
        <v>0</v>
      </c>
      <c r="R43" s="6"/>
    </row>
    <row r="44" spans="1:21">
      <c r="A44" s="1"/>
      <c r="B44" s="12">
        <f>+B29+B35+B41+B43</f>
        <v>2397662.4</v>
      </c>
      <c r="C44" s="47">
        <f>+B44/$B$22</f>
        <v>0.95122017115090485</v>
      </c>
      <c r="D44" s="12">
        <f t="shared" ref="D44:J44" si="10">+D29+D35+D41+D43</f>
        <v>0</v>
      </c>
      <c r="E44" s="44">
        <v>0</v>
      </c>
      <c r="F44" s="12">
        <f t="shared" si="10"/>
        <v>0</v>
      </c>
      <c r="G44" s="44">
        <v>0</v>
      </c>
      <c r="H44" s="12">
        <f t="shared" si="10"/>
        <v>0</v>
      </c>
      <c r="I44" s="44">
        <v>0</v>
      </c>
      <c r="J44" s="12">
        <f t="shared" si="10"/>
        <v>2179982.4</v>
      </c>
      <c r="K44" s="47">
        <f>+J44/$J$22</f>
        <v>0.95025617238867155</v>
      </c>
      <c r="L44" s="12">
        <f>+L29+L35+L41+L43</f>
        <v>1416237.7000000002</v>
      </c>
      <c r="M44" s="47">
        <f>+L44/$L$22</f>
        <v>0.94434569894057674</v>
      </c>
      <c r="N44" s="12">
        <f>+N29+N35+N41+N43</f>
        <v>968288.7</v>
      </c>
      <c r="O44" s="47">
        <f>+N44/$N$22</f>
        <v>0.9489457690225519</v>
      </c>
      <c r="P44" s="12">
        <f>+P29+P35+P41+P43</f>
        <v>531683.50832999998</v>
      </c>
      <c r="Q44" s="47">
        <f>+P44/$P$22</f>
        <v>0.95390322261205496</v>
      </c>
    </row>
    <row r="45" spans="1:21" ht="8.4499999999999993" customHeight="1">
      <c r="A45" s="1"/>
      <c r="C45" s="47" t="s">
        <v>0</v>
      </c>
      <c r="E45" s="44" t="s">
        <v>0</v>
      </c>
      <c r="G45" s="44" t="s">
        <v>0</v>
      </c>
      <c r="I45" s="44" t="s">
        <v>0</v>
      </c>
      <c r="K45" s="47" t="s">
        <v>0</v>
      </c>
      <c r="M45" s="47" t="s">
        <v>0</v>
      </c>
      <c r="O45" s="44" t="s">
        <v>0</v>
      </c>
      <c r="Q45" s="44" t="s">
        <v>0</v>
      </c>
    </row>
    <row r="46" spans="1:21">
      <c r="A46" s="87" t="s">
        <v>288</v>
      </c>
      <c r="C46" s="47" t="s">
        <v>0</v>
      </c>
      <c r="E46" s="44" t="s">
        <v>0</v>
      </c>
      <c r="G46" s="44" t="s">
        <v>0</v>
      </c>
      <c r="I46" s="44" t="s">
        <v>0</v>
      </c>
      <c r="K46" s="47" t="s">
        <v>0</v>
      </c>
      <c r="M46" s="47" t="s">
        <v>0</v>
      </c>
      <c r="O46" s="44" t="s">
        <v>0</v>
      </c>
      <c r="Q46" s="44" t="s">
        <v>0</v>
      </c>
    </row>
    <row r="47" spans="1:21">
      <c r="A47" s="1" t="s">
        <v>289</v>
      </c>
      <c r="B47" s="12">
        <f>+socabkvar!B47</f>
        <v>93083.4</v>
      </c>
      <c r="C47" s="47">
        <f t="shared" ref="C47:C52" si="11">+B47/$B$22</f>
        <v>3.6928805189299432E-2</v>
      </c>
      <c r="D47" s="12">
        <f>+socabkvar!D47</f>
        <v>0</v>
      </c>
      <c r="E47" s="44">
        <v>0</v>
      </c>
      <c r="F47" s="12">
        <f>+socabkvar!F47</f>
        <v>0</v>
      </c>
      <c r="G47" s="44">
        <v>0</v>
      </c>
      <c r="H47" s="12">
        <f>+socabkvar!H47</f>
        <v>0</v>
      </c>
      <c r="I47" s="44">
        <v>0</v>
      </c>
      <c r="J47" s="12">
        <f>+socabkvar!J47</f>
        <v>91659.8</v>
      </c>
      <c r="K47" s="47">
        <f t="shared" ref="K47:K52" si="12">+J47/$J$22</f>
        <v>3.9954584362658689E-2</v>
      </c>
      <c r="L47" s="12">
        <f>+socabkvar!L47</f>
        <v>70216.800000000003</v>
      </c>
      <c r="M47" s="47">
        <f>+L47/$L$22</f>
        <v>4.682048294108445E-2</v>
      </c>
      <c r="N47" s="12">
        <f>+socabkvar!N47</f>
        <v>42836.2</v>
      </c>
      <c r="O47" s="47">
        <f t="shared" ref="O47:O52" si="13">+N47/$N$22</f>
        <v>4.1980486554272334E-2</v>
      </c>
      <c r="P47" s="12">
        <f>+socabkvar!P47</f>
        <v>28037.85</v>
      </c>
      <c r="Q47" s="47">
        <f t="shared" ref="Q47:Q52" si="14">+P47/$P$22</f>
        <v>5.0303225605247359E-2</v>
      </c>
    </row>
    <row r="48" spans="1:21">
      <c r="A48" s="1" t="s">
        <v>290</v>
      </c>
      <c r="B48" s="12">
        <f>+socabkvar!B48</f>
        <v>5168.7</v>
      </c>
      <c r="C48" s="47">
        <f t="shared" si="11"/>
        <v>2.050568795101296E-3</v>
      </c>
      <c r="D48" s="12">
        <f>+socabkvar!D48</f>
        <v>0</v>
      </c>
      <c r="E48" s="44">
        <v>0</v>
      </c>
      <c r="F48" s="12">
        <f>+socabkvar!F48</f>
        <v>0</v>
      </c>
      <c r="G48" s="44">
        <v>0</v>
      </c>
      <c r="H48" s="12">
        <f>+socabkvar!H48</f>
        <v>0</v>
      </c>
      <c r="I48" s="44">
        <v>0</v>
      </c>
      <c r="J48" s="12">
        <f>+socabkvar!J48</f>
        <v>3568.7</v>
      </c>
      <c r="K48" s="47">
        <f t="shared" si="12"/>
        <v>1.5555993490605484E-3</v>
      </c>
      <c r="L48" s="12">
        <f>+socabkvar!L48</f>
        <v>2246.1</v>
      </c>
      <c r="M48" s="47">
        <f>+L48/$L$22</f>
        <v>1.4976969433806407E-3</v>
      </c>
      <c r="N48" s="12">
        <f>+socabkvar!N48</f>
        <v>0</v>
      </c>
      <c r="O48" s="47">
        <f t="shared" si="13"/>
        <v>0</v>
      </c>
      <c r="P48" s="12">
        <f>+socabkvar!P48</f>
        <v>0</v>
      </c>
      <c r="Q48" s="47">
        <f t="shared" si="14"/>
        <v>0</v>
      </c>
    </row>
    <row r="49" spans="1:21">
      <c r="A49" s="1" t="s">
        <v>302</v>
      </c>
      <c r="B49" s="12">
        <f>+socabkvar!B49</f>
        <v>68.400000000000006</v>
      </c>
      <c r="C49" s="47">
        <f t="shared" si="11"/>
        <v>2.71362055419987E-5</v>
      </c>
      <c r="D49" s="12">
        <f>+socabkvar!D49</f>
        <v>0</v>
      </c>
      <c r="E49" s="44">
        <v>0</v>
      </c>
      <c r="F49" s="12">
        <f>+socabkvar!F49</f>
        <v>0</v>
      </c>
      <c r="G49" s="44">
        <v>0</v>
      </c>
      <c r="H49" s="12">
        <f>+socabkvar!H49</f>
        <v>0</v>
      </c>
      <c r="I49" s="44">
        <v>0</v>
      </c>
      <c r="J49" s="12">
        <f>+socabkvar!J49</f>
        <v>65.900000000000006</v>
      </c>
      <c r="K49" s="47">
        <f t="shared" si="12"/>
        <v>2.8725865750298471E-5</v>
      </c>
      <c r="M49" s="47"/>
      <c r="O49" s="47">
        <f t="shared" si="13"/>
        <v>0</v>
      </c>
      <c r="Q49" s="47">
        <f t="shared" si="14"/>
        <v>0</v>
      </c>
    </row>
    <row r="50" spans="1:21" ht="18">
      <c r="A50" s="1" t="s">
        <v>292</v>
      </c>
      <c r="B50" s="221">
        <f>+socabkvar!B50</f>
        <v>24634.799999999999</v>
      </c>
      <c r="C50" s="47">
        <f t="shared" si="11"/>
        <v>9.773318659152477E-3</v>
      </c>
      <c r="D50" s="221">
        <f>+socabkvar!D50</f>
        <v>0</v>
      </c>
      <c r="E50" s="545">
        <v>0</v>
      </c>
      <c r="F50" s="221">
        <f>+socabkvar!F50</f>
        <v>0</v>
      </c>
      <c r="G50" s="545">
        <v>0</v>
      </c>
      <c r="H50" s="221">
        <f>+socabkvar!H50</f>
        <v>0</v>
      </c>
      <c r="I50" s="545">
        <v>0</v>
      </c>
      <c r="J50" s="221">
        <f>+socabkvar!J50</f>
        <v>18822.900000000001</v>
      </c>
      <c r="K50" s="328">
        <f t="shared" si="12"/>
        <v>8.204918033858772E-3</v>
      </c>
      <c r="L50" s="221">
        <f>+socabkvar!L50</f>
        <v>11002</v>
      </c>
      <c r="M50" s="328">
        <f>+L50/$L$22</f>
        <v>7.3361211749582876E-3</v>
      </c>
      <c r="N50" s="221">
        <f>+socabkvar!N50</f>
        <v>9258.6</v>
      </c>
      <c r="O50" s="236">
        <f t="shared" si="13"/>
        <v>9.0736464208166431E-3</v>
      </c>
      <c r="P50" s="221">
        <f>+socabkvar!P50</f>
        <v>-2344.5765699999997</v>
      </c>
      <c r="Q50" s="236">
        <f t="shared" si="14"/>
        <v>-4.2064482173022194E-3</v>
      </c>
      <c r="R50" s="6"/>
      <c r="S50" s="7"/>
      <c r="T50" s="7"/>
      <c r="U50" s="7"/>
    </row>
    <row r="51" spans="1:21" ht="16.5" thickBot="1">
      <c r="A51" s="1" t="s">
        <v>275</v>
      </c>
      <c r="B51" s="76">
        <f>SUM(B47:B50)</f>
        <v>122955.29999999999</v>
      </c>
      <c r="C51" s="47">
        <f t="shared" si="11"/>
        <v>4.8779828849095208E-2</v>
      </c>
      <c r="D51" s="76">
        <f>SUM(D47:D50)</f>
        <v>0</v>
      </c>
      <c r="E51" s="232">
        <v>0</v>
      </c>
      <c r="F51" s="76">
        <f>SUM(F47:F50)</f>
        <v>0</v>
      </c>
      <c r="G51" s="232">
        <v>0</v>
      </c>
      <c r="H51" s="76">
        <f>SUM(H47:H50)</f>
        <v>0</v>
      </c>
      <c r="I51" s="232">
        <v>0</v>
      </c>
      <c r="J51" s="76">
        <f>SUM(J47:J50)</f>
        <v>114117.29999999999</v>
      </c>
      <c r="K51" s="231">
        <f t="shared" si="12"/>
        <v>4.9743827611328305E-2</v>
      </c>
      <c r="L51" s="76">
        <f>SUM(L47:L50)</f>
        <v>83464.900000000009</v>
      </c>
      <c r="M51" s="231">
        <f>+L51/$L$22</f>
        <v>5.5654301059423386E-2</v>
      </c>
      <c r="N51" s="76">
        <f>SUM(N47:N50)</f>
        <v>52094.799999999996</v>
      </c>
      <c r="O51" s="231">
        <f t="shared" si="13"/>
        <v>5.105413297508897E-2</v>
      </c>
      <c r="P51" s="76">
        <f>SUM(P47:P50)</f>
        <v>25693.273429999997</v>
      </c>
      <c r="Q51" s="231">
        <f t="shared" si="14"/>
        <v>4.609677738794514E-2</v>
      </c>
    </row>
    <row r="52" spans="1:21">
      <c r="A52" s="1" t="s">
        <v>0</v>
      </c>
      <c r="B52" s="4">
        <f>+B29+B35+B41+B43+B51</f>
        <v>2520617.6999999997</v>
      </c>
      <c r="C52" s="112">
        <f t="shared" si="11"/>
        <v>1</v>
      </c>
      <c r="D52" s="4">
        <f>+D29+D35+D41+D43+D51</f>
        <v>0</v>
      </c>
      <c r="E52" s="42">
        <v>0</v>
      </c>
      <c r="F52" s="4">
        <f>+F29+F35+F41+F43+F51</f>
        <v>0</v>
      </c>
      <c r="G52" s="42">
        <v>0</v>
      </c>
      <c r="H52" s="4">
        <f>+H29+H35+H41+H43+H51</f>
        <v>0</v>
      </c>
      <c r="I52" s="42">
        <v>0</v>
      </c>
      <c r="J52" s="4">
        <f>+J29+J35+J41+J43+J51</f>
        <v>2294099.6999999997</v>
      </c>
      <c r="K52" s="112">
        <f t="shared" si="12"/>
        <v>0.99999999999999978</v>
      </c>
      <c r="L52" s="4">
        <f>+L29+L35+L41+L43+L51</f>
        <v>1499702.6</v>
      </c>
      <c r="M52" s="47">
        <f>+L52/$L$22</f>
        <v>1</v>
      </c>
      <c r="N52" s="4">
        <f>+N29+N35+N41+N43+N51</f>
        <v>1020383.5</v>
      </c>
      <c r="O52" s="112">
        <f t="shared" si="13"/>
        <v>0.99999990199764088</v>
      </c>
      <c r="P52" s="4">
        <f>+P29+P35+P41+P43+P51</f>
        <v>557376.78175999993</v>
      </c>
      <c r="Q52" s="112">
        <f t="shared" si="14"/>
        <v>1</v>
      </c>
    </row>
    <row r="55" spans="1:21">
      <c r="A55" s="185" t="s">
        <v>293</v>
      </c>
      <c r="B55"/>
      <c r="C55"/>
      <c r="D55"/>
      <c r="E55"/>
      <c r="F55"/>
      <c r="G55"/>
      <c r="H55"/>
      <c r="I55"/>
      <c r="J55"/>
      <c r="K55"/>
      <c r="L55"/>
      <c r="M55"/>
      <c r="N55"/>
      <c r="O55"/>
      <c r="P55"/>
      <c r="Q55"/>
      <c r="R55"/>
    </row>
    <row r="56" spans="1:21">
      <c r="A56" t="s">
        <v>294</v>
      </c>
      <c r="B56" s="3">
        <f>+socabkvar!B56</f>
        <v>0</v>
      </c>
      <c r="C56"/>
      <c r="D56" s="3">
        <f>+socabkvar!D56</f>
        <v>0</v>
      </c>
      <c r="E56"/>
      <c r="F56" s="3">
        <f>+socabkvar!F56</f>
        <v>0</v>
      </c>
      <c r="G56"/>
      <c r="H56" s="3">
        <f>+socabkvar!H56</f>
        <v>0</v>
      </c>
      <c r="I56"/>
      <c r="J56" s="3">
        <f>+socabkvar!J56</f>
        <v>0</v>
      </c>
      <c r="K56"/>
      <c r="L56" s="3">
        <f>+socabkvar!L56</f>
        <v>0</v>
      </c>
      <c r="M56"/>
      <c r="N56" s="3">
        <f>+socabkvar!N56</f>
        <v>0</v>
      </c>
      <c r="O56"/>
      <c r="P56" s="3">
        <f>+socabkvar!P56</f>
        <v>0</v>
      </c>
      <c r="Q56"/>
      <c r="R56"/>
    </row>
    <row r="57" spans="1:21">
      <c r="A57" t="s">
        <v>295</v>
      </c>
      <c r="B57" s="3">
        <f>+socabkvar!B57</f>
        <v>48625.1</v>
      </c>
      <c r="C57"/>
      <c r="D57" s="3">
        <f>+socabkvar!D57</f>
        <v>0</v>
      </c>
      <c r="E57"/>
      <c r="F57" s="3">
        <f>+socabkvar!F57</f>
        <v>0</v>
      </c>
      <c r="G57"/>
      <c r="H57" s="3">
        <f>+socabkvar!H57</f>
        <v>0</v>
      </c>
      <c r="I57"/>
      <c r="J57" s="3">
        <f>+socabkvar!J57</f>
        <v>108895.3</v>
      </c>
      <c r="K57"/>
      <c r="L57" s="3">
        <f>+socabkvar!L57</f>
        <v>0</v>
      </c>
      <c r="M57"/>
      <c r="N57" s="3">
        <f>+socabkvar!N57</f>
        <v>0</v>
      </c>
      <c r="O57"/>
      <c r="P57" s="3">
        <f>+socabkvar!P57</f>
        <v>0</v>
      </c>
      <c r="Q57"/>
      <c r="R57"/>
    </row>
    <row r="58" spans="1:21">
      <c r="A58" t="s">
        <v>284</v>
      </c>
      <c r="B58" s="3">
        <f>+socabkvar!B58</f>
        <v>77964.2</v>
      </c>
      <c r="C58"/>
      <c r="D58" s="3">
        <f>+socabkvar!D58</f>
        <v>0</v>
      </c>
      <c r="E58"/>
      <c r="F58" s="3">
        <f>+socabkvar!F58</f>
        <v>0</v>
      </c>
      <c r="G58"/>
      <c r="H58" s="3">
        <f>+socabkvar!H58</f>
        <v>0</v>
      </c>
      <c r="I58"/>
      <c r="J58" s="3">
        <f>+socabkvar!J58</f>
        <v>109465.2</v>
      </c>
      <c r="K58"/>
      <c r="L58" s="3">
        <f>+socabkvar!L58</f>
        <v>14382.6</v>
      </c>
      <c r="M58"/>
      <c r="N58" s="3">
        <f>+socabkvar!N58</f>
        <v>81704.899999999994</v>
      </c>
      <c r="O58"/>
      <c r="P58" s="3">
        <f>+socabkvar!P58</f>
        <v>0</v>
      </c>
      <c r="Q58"/>
      <c r="R58"/>
    </row>
    <row r="59" spans="1:21">
      <c r="B59" s="3"/>
      <c r="C59"/>
      <c r="D59" s="3"/>
      <c r="E59"/>
      <c r="F59" s="3"/>
      <c r="G59"/>
      <c r="H59" s="3"/>
      <c r="I59"/>
      <c r="J59" s="3"/>
      <c r="K59"/>
      <c r="L59" s="3"/>
      <c r="M59"/>
      <c r="N59" s="3"/>
      <c r="O59"/>
      <c r="P59" s="3"/>
      <c r="Q59"/>
      <c r="R59"/>
    </row>
    <row r="60" spans="1:21" ht="18.75">
      <c r="A60" s="122" t="s">
        <v>303</v>
      </c>
      <c r="B60" s="3">
        <f>+socabkvar!B60</f>
        <v>1516685.5</v>
      </c>
      <c r="C60"/>
      <c r="D60" s="3">
        <f>+socabkvar!D60</f>
        <v>0</v>
      </c>
      <c r="E60"/>
      <c r="F60" s="3">
        <f>+socabkvar!F60</f>
        <v>0</v>
      </c>
      <c r="G60"/>
      <c r="H60" s="3">
        <f>+socabkvar!H60</f>
        <v>0</v>
      </c>
      <c r="I60"/>
      <c r="J60" s="3">
        <f>+socabkvar!J60</f>
        <v>1265008.2</v>
      </c>
      <c r="K60"/>
      <c r="L60" s="3">
        <f>+socabkvar!L60</f>
        <v>869336.9</v>
      </c>
      <c r="M60"/>
      <c r="N60" s="3">
        <f>+socabkvar!N60</f>
        <v>524069.5</v>
      </c>
      <c r="O60"/>
      <c r="P60" s="3">
        <f>+socabkvar!P60</f>
        <v>288144.3</v>
      </c>
      <c r="Q60"/>
      <c r="R60"/>
    </row>
    <row r="61" spans="1:21">
      <c r="A61" t="s">
        <v>217</v>
      </c>
      <c r="B61" s="3">
        <f>+socabkvar!B61</f>
        <v>32477.5</v>
      </c>
      <c r="C61"/>
      <c r="D61" s="3">
        <f>+socabkvar!D61</f>
        <v>0</v>
      </c>
      <c r="E61"/>
      <c r="F61" s="3">
        <f>+socabkvar!F61</f>
        <v>0</v>
      </c>
      <c r="G61"/>
      <c r="H61" s="3">
        <f>+socabkvar!H61</f>
        <v>0</v>
      </c>
      <c r="I61"/>
      <c r="J61" s="3">
        <f>+socabkvar!J61</f>
        <v>29894.400000000001</v>
      </c>
      <c r="K61"/>
      <c r="L61" s="3">
        <f>+socabkvar!L61</f>
        <v>16868.599999999999</v>
      </c>
      <c r="M61"/>
      <c r="N61" s="3">
        <f>+socabkvar!N61</f>
        <v>7834.1</v>
      </c>
      <c r="O61"/>
      <c r="P61" s="3">
        <f>+socabkvar!P61</f>
        <v>4223.8999999999996</v>
      </c>
      <c r="Q61"/>
      <c r="R61"/>
    </row>
    <row r="62" spans="1:21">
      <c r="A62" t="s">
        <v>297</v>
      </c>
      <c r="B62" s="3">
        <f>+socabkvar!B62</f>
        <v>76651</v>
      </c>
      <c r="C62"/>
      <c r="D62" s="3">
        <f>+socabkvar!D62</f>
        <v>0</v>
      </c>
      <c r="E62"/>
      <c r="F62" s="3">
        <f>+socabkvar!F62</f>
        <v>0</v>
      </c>
      <c r="G62"/>
      <c r="H62" s="3">
        <f>+socabkvar!H62</f>
        <v>0</v>
      </c>
      <c r="I62"/>
      <c r="J62" s="3">
        <f>+socabkvar!J62</f>
        <v>68839</v>
      </c>
      <c r="K62"/>
      <c r="L62" s="3">
        <f>+socabkvar!L62</f>
        <v>67253</v>
      </c>
      <c r="M62"/>
      <c r="N62" s="3">
        <f>+socabkvar!N62</f>
        <v>0</v>
      </c>
      <c r="O62"/>
      <c r="P62" s="3">
        <f>+socabkvar!P62</f>
        <v>0</v>
      </c>
      <c r="Q62"/>
      <c r="R62"/>
    </row>
    <row r="63" spans="1:21">
      <c r="B63"/>
      <c r="C63"/>
      <c r="D63"/>
      <c r="E63"/>
      <c r="F63"/>
      <c r="G63"/>
      <c r="H63"/>
      <c r="I63"/>
      <c r="J63"/>
      <c r="K63"/>
      <c r="L63"/>
      <c r="M63"/>
      <c r="N63"/>
      <c r="O63"/>
      <c r="P63"/>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row r="156" spans="2:18">
      <c r="B156"/>
      <c r="C156"/>
      <c r="D156"/>
      <c r="E156"/>
      <c r="F156"/>
      <c r="G156"/>
      <c r="H156"/>
      <c r="I156"/>
      <c r="J156"/>
      <c r="K156"/>
      <c r="L156"/>
      <c r="M156"/>
      <c r="N156"/>
      <c r="O156"/>
      <c r="P156"/>
      <c r="Q156"/>
      <c r="R156"/>
    </row>
    <row r="157" spans="2:18">
      <c r="B157"/>
      <c r="C157"/>
      <c r="D157"/>
      <c r="E157"/>
      <c r="F157"/>
      <c r="G157"/>
      <c r="H157"/>
      <c r="I157"/>
      <c r="J157"/>
      <c r="K157"/>
      <c r="L157"/>
      <c r="M157"/>
      <c r="N157"/>
      <c r="O157"/>
      <c r="P157"/>
      <c r="Q157"/>
      <c r="R157"/>
    </row>
    <row r="158" spans="2:18">
      <c r="B158"/>
      <c r="C158"/>
      <c r="D158"/>
      <c r="E158"/>
      <c r="F158"/>
      <c r="G158"/>
      <c r="H158"/>
      <c r="I158"/>
      <c r="J158"/>
      <c r="K158"/>
      <c r="L158"/>
      <c r="M158"/>
      <c r="N158"/>
      <c r="O158"/>
      <c r="P158"/>
      <c r="Q158"/>
      <c r="R158"/>
    </row>
  </sheetData>
  <pageMargins left="0.2" right="0.23" top="0.43" bottom="0.62" header="0.27" footer="0.32"/>
  <pageSetup scale="53" orientation="landscape" r:id="rId1"/>
  <headerFooter alignWithMargins="0">
    <oddFooter>&amp;R&amp;P</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1"/>
  <sheetViews>
    <sheetView workbookViewId="0"/>
  </sheetViews>
  <sheetFormatPr defaultRowHeight="15.75"/>
  <cols>
    <col min="1" max="1" width="33.25" customWidth="1"/>
    <col min="2" max="2" width="17.875" style="12" customWidth="1"/>
    <col min="3" max="3" width="15.75" style="13" customWidth="1"/>
    <col min="4" max="4" width="15.75" style="12" customWidth="1"/>
    <col min="5" max="5" width="14.75" style="13" customWidth="1"/>
    <col min="6" max="6" width="11.5" style="12" customWidth="1"/>
    <col min="7" max="7" width="10" style="13" customWidth="1"/>
    <col min="8" max="8" width="18"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638</v>
      </c>
      <c r="B1" s="37"/>
      <c r="C1" s="38"/>
      <c r="D1" s="37"/>
      <c r="E1" s="38"/>
      <c r="F1" s="37"/>
      <c r="G1" s="38"/>
      <c r="H1" s="37"/>
      <c r="I1" s="37"/>
      <c r="J1" s="38"/>
      <c r="K1" s="37"/>
    </row>
    <row r="2" spans="1:15">
      <c r="A2" s="114" t="s">
        <v>305</v>
      </c>
      <c r="B2" s="37"/>
      <c r="C2" s="38"/>
      <c r="D2" s="37"/>
      <c r="E2" s="38"/>
      <c r="F2" s="37"/>
      <c r="G2" s="38"/>
      <c r="H2" s="37"/>
      <c r="I2" s="37"/>
      <c r="J2" s="38"/>
      <c r="K2" s="37"/>
    </row>
    <row r="3" spans="1:15">
      <c r="A3" s="114" t="s">
        <v>306</v>
      </c>
      <c r="B3" s="37"/>
      <c r="C3" s="38"/>
      <c r="D3" s="37"/>
      <c r="E3" s="38"/>
      <c r="F3" s="37"/>
      <c r="G3" s="38"/>
      <c r="H3" s="37"/>
      <c r="I3" s="37"/>
      <c r="J3" s="38"/>
      <c r="K3" s="37"/>
    </row>
    <row r="4" spans="1:15">
      <c r="A4" s="114" t="s">
        <v>179</v>
      </c>
      <c r="B4" s="37"/>
      <c r="C4" s="38"/>
      <c r="D4" s="37"/>
      <c r="E4" s="38"/>
      <c r="F4" s="37"/>
      <c r="G4" s="38"/>
      <c r="H4" s="37"/>
      <c r="I4" s="37"/>
      <c r="J4" s="38"/>
      <c r="K4" s="37"/>
    </row>
    <row r="5" spans="1:15">
      <c r="A5" s="34"/>
      <c r="B5" s="37"/>
      <c r="C5" s="38"/>
      <c r="D5" s="37"/>
      <c r="E5" s="38"/>
      <c r="F5" s="37"/>
      <c r="G5" s="38"/>
      <c r="H5" s="37"/>
      <c r="I5" s="37"/>
      <c r="J5" s="38"/>
    </row>
    <row r="6" spans="1:15">
      <c r="B6" s="238" t="s">
        <v>0</v>
      </c>
      <c r="C6" s="215"/>
      <c r="D6" s="216"/>
    </row>
    <row r="7" spans="1:15" ht="16.5" thickBot="1">
      <c r="B7" s="429" t="s">
        <v>307</v>
      </c>
      <c r="C7" s="38"/>
      <c r="D7" s="37"/>
      <c r="E7" s="38"/>
      <c r="H7" s="377" t="s">
        <v>308</v>
      </c>
      <c r="I7" s="215"/>
      <c r="J7" s="216"/>
      <c r="K7" s="37"/>
    </row>
    <row r="8" spans="1:15" ht="16.5" thickTop="1">
      <c r="A8" s="87" t="s">
        <v>243</v>
      </c>
      <c r="B8" s="402" t="s">
        <v>313</v>
      </c>
      <c r="C8" s="403" t="s">
        <v>310</v>
      </c>
      <c r="D8" s="408" t="s">
        <v>311</v>
      </c>
      <c r="E8" s="407" t="s">
        <v>312</v>
      </c>
      <c r="F8" s="125" t="s">
        <v>0</v>
      </c>
      <c r="G8" s="124" t="s">
        <v>0</v>
      </c>
      <c r="H8" s="402" t="s">
        <v>313</v>
      </c>
      <c r="I8" s="404" t="s">
        <v>310</v>
      </c>
      <c r="J8" s="406" t="s">
        <v>311</v>
      </c>
      <c r="K8" s="407" t="s">
        <v>312</v>
      </c>
      <c r="L8" s="14"/>
      <c r="M8" s="9"/>
      <c r="N8" s="9"/>
      <c r="O8" s="9"/>
    </row>
    <row r="9" spans="1:15">
      <c r="A9" s="1" t="s">
        <v>264</v>
      </c>
      <c r="B9" s="126"/>
      <c r="C9" s="127"/>
      <c r="D9" s="365"/>
      <c r="E9" s="372" t="s">
        <v>0</v>
      </c>
      <c r="H9" s="135"/>
      <c r="I9" s="78"/>
      <c r="J9" s="370" t="s">
        <v>0</v>
      </c>
      <c r="K9" s="372" t="s">
        <v>0</v>
      </c>
    </row>
    <row r="10" spans="1:15">
      <c r="A10" s="1" t="s">
        <v>265</v>
      </c>
      <c r="B10" s="129">
        <v>54888.3</v>
      </c>
      <c r="C10" s="92">
        <v>36234.1</v>
      </c>
      <c r="D10" s="366">
        <f t="shared" ref="D10:D15" si="0">SUM(B10:C10)</f>
        <v>91122.4</v>
      </c>
      <c r="E10" s="373">
        <f>+B10/D10</f>
        <v>0.60235792735924432</v>
      </c>
      <c r="F10" s="88" t="s">
        <v>0</v>
      </c>
      <c r="G10" s="100" t="s">
        <v>0</v>
      </c>
      <c r="H10" s="129">
        <v>25094.799999999999</v>
      </c>
      <c r="I10" s="92">
        <v>34866.6</v>
      </c>
      <c r="J10" s="366">
        <f t="shared" ref="J10:J15" si="1">SUM(H10:I10)</f>
        <v>59961.399999999994</v>
      </c>
      <c r="K10" s="373">
        <f>+H10/J10</f>
        <v>0.41851591190332449</v>
      </c>
    </row>
    <row r="11" spans="1:15">
      <c r="A11" s="1" t="s">
        <v>266</v>
      </c>
      <c r="B11" s="129">
        <v>30502.3</v>
      </c>
      <c r="C11" s="92">
        <v>451597.8</v>
      </c>
      <c r="D11" s="366">
        <f t="shared" si="0"/>
        <v>482100.1</v>
      </c>
      <c r="E11" s="373">
        <f>+B11/D11</f>
        <v>6.3269640475079755E-2</v>
      </c>
      <c r="F11" s="88" t="s">
        <v>0</v>
      </c>
      <c r="G11" s="100" t="s">
        <v>0</v>
      </c>
      <c r="H11" s="129">
        <v>-4587.8</v>
      </c>
      <c r="I11" s="92">
        <v>120538.6</v>
      </c>
      <c r="J11" s="366">
        <f t="shared" si="1"/>
        <v>115950.8</v>
      </c>
      <c r="K11" s="373">
        <f>+H11/J11</f>
        <v>-3.9566781772958873E-2</v>
      </c>
    </row>
    <row r="12" spans="1:15">
      <c r="A12" s="1" t="s">
        <v>641</v>
      </c>
      <c r="B12" s="129">
        <v>72353.899999999994</v>
      </c>
      <c r="C12" s="92">
        <v>0</v>
      </c>
      <c r="D12" s="366">
        <f t="shared" si="0"/>
        <v>72353.899999999994</v>
      </c>
      <c r="E12" s="373">
        <f>+B12/D12</f>
        <v>1</v>
      </c>
      <c r="F12" s="88" t="s">
        <v>0</v>
      </c>
      <c r="G12" s="100" t="s">
        <v>0</v>
      </c>
      <c r="H12" s="129">
        <v>40988.300000000003</v>
      </c>
      <c r="I12" s="92">
        <v>0</v>
      </c>
      <c r="J12" s="366">
        <f t="shared" si="1"/>
        <v>40988.300000000003</v>
      </c>
      <c r="K12" s="373">
        <f>+H12/J12</f>
        <v>1</v>
      </c>
    </row>
    <row r="13" spans="1:15">
      <c r="A13" s="1" t="s">
        <v>642</v>
      </c>
      <c r="B13" s="129">
        <v>0</v>
      </c>
      <c r="C13" s="92">
        <v>2781.6</v>
      </c>
      <c r="D13" s="366">
        <f t="shared" si="0"/>
        <v>2781.6</v>
      </c>
      <c r="E13" s="136">
        <v>0</v>
      </c>
      <c r="F13" s="88" t="s">
        <v>0</v>
      </c>
      <c r="G13" s="100" t="s">
        <v>0</v>
      </c>
      <c r="H13" s="129">
        <v>0</v>
      </c>
      <c r="I13" s="92">
        <v>5464.9</v>
      </c>
      <c r="J13" s="366">
        <f t="shared" si="1"/>
        <v>5464.9</v>
      </c>
      <c r="K13" s="136">
        <v>0</v>
      </c>
    </row>
    <row r="14" spans="1:15" ht="18">
      <c r="A14" s="1" t="s">
        <v>269</v>
      </c>
      <c r="B14" s="130">
        <v>38337.800000000003</v>
      </c>
      <c r="C14" s="137">
        <v>32248.7</v>
      </c>
      <c r="D14" s="367">
        <f t="shared" si="0"/>
        <v>70586.5</v>
      </c>
      <c r="E14" s="373">
        <f>+B14/D14</f>
        <v>0.54313218533288943</v>
      </c>
      <c r="F14" s="88" t="s">
        <v>0</v>
      </c>
      <c r="G14" s="100" t="s">
        <v>0</v>
      </c>
      <c r="H14" s="130">
        <f>17702.4+58685.7</f>
        <v>76388.100000000006</v>
      </c>
      <c r="I14" s="137">
        <v>34195</v>
      </c>
      <c r="J14" s="367">
        <f t="shared" si="1"/>
        <v>110583.1</v>
      </c>
      <c r="K14" s="373">
        <f>+H14/J14</f>
        <v>0.69077553441710349</v>
      </c>
    </row>
    <row r="15" spans="1:15" ht="15.6" customHeight="1">
      <c r="A15" s="1"/>
      <c r="B15" s="129">
        <f>SUM(B10:B14)</f>
        <v>196082.3</v>
      </c>
      <c r="C15" s="92">
        <f>SUM(C10:C14)</f>
        <v>522862.19999999995</v>
      </c>
      <c r="D15" s="366">
        <f t="shared" si="0"/>
        <v>718944.5</v>
      </c>
      <c r="E15" s="948">
        <f>+B15/D15</f>
        <v>0.27273635169335042</v>
      </c>
      <c r="F15" s="88" t="s">
        <v>0</v>
      </c>
      <c r="G15" s="100" t="s">
        <v>0</v>
      </c>
      <c r="H15" s="129">
        <f>SUM(H10:H14)</f>
        <v>137883.40000000002</v>
      </c>
      <c r="I15" s="92">
        <f>SUM(I10:I14)</f>
        <v>195065.1</v>
      </c>
      <c r="J15" s="366">
        <f t="shared" si="1"/>
        <v>332948.5</v>
      </c>
      <c r="K15" s="373">
        <f>+H15/J15</f>
        <v>0.41412831113520565</v>
      </c>
    </row>
    <row r="16" spans="1:15" ht="7.9" customHeight="1">
      <c r="A16" s="1"/>
      <c r="B16" s="129"/>
      <c r="C16" s="93" t="s">
        <v>0</v>
      </c>
      <c r="D16" s="366"/>
      <c r="E16" s="373" t="s">
        <v>0</v>
      </c>
      <c r="F16" s="88"/>
      <c r="G16" s="100" t="s">
        <v>0</v>
      </c>
      <c r="H16" s="129"/>
      <c r="I16" s="93" t="s">
        <v>0</v>
      </c>
      <c r="J16" s="371" t="s">
        <v>0</v>
      </c>
      <c r="K16" s="373" t="s">
        <v>0</v>
      </c>
    </row>
    <row r="17" spans="1:11" ht="15.6" customHeight="1">
      <c r="A17" s="1" t="s">
        <v>270</v>
      </c>
      <c r="B17" s="129">
        <v>0</v>
      </c>
      <c r="C17" s="92">
        <v>50000</v>
      </c>
      <c r="D17" s="366">
        <f t="shared" ref="D17:D22" si="2">SUM(B17:C17)</f>
        <v>50000</v>
      </c>
      <c r="E17" s="136">
        <v>0</v>
      </c>
      <c r="F17"/>
      <c r="G17"/>
      <c r="H17" s="129">
        <v>0</v>
      </c>
      <c r="I17" s="92">
        <v>490000</v>
      </c>
      <c r="J17" s="366">
        <f t="shared" ref="J17:J22" si="3">SUM(H17:I17)</f>
        <v>490000</v>
      </c>
      <c r="K17" s="136">
        <v>0</v>
      </c>
    </row>
    <row r="18" spans="1:11">
      <c r="A18" s="1" t="s">
        <v>271</v>
      </c>
      <c r="B18" s="129">
        <v>105237.8</v>
      </c>
      <c r="C18" s="92">
        <v>4139.1000000000004</v>
      </c>
      <c r="D18" s="366">
        <f t="shared" si="2"/>
        <v>109376.90000000001</v>
      </c>
      <c r="E18" s="136">
        <f>+B18/D18</f>
        <v>0.96215745737902603</v>
      </c>
      <c r="F18"/>
      <c r="G18"/>
      <c r="H18" s="129">
        <v>116782.3</v>
      </c>
      <c r="I18" s="92">
        <v>4061.5</v>
      </c>
      <c r="J18" s="366">
        <f t="shared" si="3"/>
        <v>120843.8</v>
      </c>
      <c r="K18" s="136">
        <f>+H18/J18</f>
        <v>0.96639049748518335</v>
      </c>
    </row>
    <row r="19" spans="1:11">
      <c r="A19" s="1" t="s">
        <v>314</v>
      </c>
      <c r="B19" s="129">
        <v>749233.5</v>
      </c>
      <c r="C19" s="92">
        <v>734974.5</v>
      </c>
      <c r="D19" s="366">
        <f t="shared" si="2"/>
        <v>1484208</v>
      </c>
      <c r="E19" s="428">
        <f>+B19/D19</f>
        <v>0.50480357200608006</v>
      </c>
      <c r="F19"/>
      <c r="G19"/>
      <c r="H19" s="129">
        <v>611404.9</v>
      </c>
      <c r="I19" s="92">
        <v>623708.9</v>
      </c>
      <c r="J19" s="366">
        <f t="shared" si="3"/>
        <v>1235113.8</v>
      </c>
      <c r="K19" s="373">
        <f>+H19/J19</f>
        <v>0.49501908245215948</v>
      </c>
    </row>
    <row r="20" spans="1:11">
      <c r="A20" s="1" t="s">
        <v>273</v>
      </c>
      <c r="B20" s="129">
        <v>0</v>
      </c>
      <c r="C20" s="92">
        <v>72823.399999999994</v>
      </c>
      <c r="D20" s="366">
        <f t="shared" si="2"/>
        <v>72823.399999999994</v>
      </c>
      <c r="E20" s="136">
        <v>0</v>
      </c>
      <c r="F20"/>
      <c r="G20"/>
      <c r="H20" s="129">
        <v>0</v>
      </c>
      <c r="I20" s="92">
        <v>65168.6</v>
      </c>
      <c r="J20" s="366">
        <f t="shared" si="3"/>
        <v>65168.6</v>
      </c>
      <c r="K20" s="136">
        <v>0</v>
      </c>
    </row>
    <row r="21" spans="1:11" ht="18">
      <c r="A21" s="1" t="s">
        <v>274</v>
      </c>
      <c r="B21" s="130">
        <v>16285.6</v>
      </c>
      <c r="C21" s="137">
        <v>68979.3</v>
      </c>
      <c r="D21" s="367">
        <f t="shared" si="2"/>
        <v>85264.900000000009</v>
      </c>
      <c r="E21" s="373">
        <f>+B21/D21</f>
        <v>0.19100004808543725</v>
      </c>
      <c r="F21"/>
      <c r="G21"/>
      <c r="H21" s="130">
        <v>12284.1</v>
      </c>
      <c r="I21" s="137">
        <v>37740.9</v>
      </c>
      <c r="J21" s="367">
        <f t="shared" si="3"/>
        <v>50025</v>
      </c>
      <c r="K21" s="373">
        <f>+H21/J21</f>
        <v>0.2455592203898051</v>
      </c>
    </row>
    <row r="22" spans="1:11">
      <c r="A22" s="1" t="s">
        <v>275</v>
      </c>
      <c r="B22" s="132">
        <f>SUM(B15:B21)</f>
        <v>1066839.2000000002</v>
      </c>
      <c r="C22" s="95">
        <f>SUM(C15:C21)</f>
        <v>1453778.4999999998</v>
      </c>
      <c r="D22" s="368">
        <f t="shared" si="2"/>
        <v>2520617.7000000002</v>
      </c>
      <c r="E22" s="431">
        <f>+B22/D22</f>
        <v>0.42324514344241893</v>
      </c>
      <c r="F22"/>
      <c r="G22"/>
      <c r="H22" s="132">
        <f>SUM(H15:H21)</f>
        <v>878354.70000000007</v>
      </c>
      <c r="I22" s="95">
        <f>SUM(I15:I21)</f>
        <v>1415745</v>
      </c>
      <c r="J22" s="368">
        <f t="shared" si="3"/>
        <v>2294099.7000000002</v>
      </c>
      <c r="K22" s="431">
        <f>+H22/J22</f>
        <v>0.38287555680339436</v>
      </c>
    </row>
    <row r="23" spans="1:11" ht="7.9" customHeight="1">
      <c r="A23" s="1"/>
      <c r="B23" s="129"/>
      <c r="C23" s="93" t="s">
        <v>0</v>
      </c>
      <c r="D23" s="366"/>
      <c r="E23" s="373" t="s">
        <v>0</v>
      </c>
      <c r="F23"/>
      <c r="G23"/>
      <c r="H23" s="129"/>
      <c r="I23" s="93" t="s">
        <v>0</v>
      </c>
      <c r="J23" s="371" t="s">
        <v>0</v>
      </c>
      <c r="K23" s="373" t="s">
        <v>0</v>
      </c>
    </row>
    <row r="24" spans="1:11">
      <c r="A24" s="87" t="s">
        <v>276</v>
      </c>
      <c r="B24" s="129"/>
      <c r="C24" s="93" t="s">
        <v>0</v>
      </c>
      <c r="D24" s="366"/>
      <c r="E24" s="373" t="s">
        <v>0</v>
      </c>
      <c r="F24"/>
      <c r="G24"/>
      <c r="H24" s="129"/>
      <c r="I24" s="93" t="s">
        <v>0</v>
      </c>
      <c r="J24" s="371" t="s">
        <v>0</v>
      </c>
      <c r="K24" s="373" t="s">
        <v>0</v>
      </c>
    </row>
    <row r="25" spans="1:11">
      <c r="A25" s="1" t="s">
        <v>277</v>
      </c>
      <c r="B25" s="129"/>
      <c r="C25" s="93" t="s">
        <v>0</v>
      </c>
      <c r="D25" s="366"/>
      <c r="E25" s="373" t="s">
        <v>0</v>
      </c>
      <c r="F25"/>
      <c r="G25"/>
      <c r="H25" s="129"/>
      <c r="I25" s="93" t="s">
        <v>0</v>
      </c>
      <c r="J25" s="371" t="s">
        <v>0</v>
      </c>
      <c r="K25" s="373" t="s">
        <v>0</v>
      </c>
    </row>
    <row r="26" spans="1:11">
      <c r="A26" s="1" t="s">
        <v>456</v>
      </c>
      <c r="B26" s="129">
        <v>183204.2</v>
      </c>
      <c r="C26" s="92">
        <v>215629.6</v>
      </c>
      <c r="D26" s="366">
        <f>SUM(B26:C26)</f>
        <v>398833.80000000005</v>
      </c>
      <c r="E26" s="373">
        <f>+B26/D26</f>
        <v>0.45934973414991404</v>
      </c>
      <c r="F26"/>
      <c r="G26"/>
      <c r="H26" s="129">
        <v>54114.9</v>
      </c>
      <c r="I26" s="92">
        <v>131428</v>
      </c>
      <c r="J26" s="366">
        <f>SUM(H26:I26)</f>
        <v>185542.9</v>
      </c>
      <c r="K26" s="373">
        <f>+H26/J26</f>
        <v>0.29165707768931071</v>
      </c>
    </row>
    <row r="27" spans="1:11">
      <c r="A27" s="1" t="s">
        <v>279</v>
      </c>
      <c r="B27" s="129">
        <v>244534.2</v>
      </c>
      <c r="C27" s="92">
        <v>302798.59999999998</v>
      </c>
      <c r="D27" s="366">
        <f>SUM(B27:C27)</f>
        <v>547332.80000000005</v>
      </c>
      <c r="E27" s="373">
        <f>+B27/D27</f>
        <v>0.44677424777027797</v>
      </c>
      <c r="F27"/>
      <c r="G27"/>
      <c r="H27" s="129">
        <v>217776.7</v>
      </c>
      <c r="I27" s="92">
        <v>279760.09999999998</v>
      </c>
      <c r="J27" s="366">
        <f>SUM(H27:I27)</f>
        <v>497536.8</v>
      </c>
      <c r="K27" s="373">
        <f>+H27/J27</f>
        <v>0.43770973322978324</v>
      </c>
    </row>
    <row r="28" spans="1:11" ht="18">
      <c r="A28" s="1" t="s">
        <v>280</v>
      </c>
      <c r="B28" s="130">
        <v>609384.80000000005</v>
      </c>
      <c r="C28" s="137">
        <v>728503.4</v>
      </c>
      <c r="D28" s="367">
        <f>SUM(B28:C28)</f>
        <v>1337888.2000000002</v>
      </c>
      <c r="E28" s="373">
        <f>+B28/D28</f>
        <v>0.45548260310540145</v>
      </c>
      <c r="F28"/>
      <c r="G28"/>
      <c r="H28" s="130">
        <v>547401.1</v>
      </c>
      <c r="I28" s="137">
        <v>786797</v>
      </c>
      <c r="J28" s="367">
        <f>SUM(H28:I28)</f>
        <v>1334198.1000000001</v>
      </c>
      <c r="K28" s="373">
        <f>+H28/J28</f>
        <v>0.4102847245847524</v>
      </c>
    </row>
    <row r="29" spans="1:11">
      <c r="A29" s="1"/>
      <c r="B29" s="129">
        <f>SUM(B26:B28)</f>
        <v>1037123.2000000001</v>
      </c>
      <c r="C29" s="92">
        <f>SUM(C26:C28)</f>
        <v>1246931.6000000001</v>
      </c>
      <c r="D29" s="366">
        <f>SUM(B29:C29)</f>
        <v>2284054.8000000003</v>
      </c>
      <c r="E29" s="373">
        <f>+B29/D29</f>
        <v>0.45407106694637972</v>
      </c>
      <c r="F29"/>
      <c r="G29"/>
      <c r="H29" s="129">
        <f>SUM(H26:H28)</f>
        <v>819292.7</v>
      </c>
      <c r="I29" s="92">
        <f>SUM(I26:I28)</f>
        <v>1197985.1000000001</v>
      </c>
      <c r="J29" s="366">
        <f>SUM(H29:I29)</f>
        <v>2017277.8</v>
      </c>
      <c r="K29" s="373">
        <f>+H29/J29</f>
        <v>0.40613776644942007</v>
      </c>
    </row>
    <row r="30" spans="1:11" ht="7.9" customHeight="1">
      <c r="A30" s="1"/>
      <c r="B30" s="129"/>
      <c r="C30" s="93" t="s">
        <v>0</v>
      </c>
      <c r="D30" s="366"/>
      <c r="E30" s="373" t="s">
        <v>0</v>
      </c>
      <c r="F30"/>
      <c r="G30"/>
      <c r="H30" s="129"/>
      <c r="I30" s="93" t="s">
        <v>0</v>
      </c>
      <c r="J30" s="371" t="s">
        <v>0</v>
      </c>
      <c r="K30" s="373" t="s">
        <v>0</v>
      </c>
    </row>
    <row r="31" spans="1:11">
      <c r="A31" s="1" t="s">
        <v>281</v>
      </c>
      <c r="B31" s="129"/>
      <c r="C31" s="93" t="s">
        <v>0</v>
      </c>
      <c r="D31" s="366"/>
      <c r="E31" s="373" t="s">
        <v>0</v>
      </c>
      <c r="F31"/>
      <c r="G31"/>
      <c r="H31" s="129"/>
      <c r="I31" s="93" t="s">
        <v>0</v>
      </c>
      <c r="J31" s="371" t="s">
        <v>0</v>
      </c>
      <c r="K31" s="373" t="s">
        <v>0</v>
      </c>
    </row>
    <row r="32" spans="1:11">
      <c r="A32" s="1" t="s">
        <v>282</v>
      </c>
      <c r="B32" s="129">
        <v>0</v>
      </c>
      <c r="C32" s="92">
        <v>0</v>
      </c>
      <c r="D32" s="366">
        <f>SUM(B32:C32)</f>
        <v>0</v>
      </c>
      <c r="E32" s="136">
        <v>0</v>
      </c>
      <c r="F32"/>
      <c r="G32"/>
      <c r="H32" s="129">
        <v>0</v>
      </c>
      <c r="I32" s="92">
        <v>0</v>
      </c>
      <c r="J32" s="366">
        <f>SUM(H32:I32)</f>
        <v>0</v>
      </c>
      <c r="K32" s="136">
        <v>0</v>
      </c>
    </row>
    <row r="33" spans="1:15">
      <c r="A33" s="1" t="s">
        <v>283</v>
      </c>
      <c r="B33" s="129">
        <v>0</v>
      </c>
      <c r="C33" s="92">
        <v>0</v>
      </c>
      <c r="D33" s="366">
        <f>SUM(B33:C33)</f>
        <v>0</v>
      </c>
      <c r="E33" s="136">
        <v>0</v>
      </c>
      <c r="F33"/>
      <c r="G33"/>
      <c r="H33" s="129">
        <v>0</v>
      </c>
      <c r="I33" s="92">
        <v>0</v>
      </c>
      <c r="J33" s="366">
        <f>SUM(H33:I33)</f>
        <v>0</v>
      </c>
      <c r="K33" s="136">
        <v>0</v>
      </c>
    </row>
    <row r="34" spans="1:15" ht="18">
      <c r="A34" s="1" t="s">
        <v>284</v>
      </c>
      <c r="B34" s="130">
        <v>20795.400000000001</v>
      </c>
      <c r="C34" s="137">
        <v>92812.2</v>
      </c>
      <c r="D34" s="367">
        <f>SUM(B34:C34)</f>
        <v>113607.6</v>
      </c>
      <c r="E34" s="373">
        <f>+B34/D34</f>
        <v>0.18304585256620157</v>
      </c>
      <c r="F34"/>
      <c r="G34"/>
      <c r="H34" s="130">
        <v>54353.2</v>
      </c>
      <c r="I34" s="137">
        <v>91410.3</v>
      </c>
      <c r="J34" s="367">
        <f>SUM(H34:I34)</f>
        <v>145763.5</v>
      </c>
      <c r="K34" s="373">
        <f>+H34/J34</f>
        <v>0.37288621637103936</v>
      </c>
      <c r="L34" s="6"/>
      <c r="M34" s="7"/>
      <c r="N34" s="7"/>
      <c r="O34" s="7"/>
    </row>
    <row r="35" spans="1:15">
      <c r="A35" s="1"/>
      <c r="B35" s="129">
        <f>SUM(B32:B34)</f>
        <v>20795.400000000001</v>
      </c>
      <c r="C35" s="92">
        <f>SUM(C32:C34)</f>
        <v>92812.2</v>
      </c>
      <c r="D35" s="366">
        <f>SUM(B35:C35)</f>
        <v>113607.6</v>
      </c>
      <c r="E35" s="373">
        <f>+B35/D35</f>
        <v>0.18304585256620157</v>
      </c>
      <c r="F35"/>
      <c r="G35"/>
      <c r="H35" s="129">
        <f>SUM(H32:H34)</f>
        <v>54353.2</v>
      </c>
      <c r="I35" s="92">
        <f>SUM(I32:I34)</f>
        <v>91410.3</v>
      </c>
      <c r="J35" s="366">
        <f>SUM(H35:I35)</f>
        <v>145763.5</v>
      </c>
      <c r="K35" s="373">
        <f>+H35/J35</f>
        <v>0.37288621637103936</v>
      </c>
    </row>
    <row r="36" spans="1:15" ht="7.15" customHeight="1">
      <c r="A36" s="1"/>
      <c r="B36" s="129"/>
      <c r="C36" s="93" t="s">
        <v>0</v>
      </c>
      <c r="D36" s="366"/>
      <c r="E36" s="373" t="s">
        <v>275</v>
      </c>
      <c r="F36"/>
      <c r="G36"/>
      <c r="H36" s="129"/>
      <c r="I36" s="93" t="s">
        <v>0</v>
      </c>
      <c r="J36" s="371" t="s">
        <v>0</v>
      </c>
      <c r="K36" s="373" t="s">
        <v>275</v>
      </c>
    </row>
    <row r="37" spans="1:15">
      <c r="A37" s="1" t="s">
        <v>285</v>
      </c>
      <c r="B37" s="129"/>
      <c r="C37" s="93" t="s">
        <v>0</v>
      </c>
      <c r="D37" s="366"/>
      <c r="E37" s="373" t="s">
        <v>0</v>
      </c>
      <c r="F37"/>
      <c r="G37"/>
      <c r="H37" s="129"/>
      <c r="I37" s="93" t="s">
        <v>0</v>
      </c>
      <c r="J37" s="366" t="s">
        <v>0</v>
      </c>
      <c r="K37" s="373" t="s">
        <v>0</v>
      </c>
    </row>
    <row r="38" spans="1:15">
      <c r="A38" s="1" t="s">
        <v>282</v>
      </c>
      <c r="B38" s="129">
        <v>0</v>
      </c>
      <c r="C38" s="92">
        <v>0</v>
      </c>
      <c r="D38" s="366">
        <f>SUM(B38:C38)</f>
        <v>0</v>
      </c>
      <c r="E38" s="136">
        <v>0</v>
      </c>
      <c r="F38"/>
      <c r="G38"/>
      <c r="H38" s="129">
        <v>16941.099999999999</v>
      </c>
      <c r="I38" s="92">
        <v>0</v>
      </c>
      <c r="J38" s="366">
        <f>SUM(H38:I38)</f>
        <v>16941.099999999999</v>
      </c>
      <c r="K38" s="136">
        <v>0</v>
      </c>
    </row>
    <row r="39" spans="1:15">
      <c r="A39" s="1" t="s">
        <v>286</v>
      </c>
      <c r="B39" s="129">
        <v>0</v>
      </c>
      <c r="C39" s="92">
        <v>0</v>
      </c>
      <c r="D39" s="366">
        <f>SUM(B39:C39)</f>
        <v>0</v>
      </c>
      <c r="E39" s="136">
        <v>0</v>
      </c>
      <c r="F39"/>
      <c r="G39"/>
      <c r="H39" s="129">
        <v>0</v>
      </c>
      <c r="I39" s="92">
        <v>0</v>
      </c>
      <c r="J39" s="366">
        <f>SUM(H39:I39)</f>
        <v>0</v>
      </c>
      <c r="K39" s="136">
        <v>0</v>
      </c>
    </row>
    <row r="40" spans="1:15" ht="18">
      <c r="A40" s="1" t="s">
        <v>284</v>
      </c>
      <c r="B40" s="130">
        <v>0</v>
      </c>
      <c r="C40" s="137">
        <v>0</v>
      </c>
      <c r="D40" s="367">
        <f>SUM(B40:C40)</f>
        <v>0</v>
      </c>
      <c r="E40" s="136">
        <v>0</v>
      </c>
      <c r="F40"/>
      <c r="G40"/>
      <c r="H40" s="130">
        <v>0</v>
      </c>
      <c r="I40" s="137">
        <v>0</v>
      </c>
      <c r="J40" s="367">
        <f>SUM(H40:I40)</f>
        <v>0</v>
      </c>
      <c r="K40" s="136">
        <v>0</v>
      </c>
    </row>
    <row r="41" spans="1:15">
      <c r="A41" s="1"/>
      <c r="B41" s="129">
        <f>SUM(B38:B40)</f>
        <v>0</v>
      </c>
      <c r="C41" s="92">
        <f>SUM(C38:C40)</f>
        <v>0</v>
      </c>
      <c r="D41" s="366">
        <f>SUM(B41:C41)</f>
        <v>0</v>
      </c>
      <c r="E41" s="136">
        <v>0</v>
      </c>
      <c r="F41"/>
      <c r="G41"/>
      <c r="H41" s="129">
        <f>SUM(H38:H40)</f>
        <v>16941.099999999999</v>
      </c>
      <c r="I41" s="92">
        <f>SUM(I38:I40)</f>
        <v>0</v>
      </c>
      <c r="J41" s="366">
        <f>SUM(H41:I41)</f>
        <v>16941.099999999999</v>
      </c>
      <c r="K41" s="136">
        <v>0</v>
      </c>
    </row>
    <row r="42" spans="1:15" ht="8.4499999999999993" customHeight="1">
      <c r="A42" s="1"/>
      <c r="B42" s="129"/>
      <c r="C42" s="93" t="s">
        <v>0</v>
      </c>
      <c r="D42" s="366"/>
      <c r="E42" s="373" t="s">
        <v>0</v>
      </c>
      <c r="F42"/>
      <c r="G42"/>
      <c r="H42" s="129"/>
      <c r="I42" s="93" t="s">
        <v>0</v>
      </c>
      <c r="J42" s="371" t="s">
        <v>0</v>
      </c>
      <c r="K42" s="373" t="s">
        <v>0</v>
      </c>
    </row>
    <row r="43" spans="1:15" ht="18">
      <c r="A43" s="1" t="s">
        <v>287</v>
      </c>
      <c r="B43" s="130">
        <v>0</v>
      </c>
      <c r="C43" s="131">
        <v>0</v>
      </c>
      <c r="D43" s="367">
        <f>SUM(B43:C43)</f>
        <v>0</v>
      </c>
      <c r="E43" s="136">
        <v>0</v>
      </c>
      <c r="F43"/>
      <c r="G43"/>
      <c r="H43" s="130">
        <v>0</v>
      </c>
      <c r="I43" s="131">
        <v>0</v>
      </c>
      <c r="J43" s="367">
        <f>SUM(H43:I43)</f>
        <v>0</v>
      </c>
      <c r="K43" s="136">
        <v>0</v>
      </c>
      <c r="L43" s="6"/>
    </row>
    <row r="44" spans="1:15">
      <c r="A44" s="1"/>
      <c r="B44" s="129">
        <f>+B29+B35+B41+B43</f>
        <v>1057918.6000000001</v>
      </c>
      <c r="C44" s="92">
        <f>+C29+C35+C41+C43</f>
        <v>1339743.8</v>
      </c>
      <c r="D44" s="366">
        <f>SUM(B44:C44)</f>
        <v>2397662.4000000004</v>
      </c>
      <c r="E44" s="373">
        <f>+B44/D44</f>
        <v>0.44122917388202776</v>
      </c>
      <c r="F44"/>
      <c r="G44"/>
      <c r="H44" s="129">
        <f>+H29+H35+H41+H43</f>
        <v>890586.99999999988</v>
      </c>
      <c r="I44" s="92">
        <f>+I29+I35+I41+I43</f>
        <v>1289395.4000000001</v>
      </c>
      <c r="J44" s="366">
        <f>SUM(H44:I44)</f>
        <v>2179982.4</v>
      </c>
      <c r="K44" s="373">
        <f>+H44/J44</f>
        <v>0.40852944500836336</v>
      </c>
    </row>
    <row r="45" spans="1:15" ht="8.4499999999999993" customHeight="1">
      <c r="A45" s="1"/>
      <c r="B45" s="129"/>
      <c r="C45" s="93" t="s">
        <v>0</v>
      </c>
      <c r="D45" s="366"/>
      <c r="E45" s="373" t="s">
        <v>0</v>
      </c>
      <c r="F45"/>
      <c r="G45"/>
      <c r="H45" s="129"/>
      <c r="I45" s="93" t="s">
        <v>0</v>
      </c>
      <c r="J45" s="371" t="s">
        <v>0</v>
      </c>
      <c r="K45" s="373" t="s">
        <v>0</v>
      </c>
    </row>
    <row r="46" spans="1:15">
      <c r="A46" s="87" t="s">
        <v>288</v>
      </c>
      <c r="B46" s="129"/>
      <c r="C46" s="93" t="s">
        <v>0</v>
      </c>
      <c r="D46" s="366"/>
      <c r="E46" s="373" t="s">
        <v>0</v>
      </c>
      <c r="F46"/>
      <c r="G46"/>
      <c r="H46" s="129"/>
      <c r="I46" s="93" t="s">
        <v>0</v>
      </c>
      <c r="J46" s="371" t="s">
        <v>0</v>
      </c>
      <c r="K46" s="373" t="s">
        <v>0</v>
      </c>
    </row>
    <row r="47" spans="1:15">
      <c r="A47" s="1" t="s">
        <v>289</v>
      </c>
      <c r="B47" s="129">
        <v>0</v>
      </c>
      <c r="C47" s="92">
        <v>93083.4</v>
      </c>
      <c r="D47" s="366">
        <f>SUM(B47:C47)</f>
        <v>93083.4</v>
      </c>
      <c r="E47" s="136">
        <f>+B47/D47</f>
        <v>0</v>
      </c>
      <c r="F47"/>
      <c r="G47"/>
      <c r="H47" s="129">
        <v>0</v>
      </c>
      <c r="I47" s="92">
        <v>91659.8</v>
      </c>
      <c r="J47" s="366">
        <f>SUM(H47:I47)</f>
        <v>91659.8</v>
      </c>
      <c r="K47" s="136">
        <f>+H47/J47</f>
        <v>0</v>
      </c>
    </row>
    <row r="48" spans="1:15">
      <c r="A48" s="1" t="s">
        <v>290</v>
      </c>
      <c r="B48" s="129">
        <v>0</v>
      </c>
      <c r="C48" s="92">
        <v>5168.7</v>
      </c>
      <c r="D48" s="366">
        <f>SUM(B48:C48)</f>
        <v>5168.7</v>
      </c>
      <c r="E48" s="136">
        <v>0</v>
      </c>
      <c r="F48"/>
      <c r="G48"/>
      <c r="H48" s="129">
        <v>0</v>
      </c>
      <c r="I48" s="92">
        <v>3568.7</v>
      </c>
      <c r="J48" s="366">
        <f>SUM(H48:I48)</f>
        <v>3568.7</v>
      </c>
      <c r="K48" s="136">
        <v>0</v>
      </c>
    </row>
    <row r="49" spans="1:15">
      <c r="A49" s="1" t="s">
        <v>302</v>
      </c>
      <c r="B49" s="129">
        <v>0</v>
      </c>
      <c r="C49" s="92">
        <v>68.400000000000006</v>
      </c>
      <c r="D49" s="366">
        <f>SUM(B49:C49)</f>
        <v>68.400000000000006</v>
      </c>
      <c r="E49" s="136">
        <v>0</v>
      </c>
      <c r="F49"/>
      <c r="G49"/>
      <c r="H49" s="129">
        <v>0</v>
      </c>
      <c r="I49" s="92">
        <v>65.900000000000006</v>
      </c>
      <c r="J49" s="366">
        <f>SUM(H49:I49)</f>
        <v>65.900000000000006</v>
      </c>
      <c r="K49" s="136">
        <v>0</v>
      </c>
    </row>
    <row r="50" spans="1:15" ht="18">
      <c r="A50" s="1" t="s">
        <v>292</v>
      </c>
      <c r="B50" s="130">
        <v>0</v>
      </c>
      <c r="C50" s="137">
        <v>24634.799999999999</v>
      </c>
      <c r="D50" s="367">
        <f>SUM(B50:C50)</f>
        <v>24634.799999999999</v>
      </c>
      <c r="E50" s="136">
        <v>0</v>
      </c>
      <c r="F50"/>
      <c r="G50"/>
      <c r="H50" s="130">
        <v>0</v>
      </c>
      <c r="I50" s="137">
        <v>18822.900000000001</v>
      </c>
      <c r="J50" s="367">
        <f>SUM(H50:I50)</f>
        <v>18822.900000000001</v>
      </c>
      <c r="K50" s="136">
        <v>0</v>
      </c>
      <c r="L50" s="6"/>
      <c r="M50" s="7"/>
      <c r="N50" s="7"/>
      <c r="O50" s="7"/>
    </row>
    <row r="51" spans="1:15">
      <c r="A51" s="1" t="s">
        <v>275</v>
      </c>
      <c r="B51" s="129">
        <f>SUM(B47:B50)</f>
        <v>0</v>
      </c>
      <c r="C51" s="92">
        <f>SUM(C47:C50)</f>
        <v>122955.29999999999</v>
      </c>
      <c r="D51" s="366">
        <f>SUM(B51:C51)</f>
        <v>122955.29999999999</v>
      </c>
      <c r="E51" s="136">
        <v>0</v>
      </c>
      <c r="F51"/>
      <c r="G51"/>
      <c r="H51" s="129">
        <f>SUM(H47:H50)</f>
        <v>0</v>
      </c>
      <c r="I51" s="92">
        <f>SUM(I47:I50)</f>
        <v>114117.29999999999</v>
      </c>
      <c r="J51" s="366">
        <f>SUM(H51:I51)</f>
        <v>114117.29999999999</v>
      </c>
      <c r="K51" s="373" t="s">
        <v>0</v>
      </c>
    </row>
    <row r="52" spans="1:15">
      <c r="A52" s="1" t="s">
        <v>0</v>
      </c>
      <c r="B52" s="129"/>
      <c r="C52" s="93" t="s">
        <v>0</v>
      </c>
      <c r="D52" s="366"/>
      <c r="E52" s="373" t="s">
        <v>0</v>
      </c>
      <c r="F52"/>
      <c r="G52"/>
      <c r="H52" s="129"/>
      <c r="I52" s="93" t="s">
        <v>0</v>
      </c>
      <c r="J52" s="371" t="s">
        <v>0</v>
      </c>
      <c r="K52" s="373" t="s">
        <v>0</v>
      </c>
    </row>
    <row r="53" spans="1:15" ht="16.5" thickBot="1">
      <c r="A53" s="1" t="s">
        <v>0</v>
      </c>
      <c r="B53" s="133">
        <f>+B29+B35+B41+B43+B51</f>
        <v>1057918.6000000001</v>
      </c>
      <c r="C53" s="134">
        <f>+C29+C35+C41+C43+C51</f>
        <v>1462699.1</v>
      </c>
      <c r="D53" s="369">
        <f>SUM(B53:C53)</f>
        <v>2520617.7000000002</v>
      </c>
      <c r="E53" s="430">
        <f>+B53/D53</f>
        <v>0.41970609029683481</v>
      </c>
      <c r="F53"/>
      <c r="G53"/>
      <c r="H53" s="133">
        <f>+H29+H35+H41+H43+H51</f>
        <v>890586.99999999988</v>
      </c>
      <c r="I53" s="134">
        <f>+I29+I35+I41+I43+I51</f>
        <v>1403512.7000000002</v>
      </c>
      <c r="J53" s="369">
        <f>SUM(H53:I53)</f>
        <v>2294099.7000000002</v>
      </c>
      <c r="K53" s="430">
        <f>+H53/J53</f>
        <v>0.3882076267217156</v>
      </c>
    </row>
    <row r="54" spans="1:15" ht="16.5" thickTop="1">
      <c r="A54" s="1"/>
      <c r="B54" s="95"/>
      <c r="C54" s="95"/>
      <c r="D54" s="384"/>
      <c r="E54" s="261"/>
      <c r="F54"/>
      <c r="G54"/>
      <c r="H54" s="95"/>
      <c r="I54" s="95"/>
      <c r="J54" s="384"/>
      <c r="K54" s="254"/>
    </row>
    <row r="55" spans="1:15">
      <c r="A55" s="1"/>
      <c r="B55" s="91" t="s">
        <v>634</v>
      </c>
      <c r="C55"/>
      <c r="D55" s="91"/>
      <c r="E55" s="100" t="s">
        <v>0</v>
      </c>
      <c r="F55"/>
      <c r="G55"/>
      <c r="H55" s="91" t="s">
        <v>530</v>
      </c>
      <c r="I55"/>
      <c r="J55" s="89" t="s">
        <v>0</v>
      </c>
    </row>
    <row r="56" spans="1:15">
      <c r="C56" s="43"/>
      <c r="E56" s="115" t="s">
        <v>0</v>
      </c>
      <c r="F56"/>
      <c r="G56"/>
      <c r="H56"/>
      <c r="J56" s="43"/>
    </row>
    <row r="57" spans="1:15">
      <c r="A57" s="18" t="s">
        <v>319</v>
      </c>
      <c r="C57" s="43"/>
      <c r="E57" s="115" t="s">
        <v>0</v>
      </c>
      <c r="F57"/>
      <c r="G57"/>
      <c r="H57"/>
      <c r="J57" s="43"/>
    </row>
    <row r="58" spans="1:15">
      <c r="A58" t="s">
        <v>294</v>
      </c>
      <c r="B58" s="12">
        <f>+'socabkcomp '!B56</f>
        <v>0</v>
      </c>
      <c r="C58" s="12">
        <v>0</v>
      </c>
      <c r="D58" s="12">
        <f>+B58+C58</f>
        <v>0</v>
      </c>
      <c r="E58" s="115" t="s">
        <v>0</v>
      </c>
      <c r="F58"/>
      <c r="G58"/>
      <c r="H58" s="3">
        <v>0</v>
      </c>
      <c r="I58" s="12">
        <v>0</v>
      </c>
      <c r="J58" s="12">
        <f>+H58+I58</f>
        <v>0</v>
      </c>
    </row>
    <row r="59" spans="1:15">
      <c r="A59" t="s">
        <v>295</v>
      </c>
      <c r="B59" s="12">
        <f>+'socabkcomp '!B57</f>
        <v>48625.1</v>
      </c>
      <c r="C59" s="12">
        <v>0</v>
      </c>
      <c r="D59" s="12">
        <f>+B59+C59</f>
        <v>48625.1</v>
      </c>
      <c r="E59" s="115" t="s">
        <v>0</v>
      </c>
      <c r="F59"/>
      <c r="G59"/>
      <c r="H59" s="3">
        <v>0</v>
      </c>
      <c r="I59" s="12">
        <v>0</v>
      </c>
      <c r="J59" s="12">
        <f>+H59+I59</f>
        <v>0</v>
      </c>
    </row>
    <row r="60" spans="1:15">
      <c r="A60" t="s">
        <v>284</v>
      </c>
      <c r="B60" s="12">
        <f>76021617.07/1000</f>
        <v>76021.617069999993</v>
      </c>
      <c r="C60" s="12">
        <f>51673645.62/1000</f>
        <v>51673.645619999996</v>
      </c>
      <c r="D60" s="12">
        <f>+B60+C60</f>
        <v>127695.26268999999</v>
      </c>
      <c r="E60" s="115" t="s">
        <v>0</v>
      </c>
      <c r="F60"/>
      <c r="G60"/>
      <c r="H60" s="3">
        <f>70700091.3/1000</f>
        <v>70700.0913</v>
      </c>
      <c r="I60" s="12">
        <f>23929909.13/1000</f>
        <v>23929.90913</v>
      </c>
      <c r="J60" s="12">
        <f>+H60+I60</f>
        <v>94630.00043</v>
      </c>
    </row>
    <row r="61" spans="1:15">
      <c r="C61" s="43"/>
      <c r="E61" s="115" t="s">
        <v>0</v>
      </c>
      <c r="F61"/>
      <c r="G61"/>
      <c r="H61"/>
      <c r="J61" s="43"/>
    </row>
    <row r="62" spans="1:15" ht="18.75">
      <c r="A62" s="122" t="s">
        <v>303</v>
      </c>
      <c r="B62" s="12">
        <f>+'socabkcomp '!B60</f>
        <v>1516685.5</v>
      </c>
      <c r="C62" s="43"/>
      <c r="E62" s="115" t="s">
        <v>0</v>
      </c>
      <c r="F62"/>
      <c r="G62"/>
      <c r="H62" s="41">
        <v>0</v>
      </c>
      <c r="I62" s="43">
        <v>0</v>
      </c>
      <c r="J62" s="12">
        <f>+J19+J63</f>
        <v>1239337.70117</v>
      </c>
    </row>
    <row r="63" spans="1:15">
      <c r="A63" t="s">
        <v>217</v>
      </c>
      <c r="B63" s="12">
        <f>+'socabkcomp '!B61</f>
        <v>32477.5</v>
      </c>
      <c r="C63" s="43"/>
      <c r="E63" s="115" t="s">
        <v>0</v>
      </c>
      <c r="F63"/>
      <c r="G63"/>
      <c r="H63" s="41">
        <v>0</v>
      </c>
      <c r="I63" s="43">
        <v>0</v>
      </c>
      <c r="J63" s="12">
        <f>4223901.17/1000</f>
        <v>4223.9011700000001</v>
      </c>
    </row>
    <row r="64" spans="1:15">
      <c r="A64" t="s">
        <v>320</v>
      </c>
      <c r="B64" s="12">
        <f>+'socabkcomp '!B62</f>
        <v>76651</v>
      </c>
      <c r="C64" s="43"/>
      <c r="E64" s="115" t="s">
        <v>0</v>
      </c>
      <c r="F64"/>
      <c r="G64"/>
      <c r="H64" s="41">
        <v>0</v>
      </c>
      <c r="I64" s="43">
        <v>0</v>
      </c>
      <c r="J64" s="12">
        <v>0</v>
      </c>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sheetData>
  <pageMargins left="0.7" right="0.28999999999999998" top="0.59" bottom="0.62" header="0.34" footer="0.38"/>
  <pageSetup scale="63" orientation="landscape" r:id="rId1"/>
  <headerFooter alignWithMargins="0">
    <oddFooter>&amp;R&amp;P</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21"/>
  <sheetViews>
    <sheetView workbookViewId="0"/>
  </sheetViews>
  <sheetFormatPr defaultRowHeight="15.75"/>
  <cols>
    <col min="1" max="1" width="50" customWidth="1"/>
    <col min="2" max="2" width="15.75" style="27" customWidth="1"/>
    <col min="3" max="3" width="8.7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 style="27" customWidth="1"/>
    <col min="14" max="14" width="15.75" style="27" customWidth="1"/>
    <col min="15" max="15" width="11" style="27" customWidth="1"/>
    <col min="16" max="16" width="15.75" style="27" customWidth="1"/>
    <col min="17" max="17" width="11" style="27" customWidth="1"/>
    <col min="18" max="18" width="15.75" style="27" customWidth="1"/>
    <col min="19" max="19" width="11" style="27" customWidth="1"/>
    <col min="20" max="20" width="17.125" style="27" customWidth="1"/>
    <col min="21" max="21" width="13" style="27" customWidth="1"/>
    <col min="22" max="256" width="11" customWidth="1"/>
  </cols>
  <sheetData>
    <row r="1" spans="1:22">
      <c r="A1" s="114" t="s">
        <v>638</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6" spans="1:22" s="2" customFormat="1" ht="16.5" thickBot="1">
      <c r="B6" s="333" t="s">
        <v>185</v>
      </c>
      <c r="C6" s="413"/>
      <c r="D6" s="413"/>
      <c r="E6" s="413"/>
      <c r="F6" s="413"/>
      <c r="G6" s="413"/>
      <c r="H6" s="413"/>
      <c r="I6" s="401"/>
      <c r="J6" s="333" t="s">
        <v>174</v>
      </c>
      <c r="K6" s="413"/>
      <c r="L6" s="413"/>
      <c r="M6" s="413"/>
      <c r="N6" s="413"/>
      <c r="O6" s="413"/>
      <c r="P6" s="413"/>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7" t="s">
        <v>0</v>
      </c>
      <c r="D9" s="29" t="s">
        <v>0</v>
      </c>
      <c r="E9" s="29" t="s">
        <v>0</v>
      </c>
      <c r="F9" s="29" t="s">
        <v>0</v>
      </c>
      <c r="G9" s="29" t="s">
        <v>0</v>
      </c>
      <c r="H9" s="29" t="s">
        <v>0</v>
      </c>
      <c r="J9" s="16" t="s">
        <v>0</v>
      </c>
      <c r="K9" s="47" t="s">
        <v>0</v>
      </c>
      <c r="L9" s="16" t="s">
        <v>0</v>
      </c>
      <c r="M9" s="47" t="s">
        <v>0</v>
      </c>
      <c r="N9" s="16" t="s">
        <v>0</v>
      </c>
      <c r="O9" s="47" t="s">
        <v>0</v>
      </c>
      <c r="P9" s="16" t="s">
        <v>0</v>
      </c>
    </row>
    <row r="10" spans="1:22">
      <c r="A10" t="s">
        <v>330</v>
      </c>
      <c r="B10" s="12">
        <f>+B50</f>
        <v>52505.1</v>
      </c>
      <c r="C10" s="43">
        <v>0</v>
      </c>
      <c r="D10" s="12">
        <f>+F50</f>
        <v>0</v>
      </c>
      <c r="E10" s="43">
        <v>0</v>
      </c>
      <c r="F10" s="12">
        <f>+J50</f>
        <v>0</v>
      </c>
      <c r="G10" s="43">
        <v>0</v>
      </c>
      <c r="H10" s="12">
        <f>+N50</f>
        <v>0</v>
      </c>
      <c r="J10" s="12">
        <f>+D50</f>
        <v>39785.800000000003</v>
      </c>
      <c r="K10" s="46">
        <f>+(-J10+L10)/ABS(J10)</f>
        <v>8.5533029372289338E-3</v>
      </c>
      <c r="L10" s="12">
        <f>+H50</f>
        <v>40126.100000000006</v>
      </c>
      <c r="M10" s="46">
        <f>+(-L10+N10)/ABS(L10)</f>
        <v>9.213953013126111E-2</v>
      </c>
      <c r="N10" s="12">
        <f>+L50</f>
        <v>43823.3</v>
      </c>
      <c r="O10" s="46">
        <f>+(-N10+P10)/ABS(N10)</f>
        <v>7.2762662784409141E-2</v>
      </c>
      <c r="P10" s="12">
        <f>+P50</f>
        <v>47012</v>
      </c>
    </row>
    <row r="11" spans="1:22">
      <c r="A11" t="s">
        <v>354</v>
      </c>
      <c r="B11" s="12">
        <f>+B51</f>
        <v>4677.3999999999996</v>
      </c>
      <c r="C11" s="43">
        <v>0</v>
      </c>
      <c r="D11" s="12">
        <f>+F51</f>
        <v>0</v>
      </c>
      <c r="E11" s="43">
        <v>0</v>
      </c>
      <c r="F11" s="12">
        <f>+J51</f>
        <v>0</v>
      </c>
      <c r="G11" s="43">
        <v>0</v>
      </c>
      <c r="H11" s="12">
        <f>+N51</f>
        <v>0</v>
      </c>
      <c r="J11" s="12">
        <f>+D51</f>
        <v>3293.1</v>
      </c>
      <c r="K11" s="43">
        <v>0</v>
      </c>
      <c r="L11" s="12">
        <f>+H51</f>
        <v>2307.3000000000002</v>
      </c>
      <c r="M11" s="43">
        <v>0</v>
      </c>
      <c r="N11" s="12">
        <f>+L51</f>
        <v>2752.9</v>
      </c>
      <c r="O11" s="43">
        <v>0</v>
      </c>
      <c r="P11" s="12">
        <f>+P51</f>
        <v>4211</v>
      </c>
    </row>
    <row r="12" spans="1:22">
      <c r="A12" t="s">
        <v>332</v>
      </c>
      <c r="B12" s="240">
        <f>+B52</f>
        <v>1758.5</v>
      </c>
      <c r="C12" s="43">
        <v>0</v>
      </c>
      <c r="D12" s="240">
        <f>+F52</f>
        <v>0</v>
      </c>
      <c r="E12" s="43">
        <v>0</v>
      </c>
      <c r="F12" s="240">
        <f>+J52</f>
        <v>0</v>
      </c>
      <c r="G12" s="43">
        <v>0</v>
      </c>
      <c r="H12" s="240">
        <f>+N52</f>
        <v>0</v>
      </c>
      <c r="J12" s="221">
        <f>+D52</f>
        <v>2120.6000000000004</v>
      </c>
      <c r="K12" s="43">
        <v>0</v>
      </c>
      <c r="L12" s="221">
        <f>+H52</f>
        <v>1726.9</v>
      </c>
      <c r="M12" s="46">
        <f>+(-L12+N12)/ABS(L12)</f>
        <v>-2.9532688632810236E-2</v>
      </c>
      <c r="N12" s="221">
        <f>+L52</f>
        <v>1675.9</v>
      </c>
      <c r="O12" s="46">
        <f>+(-N12+P12)/ABS(N12)</f>
        <v>0.13348051793066415</v>
      </c>
      <c r="P12" s="221">
        <f>+P52</f>
        <v>1899.6000000000001</v>
      </c>
    </row>
    <row r="13" spans="1:22">
      <c r="B13" s="12">
        <f>SUM(B10:B12)</f>
        <v>58941</v>
      </c>
      <c r="C13" s="43">
        <v>0</v>
      </c>
      <c r="D13" s="12">
        <f>SUM(D10:D12)</f>
        <v>0</v>
      </c>
      <c r="E13" s="43">
        <v>0</v>
      </c>
      <c r="F13" s="12">
        <f>SUM(F10:F12)</f>
        <v>0</v>
      </c>
      <c r="G13" s="43">
        <v>0</v>
      </c>
      <c r="H13" s="12">
        <f>SUM(H10:H12)</f>
        <v>0</v>
      </c>
      <c r="J13" s="12">
        <f>SUM(J10:J12)</f>
        <v>45199.5</v>
      </c>
      <c r="K13" s="46">
        <f>+(-J13+L13)/ABS(J13)</f>
        <v>-2.2991404772176458E-2</v>
      </c>
      <c r="L13" s="12">
        <f>SUM(L10:L12)</f>
        <v>44160.30000000001</v>
      </c>
      <c r="M13" s="46">
        <f>+(-L13+N13)/ABS(L13)</f>
        <v>9.2657885023425895E-2</v>
      </c>
      <c r="N13" s="12">
        <f>SUM(N10:N12)</f>
        <v>48252.100000000006</v>
      </c>
      <c r="O13" s="46">
        <f>+(-N13+P13)/ABS(N13)</f>
        <v>0.1009386119982341</v>
      </c>
      <c r="P13" s="12">
        <f>SUM(P10:P12)</f>
        <v>53122.6</v>
      </c>
    </row>
    <row r="14" spans="1:22">
      <c r="A14" t="s">
        <v>333</v>
      </c>
      <c r="B14" s="240">
        <f>+B54</f>
        <v>39207.9</v>
      </c>
      <c r="C14" s="43">
        <v>0</v>
      </c>
      <c r="D14" s="240">
        <f>+F54</f>
        <v>0</v>
      </c>
      <c r="E14" s="43">
        <v>0</v>
      </c>
      <c r="F14" s="240">
        <f>+J54</f>
        <v>0</v>
      </c>
      <c r="G14" s="43">
        <v>0</v>
      </c>
      <c r="H14" s="240">
        <f>+N54</f>
        <v>0</v>
      </c>
      <c r="J14" s="240">
        <f>+D54</f>
        <v>32816.5</v>
      </c>
      <c r="K14" s="46">
        <f>+(-J14+L14)/ABS(J14)</f>
        <v>1.5373364008958907E-2</v>
      </c>
      <c r="L14" s="240">
        <f>+H54</f>
        <v>33321</v>
      </c>
      <c r="M14" s="46">
        <f>+(-L14+N14)/ABS(L14)</f>
        <v>-3.1685723717775664E-2</v>
      </c>
      <c r="N14" s="240">
        <f>+L54</f>
        <v>32265.199999999997</v>
      </c>
      <c r="O14" s="46">
        <f>+(-N14+P14)/ABS(N14)</f>
        <v>0.16536392150056409</v>
      </c>
      <c r="P14" s="240">
        <f>+P54</f>
        <v>37600.699999999997</v>
      </c>
    </row>
    <row r="15" spans="1:22">
      <c r="B15" s="12">
        <f>+B13-B14</f>
        <v>19733.099999999999</v>
      </c>
      <c r="C15" s="43">
        <v>0</v>
      </c>
      <c r="D15" s="12">
        <f>+D13-D14</f>
        <v>0</v>
      </c>
      <c r="E15" s="43">
        <v>0</v>
      </c>
      <c r="F15" s="12">
        <f>+F13-F14</f>
        <v>0</v>
      </c>
      <c r="G15" s="43">
        <v>0</v>
      </c>
      <c r="H15" s="12">
        <f>+H13-H14</f>
        <v>0</v>
      </c>
      <c r="J15" s="12">
        <f>+J13-J14</f>
        <v>12383</v>
      </c>
      <c r="K15" s="46">
        <f>+(-J15+L15)/ABS(J15)</f>
        <v>-0.12466284422191633</v>
      </c>
      <c r="L15" s="12">
        <f>+L13-L14</f>
        <v>10839.30000000001</v>
      </c>
      <c r="M15" s="46">
        <f>+(-L15+N15)/ABS(L15)</f>
        <v>0.47490151578053874</v>
      </c>
      <c r="N15" s="12">
        <f>+N13-N14</f>
        <v>15986.900000000009</v>
      </c>
      <c r="O15" s="46">
        <f>+(-N15+P15)/ABS(N15)</f>
        <v>-2.9086314419931758E-2</v>
      </c>
      <c r="P15" s="12">
        <f>+P13-P14</f>
        <v>15521.900000000001</v>
      </c>
    </row>
    <row r="16" spans="1:22" ht="9" customHeight="1">
      <c r="B16" s="12"/>
      <c r="C16" s="44" t="s">
        <v>0</v>
      </c>
      <c r="D16" s="12"/>
      <c r="E16" s="44" t="s">
        <v>0</v>
      </c>
      <c r="G16" s="44" t="s">
        <v>0</v>
      </c>
      <c r="J16" s="12"/>
      <c r="K16" s="46"/>
      <c r="L16" s="12"/>
      <c r="M16" s="46"/>
      <c r="N16" s="12"/>
      <c r="O16" s="46"/>
      <c r="P16" s="12"/>
    </row>
    <row r="17" spans="1:16">
      <c r="A17" t="s">
        <v>334</v>
      </c>
      <c r="B17" s="12"/>
      <c r="C17" s="44" t="s">
        <v>0</v>
      </c>
      <c r="D17" s="12"/>
      <c r="E17" s="44" t="s">
        <v>0</v>
      </c>
      <c r="G17" s="44" t="s">
        <v>0</v>
      </c>
      <c r="J17" s="12"/>
      <c r="K17" s="46"/>
      <c r="L17" s="12"/>
      <c r="M17" s="46"/>
      <c r="N17" s="12"/>
      <c r="O17" s="47" t="s">
        <v>0</v>
      </c>
      <c r="P17" s="12"/>
    </row>
    <row r="18" spans="1:16">
      <c r="A18" t="s">
        <v>335</v>
      </c>
      <c r="B18" s="12">
        <f>+B58</f>
        <v>5445.6</v>
      </c>
      <c r="C18" s="43">
        <v>0</v>
      </c>
      <c r="D18" s="12">
        <f>+F58</f>
        <v>0</v>
      </c>
      <c r="E18" s="43">
        <v>0</v>
      </c>
      <c r="F18" s="12">
        <f>+J58</f>
        <v>0</v>
      </c>
      <c r="G18" s="43">
        <v>0</v>
      </c>
      <c r="H18" s="12">
        <f>+N58</f>
        <v>0</v>
      </c>
      <c r="J18" s="12">
        <f>+D58</f>
        <v>6496</v>
      </c>
      <c r="K18" s="46">
        <f>+(-J18+L18)/ABS(J18)</f>
        <v>-0.30563423645320192</v>
      </c>
      <c r="L18" s="12">
        <f>+H58</f>
        <v>4510.6000000000004</v>
      </c>
      <c r="M18" s="46">
        <f>+(-L18+N18)/ABS(L18)</f>
        <v>0.4822418303551631</v>
      </c>
      <c r="N18" s="12">
        <f>+L58</f>
        <v>6685.7999999999993</v>
      </c>
      <c r="O18" s="46">
        <f>+(-N18+P18)/ABS(N18)</f>
        <v>0.45593646235304697</v>
      </c>
      <c r="P18" s="12">
        <f>+P58</f>
        <v>9734.1</v>
      </c>
    </row>
    <row r="19" spans="1:16">
      <c r="A19" t="s">
        <v>336</v>
      </c>
      <c r="B19" s="78">
        <f>+B59</f>
        <v>6733.3</v>
      </c>
      <c r="C19" s="43">
        <v>0</v>
      </c>
      <c r="D19" s="12">
        <f>+F59</f>
        <v>0</v>
      </c>
      <c r="E19" s="43">
        <v>0</v>
      </c>
      <c r="F19" s="12">
        <f>+J59</f>
        <v>0</v>
      </c>
      <c r="G19" s="43">
        <v>0</v>
      </c>
      <c r="H19" s="12">
        <f>+N59</f>
        <v>0</v>
      </c>
      <c r="J19" s="12">
        <f>+D59</f>
        <v>3959.3</v>
      </c>
      <c r="K19" s="46">
        <f>+(-J19+L19)/ABS(J19)</f>
        <v>0.172682039754502</v>
      </c>
      <c r="L19" s="12">
        <f>+H59</f>
        <v>4643</v>
      </c>
      <c r="M19" s="46">
        <f>+(-L19+N19)/ABS(L19)</f>
        <v>0.18897264699547697</v>
      </c>
      <c r="N19" s="12">
        <f>+L59</f>
        <v>5520.4</v>
      </c>
      <c r="O19" s="46">
        <f>+(-N19+P19)/ABS(N19)</f>
        <v>0.27561408593580178</v>
      </c>
      <c r="P19" s="12">
        <f>+P59</f>
        <v>7041.9</v>
      </c>
    </row>
    <row r="20" spans="1:16">
      <c r="A20" t="s">
        <v>284</v>
      </c>
      <c r="B20" s="240">
        <f>+B60</f>
        <v>0</v>
      </c>
      <c r="C20" s="43">
        <v>0</v>
      </c>
      <c r="D20" s="240">
        <f>+F60</f>
        <v>0</v>
      </c>
      <c r="E20" s="43">
        <v>0</v>
      </c>
      <c r="F20" s="240">
        <f>+J60</f>
        <v>0</v>
      </c>
      <c r="G20" s="43">
        <v>0</v>
      </c>
      <c r="H20" s="240">
        <f>+N60</f>
        <v>0</v>
      </c>
      <c r="J20" s="240">
        <f>+D60</f>
        <v>1046.5</v>
      </c>
      <c r="K20" s="43">
        <v>0</v>
      </c>
      <c r="L20" s="240">
        <f>+H60</f>
        <v>1541.9</v>
      </c>
      <c r="M20" s="46">
        <f>+(-L20+N20)/ABS(L20)</f>
        <v>-0.85037940203644846</v>
      </c>
      <c r="N20" s="240">
        <f>+L60</f>
        <v>230.70000000000002</v>
      </c>
      <c r="O20" s="46">
        <f>+(-N20+P20)/ABS(N20)</f>
        <v>2.8907672301690504</v>
      </c>
      <c r="P20" s="240">
        <f>+P60</f>
        <v>897.6</v>
      </c>
    </row>
    <row r="21" spans="1:16">
      <c r="B21" s="12">
        <f>SUM(B18:B20)</f>
        <v>12178.900000000001</v>
      </c>
      <c r="C21" s="43">
        <v>0</v>
      </c>
      <c r="D21" s="12">
        <f>SUM(D18:D20)</f>
        <v>0</v>
      </c>
      <c r="E21" s="43">
        <v>0</v>
      </c>
      <c r="F21" s="12">
        <f>SUM(F18:F20)</f>
        <v>0</v>
      </c>
      <c r="G21" s="43">
        <v>0</v>
      </c>
      <c r="H21" s="12">
        <f>SUM(H18:H20)</f>
        <v>0</v>
      </c>
      <c r="J21" s="12">
        <f>SUM(J18:J20)</f>
        <v>11501.8</v>
      </c>
      <c r="K21" s="46">
        <f>+(-J21+L21)/ABS(J21)</f>
        <v>-7.0102070980194345E-2</v>
      </c>
      <c r="L21" s="12">
        <f>SUM(L18:L20)</f>
        <v>10695.5</v>
      </c>
      <c r="M21" s="46">
        <f>+(-L21+N21)/ABS(L21)</f>
        <v>0.16281613762797434</v>
      </c>
      <c r="N21" s="12">
        <f>SUM(N18:N20)</f>
        <v>12436.9</v>
      </c>
      <c r="O21" s="46">
        <f>+(-N21+P21)/ABS(N21)</f>
        <v>0.42106151854561819</v>
      </c>
      <c r="P21" s="12">
        <f>SUM(P18:P20)</f>
        <v>17673.599999999999</v>
      </c>
    </row>
    <row r="22" spans="1:16">
      <c r="B22" s="240"/>
      <c r="C22" s="44" t="s">
        <v>0</v>
      </c>
      <c r="D22" s="240"/>
      <c r="E22" s="44" t="s">
        <v>0</v>
      </c>
      <c r="F22" s="379"/>
      <c r="G22" s="44" t="s">
        <v>0</v>
      </c>
      <c r="H22" s="379"/>
      <c r="J22" s="240"/>
      <c r="K22" s="46"/>
      <c r="L22" s="240"/>
      <c r="M22" s="46"/>
      <c r="N22" s="240"/>
      <c r="O22" s="46"/>
      <c r="P22" s="240"/>
    </row>
    <row r="23" spans="1:16">
      <c r="A23" t="s">
        <v>337</v>
      </c>
      <c r="B23" s="12">
        <f>+B15+B21</f>
        <v>31912</v>
      </c>
      <c r="C23" s="43">
        <v>0</v>
      </c>
      <c r="D23" s="12">
        <f>+D15+D21</f>
        <v>0</v>
      </c>
      <c r="E23" s="43">
        <v>0</v>
      </c>
      <c r="F23" s="12">
        <f>+F15+F21</f>
        <v>0</v>
      </c>
      <c r="G23" s="43">
        <v>0</v>
      </c>
      <c r="H23" s="12">
        <f>+H15+H21</f>
        <v>0</v>
      </c>
      <c r="J23" s="12">
        <f>+J15+J21</f>
        <v>23884.799999999999</v>
      </c>
      <c r="K23" s="46">
        <f>+(-J23+L23)/ABS(J23)</f>
        <v>-9.8388933547695151E-2</v>
      </c>
      <c r="L23" s="12">
        <f>+L15+L21</f>
        <v>21534.80000000001</v>
      </c>
      <c r="M23" s="46">
        <f>+(-L23+N23)/ABS(L23)</f>
        <v>0.31990081170941903</v>
      </c>
      <c r="N23" s="12">
        <f>+N15+N21</f>
        <v>28423.80000000001</v>
      </c>
      <c r="O23" s="46">
        <f>+(-N23+P23)/ABS(N23)</f>
        <v>0.16787692004587662</v>
      </c>
      <c r="P23" s="12">
        <f>+P15+P21</f>
        <v>33195.5</v>
      </c>
    </row>
    <row r="24" spans="1:16">
      <c r="B24" s="12"/>
      <c r="C24" s="44" t="s">
        <v>0</v>
      </c>
      <c r="D24" s="12"/>
      <c r="E24" s="44" t="s">
        <v>0</v>
      </c>
      <c r="G24" s="44" t="s">
        <v>0</v>
      </c>
      <c r="J24" s="12"/>
      <c r="K24" s="46"/>
      <c r="L24" s="12"/>
      <c r="M24" s="46"/>
      <c r="N24" s="12"/>
      <c r="O24" s="46"/>
      <c r="P24" s="12"/>
    </row>
    <row r="25" spans="1:16">
      <c r="A25" t="s">
        <v>338</v>
      </c>
      <c r="B25" s="12">
        <f>+B65</f>
        <v>2300</v>
      </c>
      <c r="C25" s="43">
        <v>0</v>
      </c>
      <c r="D25" s="12">
        <f>+F65</f>
        <v>0</v>
      </c>
      <c r="E25" s="43">
        <v>0</v>
      </c>
      <c r="F25" s="12">
        <f>+J65</f>
        <v>0</v>
      </c>
      <c r="G25" s="43">
        <v>0</v>
      </c>
      <c r="H25" s="12">
        <f>+N65</f>
        <v>0</v>
      </c>
      <c r="J25" s="12">
        <f>+D65</f>
        <v>3200</v>
      </c>
      <c r="K25" s="46">
        <f>+(-J25+L25)/ABS(J25)</f>
        <v>-0.125</v>
      </c>
      <c r="L25" s="12">
        <f>+H65</f>
        <v>2800</v>
      </c>
      <c r="M25" s="46">
        <f>+(-L25+N25)/ABS(L25)</f>
        <v>0.6071428571428571</v>
      </c>
      <c r="N25" s="12">
        <f>+L65</f>
        <v>4500</v>
      </c>
      <c r="O25" s="46">
        <f>+(-N25+P25)/ABS(N25)</f>
        <v>-0.44444444444444442</v>
      </c>
      <c r="P25" s="12">
        <f>+P65</f>
        <v>2500</v>
      </c>
    </row>
    <row r="26" spans="1:16">
      <c r="B26" s="12"/>
      <c r="C26" s="44" t="s">
        <v>0</v>
      </c>
      <c r="D26" s="12"/>
      <c r="E26" s="44" t="s">
        <v>0</v>
      </c>
      <c r="G26" s="44" t="s">
        <v>0</v>
      </c>
      <c r="J26" s="12"/>
      <c r="K26" s="46"/>
      <c r="L26" s="12"/>
      <c r="M26" s="46"/>
      <c r="N26" s="12"/>
      <c r="O26" s="46"/>
      <c r="P26" s="12"/>
    </row>
    <row r="27" spans="1:16">
      <c r="A27" t="s">
        <v>339</v>
      </c>
      <c r="B27" s="240"/>
      <c r="C27" s="44" t="s">
        <v>0</v>
      </c>
      <c r="D27" s="240"/>
      <c r="E27" s="44" t="s">
        <v>0</v>
      </c>
      <c r="F27" s="379"/>
      <c r="G27" s="44" t="s">
        <v>0</v>
      </c>
      <c r="H27" s="379"/>
      <c r="J27" s="240"/>
      <c r="K27" s="46"/>
      <c r="L27" s="240"/>
      <c r="M27" s="46"/>
      <c r="N27" s="240"/>
      <c r="O27" s="46"/>
      <c r="P27" s="240"/>
    </row>
    <row r="28" spans="1:16">
      <c r="A28" t="s">
        <v>340</v>
      </c>
      <c r="B28" s="12">
        <f>+B23-B25</f>
        <v>29612</v>
      </c>
      <c r="C28" s="43">
        <v>0</v>
      </c>
      <c r="D28" s="12">
        <f>+D23-D25</f>
        <v>0</v>
      </c>
      <c r="E28" s="43">
        <v>0</v>
      </c>
      <c r="F28" s="12">
        <f>+F23-F25</f>
        <v>0</v>
      </c>
      <c r="G28" s="43">
        <v>0</v>
      </c>
      <c r="H28" s="12">
        <f>+H23-H25</f>
        <v>0</v>
      </c>
      <c r="J28" s="12">
        <f>+J23-J25</f>
        <v>20684.8</v>
      </c>
      <c r="K28" s="46">
        <f>+(-J28+L28)/ABS(J28)</f>
        <v>-9.427212252475195E-2</v>
      </c>
      <c r="L28" s="12">
        <f>+L23-L25</f>
        <v>18734.80000000001</v>
      </c>
      <c r="M28" s="46">
        <f>+(-L28+N28)/ABS(L28)</f>
        <v>0.27697119798449926</v>
      </c>
      <c r="N28" s="12">
        <f>+N23-N25</f>
        <v>23923.80000000001</v>
      </c>
      <c r="O28" s="46">
        <f>+(-N28+P28)/ABS(N28)</f>
        <v>0.28305285949556452</v>
      </c>
      <c r="P28" s="12">
        <f>+P23-P25</f>
        <v>30695.5</v>
      </c>
    </row>
    <row r="29" spans="1:16">
      <c r="B29" s="12"/>
      <c r="C29" s="44" t="s">
        <v>0</v>
      </c>
      <c r="D29" s="12"/>
      <c r="E29" s="44" t="s">
        <v>0</v>
      </c>
      <c r="G29" s="44" t="s">
        <v>0</v>
      </c>
      <c r="J29" s="12"/>
      <c r="K29" s="46"/>
      <c r="L29" s="12"/>
      <c r="M29" s="46"/>
      <c r="N29" s="12"/>
      <c r="O29" s="46"/>
      <c r="P29" s="12"/>
    </row>
    <row r="30" spans="1:16">
      <c r="A30" t="s">
        <v>341</v>
      </c>
      <c r="B30" s="12"/>
      <c r="C30" s="44" t="s">
        <v>0</v>
      </c>
      <c r="D30" s="12"/>
      <c r="E30" s="44" t="s">
        <v>0</v>
      </c>
      <c r="G30" s="44" t="s">
        <v>0</v>
      </c>
      <c r="J30" s="12"/>
      <c r="K30" s="46"/>
      <c r="L30" s="12"/>
      <c r="M30" s="46"/>
      <c r="N30" s="12"/>
      <c r="O30" s="46"/>
      <c r="P30" s="12"/>
    </row>
    <row r="31" spans="1:16">
      <c r="A31" t="s">
        <v>342</v>
      </c>
      <c r="B31" s="12">
        <f>+B71</f>
        <v>8801.2000000000007</v>
      </c>
      <c r="C31" s="43">
        <v>0</v>
      </c>
      <c r="D31" s="12">
        <f>+F71</f>
        <v>0</v>
      </c>
      <c r="E31" s="43">
        <v>0</v>
      </c>
      <c r="F31" s="12">
        <f>+J71</f>
        <v>0</v>
      </c>
      <c r="G31" s="43">
        <v>0</v>
      </c>
      <c r="H31" s="12">
        <f>+N71</f>
        <v>0</v>
      </c>
      <c r="J31" s="12">
        <f>+D71</f>
        <v>6985.6</v>
      </c>
      <c r="K31" s="46">
        <f>+(-J31+L31)/ABS(J31)</f>
        <v>-7.7931745304626598E-2</v>
      </c>
      <c r="L31" s="12">
        <f>+H71</f>
        <v>6441.2000000000007</v>
      </c>
      <c r="M31" s="46">
        <f>+(-L31+N31)/ABS(L31)</f>
        <v>4.652859715580944E-2</v>
      </c>
      <c r="N31" s="12">
        <f>+L71</f>
        <v>6740.9000000000005</v>
      </c>
      <c r="O31" s="46">
        <f>+(-N31+P31)/ABS(N31)</f>
        <v>0.11445059265083284</v>
      </c>
      <c r="P31" s="12">
        <f>+P71</f>
        <v>7512.4</v>
      </c>
    </row>
    <row r="32" spans="1:16">
      <c r="A32" t="s">
        <v>343</v>
      </c>
      <c r="B32" s="12">
        <f>+B72</f>
        <v>840.3</v>
      </c>
      <c r="C32" s="43">
        <v>0</v>
      </c>
      <c r="D32" s="12">
        <f>+F72</f>
        <v>0</v>
      </c>
      <c r="E32" s="43">
        <v>0</v>
      </c>
      <c r="F32" s="12">
        <f>+J72</f>
        <v>0</v>
      </c>
      <c r="G32" s="43">
        <v>0</v>
      </c>
      <c r="H32" s="12">
        <f>+N72</f>
        <v>0</v>
      </c>
      <c r="J32" s="12">
        <f>+D72</f>
        <v>685.4</v>
      </c>
      <c r="K32" s="46">
        <f>+(-J32+L32)/ABS(J32)</f>
        <v>6.0694484972278993E-2</v>
      </c>
      <c r="L32" s="12">
        <f>+H72</f>
        <v>727</v>
      </c>
      <c r="M32" s="46">
        <f>+(-L32+N32)/ABS(L32)</f>
        <v>2.6134800550206328E-2</v>
      </c>
      <c r="N32" s="12">
        <f>+L72</f>
        <v>746</v>
      </c>
      <c r="O32" s="46">
        <f>+(-N32+P32)/ABS(N32)</f>
        <v>0.48176943699731917</v>
      </c>
      <c r="P32" s="12">
        <f>+P72</f>
        <v>1105.4000000000001</v>
      </c>
    </row>
    <row r="33" spans="1:22">
      <c r="A33" t="s">
        <v>344</v>
      </c>
      <c r="B33" s="12">
        <f>+B73</f>
        <v>1909.8</v>
      </c>
      <c r="C33" s="43">
        <v>0</v>
      </c>
      <c r="D33" s="12">
        <f>+F73</f>
        <v>0</v>
      </c>
      <c r="E33" s="43">
        <v>0</v>
      </c>
      <c r="F33" s="12">
        <f>+J73</f>
        <v>0</v>
      </c>
      <c r="G33" s="43">
        <v>0</v>
      </c>
      <c r="H33" s="12">
        <f>+N73</f>
        <v>0</v>
      </c>
      <c r="J33" s="12">
        <f>+D73</f>
        <v>1670.6</v>
      </c>
      <c r="K33" s="46">
        <f>+(-J33+L33)/ABS(J33)</f>
        <v>-1.3707649946127195E-2</v>
      </c>
      <c r="L33" s="12">
        <f>+H73</f>
        <v>1647.6999999999998</v>
      </c>
      <c r="M33" s="46">
        <f>+(-L33+N33)/ABS(L33)</f>
        <v>2.9981185895490741E-2</v>
      </c>
      <c r="N33" s="12">
        <f>+L73</f>
        <v>1697.1</v>
      </c>
      <c r="O33" s="46">
        <f>+(-N33+P33)/ABS(N33)</f>
        <v>4.7080313475929586E-2</v>
      </c>
      <c r="P33" s="12">
        <f>+P73</f>
        <v>1777</v>
      </c>
    </row>
    <row r="34" spans="1:22">
      <c r="A34" t="s">
        <v>345</v>
      </c>
      <c r="B34" s="240">
        <f>+B74</f>
        <v>11556.7</v>
      </c>
      <c r="C34" s="43">
        <v>0</v>
      </c>
      <c r="D34" s="240">
        <f>+F74</f>
        <v>0</v>
      </c>
      <c r="E34" s="43">
        <v>0</v>
      </c>
      <c r="F34" s="240">
        <f>+J74</f>
        <v>0</v>
      </c>
      <c r="G34" s="43">
        <v>0</v>
      </c>
      <c r="H34" s="240">
        <f>+N74</f>
        <v>0</v>
      </c>
      <c r="J34" s="240">
        <f>+D74</f>
        <v>8713.9</v>
      </c>
      <c r="K34" s="46">
        <f>+(-J34+L34)/ABS(J34)</f>
        <v>-0.12307921826048039</v>
      </c>
      <c r="L34" s="240">
        <f>+H74</f>
        <v>7641.4</v>
      </c>
      <c r="M34" s="46">
        <f>+(-L34+N34)/ABS(L34)</f>
        <v>0.1245975868296386</v>
      </c>
      <c r="N34" s="240">
        <f>+L74</f>
        <v>8593.5</v>
      </c>
      <c r="O34" s="46">
        <f>+(-N34+P34)/ABS(N34)</f>
        <v>0.25281899109792266</v>
      </c>
      <c r="P34" s="240">
        <f>+P74</f>
        <v>10766.099999999999</v>
      </c>
    </row>
    <row r="35" spans="1:22">
      <c r="B35" s="12">
        <f>SUM(B31:B34)</f>
        <v>23108</v>
      </c>
      <c r="C35" s="43">
        <v>0</v>
      </c>
      <c r="D35" s="12">
        <f>SUM(D31:D34)</f>
        <v>0</v>
      </c>
      <c r="E35" s="43">
        <v>0</v>
      </c>
      <c r="F35" s="12">
        <f>SUM(F31:F34)</f>
        <v>0</v>
      </c>
      <c r="G35" s="43">
        <v>0</v>
      </c>
      <c r="H35" s="12">
        <f>SUM(H31:H34)</f>
        <v>0</v>
      </c>
      <c r="J35" s="12">
        <f>SUM(J31:J34)</f>
        <v>18055.5</v>
      </c>
      <c r="K35" s="46">
        <f>+(-J35+L35)/ABS(J35)</f>
        <v>-8.8515964664506494E-2</v>
      </c>
      <c r="L35" s="12">
        <f>SUM(L31:L34)</f>
        <v>16457.300000000003</v>
      </c>
      <c r="M35" s="46">
        <f>+(-L35+N35)/ABS(L35)</f>
        <v>8.0219720124200006E-2</v>
      </c>
      <c r="N35" s="12">
        <f>SUM(N31:N34)</f>
        <v>17777.5</v>
      </c>
      <c r="O35" s="46">
        <f>+(-N35+P35)/ABS(N35)</f>
        <v>0.19031922373787077</v>
      </c>
      <c r="P35" s="12">
        <f>SUM(P31:P34)</f>
        <v>21160.899999999998</v>
      </c>
    </row>
    <row r="36" spans="1:22">
      <c r="B36" s="240"/>
      <c r="C36" s="43"/>
      <c r="D36" s="240"/>
      <c r="E36" s="43"/>
      <c r="F36" s="379"/>
      <c r="G36" s="43"/>
      <c r="H36" s="379"/>
      <c r="J36" s="240"/>
      <c r="K36" s="46"/>
      <c r="L36" s="240"/>
      <c r="M36" s="46"/>
      <c r="N36" s="240"/>
      <c r="O36" s="46"/>
      <c r="P36" s="240"/>
    </row>
    <row r="37" spans="1:22">
      <c r="A37" t="s">
        <v>346</v>
      </c>
      <c r="B37" s="12">
        <f>+B28-B35</f>
        <v>6504</v>
      </c>
      <c r="C37" s="43">
        <v>0</v>
      </c>
      <c r="D37" s="12">
        <f>+D28-D35</f>
        <v>0</v>
      </c>
      <c r="E37" s="43">
        <v>0</v>
      </c>
      <c r="F37" s="12">
        <f>+F28-F35</f>
        <v>0</v>
      </c>
      <c r="G37" s="43">
        <v>0</v>
      </c>
      <c r="H37" s="12">
        <f>+H28-H35</f>
        <v>0</v>
      </c>
      <c r="J37" s="12">
        <f>+J28-J35</f>
        <v>2629.2999999999993</v>
      </c>
      <c r="K37" s="46">
        <f>+(-J37+L37)/ABS(J37)</f>
        <v>-0.13379987068801283</v>
      </c>
      <c r="L37" s="12">
        <f>+L28-L35</f>
        <v>2277.5000000000073</v>
      </c>
      <c r="M37" s="46">
        <f>+(-L37+N37)/ABS(L37)</f>
        <v>1.6987047200878114</v>
      </c>
      <c r="N37" s="12">
        <f>+N28-N35</f>
        <v>6146.3000000000102</v>
      </c>
      <c r="O37" s="46">
        <f>+(-N37+P37)/ABS(N37)</f>
        <v>0.55127475066299825</v>
      </c>
      <c r="P37" s="12">
        <f>+P28-P35</f>
        <v>9534.6000000000022</v>
      </c>
    </row>
    <row r="38" spans="1:22">
      <c r="B38" s="12"/>
      <c r="C38" s="44" t="s">
        <v>0</v>
      </c>
      <c r="D38" s="12"/>
      <c r="E38" s="44" t="s">
        <v>0</v>
      </c>
      <c r="G38" s="44" t="s">
        <v>0</v>
      </c>
      <c r="J38" s="12"/>
      <c r="K38" s="46"/>
      <c r="L38" s="12"/>
      <c r="M38" s="46"/>
      <c r="N38" s="12"/>
      <c r="O38" s="46"/>
      <c r="P38" s="12"/>
    </row>
    <row r="39" spans="1:22">
      <c r="A39" t="s">
        <v>347</v>
      </c>
      <c r="B39" s="12">
        <f>+B79</f>
        <v>700</v>
      </c>
      <c r="C39" s="43">
        <v>0</v>
      </c>
      <c r="D39" s="12">
        <f>+F79</f>
        <v>0</v>
      </c>
      <c r="E39" s="43">
        <v>0</v>
      </c>
      <c r="F39" s="12">
        <f>+J79</f>
        <v>0</v>
      </c>
      <c r="G39" s="43">
        <v>0</v>
      </c>
      <c r="H39" s="12">
        <f>+N79</f>
        <v>0</v>
      </c>
      <c r="J39" s="12">
        <f>+D79</f>
        <v>750</v>
      </c>
      <c r="K39" s="46">
        <f>+(-J39+L39)/ABS(J39)</f>
        <v>-0.55333333333333334</v>
      </c>
      <c r="L39" s="12">
        <f>+H79</f>
        <v>335</v>
      </c>
      <c r="M39" s="43">
        <v>0</v>
      </c>
      <c r="N39" s="12">
        <f>+L79</f>
        <v>1150</v>
      </c>
      <c r="O39" s="43">
        <v>0</v>
      </c>
      <c r="P39" s="12">
        <f>+P79</f>
        <v>1255</v>
      </c>
    </row>
    <row r="40" spans="1:22" ht="16.5" thickBot="1">
      <c r="B40" s="76"/>
      <c r="C40" s="44" t="s">
        <v>0</v>
      </c>
      <c r="D40" s="76"/>
      <c r="E40" s="44" t="s">
        <v>0</v>
      </c>
      <c r="F40" s="30"/>
      <c r="G40" s="44" t="s">
        <v>0</v>
      </c>
      <c r="H40" s="30"/>
      <c r="J40" s="76"/>
      <c r="K40" s="46"/>
      <c r="L40" s="76"/>
      <c r="M40" s="46"/>
      <c r="N40" s="76"/>
      <c r="O40" s="46"/>
      <c r="P40" s="76"/>
    </row>
    <row r="41" spans="1:22" s="2" customFormat="1">
      <c r="A41" s="2" t="s">
        <v>427</v>
      </c>
      <c r="B41" s="4">
        <f>+B37-B39</f>
        <v>5804</v>
      </c>
      <c r="C41" s="42">
        <v>0</v>
      </c>
      <c r="D41" s="4">
        <f>+D37-D39</f>
        <v>0</v>
      </c>
      <c r="E41" s="42">
        <v>0</v>
      </c>
      <c r="F41" s="4">
        <f>+F37-F39</f>
        <v>0</v>
      </c>
      <c r="G41" s="42">
        <v>0</v>
      </c>
      <c r="H41" s="4">
        <f>+H37-H39</f>
        <v>0</v>
      </c>
      <c r="I41" s="146"/>
      <c r="J41" s="4">
        <f>+J37-J39</f>
        <v>1879.2999999999993</v>
      </c>
      <c r="K41" s="112">
        <f>+(-J41+L41)/ABS(J41)</f>
        <v>3.3629542914919403E-2</v>
      </c>
      <c r="L41" s="4">
        <f>+L37-L39</f>
        <v>1942.5000000000073</v>
      </c>
      <c r="M41" s="112">
        <f>+(-L41+N41)/ABS(L41)</f>
        <v>1.5720978120978077</v>
      </c>
      <c r="N41" s="4">
        <f>+N37-N39</f>
        <v>4996.3000000000102</v>
      </c>
      <c r="O41" s="112">
        <f>+(-N41+P41)/ABS(N41)</f>
        <v>0.65714628825330446</v>
      </c>
      <c r="P41" s="4">
        <f>+P37-P39</f>
        <v>8279.6000000000022</v>
      </c>
      <c r="Q41" s="146"/>
      <c r="R41" s="146"/>
      <c r="S41" s="146"/>
      <c r="T41" s="146"/>
      <c r="U41" s="146"/>
    </row>
    <row r="42" spans="1:22" ht="5.45" customHeight="1">
      <c r="C42" s="47"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s="2" customFormat="1">
      <c r="B46" s="241" t="s">
        <v>349</v>
      </c>
      <c r="C46" s="146" t="s">
        <v>0</v>
      </c>
      <c r="D46" s="241" t="s">
        <v>350</v>
      </c>
      <c r="E46" s="146"/>
      <c r="F46" s="241" t="s">
        <v>349</v>
      </c>
      <c r="G46" s="146" t="s">
        <v>0</v>
      </c>
      <c r="H46" s="241" t="s">
        <v>350</v>
      </c>
      <c r="I46" s="146"/>
      <c r="J46" s="241" t="s">
        <v>349</v>
      </c>
      <c r="K46" s="146" t="s">
        <v>0</v>
      </c>
      <c r="L46" s="241" t="s">
        <v>350</v>
      </c>
      <c r="M46" s="146"/>
      <c r="N46" s="241" t="s">
        <v>349</v>
      </c>
      <c r="O46" s="146" t="s">
        <v>0</v>
      </c>
      <c r="P46" s="241" t="s">
        <v>350</v>
      </c>
      <c r="Q46" s="146"/>
      <c r="R46" s="993" t="s">
        <v>622</v>
      </c>
      <c r="S46" s="146"/>
      <c r="T46" s="993" t="s">
        <v>623</v>
      </c>
      <c r="U46" s="241" t="s">
        <v>263</v>
      </c>
    </row>
    <row r="47" spans="1:22" ht="16.5" thickBot="1">
      <c r="B47" s="243" t="s">
        <v>353</v>
      </c>
      <c r="C47" s="245"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190</v>
      </c>
      <c r="V47" s="18"/>
    </row>
    <row r="48" spans="1:22">
      <c r="A48" t="s">
        <v>328</v>
      </c>
      <c r="B48" s="29" t="s">
        <v>0</v>
      </c>
    </row>
    <row r="49" spans="1:21">
      <c r="A49" t="s">
        <v>329</v>
      </c>
      <c r="B49" s="16" t="s">
        <v>0</v>
      </c>
      <c r="C49" s="47" t="s">
        <v>0</v>
      </c>
      <c r="D49" s="16" t="s">
        <v>0</v>
      </c>
      <c r="E49" s="29" t="s">
        <v>0</v>
      </c>
      <c r="F49" s="29" t="s">
        <v>0</v>
      </c>
      <c r="G49" s="47" t="s">
        <v>0</v>
      </c>
      <c r="H49" s="16" t="s">
        <v>0</v>
      </c>
      <c r="I49" s="29" t="s">
        <v>0</v>
      </c>
      <c r="J49" s="29" t="s">
        <v>0</v>
      </c>
      <c r="K49" s="47" t="s">
        <v>0</v>
      </c>
      <c r="L49" s="16" t="s">
        <v>0</v>
      </c>
      <c r="M49" s="29" t="s">
        <v>0</v>
      </c>
      <c r="N49" s="29" t="s">
        <v>0</v>
      </c>
      <c r="O49" s="47" t="s">
        <v>0</v>
      </c>
      <c r="P49" s="16" t="s">
        <v>0</v>
      </c>
      <c r="Q49" s="29" t="s">
        <v>0</v>
      </c>
      <c r="R49" s="16" t="s">
        <v>0</v>
      </c>
      <c r="S49" s="47" t="s">
        <v>0</v>
      </c>
      <c r="T49" s="16" t="s">
        <v>0</v>
      </c>
      <c r="U49" s="12" t="str">
        <f>+D49</f>
        <v xml:space="preserve"> </v>
      </c>
    </row>
    <row r="50" spans="1:21">
      <c r="A50" t="s">
        <v>330</v>
      </c>
      <c r="B50" s="12">
        <v>52505.1</v>
      </c>
      <c r="C50" s="46">
        <f t="shared" ref="C50:C55" si="0">+(B50-D50)/ABS(D50)</f>
        <v>0.31969446385393768</v>
      </c>
      <c r="D50" s="12">
        <f>13654.2+13183.5+12948.1</f>
        <v>39785.800000000003</v>
      </c>
      <c r="E50" s="29"/>
      <c r="F50" s="12">
        <v>0</v>
      </c>
      <c r="G50" s="43">
        <v>0</v>
      </c>
      <c r="H50" s="12">
        <f>12924+12397.9+14804.2</f>
        <v>40126.100000000006</v>
      </c>
      <c r="J50" s="16">
        <v>0</v>
      </c>
      <c r="K50" s="43">
        <v>0</v>
      </c>
      <c r="L50" s="16">
        <f>29066.6+14756.7</f>
        <v>43823.3</v>
      </c>
      <c r="M50" s="29"/>
      <c r="N50" s="12">
        <v>0</v>
      </c>
      <c r="O50" s="43">
        <v>0</v>
      </c>
      <c r="P50" s="12">
        <f>15829.7+16145.8+15036.5</f>
        <v>47012</v>
      </c>
      <c r="R50" s="12">
        <f>+B50</f>
        <v>52505.1</v>
      </c>
      <c r="S50" s="46">
        <f t="shared" ref="S50:S55" si="1">+(R50-T50)/ABS(T50)</f>
        <v>0.31969446385393768</v>
      </c>
      <c r="T50" s="12">
        <f>+D50</f>
        <v>39785.800000000003</v>
      </c>
      <c r="U50" s="12">
        <f>+D50+H50+L50+P50</f>
        <v>170747.2</v>
      </c>
    </row>
    <row r="51" spans="1:21">
      <c r="A51" t="s">
        <v>354</v>
      </c>
      <c r="B51" s="12">
        <v>4677.3999999999996</v>
      </c>
      <c r="C51" s="46">
        <f t="shared" si="0"/>
        <v>0.42036379095684911</v>
      </c>
      <c r="D51" s="12">
        <f>782.3+829.3+1681.5</f>
        <v>3293.1</v>
      </c>
      <c r="E51" s="29"/>
      <c r="F51" s="12">
        <v>0</v>
      </c>
      <c r="G51" s="43">
        <v>0</v>
      </c>
      <c r="H51" s="12">
        <f>1001.8+520.5+785</f>
        <v>2307.3000000000002</v>
      </c>
      <c r="J51" s="12">
        <v>0</v>
      </c>
      <c r="K51" s="89">
        <v>0</v>
      </c>
      <c r="L51" s="12">
        <f>1791.8+961.1</f>
        <v>2752.9</v>
      </c>
      <c r="M51" s="29"/>
      <c r="N51" s="12">
        <v>0</v>
      </c>
      <c r="O51" s="43">
        <v>0</v>
      </c>
      <c r="P51" s="12">
        <f>1741.3+1751.2+718.5</f>
        <v>4211</v>
      </c>
      <c r="R51" s="12">
        <f>+B51</f>
        <v>4677.3999999999996</v>
      </c>
      <c r="S51" s="46">
        <f t="shared" si="1"/>
        <v>0.42036379095684911</v>
      </c>
      <c r="T51" s="12">
        <f>+D51</f>
        <v>3293.1</v>
      </c>
      <c r="U51" s="12">
        <f>+D51+H51+L51+P51</f>
        <v>12564.3</v>
      </c>
    </row>
    <row r="52" spans="1:21">
      <c r="A52" t="s">
        <v>332</v>
      </c>
      <c r="B52" s="221">
        <v>1758.5</v>
      </c>
      <c r="C52" s="46">
        <f t="shared" si="0"/>
        <v>-0.17075356031311906</v>
      </c>
      <c r="D52" s="221">
        <f>767.7+605.6+747.3</f>
        <v>2120.6000000000004</v>
      </c>
      <c r="E52" s="29"/>
      <c r="F52" s="221">
        <v>0</v>
      </c>
      <c r="G52" s="43">
        <v>0</v>
      </c>
      <c r="H52" s="221">
        <f>647.5+353+726.4</f>
        <v>1726.9</v>
      </c>
      <c r="J52" s="221">
        <v>0</v>
      </c>
      <c r="K52" s="43">
        <v>0</v>
      </c>
      <c r="L52" s="221">
        <f>1113.5+562.4</f>
        <v>1675.9</v>
      </c>
      <c r="M52" s="29"/>
      <c r="N52" s="221">
        <v>0</v>
      </c>
      <c r="O52" s="43">
        <v>0</v>
      </c>
      <c r="P52" s="221">
        <f>651.4+740+508.2</f>
        <v>1899.6000000000001</v>
      </c>
      <c r="R52" s="240">
        <f>+B52</f>
        <v>1758.5</v>
      </c>
      <c r="S52" s="46">
        <f t="shared" si="1"/>
        <v>-0.17075356031311906</v>
      </c>
      <c r="T52" s="240">
        <f>+D52</f>
        <v>2120.6000000000004</v>
      </c>
      <c r="U52" s="240">
        <f>+D52+H52+L52+P52</f>
        <v>7423.0000000000009</v>
      </c>
    </row>
    <row r="53" spans="1:21">
      <c r="B53" s="12">
        <f>SUM(B50:B52)</f>
        <v>58941</v>
      </c>
      <c r="C53" s="46">
        <f t="shared" si="0"/>
        <v>0.30401884976603721</v>
      </c>
      <c r="D53" s="12">
        <f>SUM(D50:D52)</f>
        <v>45199.5</v>
      </c>
      <c r="E53" s="29"/>
      <c r="F53" s="12">
        <f>SUM(F50:F52)</f>
        <v>0</v>
      </c>
      <c r="G53" s="43">
        <v>0</v>
      </c>
      <c r="H53" s="12">
        <f>SUM(H50:H52)</f>
        <v>44160.30000000001</v>
      </c>
      <c r="J53" s="12">
        <f>SUM(J50:J52)</f>
        <v>0</v>
      </c>
      <c r="K53" s="43">
        <v>0</v>
      </c>
      <c r="L53" s="12">
        <f>SUM(L50:L52)</f>
        <v>48252.100000000006</v>
      </c>
      <c r="M53" s="29"/>
      <c r="N53" s="12">
        <f>SUM(N50:N52)</f>
        <v>0</v>
      </c>
      <c r="O53" s="43">
        <v>0</v>
      </c>
      <c r="P53" s="12">
        <f>SUM(P50:P52)</f>
        <v>53122.6</v>
      </c>
      <c r="R53" s="12">
        <f>SUM(R50:R52)</f>
        <v>58941</v>
      </c>
      <c r="S53" s="46">
        <f t="shared" si="1"/>
        <v>0.30401884976603721</v>
      </c>
      <c r="T53" s="12">
        <f>SUM(T50:T52)</f>
        <v>45199.5</v>
      </c>
      <c r="U53" s="12">
        <f>SUM(U50:U52)</f>
        <v>190734.5</v>
      </c>
    </row>
    <row r="54" spans="1:21">
      <c r="A54" t="s">
        <v>333</v>
      </c>
      <c r="B54" s="240">
        <v>39207.9</v>
      </c>
      <c r="C54" s="46">
        <f t="shared" si="0"/>
        <v>0.19476178142093159</v>
      </c>
      <c r="D54" s="240">
        <f>11055.2+10312.6+11448.7</f>
        <v>32816.5</v>
      </c>
      <c r="E54" s="29" t="s">
        <v>0</v>
      </c>
      <c r="F54" s="240">
        <v>0</v>
      </c>
      <c r="G54" s="43">
        <v>0</v>
      </c>
      <c r="H54" s="240">
        <f>11542.5+9957.4+11821.1</f>
        <v>33321</v>
      </c>
      <c r="J54" s="240">
        <v>0</v>
      </c>
      <c r="K54" s="43">
        <v>0</v>
      </c>
      <c r="L54" s="240">
        <f>20888.8+11376.4</f>
        <v>32265.199999999997</v>
      </c>
      <c r="M54" s="29" t="s">
        <v>0</v>
      </c>
      <c r="N54" s="240">
        <v>0</v>
      </c>
      <c r="O54" s="43">
        <v>0</v>
      </c>
      <c r="P54" s="240">
        <f>11320.5+13610+12670.2</f>
        <v>37600.699999999997</v>
      </c>
      <c r="R54" s="240">
        <f>+B54</f>
        <v>39207.9</v>
      </c>
      <c r="S54" s="46">
        <f t="shared" si="1"/>
        <v>0.19476178142093159</v>
      </c>
      <c r="T54" s="240">
        <f>+D54</f>
        <v>32816.5</v>
      </c>
      <c r="U54" s="240">
        <f>+D54+H54+L54+P54</f>
        <v>136003.4</v>
      </c>
    </row>
    <row r="55" spans="1:21">
      <c r="B55" s="12">
        <f>+B53-B54</f>
        <v>19733.099999999999</v>
      </c>
      <c r="C55" s="46">
        <f t="shared" si="0"/>
        <v>0.59356375676330442</v>
      </c>
      <c r="D55" s="12">
        <f>+D53-D54</f>
        <v>12383</v>
      </c>
      <c r="E55" s="29" t="s">
        <v>0</v>
      </c>
      <c r="F55" s="12">
        <f>+F53-F54</f>
        <v>0</v>
      </c>
      <c r="G55" s="43">
        <v>0</v>
      </c>
      <c r="H55" s="12">
        <f>+H53-H54</f>
        <v>10839.30000000001</v>
      </c>
      <c r="J55" s="12">
        <f>+J53-J54</f>
        <v>0</v>
      </c>
      <c r="K55" s="43">
        <v>0</v>
      </c>
      <c r="L55" s="12">
        <f>+L53-L54</f>
        <v>15986.900000000009</v>
      </c>
      <c r="M55" s="29" t="s">
        <v>0</v>
      </c>
      <c r="N55" s="12">
        <f>+N53-N54</f>
        <v>0</v>
      </c>
      <c r="O55" s="43">
        <v>0</v>
      </c>
      <c r="P55" s="12">
        <f>+P53-P54</f>
        <v>15521.900000000001</v>
      </c>
      <c r="R55" s="12">
        <f>+R53-R54</f>
        <v>19733.099999999999</v>
      </c>
      <c r="S55" s="46">
        <f t="shared" si="1"/>
        <v>0.59356375676330442</v>
      </c>
      <c r="T55" s="12">
        <f>+T53-T54</f>
        <v>12383</v>
      </c>
      <c r="U55" s="12">
        <f>+U53-U54</f>
        <v>54731.100000000006</v>
      </c>
    </row>
    <row r="56" spans="1:21">
      <c r="B56" s="12"/>
      <c r="C56" s="47" t="s">
        <v>0</v>
      </c>
      <c r="D56" s="12"/>
      <c r="E56" s="29" t="s">
        <v>0</v>
      </c>
      <c r="G56" s="44" t="s">
        <v>0</v>
      </c>
      <c r="K56" s="44" t="s">
        <v>0</v>
      </c>
      <c r="M56" s="29" t="s">
        <v>0</v>
      </c>
      <c r="O56" s="44" t="s">
        <v>0</v>
      </c>
      <c r="R56" s="12"/>
      <c r="S56" s="46"/>
      <c r="T56" s="12"/>
      <c r="U56" s="12"/>
    </row>
    <row r="57" spans="1:21">
      <c r="A57" t="s">
        <v>334</v>
      </c>
      <c r="B57" s="12"/>
      <c r="C57" s="47" t="s">
        <v>0</v>
      </c>
      <c r="D57" s="12"/>
      <c r="E57" s="29" t="s">
        <v>0</v>
      </c>
      <c r="G57" s="44" t="s">
        <v>0</v>
      </c>
      <c r="K57" s="44" t="s">
        <v>0</v>
      </c>
      <c r="M57" s="29" t="s">
        <v>0</v>
      </c>
      <c r="O57" s="44" t="s">
        <v>0</v>
      </c>
      <c r="R57" s="12"/>
      <c r="S57" s="47" t="s">
        <v>0</v>
      </c>
      <c r="T57" s="12"/>
      <c r="U57" s="12"/>
    </row>
    <row r="58" spans="1:21">
      <c r="A58" t="s">
        <v>335</v>
      </c>
      <c r="B58" s="12">
        <v>5445.6</v>
      </c>
      <c r="C58" s="46">
        <f>+(B58-D58)/ABS(D58)</f>
        <v>-0.1616995073891625</v>
      </c>
      <c r="D58" s="12">
        <f>3314.5+1217.1+1964.4</f>
        <v>6496</v>
      </c>
      <c r="E58" s="29" t="s">
        <v>0</v>
      </c>
      <c r="F58" s="12">
        <v>0</v>
      </c>
      <c r="G58" s="43">
        <v>0</v>
      </c>
      <c r="H58" s="12">
        <f>1561.1+1562+1387.5</f>
        <v>4510.6000000000004</v>
      </c>
      <c r="J58" s="12">
        <v>0</v>
      </c>
      <c r="K58" s="43">
        <v>0</v>
      </c>
      <c r="L58" s="12">
        <f>3516.1+3169.7</f>
        <v>6685.7999999999993</v>
      </c>
      <c r="M58" s="29" t="s">
        <v>0</v>
      </c>
      <c r="N58" s="12">
        <v>0</v>
      </c>
      <c r="O58" s="43">
        <v>0</v>
      </c>
      <c r="P58" s="12">
        <f>3357.5+4189.3+2187.3</f>
        <v>9734.1</v>
      </c>
      <c r="R58" s="12">
        <f>+B58</f>
        <v>5445.6</v>
      </c>
      <c r="S58" s="46">
        <f>+(R58-T58)/ABS(T58)</f>
        <v>-0.1616995073891625</v>
      </c>
      <c r="T58" s="12">
        <f>+D58</f>
        <v>6496</v>
      </c>
      <c r="U58" s="12">
        <f>+D58+H58+L58+P58</f>
        <v>27426.5</v>
      </c>
    </row>
    <row r="59" spans="1:21">
      <c r="A59" t="s">
        <v>336</v>
      </c>
      <c r="B59" s="12">
        <v>6733.3</v>
      </c>
      <c r="C59" s="46">
        <f>+(B59-D59)/ABS(D59)</f>
        <v>0.70062889904781145</v>
      </c>
      <c r="D59" s="12">
        <f>896.8+974.6+2087.9</f>
        <v>3959.3</v>
      </c>
      <c r="E59" s="29" t="s">
        <v>0</v>
      </c>
      <c r="F59" s="12">
        <v>0</v>
      </c>
      <c r="G59" s="43">
        <v>0</v>
      </c>
      <c r="H59" s="12">
        <f>1224+1229+2190</f>
        <v>4643</v>
      </c>
      <c r="J59" s="12">
        <v>0</v>
      </c>
      <c r="K59" s="43">
        <v>0</v>
      </c>
      <c r="L59" s="12">
        <f>3612.6+1907.8</f>
        <v>5520.4</v>
      </c>
      <c r="M59" s="29" t="s">
        <v>0</v>
      </c>
      <c r="N59" s="12">
        <v>0</v>
      </c>
      <c r="O59" s="43">
        <v>0</v>
      </c>
      <c r="P59" s="12">
        <f>2432.6+2655.4+1953.9</f>
        <v>7041.9</v>
      </c>
      <c r="R59" s="12">
        <f>+B59</f>
        <v>6733.3</v>
      </c>
      <c r="S59" s="46">
        <f>+(R59-T59)/ABS(T59)</f>
        <v>0.70062889904781145</v>
      </c>
      <c r="T59" s="12">
        <f>+D59</f>
        <v>3959.3</v>
      </c>
      <c r="U59" s="12">
        <f>+D59+H59+L59+P59</f>
        <v>21164.6</v>
      </c>
    </row>
    <row r="60" spans="1:21">
      <c r="A60" t="s">
        <v>284</v>
      </c>
      <c r="B60" s="240">
        <v>0</v>
      </c>
      <c r="C60" s="43">
        <v>0</v>
      </c>
      <c r="D60" s="240">
        <f>-45.9+494.5+597.9</f>
        <v>1046.5</v>
      </c>
      <c r="E60" s="29" t="s">
        <v>0</v>
      </c>
      <c r="F60" s="240">
        <v>0</v>
      </c>
      <c r="G60" s="43">
        <v>0</v>
      </c>
      <c r="H60" s="240">
        <f>825.1+446.7+270.1</f>
        <v>1541.9</v>
      </c>
      <c r="J60" s="248">
        <v>0</v>
      </c>
      <c r="K60" s="43">
        <v>0</v>
      </c>
      <c r="L60" s="248">
        <f>230.4+0.3</f>
        <v>230.70000000000002</v>
      </c>
      <c r="M60" s="29" t="s">
        <v>0</v>
      </c>
      <c r="N60" s="240">
        <v>0</v>
      </c>
      <c r="O60" s="43">
        <v>0</v>
      </c>
      <c r="P60" s="240">
        <f>12.5+92.7+792.4</f>
        <v>897.6</v>
      </c>
      <c r="R60" s="240">
        <f>+B60</f>
        <v>0</v>
      </c>
      <c r="S60" s="46">
        <f>+(R60-T60)/ABS(T60)</f>
        <v>-1</v>
      </c>
      <c r="T60" s="240">
        <f>+D60</f>
        <v>1046.5</v>
      </c>
      <c r="U60" s="240">
        <f>+D60+H60+L60+P60</f>
        <v>3716.7</v>
      </c>
    </row>
    <row r="61" spans="1:21">
      <c r="B61" s="12">
        <f>SUM(B58:B60)</f>
        <v>12178.900000000001</v>
      </c>
      <c r="C61" s="46">
        <f>+(B61-D61)/ABS(D61)</f>
        <v>5.8869046584013131E-2</v>
      </c>
      <c r="D61" s="12">
        <f>SUM(D58:D60)</f>
        <v>11501.8</v>
      </c>
      <c r="E61" s="29" t="s">
        <v>0</v>
      </c>
      <c r="F61" s="12">
        <f>SUM(F58:F60)</f>
        <v>0</v>
      </c>
      <c r="G61" s="43">
        <v>0</v>
      </c>
      <c r="H61" s="12">
        <f>SUM(H58:H60)</f>
        <v>10695.5</v>
      </c>
      <c r="J61" s="12">
        <f>SUM(J58:J60)</f>
        <v>0</v>
      </c>
      <c r="K61" s="43">
        <v>0</v>
      </c>
      <c r="L61" s="12">
        <f>SUM(L58:L60)</f>
        <v>12436.9</v>
      </c>
      <c r="M61" s="29" t="s">
        <v>0</v>
      </c>
      <c r="N61" s="12">
        <f>SUM(N58:N60)</f>
        <v>0</v>
      </c>
      <c r="O61" s="43">
        <v>0</v>
      </c>
      <c r="P61" s="12">
        <f>SUM(P58:P60)</f>
        <v>17673.599999999999</v>
      </c>
      <c r="R61" s="12">
        <f>SUM(R58:R60)</f>
        <v>12178.900000000001</v>
      </c>
      <c r="S61" s="46">
        <f>+(R61-T61)/ABS(T61)</f>
        <v>5.8869046584013131E-2</v>
      </c>
      <c r="T61" s="12">
        <f>SUM(T58:T60)</f>
        <v>11501.8</v>
      </c>
      <c r="U61" s="12">
        <f>SUM(U58:U60)</f>
        <v>52307.799999999996</v>
      </c>
    </row>
    <row r="62" spans="1:21">
      <c r="B62" s="240"/>
      <c r="C62" s="47" t="s">
        <v>0</v>
      </c>
      <c r="D62" s="240"/>
      <c r="E62" s="29" t="s">
        <v>0</v>
      </c>
      <c r="F62" s="240"/>
      <c r="G62" s="44" t="s">
        <v>0</v>
      </c>
      <c r="H62" s="240"/>
      <c r="J62" s="379"/>
      <c r="K62" s="44" t="s">
        <v>0</v>
      </c>
      <c r="L62" s="379"/>
      <c r="M62" s="29" t="s">
        <v>0</v>
      </c>
      <c r="N62" s="379"/>
      <c r="O62" s="44" t="s">
        <v>0</v>
      </c>
      <c r="P62" s="379"/>
      <c r="R62" s="240"/>
      <c r="S62" s="46"/>
      <c r="T62" s="240"/>
      <c r="U62" s="240"/>
    </row>
    <row r="63" spans="1:21">
      <c r="A63" t="s">
        <v>337</v>
      </c>
      <c r="B63" s="12">
        <f>+B55+B61</f>
        <v>31912</v>
      </c>
      <c r="C63" s="46">
        <f>+(B63-D63)/ABS(D63)</f>
        <v>0.33607984994640949</v>
      </c>
      <c r="D63" s="12">
        <f>+D55+D61</f>
        <v>23884.799999999999</v>
      </c>
      <c r="E63" s="29" t="s">
        <v>0</v>
      </c>
      <c r="F63" s="12">
        <f>+F55+F61</f>
        <v>0</v>
      </c>
      <c r="G63" s="43">
        <v>0</v>
      </c>
      <c r="H63" s="12">
        <f>+H55+H61</f>
        <v>21534.80000000001</v>
      </c>
      <c r="J63" s="12">
        <f>+J55+J61</f>
        <v>0</v>
      </c>
      <c r="K63" s="43">
        <v>0</v>
      </c>
      <c r="L63" s="12">
        <f>+L55+L61</f>
        <v>28423.80000000001</v>
      </c>
      <c r="M63" s="29" t="s">
        <v>0</v>
      </c>
      <c r="N63" s="12">
        <f>+N55+N61</f>
        <v>0</v>
      </c>
      <c r="O63" s="43">
        <v>0</v>
      </c>
      <c r="P63" s="12">
        <f>+P55+P61</f>
        <v>33195.5</v>
      </c>
      <c r="R63" s="12">
        <f>+R55+R61</f>
        <v>31912</v>
      </c>
      <c r="S63" s="46">
        <f>+(R63-T63)/ABS(T63)</f>
        <v>0.33607984994640949</v>
      </c>
      <c r="T63" s="12">
        <f>+T55+T61</f>
        <v>23884.799999999999</v>
      </c>
      <c r="U63" s="12">
        <f>+U55+U61</f>
        <v>107038.9</v>
      </c>
    </row>
    <row r="64" spans="1:21">
      <c r="B64" s="240"/>
      <c r="C64" s="47" t="s">
        <v>0</v>
      </c>
      <c r="D64" s="240"/>
      <c r="E64" s="29" t="s">
        <v>0</v>
      </c>
      <c r="F64" s="240"/>
      <c r="G64" s="44" t="s">
        <v>0</v>
      </c>
      <c r="H64" s="240"/>
      <c r="J64" s="379"/>
      <c r="K64" s="44" t="s">
        <v>0</v>
      </c>
      <c r="L64" s="379"/>
      <c r="M64" s="29" t="s">
        <v>0</v>
      </c>
      <c r="N64" s="379"/>
      <c r="O64" s="44" t="s">
        <v>0</v>
      </c>
      <c r="P64" s="379"/>
      <c r="R64" s="240"/>
      <c r="S64" s="46"/>
      <c r="T64" s="240"/>
      <c r="U64" s="240"/>
    </row>
    <row r="65" spans="1:21">
      <c r="A65" t="s">
        <v>338</v>
      </c>
      <c r="B65" s="12">
        <v>2300</v>
      </c>
      <c r="C65" s="46">
        <f>+(B65-D65)/ABS(D65)</f>
        <v>-0.28125</v>
      </c>
      <c r="D65" s="12">
        <f>1000+1200+1000</f>
        <v>3200</v>
      </c>
      <c r="E65" s="29" t="s">
        <v>0</v>
      </c>
      <c r="F65" s="12">
        <v>0</v>
      </c>
      <c r="G65" s="43">
        <v>0</v>
      </c>
      <c r="H65" s="12">
        <f>1100+700+1000</f>
        <v>2800</v>
      </c>
      <c r="J65" s="12">
        <v>0</v>
      </c>
      <c r="K65" s="43">
        <v>0</v>
      </c>
      <c r="L65" s="12">
        <f>2400+2100</f>
        <v>4500</v>
      </c>
      <c r="M65" s="29" t="s">
        <v>0</v>
      </c>
      <c r="N65" s="12">
        <v>0</v>
      </c>
      <c r="O65" s="43">
        <v>0</v>
      </c>
      <c r="P65" s="12">
        <f>1500+1000</f>
        <v>2500</v>
      </c>
      <c r="R65" s="12">
        <f>+B65</f>
        <v>2300</v>
      </c>
      <c r="S65" s="46">
        <f>+(R65-T65)/ABS(T65)</f>
        <v>-0.28125</v>
      </c>
      <c r="T65" s="12">
        <f>+D65</f>
        <v>3200</v>
      </c>
      <c r="U65" s="12">
        <f>+D65+H65+L65+P65</f>
        <v>13000</v>
      </c>
    </row>
    <row r="66" spans="1:21">
      <c r="B66" s="12"/>
      <c r="C66" s="47" t="s">
        <v>0</v>
      </c>
      <c r="D66" s="12"/>
      <c r="E66" s="29" t="s">
        <v>0</v>
      </c>
      <c r="F66" s="12"/>
      <c r="G66" s="44" t="s">
        <v>0</v>
      </c>
      <c r="H66" s="12"/>
      <c r="K66" s="44" t="s">
        <v>0</v>
      </c>
      <c r="M66" s="29" t="s">
        <v>0</v>
      </c>
      <c r="O66" s="44" t="s">
        <v>0</v>
      </c>
      <c r="R66" s="12"/>
      <c r="S66" s="46"/>
      <c r="T66" s="12"/>
      <c r="U66" s="12"/>
    </row>
    <row r="67" spans="1:21">
      <c r="A67" t="s">
        <v>339</v>
      </c>
      <c r="B67" s="240"/>
      <c r="C67" s="47" t="s">
        <v>0</v>
      </c>
      <c r="D67" s="240"/>
      <c r="E67" s="29" t="s">
        <v>0</v>
      </c>
      <c r="F67" s="240"/>
      <c r="G67" s="44" t="s">
        <v>0</v>
      </c>
      <c r="H67" s="240"/>
      <c r="J67" s="379"/>
      <c r="K67" s="44" t="s">
        <v>0</v>
      </c>
      <c r="L67" s="379"/>
      <c r="M67" s="29" t="s">
        <v>0</v>
      </c>
      <c r="N67" s="379"/>
      <c r="O67" s="44" t="s">
        <v>0</v>
      </c>
      <c r="P67" s="379"/>
      <c r="R67" s="240"/>
      <c r="S67" s="46"/>
      <c r="T67" s="240"/>
      <c r="U67" s="240"/>
    </row>
    <row r="68" spans="1:21">
      <c r="A68" t="s">
        <v>340</v>
      </c>
      <c r="B68" s="12">
        <f>+B63-B65</f>
        <v>29612</v>
      </c>
      <c r="C68" s="46">
        <f>+(B68-D68)/ABS(D68)</f>
        <v>0.43158261138613868</v>
      </c>
      <c r="D68" s="12">
        <f>+D63-D65</f>
        <v>20684.8</v>
      </c>
      <c r="E68" s="29" t="s">
        <v>0</v>
      </c>
      <c r="F68" s="12">
        <f>+F63-F65</f>
        <v>0</v>
      </c>
      <c r="G68" s="43">
        <v>0</v>
      </c>
      <c r="H68" s="12">
        <f>+H63-H65</f>
        <v>18734.80000000001</v>
      </c>
      <c r="J68" s="12">
        <f>+J63-J65</f>
        <v>0</v>
      </c>
      <c r="K68" s="43">
        <v>0</v>
      </c>
      <c r="L68" s="12">
        <f>+L63-L65</f>
        <v>23923.80000000001</v>
      </c>
      <c r="M68" s="29" t="s">
        <v>0</v>
      </c>
      <c r="N68" s="12">
        <f>+N63-N65</f>
        <v>0</v>
      </c>
      <c r="O68" s="43">
        <v>0</v>
      </c>
      <c r="P68" s="12">
        <f>+P63-P65</f>
        <v>30695.5</v>
      </c>
      <c r="R68" s="12">
        <f>+R63-R65</f>
        <v>29612</v>
      </c>
      <c r="S68" s="46">
        <f>+(R68-T68)/ABS(T68)</f>
        <v>0.43158261138613868</v>
      </c>
      <c r="T68" s="12">
        <f>+T63-T65</f>
        <v>20684.8</v>
      </c>
      <c r="U68" s="12">
        <f>+U63-U65</f>
        <v>94038.9</v>
      </c>
    </row>
    <row r="69" spans="1:21">
      <c r="B69" s="12"/>
      <c r="C69" s="47" t="s">
        <v>0</v>
      </c>
      <c r="D69" s="12"/>
      <c r="E69" s="29" t="s">
        <v>0</v>
      </c>
      <c r="F69" s="12"/>
      <c r="G69" s="44" t="s">
        <v>0</v>
      </c>
      <c r="H69" s="12"/>
      <c r="K69" s="44" t="s">
        <v>0</v>
      </c>
      <c r="M69" s="29" t="s">
        <v>0</v>
      </c>
      <c r="O69" s="44" t="s">
        <v>0</v>
      </c>
      <c r="R69" s="12"/>
      <c r="S69" s="46"/>
      <c r="T69" s="12"/>
      <c r="U69" s="12"/>
    </row>
    <row r="70" spans="1:21">
      <c r="A70" t="s">
        <v>341</v>
      </c>
      <c r="B70" s="12"/>
      <c r="C70" s="47" t="s">
        <v>0</v>
      </c>
      <c r="D70" s="12"/>
      <c r="E70" s="29" t="s">
        <v>0</v>
      </c>
      <c r="F70" s="12"/>
      <c r="G70" s="44" t="s">
        <v>0</v>
      </c>
      <c r="H70" s="12"/>
      <c r="K70" s="44" t="s">
        <v>0</v>
      </c>
      <c r="M70" s="29" t="s">
        <v>0</v>
      </c>
      <c r="O70" s="44" t="s">
        <v>0</v>
      </c>
      <c r="R70" s="12"/>
      <c r="S70" s="46"/>
      <c r="T70" s="12"/>
      <c r="U70" s="12"/>
    </row>
    <row r="71" spans="1:21">
      <c r="A71" t="s">
        <v>342</v>
      </c>
      <c r="B71" s="12">
        <v>8801.2000000000007</v>
      </c>
      <c r="C71" s="46">
        <f>+(B71-D71)/ABS(D71)</f>
        <v>0.25990609253321123</v>
      </c>
      <c r="D71" s="12">
        <f>2101.2+2338.8+2545.6</f>
        <v>6985.6</v>
      </c>
      <c r="E71" s="29" t="s">
        <v>0</v>
      </c>
      <c r="F71" s="12">
        <v>0</v>
      </c>
      <c r="G71" s="43">
        <v>0</v>
      </c>
      <c r="H71" s="12">
        <f>2124+2125.8+2191.4</f>
        <v>6441.2000000000007</v>
      </c>
      <c r="J71" s="12">
        <v>0</v>
      </c>
      <c r="K71" s="43">
        <v>0</v>
      </c>
      <c r="L71" s="12">
        <f>4444.6+2296.3</f>
        <v>6740.9000000000005</v>
      </c>
      <c r="M71" s="29" t="s">
        <v>0</v>
      </c>
      <c r="N71" s="12">
        <v>0</v>
      </c>
      <c r="O71" s="43">
        <v>0</v>
      </c>
      <c r="P71" s="12">
        <f>2343.3+2469.1+2700</f>
        <v>7512.4</v>
      </c>
      <c r="R71" s="12">
        <f>+B71</f>
        <v>8801.2000000000007</v>
      </c>
      <c r="S71" s="46">
        <f>+(R71-T71)/ABS(T71)</f>
        <v>0.25990609253321123</v>
      </c>
      <c r="T71" s="12">
        <f>+D71</f>
        <v>6985.6</v>
      </c>
      <c r="U71" s="12">
        <f>+D71+H71+L71+P71</f>
        <v>27680.1</v>
      </c>
    </row>
    <row r="72" spans="1:21">
      <c r="A72" t="s">
        <v>343</v>
      </c>
      <c r="B72" s="12">
        <v>840.3</v>
      </c>
      <c r="C72" s="46">
        <f>+(B72-D72)/ABS(D72)</f>
        <v>0.22599941639918295</v>
      </c>
      <c r="D72" s="12">
        <f>214.1+212.1+259.2</f>
        <v>685.4</v>
      </c>
      <c r="E72" s="29" t="s">
        <v>0</v>
      </c>
      <c r="F72" s="12">
        <v>0</v>
      </c>
      <c r="G72" s="43">
        <v>0</v>
      </c>
      <c r="H72" s="12">
        <f>246.1+163.6+317.3</f>
        <v>727</v>
      </c>
      <c r="J72" s="12">
        <v>0</v>
      </c>
      <c r="K72" s="43">
        <v>0</v>
      </c>
      <c r="L72" s="12">
        <f>489.4+256.6</f>
        <v>746</v>
      </c>
      <c r="M72" s="29" t="s">
        <v>0</v>
      </c>
      <c r="N72" s="12">
        <v>0</v>
      </c>
      <c r="O72" s="43">
        <v>0</v>
      </c>
      <c r="P72" s="12">
        <f>485.8+271.9+347.7</f>
        <v>1105.4000000000001</v>
      </c>
      <c r="R72" s="12">
        <f>+B72</f>
        <v>840.3</v>
      </c>
      <c r="S72" s="46">
        <f>+(R72-T72)/ABS(T72)</f>
        <v>0.22599941639918295</v>
      </c>
      <c r="T72" s="12">
        <f>+D72</f>
        <v>685.4</v>
      </c>
      <c r="U72" s="12">
        <f>+D72+H72+L72+P72</f>
        <v>3263.8</v>
      </c>
    </row>
    <row r="73" spans="1:21">
      <c r="A73" t="s">
        <v>344</v>
      </c>
      <c r="B73" s="12">
        <v>1909.8</v>
      </c>
      <c r="C73" s="46">
        <f>+(B73-D73)/ABS(D73)</f>
        <v>0.14318209026696999</v>
      </c>
      <c r="D73" s="12">
        <f>557.9+544.6+568.1</f>
        <v>1670.6</v>
      </c>
      <c r="E73" s="29" t="s">
        <v>0</v>
      </c>
      <c r="F73" s="12">
        <v>0</v>
      </c>
      <c r="G73" s="43">
        <v>0</v>
      </c>
      <c r="H73" s="12">
        <f>571.4+504.7+571.6</f>
        <v>1647.6999999999998</v>
      </c>
      <c r="J73" s="12">
        <v>0</v>
      </c>
      <c r="K73" s="43">
        <v>0</v>
      </c>
      <c r="L73" s="12">
        <f>1134.7+562.4</f>
        <v>1697.1</v>
      </c>
      <c r="M73" s="29" t="s">
        <v>0</v>
      </c>
      <c r="N73" s="12">
        <v>0</v>
      </c>
      <c r="O73" s="43">
        <v>0</v>
      </c>
      <c r="P73" s="12">
        <f>596.9+599+581.1</f>
        <v>1777</v>
      </c>
      <c r="R73" s="12">
        <f>+B73</f>
        <v>1909.8</v>
      </c>
      <c r="S73" s="46">
        <f>+(R73-T73)/ABS(T73)</f>
        <v>0.14318209026696999</v>
      </c>
      <c r="T73" s="12">
        <f>+D73</f>
        <v>1670.6</v>
      </c>
      <c r="U73" s="12">
        <f>+D73+H73+L73+P73</f>
        <v>6792.4</v>
      </c>
    </row>
    <row r="74" spans="1:21">
      <c r="A74" t="s">
        <v>345</v>
      </c>
      <c r="B74" s="240">
        <v>11556.7</v>
      </c>
      <c r="C74" s="46">
        <f>+(B74-D74)/ABS(D74)</f>
        <v>0.32623739083533221</v>
      </c>
      <c r="D74" s="240">
        <f>2580.2+2534.8+3598.9</f>
        <v>8713.9</v>
      </c>
      <c r="E74" s="29" t="s">
        <v>0</v>
      </c>
      <c r="F74" s="240">
        <v>0</v>
      </c>
      <c r="G74" s="43">
        <v>0</v>
      </c>
      <c r="H74" s="240">
        <f>2439.4+2541.4+2660.6</f>
        <v>7641.4</v>
      </c>
      <c r="J74" s="240">
        <v>0</v>
      </c>
      <c r="K74" s="43">
        <v>0</v>
      </c>
      <c r="L74" s="240">
        <f>5394.3+3199.2</f>
        <v>8593.5</v>
      </c>
      <c r="M74" s="29" t="s">
        <v>0</v>
      </c>
      <c r="N74" s="240">
        <v>0</v>
      </c>
      <c r="O74" s="43">
        <v>0</v>
      </c>
      <c r="P74" s="240">
        <f>3719.5+3692.9+3353.7</f>
        <v>10766.099999999999</v>
      </c>
      <c r="R74" s="240">
        <f>+B74</f>
        <v>11556.7</v>
      </c>
      <c r="S74" s="46">
        <f>+(R74-T74)/ABS(T74)</f>
        <v>0.32623739083533221</v>
      </c>
      <c r="T74" s="240">
        <f>+D74</f>
        <v>8713.9</v>
      </c>
      <c r="U74" s="240">
        <f>+D74+H74+L74+P74</f>
        <v>35714.899999999994</v>
      </c>
    </row>
    <row r="75" spans="1:21">
      <c r="B75" s="12">
        <f>SUM(B71:B74)</f>
        <v>23108</v>
      </c>
      <c r="C75" s="46">
        <f>+(B75-D75)/ABS(D75)</f>
        <v>0.27983163025117003</v>
      </c>
      <c r="D75" s="12">
        <f>SUM(D71:D74)</f>
        <v>18055.5</v>
      </c>
      <c r="E75" s="29" t="s">
        <v>0</v>
      </c>
      <c r="F75" s="12">
        <f>SUM(F71:F74)</f>
        <v>0</v>
      </c>
      <c r="G75" s="43">
        <v>0</v>
      </c>
      <c r="H75" s="12">
        <f>SUM(H71:H74)</f>
        <v>16457.300000000003</v>
      </c>
      <c r="J75" s="12">
        <f>SUM(J71:J74)</f>
        <v>0</v>
      </c>
      <c r="K75" s="43">
        <v>0</v>
      </c>
      <c r="L75" s="12">
        <f>SUM(L71:L74)</f>
        <v>17777.5</v>
      </c>
      <c r="M75" s="29" t="s">
        <v>0</v>
      </c>
      <c r="N75" s="12">
        <f>SUM(N71:N74)</f>
        <v>0</v>
      </c>
      <c r="O75" s="43">
        <v>0</v>
      </c>
      <c r="P75" s="12">
        <f>SUM(P71:P74)</f>
        <v>21160.899999999998</v>
      </c>
      <c r="R75" s="12">
        <f>SUM(R71:R74)</f>
        <v>23108</v>
      </c>
      <c r="S75" s="46">
        <f>+(R75-T75)/ABS(T75)</f>
        <v>0.27983163025117003</v>
      </c>
      <c r="T75" s="12">
        <f>SUM(T71:T74)</f>
        <v>18055.5</v>
      </c>
      <c r="U75" s="12">
        <f>SUM(U71:U74)</f>
        <v>73451.199999999983</v>
      </c>
    </row>
    <row r="76" spans="1:21">
      <c r="B76" s="240"/>
      <c r="C76" s="47" t="s">
        <v>0</v>
      </c>
      <c r="D76" s="240"/>
      <c r="E76" s="29" t="s">
        <v>0</v>
      </c>
      <c r="F76" s="240"/>
      <c r="G76" s="43"/>
      <c r="H76" s="240"/>
      <c r="J76" s="379"/>
      <c r="K76" s="43"/>
      <c r="L76" s="379"/>
      <c r="M76" s="29" t="s">
        <v>0</v>
      </c>
      <c r="N76" s="379"/>
      <c r="O76" s="43"/>
      <c r="P76" s="379"/>
      <c r="R76" s="240"/>
      <c r="S76" s="46"/>
      <c r="T76" s="240"/>
      <c r="U76" s="240"/>
    </row>
    <row r="77" spans="1:21">
      <c r="A77" t="s">
        <v>346</v>
      </c>
      <c r="B77" s="12">
        <f>+B68-B75</f>
        <v>6504</v>
      </c>
      <c r="C77" s="46">
        <f>+(B77-D77)/ABS(D77)</f>
        <v>1.4736621914578032</v>
      </c>
      <c r="D77" s="12">
        <f>+D68-D75</f>
        <v>2629.2999999999993</v>
      </c>
      <c r="E77" s="29" t="s">
        <v>0</v>
      </c>
      <c r="F77" s="12">
        <f>+F68-F75</f>
        <v>0</v>
      </c>
      <c r="G77" s="43">
        <v>0</v>
      </c>
      <c r="H77" s="12">
        <f>+H68-H75</f>
        <v>2277.5000000000073</v>
      </c>
      <c r="J77" s="12">
        <f>+J68-J75</f>
        <v>0</v>
      </c>
      <c r="K77" s="43">
        <v>0</v>
      </c>
      <c r="L77" s="12">
        <f>+L68-L75</f>
        <v>6146.3000000000102</v>
      </c>
      <c r="M77" s="29" t="s">
        <v>0</v>
      </c>
      <c r="N77" s="12">
        <f>+N68-N75</f>
        <v>0</v>
      </c>
      <c r="O77" s="43">
        <v>0</v>
      </c>
      <c r="P77" s="12">
        <f>+P68-P75</f>
        <v>9534.6000000000022</v>
      </c>
      <c r="R77" s="12">
        <f>+R68-R75</f>
        <v>6504</v>
      </c>
      <c r="S77" s="46">
        <f>+(R77-T77)/ABS(T77)</f>
        <v>1.4736621914578032</v>
      </c>
      <c r="T77" s="12">
        <f>+T68-T75</f>
        <v>2629.2999999999993</v>
      </c>
      <c r="U77" s="12">
        <f>+U68-U75</f>
        <v>20587.700000000012</v>
      </c>
    </row>
    <row r="78" spans="1:21">
      <c r="B78" s="12"/>
      <c r="C78" s="47" t="s">
        <v>0</v>
      </c>
      <c r="D78" s="12"/>
      <c r="E78" s="29" t="s">
        <v>0</v>
      </c>
      <c r="F78" s="12"/>
      <c r="G78" s="44" t="s">
        <v>0</v>
      </c>
      <c r="H78" s="12"/>
      <c r="K78" s="44" t="s">
        <v>0</v>
      </c>
      <c r="M78" s="29" t="s">
        <v>0</v>
      </c>
      <c r="O78" s="44" t="s">
        <v>0</v>
      </c>
      <c r="R78" s="12"/>
      <c r="S78" s="46"/>
      <c r="T78" s="12"/>
      <c r="U78" s="12"/>
    </row>
    <row r="79" spans="1:21">
      <c r="A79" t="s">
        <v>347</v>
      </c>
      <c r="B79" s="12">
        <v>700</v>
      </c>
      <c r="C79" s="46">
        <f>+(B79-D79)/ABS(D79)</f>
        <v>-6.6666666666666666E-2</v>
      </c>
      <c r="D79" s="12">
        <f>350+400</f>
        <v>750</v>
      </c>
      <c r="E79" s="29" t="s">
        <v>0</v>
      </c>
      <c r="F79" s="12">
        <v>0</v>
      </c>
      <c r="G79" s="43">
        <v>0</v>
      </c>
      <c r="H79" s="12">
        <f>50+285</f>
        <v>335</v>
      </c>
      <c r="J79" s="12">
        <v>0</v>
      </c>
      <c r="K79" s="43">
        <v>0</v>
      </c>
      <c r="L79" s="12">
        <f>700+450</f>
        <v>1150</v>
      </c>
      <c r="M79" s="29" t="s">
        <v>0</v>
      </c>
      <c r="N79" s="12">
        <v>0</v>
      </c>
      <c r="O79" s="43">
        <v>0</v>
      </c>
      <c r="P79" s="12">
        <f>500+400+355</f>
        <v>1255</v>
      </c>
      <c r="R79" s="12">
        <f>+B79</f>
        <v>700</v>
      </c>
      <c r="S79" s="46">
        <f>+(R79-T79)/ABS(T79)</f>
        <v>-6.6666666666666666E-2</v>
      </c>
      <c r="T79" s="12">
        <f>+D79</f>
        <v>750</v>
      </c>
      <c r="U79" s="12">
        <f>+D79+H79+L79+P79</f>
        <v>3490</v>
      </c>
    </row>
    <row r="80" spans="1:21" ht="16.5" thickBot="1">
      <c r="B80" s="76"/>
      <c r="C80" s="47" t="s">
        <v>0</v>
      </c>
      <c r="D80" s="76"/>
      <c r="E80" s="29" t="s">
        <v>0</v>
      </c>
      <c r="F80" s="76"/>
      <c r="G80" s="44" t="s">
        <v>0</v>
      </c>
      <c r="H80" s="76"/>
      <c r="J80" s="30"/>
      <c r="K80" s="44" t="s">
        <v>0</v>
      </c>
      <c r="L80" s="30"/>
      <c r="M80" s="29" t="s">
        <v>0</v>
      </c>
      <c r="N80" s="30"/>
      <c r="O80" s="44" t="s">
        <v>0</v>
      </c>
      <c r="P80" s="30"/>
      <c r="R80" s="76"/>
      <c r="S80" s="46"/>
      <c r="T80" s="76"/>
      <c r="U80" s="76"/>
    </row>
    <row r="81" spans="1:21" s="2" customFormat="1">
      <c r="A81" s="2" t="s">
        <v>427</v>
      </c>
      <c r="B81" s="4">
        <f>+B77-B79</f>
        <v>5804</v>
      </c>
      <c r="C81" s="112">
        <f>+(B81-D81)/ABS(D81)</f>
        <v>2.0883839727558144</v>
      </c>
      <c r="D81" s="4">
        <f>+D77-D79</f>
        <v>1879.2999999999993</v>
      </c>
      <c r="E81" s="146" t="s">
        <v>0</v>
      </c>
      <c r="F81" s="4">
        <f>+F77-F79</f>
        <v>0</v>
      </c>
      <c r="G81" s="42">
        <v>0</v>
      </c>
      <c r="H81" s="4">
        <f>+H77-H79</f>
        <v>1942.5000000000073</v>
      </c>
      <c r="I81" s="146"/>
      <c r="J81" s="4">
        <f>+J77-J79</f>
        <v>0</v>
      </c>
      <c r="K81" s="42">
        <v>0</v>
      </c>
      <c r="L81" s="4">
        <f>+L77-L79</f>
        <v>4996.3000000000102</v>
      </c>
      <c r="M81" s="146" t="s">
        <v>0</v>
      </c>
      <c r="N81" s="4">
        <f>+N77-N79</f>
        <v>0</v>
      </c>
      <c r="O81" s="42">
        <v>0</v>
      </c>
      <c r="P81" s="4">
        <f>+P77-P79</f>
        <v>8279.6000000000022</v>
      </c>
      <c r="Q81" s="146"/>
      <c r="R81" s="4">
        <f>+R77-R79</f>
        <v>5804</v>
      </c>
      <c r="S81" s="112">
        <f>+(R81-T81)/ABS(T81)</f>
        <v>2.0883839727558144</v>
      </c>
      <c r="T81" s="4">
        <f>+T77-T79</f>
        <v>1879.2999999999993</v>
      </c>
      <c r="U81" s="4">
        <f>+U77-U79</f>
        <v>17097.700000000012</v>
      </c>
    </row>
    <row r="82" spans="1:21">
      <c r="E82" s="29"/>
      <c r="M82" s="29"/>
    </row>
    <row r="83" spans="1:21">
      <c r="E83" s="29"/>
      <c r="F83" s="29" t="s">
        <v>0</v>
      </c>
      <c r="M83" s="29"/>
      <c r="N83" s="29" t="s">
        <v>0</v>
      </c>
    </row>
    <row r="84" spans="1:21">
      <c r="B84" s="565" t="s">
        <v>261</v>
      </c>
      <c r="D84" s="565" t="s">
        <v>261</v>
      </c>
      <c r="E84" s="29" t="s">
        <v>0</v>
      </c>
      <c r="F84" s="565" t="s">
        <v>261</v>
      </c>
      <c r="H84" s="565" t="s">
        <v>261</v>
      </c>
      <c r="M84" s="29" t="s">
        <v>0</v>
      </c>
    </row>
    <row r="85" spans="1:21">
      <c r="B85" s="26" t="s">
        <v>353</v>
      </c>
      <c r="D85" s="26" t="s">
        <v>533</v>
      </c>
      <c r="F85" s="26" t="s">
        <v>534</v>
      </c>
      <c r="H85" s="26" t="s">
        <v>535</v>
      </c>
      <c r="M85" s="29" t="s">
        <v>0</v>
      </c>
    </row>
    <row r="86" spans="1:21">
      <c r="A86" t="s">
        <v>536</v>
      </c>
      <c r="B86" s="29" t="s">
        <v>0</v>
      </c>
      <c r="D86" s="29" t="s">
        <v>0</v>
      </c>
      <c r="F86" s="29" t="s">
        <v>0</v>
      </c>
      <c r="H86" s="29" t="s">
        <v>0</v>
      </c>
      <c r="M86" s="29" t="s">
        <v>0</v>
      </c>
    </row>
    <row r="87" spans="1:21">
      <c r="A87" t="s">
        <v>329</v>
      </c>
      <c r="B87" s="16" t="s">
        <v>0</v>
      </c>
    </row>
    <row r="88" spans="1:21">
      <c r="A88" t="s">
        <v>330</v>
      </c>
      <c r="B88" s="12">
        <f>+(11540187.88+12883493.55+11045073)/1000</f>
        <v>35468.754430000001</v>
      </c>
      <c r="D88" s="12">
        <v>0</v>
      </c>
      <c r="F88" s="12">
        <v>0</v>
      </c>
      <c r="H88" s="12">
        <v>0</v>
      </c>
    </row>
    <row r="89" spans="1:21" ht="18">
      <c r="A89" t="s">
        <v>537</v>
      </c>
      <c r="B89" s="6">
        <v>0</v>
      </c>
      <c r="D89" s="6">
        <v>0</v>
      </c>
      <c r="F89" s="6">
        <v>0</v>
      </c>
      <c r="H89" s="6">
        <v>0</v>
      </c>
    </row>
    <row r="90" spans="1:21">
      <c r="B90" s="12">
        <f>SUM(B88:B89)</f>
        <v>35468.754430000001</v>
      </c>
      <c r="D90" s="12">
        <f>SUM(D88:D89)</f>
        <v>0</v>
      </c>
      <c r="F90" s="12">
        <f>SUM(F88:F89)</f>
        <v>0</v>
      </c>
      <c r="H90" s="12">
        <f>SUM(H88:H89)</f>
        <v>0</v>
      </c>
    </row>
    <row r="91" spans="1:21">
      <c r="A91" t="s">
        <v>333</v>
      </c>
      <c r="B91" s="12">
        <f>+(7032475.12+7893843.43+7590154)/1000</f>
        <v>22516.472550000002</v>
      </c>
      <c r="D91" s="12">
        <v>0</v>
      </c>
      <c r="F91" s="12">
        <v>0</v>
      </c>
      <c r="H91" s="12">
        <v>0</v>
      </c>
    </row>
    <row r="92" spans="1:21">
      <c r="B92" s="12">
        <f>+B90-B91</f>
        <v>12952.281879999999</v>
      </c>
      <c r="D92" s="12">
        <f>+D90-D91</f>
        <v>0</v>
      </c>
      <c r="F92" s="12">
        <f>+F90-F91</f>
        <v>0</v>
      </c>
      <c r="H92" s="12">
        <f>+H90-H91</f>
        <v>0</v>
      </c>
    </row>
    <row r="93" spans="1:21">
      <c r="B93" s="12"/>
      <c r="D93" s="12"/>
      <c r="F93" s="12"/>
      <c r="H93" s="12"/>
    </row>
    <row r="94" spans="1:21">
      <c r="A94" t="s">
        <v>334</v>
      </c>
      <c r="B94" s="12"/>
      <c r="D94" s="12"/>
      <c r="F94" s="12"/>
      <c r="H94" s="12"/>
    </row>
    <row r="95" spans="1:21">
      <c r="A95" t="s">
        <v>335</v>
      </c>
      <c r="B95" s="16">
        <f>+(1676096.52+803322.95+667965)/1000</f>
        <v>3147.38447</v>
      </c>
      <c r="D95" s="16">
        <v>0</v>
      </c>
      <c r="F95" s="16">
        <v>0</v>
      </c>
      <c r="H95" s="16">
        <v>0</v>
      </c>
    </row>
    <row r="96" spans="1:21">
      <c r="A96" t="s">
        <v>336</v>
      </c>
      <c r="B96" s="12">
        <f>+(-121167.35+1196191.91+495639)/1000</f>
        <v>1570.6635599999997</v>
      </c>
      <c r="D96" s="12">
        <v>0</v>
      </c>
      <c r="F96" s="12">
        <v>0</v>
      </c>
      <c r="H96" s="12">
        <v>0</v>
      </c>
    </row>
    <row r="97" spans="1:8">
      <c r="A97" t="s">
        <v>284</v>
      </c>
      <c r="B97" s="12">
        <v>0</v>
      </c>
      <c r="D97" s="12">
        <v>0</v>
      </c>
      <c r="F97" s="12">
        <v>0</v>
      </c>
      <c r="H97" s="12">
        <v>0</v>
      </c>
    </row>
    <row r="98" spans="1:8">
      <c r="B98" s="12">
        <f>SUM(B95:B97)</f>
        <v>4718.0480299999999</v>
      </c>
      <c r="D98" s="12">
        <f>SUM(D95:D97)</f>
        <v>0</v>
      </c>
      <c r="F98" s="12">
        <f>SUM(F95:F97)</f>
        <v>0</v>
      </c>
      <c r="H98" s="12">
        <f>SUM(H95:H97)</f>
        <v>0</v>
      </c>
    </row>
    <row r="99" spans="1:8">
      <c r="B99" s="12"/>
      <c r="D99" s="12"/>
      <c r="F99" s="12"/>
      <c r="H99" s="12"/>
    </row>
    <row r="100" spans="1:8">
      <c r="A100" t="s">
        <v>337</v>
      </c>
      <c r="B100" s="12">
        <f>+B92+B98</f>
        <v>17670.32991</v>
      </c>
      <c r="D100" s="12">
        <f>+D92+D98</f>
        <v>0</v>
      </c>
      <c r="F100" s="12">
        <f>+F92+F98</f>
        <v>0</v>
      </c>
      <c r="H100" s="12">
        <f>+H92+H98</f>
        <v>0</v>
      </c>
    </row>
    <row r="101" spans="1:8">
      <c r="B101" s="12"/>
      <c r="D101" s="12"/>
      <c r="F101" s="12"/>
      <c r="H101" s="12"/>
    </row>
    <row r="102" spans="1:8">
      <c r="A102" t="s">
        <v>538</v>
      </c>
      <c r="B102" s="12">
        <f>+(500000+750000+250000)/1000</f>
        <v>1500</v>
      </c>
      <c r="D102" s="12">
        <v>0</v>
      </c>
      <c r="F102" s="12">
        <v>0</v>
      </c>
      <c r="H102" s="12">
        <v>0</v>
      </c>
    </row>
    <row r="103" spans="1:8">
      <c r="B103" s="12"/>
      <c r="D103" s="12"/>
      <c r="F103" s="12"/>
      <c r="H103" s="12"/>
    </row>
    <row r="104" spans="1:8">
      <c r="A104" t="s">
        <v>339</v>
      </c>
      <c r="B104" s="12"/>
      <c r="D104" s="12"/>
      <c r="F104" s="12"/>
      <c r="H104" s="12"/>
    </row>
    <row r="105" spans="1:8">
      <c r="A105" t="s">
        <v>340</v>
      </c>
      <c r="B105" s="12">
        <f>+B100-B102</f>
        <v>16170.32991</v>
      </c>
      <c r="D105" s="12">
        <f>+D100-D102</f>
        <v>0</v>
      </c>
      <c r="F105" s="12">
        <f>+F100-F102</f>
        <v>0</v>
      </c>
      <c r="H105" s="12">
        <f>+H100-H102</f>
        <v>0</v>
      </c>
    </row>
    <row r="106" spans="1:8">
      <c r="B106" s="12"/>
      <c r="D106" s="12"/>
      <c r="F106" s="12"/>
      <c r="H106" s="12"/>
    </row>
    <row r="107" spans="1:8">
      <c r="A107" t="s">
        <v>341</v>
      </c>
      <c r="B107" s="12"/>
      <c r="D107" s="12"/>
      <c r="F107" s="12"/>
      <c r="H107" s="12"/>
    </row>
    <row r="108" spans="1:8">
      <c r="A108" t="s">
        <v>342</v>
      </c>
      <c r="B108" s="12">
        <f>+(1825408.02+1460460.25+1935200)/1000</f>
        <v>5221.0682699999998</v>
      </c>
      <c r="D108" s="12">
        <v>0</v>
      </c>
      <c r="F108" s="12">
        <v>0</v>
      </c>
      <c r="H108" s="12">
        <v>0</v>
      </c>
    </row>
    <row r="109" spans="1:8">
      <c r="A109" t="s">
        <v>343</v>
      </c>
      <c r="B109" s="12">
        <f>+(317024.55+293573.2+534379)/1000</f>
        <v>1144.97675</v>
      </c>
      <c r="D109" s="12">
        <v>0</v>
      </c>
      <c r="F109" s="12">
        <v>0</v>
      </c>
      <c r="H109" s="12">
        <v>0</v>
      </c>
    </row>
    <row r="110" spans="1:8">
      <c r="A110" t="s">
        <v>344</v>
      </c>
      <c r="B110" s="12">
        <f>+(430000+530000+520000)/1000</f>
        <v>1480</v>
      </c>
      <c r="D110" s="12">
        <v>0</v>
      </c>
      <c r="F110" s="12">
        <v>0</v>
      </c>
      <c r="H110" s="12">
        <v>0</v>
      </c>
    </row>
    <row r="111" spans="1:8">
      <c r="A111" t="s">
        <v>345</v>
      </c>
      <c r="B111" s="12">
        <f>+(2067763.46+1268706.8+1367214)/1000</f>
        <v>4703.68426</v>
      </c>
      <c r="D111" s="12">
        <v>0</v>
      </c>
      <c r="F111" s="12">
        <v>0</v>
      </c>
      <c r="H111" s="12">
        <v>0</v>
      </c>
    </row>
    <row r="112" spans="1:8">
      <c r="B112" s="12">
        <f>SUM(B108:B111)</f>
        <v>12549.72928</v>
      </c>
      <c r="D112" s="12">
        <f>SUM(D108:D111)</f>
        <v>0</v>
      </c>
      <c r="F112" s="12">
        <f>SUM(F108:F111)</f>
        <v>0</v>
      </c>
      <c r="H112" s="12">
        <f>SUM(H108:H111)</f>
        <v>0</v>
      </c>
    </row>
    <row r="113" spans="1:8">
      <c r="B113" s="12"/>
      <c r="D113" s="12"/>
      <c r="F113" s="12"/>
      <c r="H113" s="12"/>
    </row>
    <row r="114" spans="1:8">
      <c r="A114" t="s">
        <v>346</v>
      </c>
      <c r="B114" s="12">
        <f>+B105-B112</f>
        <v>3620.6006300000008</v>
      </c>
      <c r="D114" s="12">
        <f>+D105-D112</f>
        <v>0</v>
      </c>
      <c r="F114" s="12">
        <f>+F105-F112</f>
        <v>0</v>
      </c>
      <c r="H114" s="12">
        <f>+H105-H112</f>
        <v>0</v>
      </c>
    </row>
    <row r="115" spans="1:8">
      <c r="B115" s="12"/>
      <c r="D115" s="12"/>
      <c r="F115" s="12"/>
      <c r="H115" s="12"/>
    </row>
    <row r="116" spans="1:8">
      <c r="A116" t="s">
        <v>347</v>
      </c>
      <c r="B116" s="12">
        <f>+(120000+880000)/1000</f>
        <v>1000</v>
      </c>
      <c r="D116" s="12">
        <v>0</v>
      </c>
      <c r="F116" s="12">
        <v>0</v>
      </c>
      <c r="H116" s="12">
        <v>0</v>
      </c>
    </row>
    <row r="117" spans="1:8">
      <c r="B117" s="12"/>
      <c r="D117" s="12"/>
      <c r="F117" s="12"/>
      <c r="H117" s="12"/>
    </row>
    <row r="118" spans="1:8">
      <c r="A118" t="s">
        <v>539</v>
      </c>
      <c r="B118" s="12">
        <f>+B114-B116</f>
        <v>2620.6006300000008</v>
      </c>
      <c r="D118" s="12">
        <f>+D114-D116</f>
        <v>0</v>
      </c>
      <c r="F118" s="12">
        <f>+F114-F116</f>
        <v>0</v>
      </c>
      <c r="H118" s="12">
        <f>+H114-H116</f>
        <v>0</v>
      </c>
    </row>
    <row r="121" spans="1:8">
      <c r="B121" s="29" t="s">
        <v>0</v>
      </c>
    </row>
  </sheetData>
  <pageMargins left="0.22" right="0.2" top="0.41" bottom="0.48" header="0.31" footer="0.27"/>
  <pageSetup scale="44" orientation="landscape" r:id="rId1"/>
  <headerFooter alignWithMargins="0">
    <oddFooter>&amp;R&amp;16&amp;P</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sheetViews>
  <sheetFormatPr defaultRowHeight="15.75"/>
  <cols>
    <col min="1" max="1" width="50" customWidth="1"/>
    <col min="2" max="2" width="15.75" customWidth="1"/>
    <col min="3" max="3" width="11" customWidth="1"/>
    <col min="4" max="4" width="15.75" customWidth="1"/>
    <col min="5" max="5" width="6.125" customWidth="1"/>
    <col min="6" max="6" width="16" customWidth="1"/>
    <col min="7" max="7" width="11"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638</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643</v>
      </c>
      <c r="C8" s="114"/>
      <c r="D8" s="34"/>
      <c r="E8" s="2"/>
      <c r="F8" s="114" t="s">
        <v>206</v>
      </c>
      <c r="G8" s="114"/>
      <c r="H8" s="114"/>
      <c r="I8" s="114"/>
      <c r="J8" s="114"/>
      <c r="K8" s="114"/>
      <c r="L8" s="114"/>
    </row>
    <row r="9" spans="1:14" ht="16.5" thickBot="1">
      <c r="B9" s="247" t="s">
        <v>185</v>
      </c>
      <c r="C9" s="226" t="s">
        <v>169</v>
      </c>
      <c r="D9" s="226">
        <v>1999</v>
      </c>
      <c r="E9" s="2"/>
      <c r="F9" s="226">
        <v>1999</v>
      </c>
      <c r="G9" s="226" t="s">
        <v>169</v>
      </c>
      <c r="H9" s="226">
        <v>1998</v>
      </c>
      <c r="I9" s="226" t="s">
        <v>169</v>
      </c>
      <c r="J9" s="226">
        <v>1997</v>
      </c>
      <c r="K9" s="226" t="s">
        <v>169</v>
      </c>
      <c r="L9" s="226">
        <v>1996</v>
      </c>
    </row>
    <row r="10" spans="1:14">
      <c r="A10" t="s">
        <v>328</v>
      </c>
    </row>
    <row r="11" spans="1:14">
      <c r="A11" t="s">
        <v>329</v>
      </c>
      <c r="B11" s="12" t="str">
        <f>+SOCABKRÉSULT!R49</f>
        <v xml:space="preserve"> </v>
      </c>
      <c r="C11" s="115" t="s">
        <v>0</v>
      </c>
      <c r="D11" s="12" t="str">
        <f>+SOCABKRÉSULT!T49</f>
        <v xml:space="preserve"> </v>
      </c>
      <c r="E11" s="44" t="s">
        <v>0</v>
      </c>
      <c r="F11" s="12" t="str">
        <f>+SOCABKRÉSULT!T49</f>
        <v xml:space="preserve"> </v>
      </c>
      <c r="G11" s="47" t="s">
        <v>0</v>
      </c>
      <c r="J11" s="12"/>
      <c r="L11" s="12"/>
      <c r="M11" s="43"/>
      <c r="N11" s="43"/>
    </row>
    <row r="12" spans="1:14">
      <c r="A12" t="s">
        <v>330</v>
      </c>
      <c r="B12" s="12">
        <f>+SOCABKRÉSULT!R50</f>
        <v>52505.1</v>
      </c>
      <c r="C12" s="46">
        <f t="shared" ref="C12:C17" si="0">+(B12-D12)/ABS(D12)</f>
        <v>0.31969446385393768</v>
      </c>
      <c r="D12" s="12">
        <f>+SOCABKRÉSULT!T50</f>
        <v>39785.800000000003</v>
      </c>
      <c r="E12" s="44"/>
      <c r="F12" s="12">
        <f>+SOCABKRÉSULT!U50</f>
        <v>170747.2</v>
      </c>
      <c r="G12" s="46">
        <f t="shared" ref="G12:G17" si="1">+(F12-H12)/ABS(H12)</f>
        <v>6.8921695428383417E-2</v>
      </c>
      <c r="H12" s="12">
        <v>159737.79999999999</v>
      </c>
      <c r="I12" s="46">
        <f>+(H12-J12)/ABS(J12)</f>
        <v>0.82642022879161203</v>
      </c>
      <c r="J12" s="12">
        <v>87459.5</v>
      </c>
      <c r="K12" s="46">
        <f>+(J12-L12)/ABS(L12)</f>
        <v>2.1786694288466082</v>
      </c>
      <c r="L12" s="12">
        <v>27514.5</v>
      </c>
      <c r="M12" s="43"/>
      <c r="N12" s="43"/>
    </row>
    <row r="13" spans="1:14">
      <c r="A13" t="s">
        <v>354</v>
      </c>
      <c r="B13" s="12">
        <f>+SOCABKRÉSULT!R51</f>
        <v>4677.3999999999996</v>
      </c>
      <c r="C13" s="104">
        <f t="shared" si="0"/>
        <v>0.42036379095684911</v>
      </c>
      <c r="D13" s="12">
        <f>+SOCABKRÉSULT!T51</f>
        <v>3293.1</v>
      </c>
      <c r="E13" s="44"/>
      <c r="F13" s="12">
        <f>+SOCABKRÉSULT!U51</f>
        <v>12564.3</v>
      </c>
      <c r="G13" s="1078">
        <f t="shared" si="1"/>
        <v>1184.3113207547169</v>
      </c>
      <c r="H13" s="12">
        <v>10.6</v>
      </c>
      <c r="I13" s="43">
        <v>0</v>
      </c>
      <c r="J13" s="12">
        <v>0</v>
      </c>
      <c r="K13" s="43">
        <v>0</v>
      </c>
      <c r="L13" s="12">
        <v>0</v>
      </c>
      <c r="M13" s="43"/>
      <c r="N13" s="43"/>
    </row>
    <row r="14" spans="1:14">
      <c r="A14" t="s">
        <v>332</v>
      </c>
      <c r="B14" s="221">
        <f>+SOCABKRÉSULT!R52</f>
        <v>1758.5</v>
      </c>
      <c r="C14" s="46">
        <f t="shared" si="0"/>
        <v>-0.17075356031311906</v>
      </c>
      <c r="D14" s="240">
        <f>+SOCABKRÉSULT!T52</f>
        <v>2120.6000000000004</v>
      </c>
      <c r="E14" s="44"/>
      <c r="F14" s="240">
        <f>+SOCABKRÉSULT!U52</f>
        <v>7423.0000000000009</v>
      </c>
      <c r="G14" s="46">
        <f t="shared" si="1"/>
        <v>0.57882423004934502</v>
      </c>
      <c r="H14" s="240">
        <v>4701.6000000000004</v>
      </c>
      <c r="I14" s="46">
        <f>+(H14-J14)/ABS(J14)</f>
        <v>2.4826666666666668</v>
      </c>
      <c r="J14" s="240">
        <v>1350</v>
      </c>
      <c r="K14" s="46">
        <f>+(J14-L14)/ABS(L14)</f>
        <v>-0.67182828110946347</v>
      </c>
      <c r="L14" s="240">
        <v>4113.7</v>
      </c>
      <c r="M14" s="43"/>
      <c r="N14" s="210"/>
    </row>
    <row r="15" spans="1:14">
      <c r="B15" s="12">
        <f>SUM(B12:B14)</f>
        <v>58941</v>
      </c>
      <c r="C15" s="46">
        <f t="shared" si="0"/>
        <v>0.30401884976603721</v>
      </c>
      <c r="D15" s="12">
        <f>SUM(D12:D14)</f>
        <v>45199.5</v>
      </c>
      <c r="E15" s="44"/>
      <c r="F15" s="12">
        <f>SUM(F12:F14)</f>
        <v>190734.5</v>
      </c>
      <c r="G15" s="46">
        <f t="shared" si="1"/>
        <v>0.15983277591973244</v>
      </c>
      <c r="H15" s="12">
        <f>SUM(H12:H14)</f>
        <v>164450</v>
      </c>
      <c r="I15" s="46">
        <f>+(H15-J15)/ABS(J15)</f>
        <v>0.85171631413306004</v>
      </c>
      <c r="J15" s="12">
        <f>SUM(J12:J14)</f>
        <v>88809.5</v>
      </c>
      <c r="K15" s="46">
        <f>+(J15-L15)/ABS(L15)</f>
        <v>1.8079214119045661</v>
      </c>
      <c r="L15" s="12">
        <f>SUM(L12:L14)</f>
        <v>31628.2</v>
      </c>
      <c r="M15" s="43"/>
      <c r="N15" s="43"/>
    </row>
    <row r="16" spans="1:14">
      <c r="A16" t="s">
        <v>333</v>
      </c>
      <c r="B16" s="240">
        <f>+SOCABKRÉSULT!R54</f>
        <v>39207.9</v>
      </c>
      <c r="C16" s="46">
        <f t="shared" si="0"/>
        <v>0.19476178142093159</v>
      </c>
      <c r="D16" s="240">
        <f>+SOCABKRÉSULT!T54</f>
        <v>32816.5</v>
      </c>
      <c r="E16" s="44" t="s">
        <v>0</v>
      </c>
      <c r="F16" s="240">
        <f>+SOCABKRÉSULT!U54</f>
        <v>136003.4</v>
      </c>
      <c r="G16" s="46">
        <f t="shared" si="1"/>
        <v>0.26605121980054597</v>
      </c>
      <c r="H16" s="240">
        <v>107423.3</v>
      </c>
      <c r="I16" s="46">
        <f>+(H16-J16)/ABS(J16)</f>
        <v>1.3371639423798658</v>
      </c>
      <c r="J16" s="240">
        <v>45963.1</v>
      </c>
      <c r="K16" s="46">
        <f>+(J16-L16)/ABS(L16)</f>
        <v>2.0686254873684771</v>
      </c>
      <c r="L16" s="240">
        <v>14978.4</v>
      </c>
      <c r="M16" s="43"/>
      <c r="N16" s="43"/>
    </row>
    <row r="17" spans="1:14" s="209" customFormat="1">
      <c r="B17" s="16">
        <f>+B15-B16</f>
        <v>19733.099999999999</v>
      </c>
      <c r="C17" s="46">
        <f t="shared" si="0"/>
        <v>0.59356375676330442</v>
      </c>
      <c r="D17" s="16">
        <f>+D15-D16</f>
        <v>12383</v>
      </c>
      <c r="E17" s="44" t="s">
        <v>0</v>
      </c>
      <c r="F17" s="16">
        <f>+F15-F16</f>
        <v>54731.100000000006</v>
      </c>
      <c r="G17" s="46">
        <f t="shared" si="1"/>
        <v>-4.0254828001620141E-2</v>
      </c>
      <c r="H17" s="16">
        <f>+H15-H16</f>
        <v>57026.7</v>
      </c>
      <c r="I17" s="46">
        <f>+(H17-J17)/ABS(J17)</f>
        <v>0.3309566264610328</v>
      </c>
      <c r="J17" s="16">
        <f>+J15-J16</f>
        <v>42846.400000000001</v>
      </c>
      <c r="K17" s="46">
        <f>+(J17-L17)/ABS(L17)</f>
        <v>1.5733882689281549</v>
      </c>
      <c r="L17" s="16">
        <f>+L15-L16</f>
        <v>16649.800000000003</v>
      </c>
      <c r="M17" s="44"/>
      <c r="N17" s="44"/>
    </row>
    <row r="18" spans="1:14">
      <c r="B18" s="12"/>
      <c r="C18" s="46"/>
      <c r="D18" s="12"/>
      <c r="E18" s="44"/>
      <c r="F18" s="12"/>
      <c r="G18" s="46"/>
      <c r="H18" s="12"/>
      <c r="I18" s="43"/>
      <c r="J18" s="12"/>
      <c r="K18" s="43"/>
      <c r="L18" s="12"/>
      <c r="M18" s="43"/>
      <c r="N18" s="43"/>
    </row>
    <row r="19" spans="1:14">
      <c r="A19" t="s">
        <v>334</v>
      </c>
      <c r="B19" s="12"/>
      <c r="C19" s="46"/>
      <c r="D19" s="12"/>
      <c r="E19" s="44" t="s">
        <v>0</v>
      </c>
      <c r="F19" s="12"/>
      <c r="G19" s="46"/>
      <c r="H19" s="12"/>
      <c r="I19" s="43"/>
      <c r="J19" s="12"/>
      <c r="K19" s="43"/>
      <c r="L19" s="12"/>
      <c r="M19" s="43"/>
      <c r="N19" s="43"/>
    </row>
    <row r="20" spans="1:14">
      <c r="A20" t="s">
        <v>335</v>
      </c>
      <c r="B20" s="12">
        <f>+SOCABKRÉSULT!R58</f>
        <v>5445.6</v>
      </c>
      <c r="C20" s="46">
        <f>+(B20-D20)/ABS(D20)</f>
        <v>-0.1616995073891625</v>
      </c>
      <c r="D20" s="12">
        <f>+SOCABKRÉSULT!T58</f>
        <v>6496</v>
      </c>
      <c r="E20" s="44" t="s">
        <v>0</v>
      </c>
      <c r="F20" s="12">
        <f>+SOCABKRÉSULT!U58</f>
        <v>27426.5</v>
      </c>
      <c r="G20" s="46">
        <f>+(F20-H20)/ABS(H20)</f>
        <v>0.9992200370300176</v>
      </c>
      <c r="H20" s="12">
        <v>13718.6</v>
      </c>
      <c r="I20" s="46">
        <f>+(H20-J20)/ABS(J20)</f>
        <v>-4.8680360040497618E-2</v>
      </c>
      <c r="J20" s="12">
        <v>14420.6</v>
      </c>
      <c r="K20" s="46">
        <f>+(J20-L20)/ABS(L20)</f>
        <v>0.47723291572337362</v>
      </c>
      <c r="L20" s="12">
        <v>9761.9</v>
      </c>
      <c r="M20" s="43"/>
      <c r="N20" s="43"/>
    </row>
    <row r="21" spans="1:14">
      <c r="A21" t="s">
        <v>336</v>
      </c>
      <c r="B21" s="12">
        <f>+SOCABKRÉSULT!R59</f>
        <v>6733.3</v>
      </c>
      <c r="C21" s="46">
        <f>+(B21-D21)/ABS(D21)</f>
        <v>0.70062889904781145</v>
      </c>
      <c r="D21" s="12">
        <f>+SOCABKRÉSULT!T59</f>
        <v>3959.3</v>
      </c>
      <c r="E21" s="44" t="s">
        <v>0</v>
      </c>
      <c r="F21" s="12">
        <f>+SOCABKRÉSULT!U59</f>
        <v>21164.6</v>
      </c>
      <c r="G21" s="46">
        <f>+(F21-H21)/ABS(H21)</f>
        <v>1.3247072779596227</v>
      </c>
      <c r="H21" s="12">
        <v>9104.2000000000007</v>
      </c>
      <c r="I21" s="46">
        <f>+(H21-J21)/ABS(J21)</f>
        <v>2.6079099627486726</v>
      </c>
      <c r="J21" s="12">
        <v>2523.4</v>
      </c>
      <c r="K21" s="46">
        <f>+(J21-L21)/ABS(L21)</f>
        <v>3.7838282471004361E-2</v>
      </c>
      <c r="L21" s="12">
        <v>2431.4</v>
      </c>
      <c r="M21" s="43"/>
      <c r="N21" s="43"/>
    </row>
    <row r="22" spans="1:14">
      <c r="A22" t="s">
        <v>284</v>
      </c>
      <c r="B22" s="240">
        <f>+SOCABKRÉSULT!R60</f>
        <v>0</v>
      </c>
      <c r="C22" s="43">
        <v>0</v>
      </c>
      <c r="D22" s="240">
        <f>+SOCABKRÉSULT!T60</f>
        <v>1046.5</v>
      </c>
      <c r="E22" s="44" t="s">
        <v>0</v>
      </c>
      <c r="F22" s="240">
        <f>+SOCABKRÉSULT!U60</f>
        <v>3716.7</v>
      </c>
      <c r="G22" s="46">
        <f>+(F22-H22)/ABS(H22)</f>
        <v>3.974836032659617</v>
      </c>
      <c r="H22" s="240">
        <v>747.1</v>
      </c>
      <c r="I22" s="46">
        <f>+(H22-J22)/ABS(J22)</f>
        <v>5.4128755364806871</v>
      </c>
      <c r="J22" s="240">
        <v>116.5</v>
      </c>
      <c r="K22" s="43">
        <v>0</v>
      </c>
      <c r="L22" s="240">
        <v>1186.3</v>
      </c>
      <c r="M22" s="43"/>
      <c r="N22" s="43"/>
    </row>
    <row r="23" spans="1:14" s="209" customFormat="1">
      <c r="B23" s="16">
        <f>SUM(B20:B22)</f>
        <v>12178.900000000001</v>
      </c>
      <c r="C23" s="46">
        <f>+(B23-D23)/ABS(D23)</f>
        <v>5.8869046584013131E-2</v>
      </c>
      <c r="D23" s="16">
        <f>SUM(D20:D22)</f>
        <v>11501.8</v>
      </c>
      <c r="E23" s="44" t="s">
        <v>0</v>
      </c>
      <c r="F23" s="16">
        <f>SUM(F20:F22)</f>
        <v>52307.799999999996</v>
      </c>
      <c r="G23" s="46">
        <f>+(F23-H23)/ABS(H23)</f>
        <v>1.2192627037026034</v>
      </c>
      <c r="H23" s="16">
        <f>SUM(H20:H22)</f>
        <v>23569.9</v>
      </c>
      <c r="I23" s="46">
        <f>+(H23-J23)/ABS(J23)</f>
        <v>0.38154802028076562</v>
      </c>
      <c r="J23" s="16">
        <f>SUM(J20:J22)</f>
        <v>17060.5</v>
      </c>
      <c r="K23" s="46">
        <f>+(J23-L23)/ABS(L23)</f>
        <v>0.27511285838141664</v>
      </c>
      <c r="L23" s="16">
        <f>SUM(L20:L22)</f>
        <v>13379.599999999999</v>
      </c>
      <c r="M23" s="44"/>
      <c r="N23" s="44"/>
    </row>
    <row r="24" spans="1:14">
      <c r="B24" s="240"/>
      <c r="C24" s="46"/>
      <c r="D24" s="240"/>
      <c r="E24" s="44"/>
      <c r="F24" s="240"/>
      <c r="G24" s="46"/>
      <c r="H24" s="240"/>
      <c r="I24" s="43"/>
      <c r="J24" s="240"/>
      <c r="K24" s="43"/>
      <c r="L24" s="240"/>
      <c r="M24" s="43"/>
      <c r="N24" s="43"/>
    </row>
    <row r="25" spans="1:14" s="209" customFormat="1">
      <c r="A25" s="209" t="s">
        <v>337</v>
      </c>
      <c r="B25" s="16">
        <f>+B17+B23</f>
        <v>31912</v>
      </c>
      <c r="C25" s="46">
        <f>+(B25-D25)/ABS(D25)</f>
        <v>0.33607984994640949</v>
      </c>
      <c r="D25" s="16">
        <f>+D17+D23</f>
        <v>23884.799999999999</v>
      </c>
      <c r="E25" s="44" t="s">
        <v>0</v>
      </c>
      <c r="F25" s="16">
        <f>+F17+F23</f>
        <v>107038.9</v>
      </c>
      <c r="G25" s="46">
        <f>+(F25-H25)/ABS(H25)</f>
        <v>0.32808207790403054</v>
      </c>
      <c r="H25" s="16">
        <f>+H17+H23</f>
        <v>80596.600000000006</v>
      </c>
      <c r="I25" s="46">
        <f>+(H25-J25)/ABS(J25)</f>
        <v>0.34536422348677703</v>
      </c>
      <c r="J25" s="16">
        <f>+J17+J23</f>
        <v>59906.9</v>
      </c>
      <c r="K25" s="46">
        <f>+(J25-L25)/ABS(L25)</f>
        <v>0.99494162387526885</v>
      </c>
      <c r="L25" s="16">
        <f>+L17+L23</f>
        <v>30029.4</v>
      </c>
      <c r="M25" s="44"/>
      <c r="N25" s="44"/>
    </row>
    <row r="26" spans="1:14">
      <c r="B26" s="12"/>
      <c r="C26" s="46"/>
      <c r="D26" s="12"/>
      <c r="E26" s="44" t="s">
        <v>0</v>
      </c>
      <c r="F26" s="12"/>
      <c r="G26" s="46"/>
      <c r="H26" s="12"/>
      <c r="I26" s="43"/>
      <c r="J26" s="12"/>
      <c r="K26" s="43"/>
      <c r="L26" s="12"/>
      <c r="M26" s="43"/>
      <c r="N26" s="43"/>
    </row>
    <row r="27" spans="1:14">
      <c r="A27" t="s">
        <v>338</v>
      </c>
      <c r="B27" s="12">
        <f>+SOCABKRÉSULT!R65</f>
        <v>2300</v>
      </c>
      <c r="C27" s="46">
        <f>+(B27-D27)/ABS(D27)</f>
        <v>-0.28125</v>
      </c>
      <c r="D27" s="12">
        <f>+SOCABKRÉSULT!T65</f>
        <v>3200</v>
      </c>
      <c r="E27" s="44" t="s">
        <v>0</v>
      </c>
      <c r="F27" s="12">
        <f>+SOCABKRÉSULT!U65</f>
        <v>13000</v>
      </c>
      <c r="G27" s="46">
        <f>+(F27-H27)/ABS(H27)</f>
        <v>0.30937512590145444</v>
      </c>
      <c r="H27" s="12">
        <v>9928.4</v>
      </c>
      <c r="I27" s="46">
        <f>+(H27-J27)/ABS(J27)</f>
        <v>2.6829141627717186</v>
      </c>
      <c r="J27" s="12">
        <v>2695.8</v>
      </c>
      <c r="K27" s="43">
        <v>0</v>
      </c>
      <c r="L27" s="12">
        <v>3898.7</v>
      </c>
      <c r="M27" s="43"/>
      <c r="N27" s="43"/>
    </row>
    <row r="28" spans="1:14">
      <c r="B28" s="12"/>
      <c r="C28" s="46"/>
      <c r="D28" s="16" t="s">
        <v>0</v>
      </c>
      <c r="E28" s="44" t="s">
        <v>0</v>
      </c>
      <c r="F28" s="12"/>
      <c r="G28" s="46"/>
      <c r="H28" s="12"/>
      <c r="I28" s="43"/>
      <c r="J28" s="12"/>
      <c r="K28" s="44" t="s">
        <v>0</v>
      </c>
      <c r="L28" s="12"/>
      <c r="M28" s="43"/>
      <c r="N28" s="43"/>
    </row>
    <row r="29" spans="1:14">
      <c r="A29" t="s">
        <v>339</v>
      </c>
      <c r="B29" s="240"/>
      <c r="C29" s="46"/>
      <c r="D29" s="240"/>
      <c r="E29" s="44" t="s">
        <v>0</v>
      </c>
      <c r="F29" s="240"/>
      <c r="G29" s="46"/>
      <c r="H29" s="240"/>
      <c r="I29" s="43"/>
      <c r="J29" s="240"/>
      <c r="K29" s="43"/>
      <c r="L29" s="240"/>
      <c r="M29" s="43"/>
      <c r="N29" s="43"/>
    </row>
    <row r="30" spans="1:14" s="209" customFormat="1">
      <c r="A30" s="209" t="s">
        <v>340</v>
      </c>
      <c r="B30" s="16">
        <f>+B25-B27</f>
        <v>29612</v>
      </c>
      <c r="C30" s="46">
        <f>+(B30-D30)/ABS(D30)</f>
        <v>0.43158261138613868</v>
      </c>
      <c r="D30" s="16">
        <f>+D25-D27</f>
        <v>20684.8</v>
      </c>
      <c r="E30" s="44" t="s">
        <v>0</v>
      </c>
      <c r="F30" s="16">
        <f>+F25-F27</f>
        <v>94038.9</v>
      </c>
      <c r="G30" s="46">
        <f>+(F30-H30)/ABS(H30)</f>
        <v>0.33071027704115824</v>
      </c>
      <c r="H30" s="16">
        <f>+H25-H27</f>
        <v>70668.200000000012</v>
      </c>
      <c r="I30" s="46">
        <f>+(H30-J30)/ABS(J30)</f>
        <v>0.23521834049686186</v>
      </c>
      <c r="J30" s="16">
        <f>+J25-J27</f>
        <v>57211.1</v>
      </c>
      <c r="K30" s="46">
        <f>+(J30-L30)/ABS(L30)</f>
        <v>1.1894208727665159</v>
      </c>
      <c r="L30" s="16">
        <f>+L25-L27</f>
        <v>26130.7</v>
      </c>
      <c r="M30" s="44"/>
      <c r="N30" s="44"/>
    </row>
    <row r="31" spans="1:14">
      <c r="B31" s="12"/>
      <c r="C31" s="46"/>
      <c r="D31" s="12"/>
      <c r="E31" s="44" t="s">
        <v>0</v>
      </c>
      <c r="F31" s="12"/>
      <c r="G31" s="46"/>
      <c r="H31" s="12"/>
      <c r="I31" s="43"/>
      <c r="J31" s="12"/>
      <c r="K31" s="43"/>
      <c r="L31" s="12"/>
      <c r="M31" s="43"/>
      <c r="N31" s="43"/>
    </row>
    <row r="32" spans="1:14">
      <c r="A32" t="s">
        <v>341</v>
      </c>
      <c r="B32" s="12"/>
      <c r="C32" s="46"/>
      <c r="D32" s="12"/>
      <c r="E32" s="44" t="s">
        <v>0</v>
      </c>
      <c r="F32" s="12"/>
      <c r="G32" s="46"/>
      <c r="H32" s="12"/>
      <c r="I32" s="43"/>
      <c r="J32" s="12"/>
      <c r="K32" s="43"/>
      <c r="L32" s="12"/>
      <c r="M32" s="43"/>
      <c r="N32" s="43"/>
    </row>
    <row r="33" spans="1:14">
      <c r="A33" t="s">
        <v>342</v>
      </c>
      <c r="B33" s="12">
        <f>+SOCABKRÉSULT!R71</f>
        <v>8801.2000000000007</v>
      </c>
      <c r="C33" s="46">
        <f>+(B33-D33)/ABS(D33)</f>
        <v>0.25990609253321123</v>
      </c>
      <c r="D33" s="12">
        <f>+SOCABKRÉSULT!T71</f>
        <v>6985.6</v>
      </c>
      <c r="E33" s="44" t="s">
        <v>0</v>
      </c>
      <c r="F33" s="12">
        <f>+SOCABKRÉSULT!U71</f>
        <v>27680.1</v>
      </c>
      <c r="G33" s="46">
        <f>+(F33-H33)/ABS(H33)</f>
        <v>0.2512193468188495</v>
      </c>
      <c r="H33" s="12">
        <v>22122.5</v>
      </c>
      <c r="I33" s="46">
        <f>+(H33-J33)/ABS(J33)</f>
        <v>0.43485818431822754</v>
      </c>
      <c r="J33" s="12">
        <v>15417.9</v>
      </c>
      <c r="K33" s="46">
        <f>+(J33-L33)/ABS(L33)</f>
        <v>0.67717126446784448</v>
      </c>
      <c r="L33" s="12">
        <v>9192.7999999999993</v>
      </c>
      <c r="M33" s="43"/>
      <c r="N33" s="43"/>
    </row>
    <row r="34" spans="1:14">
      <c r="A34" t="s">
        <v>343</v>
      </c>
      <c r="B34" s="12">
        <f>+SOCABKRÉSULT!R72</f>
        <v>840.3</v>
      </c>
      <c r="C34" s="46">
        <f>+(B34-D34)/ABS(D34)</f>
        <v>0.22599941639918295</v>
      </c>
      <c r="D34" s="12">
        <f>+SOCABKRÉSULT!T72</f>
        <v>685.4</v>
      </c>
      <c r="E34" s="44" t="s">
        <v>0</v>
      </c>
      <c r="F34" s="12">
        <f>+SOCABKRÉSULT!U72</f>
        <v>3263.8</v>
      </c>
      <c r="G34" s="46">
        <f>+(F34-H34)/ABS(H34)</f>
        <v>3.830247502704081E-2</v>
      </c>
      <c r="H34" s="12">
        <v>3143.4</v>
      </c>
      <c r="I34" s="46">
        <f>+(H34-J34)/ABS(J34)</f>
        <v>-5.9200287321920189E-2</v>
      </c>
      <c r="J34" s="12">
        <v>3341.2</v>
      </c>
      <c r="K34" s="46">
        <f>+(J34-L34)/ABS(L34)</f>
        <v>0.55462497673552957</v>
      </c>
      <c r="L34" s="12">
        <v>2149.1999999999998</v>
      </c>
      <c r="M34" s="43"/>
      <c r="N34" s="43"/>
    </row>
    <row r="35" spans="1:14">
      <c r="A35" t="s">
        <v>344</v>
      </c>
      <c r="B35" s="12">
        <f>+SOCABKRÉSULT!R73</f>
        <v>1909.8</v>
      </c>
      <c r="C35" s="46">
        <f>+(B35-D35)/ABS(D35)</f>
        <v>0.14318209026696999</v>
      </c>
      <c r="D35" s="12">
        <f>+SOCABKRÉSULT!T73</f>
        <v>1670.6</v>
      </c>
      <c r="E35" s="44" t="s">
        <v>0</v>
      </c>
      <c r="F35" s="12">
        <f>+SOCABKRÉSULT!U73</f>
        <v>6792.4</v>
      </c>
      <c r="G35" s="46">
        <f>+(F35-H35)/ABS(H35)</f>
        <v>9.6521107434013986E-2</v>
      </c>
      <c r="H35" s="12">
        <v>6194.5</v>
      </c>
      <c r="I35" s="46">
        <f>+(H35-J35)/ABS(J35)</f>
        <v>0.37450906428206898</v>
      </c>
      <c r="J35" s="12">
        <v>4506.7</v>
      </c>
      <c r="K35" s="46">
        <f>+(J35-L35)/ABS(L35)</f>
        <v>0.43297297297297294</v>
      </c>
      <c r="L35" s="12">
        <v>3145</v>
      </c>
      <c r="M35" s="43"/>
      <c r="N35" s="43"/>
    </row>
    <row r="36" spans="1:14">
      <c r="A36" t="s">
        <v>345</v>
      </c>
      <c r="B36" s="240">
        <f>+SOCABKRÉSULT!R74</f>
        <v>11556.7</v>
      </c>
      <c r="C36" s="46">
        <f>+(B36-D36)/ABS(D36)</f>
        <v>0.32623739083533221</v>
      </c>
      <c r="D36" s="240">
        <f>+SOCABKRÉSULT!T74</f>
        <v>8713.9</v>
      </c>
      <c r="E36" s="44" t="s">
        <v>0</v>
      </c>
      <c r="F36" s="240">
        <f>+SOCABKRÉSULT!U74</f>
        <v>35714.899999999994</v>
      </c>
      <c r="G36" s="46">
        <f>+(F36-H36)/ABS(H36)</f>
        <v>0.37433716858429195</v>
      </c>
      <c r="H36" s="240">
        <v>25987</v>
      </c>
      <c r="I36" s="46">
        <f>+(H36-J36)/ABS(J36)</f>
        <v>0.71972920568323939</v>
      </c>
      <c r="J36" s="240">
        <v>15111.1</v>
      </c>
      <c r="K36" s="46">
        <f>+(J36-L36)/ABS(L36)</f>
        <v>0.91001706376793279</v>
      </c>
      <c r="L36" s="240">
        <v>7911.5</v>
      </c>
      <c r="M36" s="43"/>
      <c r="N36" s="210"/>
    </row>
    <row r="37" spans="1:14" s="209" customFormat="1">
      <c r="B37" s="16">
        <f>SUM(B33:B36)</f>
        <v>23108</v>
      </c>
      <c r="C37" s="46">
        <f>+(B37-D37)/ABS(D37)</f>
        <v>0.27983163025117003</v>
      </c>
      <c r="D37" s="16">
        <f>SUM(D33:D36)</f>
        <v>18055.5</v>
      </c>
      <c r="E37" s="44" t="s">
        <v>0</v>
      </c>
      <c r="F37" s="16">
        <f>SUM(F33:F36)</f>
        <v>73451.199999999983</v>
      </c>
      <c r="G37" s="46">
        <f>+(F37-H37)/ABS(H37)</f>
        <v>0.27858179830592822</v>
      </c>
      <c r="H37" s="16">
        <f>SUM(H33:H36)</f>
        <v>57447.4</v>
      </c>
      <c r="I37" s="46">
        <f>+(H37-J37)/ABS(J37)</f>
        <v>0.49692653653630176</v>
      </c>
      <c r="J37" s="16">
        <f>SUM(J33:J36)</f>
        <v>38376.9</v>
      </c>
      <c r="K37" s="46">
        <f>+(J37-L37)/ABS(L37)</f>
        <v>0.71336919883027883</v>
      </c>
      <c r="L37" s="16">
        <f>SUM(L33:L36)</f>
        <v>22398.5</v>
      </c>
      <c r="M37" s="44"/>
      <c r="N37" s="44"/>
    </row>
    <row r="38" spans="1:14">
      <c r="B38" s="249"/>
      <c r="C38" s="112"/>
      <c r="D38" s="249"/>
      <c r="E38" s="42"/>
      <c r="F38" s="249"/>
      <c r="G38" s="112"/>
      <c r="H38" s="249"/>
      <c r="I38" s="42"/>
      <c r="J38" s="249"/>
      <c r="K38" s="42"/>
      <c r="L38" s="249"/>
      <c r="M38" s="43"/>
      <c r="N38" s="43"/>
    </row>
    <row r="39" spans="1:14" s="209" customFormat="1">
      <c r="A39" s="209" t="s">
        <v>346</v>
      </c>
      <c r="B39" s="16">
        <f>+B30-B37</f>
        <v>6504</v>
      </c>
      <c r="C39" s="46">
        <f>+(B39-D39)/ABS(D39)</f>
        <v>1.4736621914578032</v>
      </c>
      <c r="D39" s="16">
        <f>+D30-D37</f>
        <v>2629.2999999999993</v>
      </c>
      <c r="E39" s="44" t="s">
        <v>0</v>
      </c>
      <c r="F39" s="16">
        <f>+F30-F37</f>
        <v>20587.700000000012</v>
      </c>
      <c r="G39" s="46">
        <f>+(F39-H39)/ABS(H39)</f>
        <v>0.55722044051797137</v>
      </c>
      <c r="H39" s="16">
        <f>+H30-H37</f>
        <v>13220.80000000001</v>
      </c>
      <c r="I39" s="46">
        <f>+(H39-J39)/ABS(J39)</f>
        <v>-0.29804292191863674</v>
      </c>
      <c r="J39" s="16">
        <f>+J30-J37</f>
        <v>18834.199999999997</v>
      </c>
      <c r="K39" s="46">
        <f>+(J39-L39)/ABS(L39)</f>
        <v>4.0464069449654341</v>
      </c>
      <c r="L39" s="16">
        <f>+L30-L37</f>
        <v>3732.2000000000007</v>
      </c>
      <c r="M39" s="44"/>
      <c r="N39" s="44"/>
    </row>
    <row r="40" spans="1:14">
      <c r="B40" s="12"/>
      <c r="C40" s="46"/>
      <c r="D40" s="12"/>
      <c r="E40" s="44" t="s">
        <v>0</v>
      </c>
      <c r="F40" s="12"/>
      <c r="G40" s="46"/>
      <c r="H40" s="12"/>
      <c r="I40" s="43"/>
      <c r="J40" s="12"/>
      <c r="K40" s="43"/>
      <c r="L40" s="12"/>
      <c r="M40" s="43"/>
      <c r="N40" s="43"/>
    </row>
    <row r="41" spans="1:14">
      <c r="A41" t="s">
        <v>347</v>
      </c>
      <c r="B41" s="12">
        <f>+SOCABKRÉSULT!R79</f>
        <v>700</v>
      </c>
      <c r="C41" s="46">
        <f>+(B41-D41)/ABS(D41)</f>
        <v>-6.6666666666666666E-2</v>
      </c>
      <c r="D41" s="12">
        <f>+SOCABKRÉSULT!T79</f>
        <v>750</v>
      </c>
      <c r="E41" s="44" t="s">
        <v>0</v>
      </c>
      <c r="F41" s="12">
        <f>+SOCABKRÉSULT!U79</f>
        <v>3490</v>
      </c>
      <c r="G41" s="46">
        <f>+(F41-H41)/ABS(H41)</f>
        <v>0.2690909090909091</v>
      </c>
      <c r="H41" s="12">
        <v>2750</v>
      </c>
      <c r="I41" s="46">
        <f>+(H41-J41)/ABS(J41)</f>
        <v>0.99593554942662221</v>
      </c>
      <c r="J41" s="12">
        <v>1377.8</v>
      </c>
      <c r="K41" s="46">
        <f>+(J41-L41)/ABS(L41)</f>
        <v>12.833333333333334</v>
      </c>
      <c r="L41" s="12">
        <v>99.6</v>
      </c>
      <c r="M41" s="43"/>
      <c r="N41" s="43"/>
    </row>
    <row r="42" spans="1:14" ht="16.5" thickBot="1">
      <c r="B42" s="76"/>
      <c r="C42" s="46"/>
      <c r="D42" s="76"/>
      <c r="E42" s="44" t="s">
        <v>0</v>
      </c>
      <c r="F42" s="76"/>
      <c r="G42" s="46"/>
      <c r="H42" s="76"/>
      <c r="I42" s="43"/>
      <c r="J42" s="76"/>
      <c r="K42" s="43"/>
      <c r="L42" s="76"/>
      <c r="M42" s="43"/>
      <c r="N42" s="43"/>
    </row>
    <row r="43" spans="1:14">
      <c r="A43" s="2" t="s">
        <v>427</v>
      </c>
      <c r="B43" s="4">
        <f>+B39-B41</f>
        <v>5804</v>
      </c>
      <c r="C43" s="112">
        <f>+(B43-D43)/ABS(D43)</f>
        <v>2.0883839727558144</v>
      </c>
      <c r="D43" s="4">
        <f>+D39-D41</f>
        <v>1879.2999999999993</v>
      </c>
      <c r="E43" s="42" t="s">
        <v>0</v>
      </c>
      <c r="F43" s="4">
        <f>+F39-F41</f>
        <v>17097.700000000012</v>
      </c>
      <c r="G43" s="112">
        <f>+(F43-H43)/ABS(H43)</f>
        <v>0.63289337968445536</v>
      </c>
      <c r="H43" s="4">
        <f>+H39-H41</f>
        <v>10470.80000000001</v>
      </c>
      <c r="I43" s="112">
        <f>+(H43-J43)/ABS(J43)</f>
        <v>-0.40017414816342367</v>
      </c>
      <c r="J43" s="4">
        <f>+J39-J41</f>
        <v>17456.399999999998</v>
      </c>
      <c r="K43" s="112">
        <f>+(J43-L43)/ABS(L43)</f>
        <v>3.8054836756042487</v>
      </c>
      <c r="L43" s="4">
        <f>+L39-L41</f>
        <v>3632.6000000000008</v>
      </c>
      <c r="M43" s="43"/>
      <c r="N43" s="43"/>
    </row>
    <row r="44" spans="1:14">
      <c r="E44" t="s">
        <v>0</v>
      </c>
    </row>
    <row r="45" spans="1:14">
      <c r="E45" t="s">
        <v>0</v>
      </c>
    </row>
  </sheetData>
  <pageMargins left="0.43" right="0.49" top="0.61" bottom="0.75" header="0.34" footer="0.5"/>
  <pageSetup scale="62" orientation="landscape" r:id="rId1"/>
  <headerFooter alignWithMargins="0">
    <oddFooter>&amp;R&amp;P</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6"/>
  <sheetViews>
    <sheetView workbookViewId="0"/>
  </sheetViews>
  <sheetFormatPr defaultRowHeight="15.75"/>
  <cols>
    <col min="1" max="1" width="33.5" customWidth="1"/>
    <col min="2" max="2" width="14.5" customWidth="1"/>
    <col min="3" max="3" width="14.25" customWidth="1"/>
    <col min="4" max="4" width="14" customWidth="1"/>
    <col min="5" max="5" width="13.875" customWidth="1"/>
    <col min="6" max="6" width="15.25" customWidth="1"/>
    <col min="7" max="7" width="8.875" customWidth="1"/>
    <col min="8" max="8" width="14.625" customWidth="1"/>
    <col min="9" max="9" width="12.375" customWidth="1"/>
    <col min="10" max="10" width="12.75" customWidth="1"/>
    <col min="11" max="11" width="13.5" customWidth="1"/>
    <col min="12" max="12" width="14.625" customWidth="1"/>
    <col min="13" max="13" width="11" customWidth="1"/>
    <col min="14" max="14" width="13.25" customWidth="1"/>
    <col min="15" max="15" width="13.5" customWidth="1"/>
    <col min="16" max="16" width="16" customWidth="1"/>
    <col min="17" max="17" width="11" customWidth="1"/>
    <col min="18" max="18" width="15.875" customWidth="1"/>
    <col min="19" max="19" width="11" customWidth="1"/>
    <col min="20" max="20" width="17.875" customWidth="1"/>
    <col min="21" max="256" width="11" customWidth="1"/>
  </cols>
  <sheetData>
    <row r="1" spans="1:27">
      <c r="A1" s="114" t="s">
        <v>644</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166</v>
      </c>
      <c r="J4" s="175" t="s">
        <v>167</v>
      </c>
      <c r="K4" s="176"/>
      <c r="L4" s="176"/>
      <c r="M4" s="176"/>
      <c r="N4" s="176"/>
      <c r="O4" s="176"/>
      <c r="P4" s="176"/>
    </row>
    <row r="5" spans="1:27" ht="16.5" thickBot="1">
      <c r="B5" s="174" t="s">
        <v>168</v>
      </c>
      <c r="C5" s="174" t="s">
        <v>169</v>
      </c>
      <c r="D5" s="173" t="s">
        <v>170</v>
      </c>
      <c r="E5" s="174" t="s">
        <v>169</v>
      </c>
      <c r="F5" s="173" t="s">
        <v>171</v>
      </c>
      <c r="G5" s="174" t="s">
        <v>169</v>
      </c>
      <c r="H5" s="174" t="s">
        <v>172</v>
      </c>
      <c r="I5" s="173" t="s">
        <v>173</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+sogebkvar!B22</f>
        <v>5401096</v>
      </c>
      <c r="C11" s="43">
        <v>0</v>
      </c>
      <c r="D11" s="12">
        <f>+sogebkvar!D22</f>
        <v>0</v>
      </c>
      <c r="E11" s="43">
        <v>0</v>
      </c>
      <c r="F11" s="12">
        <f>+sogebkvar!F22</f>
        <v>0</v>
      </c>
      <c r="G11" s="43">
        <v>0</v>
      </c>
      <c r="H11" s="12">
        <f>+sogebkvar!H22</f>
        <v>0</v>
      </c>
      <c r="I11" s="46">
        <f>+(B11-J11)/ABS(J11)</f>
        <v>4.3239086794751719E-2</v>
      </c>
      <c r="J11" s="12">
        <f>+sogebkvar!J22</f>
        <v>5177237</v>
      </c>
      <c r="K11" s="46">
        <f>+(-L11+J11)/ABS(L11)</f>
        <v>0.3871263845510613</v>
      </c>
      <c r="L11" s="12">
        <f>+sogebkvar!L22</f>
        <v>3732347</v>
      </c>
      <c r="M11" s="46">
        <f>+(-N11+L11)/ABS(N11)</f>
        <v>0.28486967703059396</v>
      </c>
      <c r="N11" s="12">
        <f>+sogebkvar!N22</f>
        <v>2904844.8</v>
      </c>
      <c r="O11" s="46">
        <f>+(-P11+N11)/ABS(P11)</f>
        <v>0.15568935405559153</v>
      </c>
      <c r="P11" s="12">
        <f>+sogebkvar!P22</f>
        <v>2513516.9670000002</v>
      </c>
      <c r="Q11" s="43"/>
      <c r="R11" s="43"/>
      <c r="S11" s="43"/>
      <c r="T11" s="43"/>
      <c r="U11" s="43"/>
      <c r="V11" s="43"/>
      <c r="W11" s="43"/>
      <c r="X11" s="43"/>
      <c r="Y11" s="43"/>
      <c r="Z11" s="43"/>
      <c r="AA11" s="43"/>
    </row>
    <row r="12" spans="1:27">
      <c r="A12" t="s">
        <v>181</v>
      </c>
      <c r="B12" s="12">
        <f>+sogebkvar!B17</f>
        <v>935000</v>
      </c>
      <c r="C12" s="43">
        <v>0</v>
      </c>
      <c r="D12" s="12">
        <f>+sogebkvar!D17</f>
        <v>0</v>
      </c>
      <c r="E12" s="43">
        <v>0</v>
      </c>
      <c r="F12" s="12">
        <f>+sogebkvar!F17</f>
        <v>0</v>
      </c>
      <c r="G12" s="43">
        <v>0</v>
      </c>
      <c r="H12" s="12">
        <f>+sogebkvar!H17</f>
        <v>0</v>
      </c>
      <c r="I12" s="46">
        <f>+(B12-J12)/ABS(J12)</f>
        <v>-8.3333333333333329E-2</v>
      </c>
      <c r="J12" s="12">
        <f>+sogebkvar!J17</f>
        <v>1020000</v>
      </c>
      <c r="K12" s="46">
        <f>+(-L12+J12)/ABS(L12)</f>
        <v>0.64516129032258063</v>
      </c>
      <c r="L12" s="12">
        <f>+sogebkvar!L17</f>
        <v>620000</v>
      </c>
      <c r="M12" s="46">
        <f>+(-N12+L12)/ABS(N12)</f>
        <v>0.51219512195121952</v>
      </c>
      <c r="N12" s="12">
        <f>+sogebkvar!N17</f>
        <v>410000</v>
      </c>
      <c r="O12" s="43">
        <v>0</v>
      </c>
      <c r="P12" s="12">
        <v>0</v>
      </c>
      <c r="Q12" s="43"/>
      <c r="R12" s="43"/>
      <c r="S12" s="43"/>
      <c r="T12" s="43"/>
      <c r="U12" s="43"/>
      <c r="V12" s="43"/>
      <c r="W12" s="43"/>
      <c r="X12" s="43"/>
      <c r="Y12" s="43"/>
      <c r="Z12" s="43"/>
      <c r="AA12" s="43"/>
    </row>
    <row r="13" spans="1:27">
      <c r="A13" t="s">
        <v>182</v>
      </c>
      <c r="B13" s="12">
        <f>+sogebkvar!B19</f>
        <v>1730929</v>
      </c>
      <c r="C13" s="43">
        <v>0</v>
      </c>
      <c r="D13" s="12">
        <f>+sogebkvar!D19</f>
        <v>0</v>
      </c>
      <c r="E13" s="43">
        <v>0</v>
      </c>
      <c r="F13" s="12">
        <f>+sogebkvar!F19</f>
        <v>0</v>
      </c>
      <c r="G13" s="43">
        <v>0</v>
      </c>
      <c r="H13" s="12">
        <f>+sogebkvar!H19</f>
        <v>0</v>
      </c>
      <c r="I13" s="46">
        <f>+(B13-J13)/ABS(J13)</f>
        <v>2.0977193701651266E-2</v>
      </c>
      <c r="J13" s="12">
        <f>+sogebkvar!J19</f>
        <v>1695365</v>
      </c>
      <c r="K13" s="46">
        <f>+(-L13+J13)/ABS(L13)</f>
        <v>0.34992682503459688</v>
      </c>
      <c r="L13" s="12">
        <f>+sogebkvar!L19</f>
        <v>1255894</v>
      </c>
      <c r="M13" s="46">
        <f>+(-N13+L13)/ABS(N13)</f>
        <v>9.2133021898419584E-2</v>
      </c>
      <c r="N13" s="12">
        <f>+sogebkvar!N19</f>
        <v>1149946</v>
      </c>
      <c r="O13" s="46">
        <f>+(-P13+N13)/ABS(P13)</f>
        <v>0.27732215562500973</v>
      </c>
      <c r="P13" s="12">
        <f>+sogebkvar!P19</f>
        <v>900278.755</v>
      </c>
      <c r="Q13" s="43"/>
      <c r="R13" s="43"/>
      <c r="S13" s="43"/>
      <c r="T13" s="43"/>
      <c r="U13" s="43"/>
      <c r="V13" s="43"/>
      <c r="W13" s="43"/>
      <c r="X13" s="43"/>
      <c r="Y13" s="43"/>
      <c r="Z13" s="43"/>
      <c r="AA13" s="43"/>
    </row>
    <row r="14" spans="1:27">
      <c r="A14" t="s">
        <v>183</v>
      </c>
      <c r="B14" s="12">
        <f>+sogebkvar!B29</f>
        <v>4638569</v>
      </c>
      <c r="C14" s="43">
        <v>0</v>
      </c>
      <c r="D14" s="12">
        <f>+sogebkvar!D29</f>
        <v>0</v>
      </c>
      <c r="E14" s="43">
        <v>0</v>
      </c>
      <c r="F14" s="12">
        <f>+sogebkvar!F29</f>
        <v>0</v>
      </c>
      <c r="G14" s="43">
        <v>0</v>
      </c>
      <c r="H14" s="12">
        <f>+sogebkvar!H29</f>
        <v>0</v>
      </c>
      <c r="I14" s="46">
        <f>+(B14-J14)/ABS(J14)</f>
        <v>1.4240924608374573E-2</v>
      </c>
      <c r="J14" s="12">
        <f>+sogebkvar!J29</f>
        <v>4573439</v>
      </c>
      <c r="K14" s="46">
        <f>+(-L14+J14)/ABS(L14)</f>
        <v>0.4047957513077507</v>
      </c>
      <c r="L14" s="12">
        <f>+sogebkvar!L29</f>
        <v>3255590</v>
      </c>
      <c r="M14" s="46">
        <f>+(-N14+L14)/ABS(N14)</f>
        <v>0.25525593770154426</v>
      </c>
      <c r="N14" s="12">
        <f>+sogebkvar!N29</f>
        <v>2593566.7000000002</v>
      </c>
      <c r="O14" s="46">
        <f>+(-P14+N14)/ABS(P14)</f>
        <v>0.14559529640659724</v>
      </c>
      <c r="P14" s="12">
        <f>+sogebkvar!P29</f>
        <v>2263946.7080000001</v>
      </c>
      <c r="Q14" s="43"/>
      <c r="R14" s="43"/>
      <c r="S14" s="43"/>
      <c r="T14" s="43"/>
      <c r="U14" s="43"/>
      <c r="V14" s="43"/>
      <c r="W14" s="43"/>
      <c r="X14" s="43"/>
      <c r="Y14" s="43"/>
      <c r="Z14" s="43"/>
      <c r="AA14" s="43"/>
    </row>
    <row r="15" spans="1:27">
      <c r="A15" t="s">
        <v>184</v>
      </c>
      <c r="B15" s="12">
        <f>+sogebkvar!B51</f>
        <v>360354</v>
      </c>
      <c r="C15" s="43">
        <v>0</v>
      </c>
      <c r="D15" s="12">
        <f>+sogebkvar!D51</f>
        <v>0</v>
      </c>
      <c r="E15" s="43">
        <v>0</v>
      </c>
      <c r="F15" s="12">
        <f>+sogebkvar!F51</f>
        <v>0</v>
      </c>
      <c r="G15" s="43">
        <v>0</v>
      </c>
      <c r="H15" s="12">
        <f>+sogebkvar!H51</f>
        <v>0</v>
      </c>
      <c r="I15" s="46">
        <f>+(B15-J15)/ABS(J15)</f>
        <v>2.1316033364226137E-2</v>
      </c>
      <c r="J15" s="12">
        <f>+sogebkvar!J51</f>
        <v>352833</v>
      </c>
      <c r="K15" s="46">
        <f>+(-L15+J15)/ABS(L15)</f>
        <v>0.5477032267120524</v>
      </c>
      <c r="L15" s="12">
        <f>+sogebkvar!L51</f>
        <v>227972</v>
      </c>
      <c r="M15" s="46">
        <f>+(-N15+L15)/ABS(N15)</f>
        <v>0.25371279301574207</v>
      </c>
      <c r="N15" s="12">
        <f>+sogebkvar!N51</f>
        <v>181837.5</v>
      </c>
      <c r="O15" s="46">
        <f>+(-P15+N15)/ABS(P15)</f>
        <v>0.4215670255708901</v>
      </c>
      <c r="P15" s="12">
        <f>+sogebkvar!P51</f>
        <v>127913.42</v>
      </c>
      <c r="Q15" s="43"/>
      <c r="R15" s="43"/>
      <c r="S15" s="43"/>
      <c r="T15" s="43"/>
      <c r="U15" s="43"/>
      <c r="V15" s="43"/>
      <c r="W15" s="43"/>
      <c r="X15" s="43"/>
      <c r="Y15" s="43"/>
      <c r="Z15" s="43"/>
      <c r="AA15" s="43"/>
    </row>
    <row r="16" spans="1:27">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row>
    <row r="17" spans="1:27">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row>
    <row r="18" spans="1:27">
      <c r="B18" s="51" t="s">
        <v>185</v>
      </c>
      <c r="C18" s="43"/>
      <c r="D18" s="51" t="s">
        <v>174</v>
      </c>
      <c r="E18" s="43"/>
      <c r="F18" s="51" t="s">
        <v>185</v>
      </c>
      <c r="G18" s="43"/>
      <c r="H18" s="51" t="s">
        <v>174</v>
      </c>
      <c r="I18" s="43"/>
      <c r="J18" s="51" t="s">
        <v>185</v>
      </c>
      <c r="K18" s="43"/>
      <c r="L18" s="51" t="s">
        <v>174</v>
      </c>
      <c r="M18" s="43"/>
      <c r="N18" s="51" t="s">
        <v>185</v>
      </c>
      <c r="O18" s="43"/>
      <c r="P18" s="51" t="s">
        <v>174</v>
      </c>
      <c r="Q18" s="43"/>
      <c r="R18" s="51" t="s">
        <v>185</v>
      </c>
      <c r="S18" s="43"/>
      <c r="T18" s="51" t="s">
        <v>174</v>
      </c>
      <c r="U18" s="43"/>
      <c r="V18" s="43"/>
      <c r="W18" s="43"/>
      <c r="X18" s="43"/>
      <c r="Y18" s="43"/>
      <c r="Z18" s="43"/>
      <c r="AA18" s="43"/>
    </row>
    <row r="19" spans="1:27">
      <c r="B19" s="50" t="s">
        <v>186</v>
      </c>
      <c r="C19" s="50" t="s">
        <v>169</v>
      </c>
      <c r="D19" s="50" t="s">
        <v>186</v>
      </c>
      <c r="E19" s="43"/>
      <c r="F19" s="50" t="s">
        <v>187</v>
      </c>
      <c r="G19" s="50" t="s">
        <v>169</v>
      </c>
      <c r="H19" s="50" t="s">
        <v>187</v>
      </c>
      <c r="I19" s="43"/>
      <c r="J19" s="50" t="s">
        <v>188</v>
      </c>
      <c r="K19" s="50" t="s">
        <v>169</v>
      </c>
      <c r="L19" s="50" t="s">
        <v>188</v>
      </c>
      <c r="M19" s="43"/>
      <c r="N19" s="50" t="s">
        <v>189</v>
      </c>
      <c r="O19" s="50" t="s">
        <v>169</v>
      </c>
      <c r="P19" s="50" t="s">
        <v>189</v>
      </c>
      <c r="Q19" s="43"/>
      <c r="R19" s="50" t="s">
        <v>190</v>
      </c>
      <c r="S19" s="50" t="s">
        <v>169</v>
      </c>
      <c r="T19" s="50" t="s">
        <v>190</v>
      </c>
      <c r="U19" s="43"/>
      <c r="V19" s="43"/>
      <c r="W19" s="43"/>
      <c r="X19" s="43"/>
      <c r="Y19" s="43"/>
      <c r="Z19" s="43"/>
      <c r="AA19" s="43"/>
    </row>
    <row r="20" spans="1:27" ht="16.5" thickBot="1">
      <c r="B20" s="326" t="s">
        <v>191</v>
      </c>
      <c r="C20" s="326"/>
      <c r="D20" s="326" t="s">
        <v>192</v>
      </c>
      <c r="E20" s="208"/>
      <c r="F20" s="326" t="s">
        <v>193</v>
      </c>
      <c r="G20" s="326"/>
      <c r="H20" s="326" t="s">
        <v>194</v>
      </c>
      <c r="I20" s="208"/>
      <c r="J20" s="326" t="s">
        <v>195</v>
      </c>
      <c r="K20" s="326"/>
      <c r="L20" s="326" t="s">
        <v>196</v>
      </c>
      <c r="M20" s="208"/>
      <c r="N20" s="326" t="s">
        <v>197</v>
      </c>
      <c r="O20" s="326"/>
      <c r="P20" s="326" t="s">
        <v>198</v>
      </c>
      <c r="Q20" s="208"/>
      <c r="R20" s="326" t="s">
        <v>199</v>
      </c>
      <c r="S20" s="326"/>
      <c r="T20" s="326" t="s">
        <v>200</v>
      </c>
      <c r="U20" s="43"/>
      <c r="V20" s="43"/>
      <c r="W20" s="43"/>
      <c r="X20" s="43"/>
      <c r="Y20" s="43"/>
      <c r="Z20" s="43"/>
      <c r="AA20" s="43"/>
    </row>
    <row r="21" spans="1:27">
      <c r="A21" s="2" t="s">
        <v>52</v>
      </c>
      <c r="B21" s="43"/>
      <c r="C21" s="43"/>
      <c r="D21" s="43"/>
      <c r="E21" s="43"/>
      <c r="F21" s="43"/>
      <c r="G21" s="43"/>
      <c r="H21" s="43"/>
      <c r="I21" s="43"/>
      <c r="J21" s="43"/>
      <c r="K21" s="43"/>
      <c r="L21" s="43"/>
      <c r="M21" s="43"/>
      <c r="N21" s="43"/>
      <c r="O21" s="43"/>
      <c r="P21" s="43"/>
      <c r="Q21" s="43"/>
      <c r="R21" s="43"/>
      <c r="S21" s="47" t="s">
        <v>0</v>
      </c>
      <c r="T21" s="43"/>
      <c r="U21" s="43"/>
      <c r="V21" s="43"/>
      <c r="W21" s="43"/>
      <c r="X21" s="43"/>
      <c r="Y21" s="43"/>
      <c r="Z21" s="43"/>
      <c r="AA21" s="43"/>
    </row>
    <row r="22" spans="1:27">
      <c r="A22" t="s">
        <v>201</v>
      </c>
      <c r="B22" s="12">
        <f>+SOGEBKRÉSULT!B15</f>
        <v>82520.600000000006</v>
      </c>
      <c r="C22" s="46">
        <f>+(-D22+B22)/ABS(D22)</f>
        <v>0.55041634726668776</v>
      </c>
      <c r="D22" s="12">
        <f>+SOGEBKRÉSULT!D55</f>
        <v>53224.800000000003</v>
      </c>
      <c r="E22" s="43"/>
      <c r="F22" s="12">
        <f>+SOGEBKRÉSULT!D15</f>
        <v>0</v>
      </c>
      <c r="G22" s="43">
        <v>0</v>
      </c>
      <c r="H22" s="12">
        <f>+SOGEBKRÉSULT!H55</f>
        <v>62609.599999999999</v>
      </c>
      <c r="I22" s="43"/>
      <c r="J22" s="12">
        <f>+SOGEBKRÉSULT!F15</f>
        <v>0</v>
      </c>
      <c r="K22" s="57">
        <v>0</v>
      </c>
      <c r="L22" s="12">
        <f>+SOGEBKRÉSULT!L55</f>
        <v>72436.099999999991</v>
      </c>
      <c r="M22" s="43"/>
      <c r="N22" s="12">
        <f>+SOGEBKRÉSULT!H15</f>
        <v>0</v>
      </c>
      <c r="O22" s="43">
        <v>0</v>
      </c>
      <c r="P22" s="12">
        <f>+SOGEBKRÉSULT!P55</f>
        <v>79620</v>
      </c>
      <c r="Q22" s="43"/>
      <c r="R22" s="12">
        <f>+SOGEBKRÉSULT!R55</f>
        <v>82520.600000000006</v>
      </c>
      <c r="S22" s="46">
        <f>+(-T22+R22)/ABS(T22)</f>
        <v>0.55041634726668776</v>
      </c>
      <c r="T22" s="12">
        <f>+SOGEBKRÉSULT!T55</f>
        <v>53224.800000000003</v>
      </c>
      <c r="U22" s="43"/>
      <c r="V22" s="43"/>
      <c r="W22" s="43"/>
      <c r="X22" s="43"/>
      <c r="Y22" s="43"/>
      <c r="Z22" s="43"/>
      <c r="AA22" s="43"/>
    </row>
    <row r="23" spans="1:27">
      <c r="A23" t="s">
        <v>202</v>
      </c>
      <c r="B23" s="12">
        <f>+SOGEBKRÉSULT!B21</f>
        <v>34001.9</v>
      </c>
      <c r="C23" s="46">
        <f>+(-D23+B23)/ABS(D23)</f>
        <v>0.46967876346409876</v>
      </c>
      <c r="D23" s="12">
        <f>+SOGEBKRÉSULT!D61</f>
        <v>23135.599999999999</v>
      </c>
      <c r="E23" s="43"/>
      <c r="F23" s="12">
        <f>+SOGEBKRÉSULT!D21</f>
        <v>0</v>
      </c>
      <c r="G23" s="43">
        <v>0</v>
      </c>
      <c r="H23" s="12">
        <f>+SOGEBKRÉSULT!H61</f>
        <v>25743.1</v>
      </c>
      <c r="I23" s="43"/>
      <c r="J23" s="12">
        <f>+SOGEBKRÉSULT!F21</f>
        <v>0</v>
      </c>
      <c r="K23" s="57">
        <v>0</v>
      </c>
      <c r="L23" s="12">
        <f>+SOGEBKRÉSULT!L61</f>
        <v>34964.800000000003</v>
      </c>
      <c r="M23" s="43"/>
      <c r="N23" s="12">
        <f>+SOGEBKRÉSULT!H21</f>
        <v>0</v>
      </c>
      <c r="O23" s="43">
        <v>0</v>
      </c>
      <c r="P23" s="12">
        <f>+SOGEBKRÉSULT!P61</f>
        <v>44059.200000000004</v>
      </c>
      <c r="Q23" s="43"/>
      <c r="R23" s="12">
        <f>+SOGEBKRÉSULT!R61</f>
        <v>34001.9</v>
      </c>
      <c r="S23" s="46">
        <f>+(-T23+R23)/ABS(T23)</f>
        <v>0.46967876346409876</v>
      </c>
      <c r="T23" s="12">
        <f>+SOGEBKRÉSULT!T61</f>
        <v>23135.599999999999</v>
      </c>
      <c r="U23" s="43"/>
      <c r="V23" s="43"/>
      <c r="W23" s="43"/>
      <c r="X23" s="43"/>
      <c r="Y23" s="43"/>
      <c r="Z23" s="43"/>
      <c r="AA23" s="43"/>
    </row>
    <row r="24" spans="1:27">
      <c r="A24" t="s">
        <v>447</v>
      </c>
      <c r="B24" s="12">
        <f>+SOGEBKRÉSULT!B25</f>
        <v>3000</v>
      </c>
      <c r="C24" s="46">
        <f>+(-D24+B24)/ABS(D24)</f>
        <v>0</v>
      </c>
      <c r="D24" s="12">
        <f>+SOGEBKRÉSULT!D65</f>
        <v>3000</v>
      </c>
      <c r="E24" s="43"/>
      <c r="F24" s="12">
        <f>+SOGEBKRÉSULT!D25</f>
        <v>0</v>
      </c>
      <c r="G24" s="43">
        <v>0</v>
      </c>
      <c r="H24" s="12">
        <f>+SOGEBKRÉSULT!H65</f>
        <v>2250</v>
      </c>
      <c r="I24" s="43"/>
      <c r="J24" s="12">
        <f>+SOGEBKRÉSULT!F25</f>
        <v>0</v>
      </c>
      <c r="K24" s="57">
        <v>0</v>
      </c>
      <c r="L24" s="12">
        <f>+SOGEBKRÉSULT!L65</f>
        <v>10250</v>
      </c>
      <c r="M24" s="43"/>
      <c r="N24" s="12">
        <f>+SOGEBKRÉSULT!H25</f>
        <v>0</v>
      </c>
      <c r="O24" s="43">
        <v>0</v>
      </c>
      <c r="P24" s="12">
        <f>+SOGEBKRÉSULT!P65</f>
        <v>3408.9</v>
      </c>
      <c r="Q24" s="43"/>
      <c r="R24" s="12">
        <f>+SOGEBKRÉSULT!R65</f>
        <v>3000</v>
      </c>
      <c r="S24" s="46">
        <f>+(-T24+R24)/ABS(T24)</f>
        <v>0</v>
      </c>
      <c r="T24" s="12">
        <f>+SOGEBKRÉSULT!T65</f>
        <v>3000</v>
      </c>
      <c r="U24" s="43"/>
      <c r="V24" s="43"/>
      <c r="W24" s="43"/>
      <c r="X24" s="43"/>
      <c r="Y24" s="43"/>
      <c r="Z24" s="43"/>
      <c r="AA24" s="43"/>
    </row>
    <row r="25" spans="1:27">
      <c r="A25" t="s">
        <v>204</v>
      </c>
      <c r="B25" s="12">
        <f>+SOGEBKRÉSULT!B35</f>
        <v>93615.5</v>
      </c>
      <c r="C25" s="46">
        <f>+(-D25+B25)/ABS(D25)</f>
        <v>0.40080263474881767</v>
      </c>
      <c r="D25" s="12">
        <f>+SOGEBKRÉSULT!D75</f>
        <v>66829.899999999994</v>
      </c>
      <c r="E25" s="43"/>
      <c r="F25" s="12">
        <f>+SOGEBKRÉSULT!D35</f>
        <v>0</v>
      </c>
      <c r="G25" s="43">
        <v>0</v>
      </c>
      <c r="H25" s="12">
        <f>+SOGEBKRÉSULT!H75</f>
        <v>65985.900000000009</v>
      </c>
      <c r="I25" s="43"/>
      <c r="J25" s="12">
        <f>+SOGEBKRÉSULT!F35</f>
        <v>0</v>
      </c>
      <c r="K25" s="57">
        <v>0</v>
      </c>
      <c r="L25" s="12">
        <f>+SOGEBKRÉSULT!L75</f>
        <v>76708.399999999994</v>
      </c>
      <c r="M25" s="43"/>
      <c r="N25" s="12">
        <f>+SOGEBKRÉSULT!H35</f>
        <v>0</v>
      </c>
      <c r="O25" s="43">
        <v>0</v>
      </c>
      <c r="P25" s="12">
        <f>+SOGEBKRÉSULT!P75</f>
        <v>100291.29999999999</v>
      </c>
      <c r="Q25" s="43"/>
      <c r="R25" s="12">
        <f>+SOGEBKRÉSULT!R75</f>
        <v>93615.5</v>
      </c>
      <c r="S25" s="46">
        <f>+(-T25+R25)/ABS(T25)</f>
        <v>0.40080263474881767</v>
      </c>
      <c r="T25" s="12">
        <f>+SOGEBKRÉSULT!T75</f>
        <v>66829.899999999994</v>
      </c>
      <c r="U25" s="43"/>
      <c r="V25" s="43"/>
      <c r="W25" s="43"/>
      <c r="X25" s="43"/>
      <c r="Y25" s="43"/>
      <c r="Z25" s="43"/>
      <c r="AA25" s="43"/>
    </row>
    <row r="26" spans="1:27">
      <c r="A26" t="s">
        <v>448</v>
      </c>
      <c r="B26" s="12">
        <f>+SOGEBKRÉSULT!B41</f>
        <v>16244.6</v>
      </c>
      <c r="C26" s="46">
        <f>+(-D26+B26)/ABS(D26)</f>
        <v>2.8268510447831519</v>
      </c>
      <c r="D26" s="12">
        <f>+SOGEBKRÉSULT!D81</f>
        <v>4244.8999999999996</v>
      </c>
      <c r="E26" s="43"/>
      <c r="F26" s="12">
        <f>+SOGEBKRÉSULT!D41</f>
        <v>0</v>
      </c>
      <c r="G26" s="43">
        <v>0</v>
      </c>
      <c r="H26" s="12">
        <f>+SOGEBKRÉSULT!H81</f>
        <v>12760.999999999989</v>
      </c>
      <c r="I26" s="43"/>
      <c r="J26" s="12">
        <f>+SOGEBKRÉSULT!F41</f>
        <v>0</v>
      </c>
      <c r="K26" s="57">
        <v>0</v>
      </c>
      <c r="L26" s="12">
        <f>+SOGEBKRÉSULT!L81</f>
        <v>13591</v>
      </c>
      <c r="M26" s="43"/>
      <c r="N26" s="12">
        <f>+SOGEBKRÉSULT!H41</f>
        <v>0</v>
      </c>
      <c r="O26" s="43">
        <v>0</v>
      </c>
      <c r="P26" s="12">
        <f>+SOGEBKRÉSULT!P81</f>
        <v>20003.300000000028</v>
      </c>
      <c r="Q26" s="43"/>
      <c r="R26" s="12">
        <f>+SOGEBKRÉSULT!R81</f>
        <v>16244.6</v>
      </c>
      <c r="S26" s="46">
        <f>+(-T26+R26)/ABS(T26)</f>
        <v>2.8268510447831519</v>
      </c>
      <c r="T26" s="12">
        <f>+SOGEBKRÉSULT!T81</f>
        <v>4244.8999999999996</v>
      </c>
      <c r="U26" s="43"/>
      <c r="V26" s="43"/>
      <c r="W26" s="43"/>
      <c r="X26" s="43"/>
      <c r="Y26" s="43"/>
      <c r="Z26" s="43"/>
      <c r="AA26" s="43"/>
    </row>
    <row r="27" spans="1:27" ht="9" customHeight="1">
      <c r="B27" s="43"/>
      <c r="C27" s="43"/>
      <c r="D27" s="43"/>
      <c r="E27" s="43"/>
      <c r="F27" s="43"/>
      <c r="G27" s="43"/>
      <c r="H27" s="43"/>
      <c r="I27" s="43"/>
      <c r="J27" s="43"/>
      <c r="K27" s="43"/>
      <c r="L27" s="43"/>
      <c r="M27" s="43"/>
      <c r="N27" s="43"/>
      <c r="O27" s="43"/>
      <c r="P27" s="43"/>
      <c r="Q27" s="43"/>
      <c r="R27" s="43"/>
      <c r="S27" s="43"/>
      <c r="T27" s="43"/>
      <c r="U27" s="43"/>
      <c r="V27" s="43"/>
      <c r="W27" s="43"/>
      <c r="X27" s="43"/>
      <c r="Y27" s="43"/>
      <c r="Z27" s="43"/>
      <c r="AA27" s="43"/>
    </row>
    <row r="28" spans="1:27">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ht="16.5" thickBot="1">
      <c r="B29" s="187"/>
      <c r="C29" s="187"/>
      <c r="D29" s="187"/>
      <c r="E29" s="187"/>
      <c r="F29" s="187"/>
      <c r="G29" s="187"/>
      <c r="H29" s="187"/>
      <c r="I29" s="187"/>
      <c r="J29" s="187"/>
      <c r="K29" s="187"/>
      <c r="L29" s="187"/>
      <c r="M29" s="187"/>
      <c r="N29" s="187"/>
      <c r="O29" s="187"/>
      <c r="P29" s="187"/>
      <c r="Q29" s="187"/>
      <c r="R29" s="187"/>
      <c r="S29" s="187"/>
      <c r="T29" s="187"/>
      <c r="U29" s="43"/>
      <c r="V29" s="43"/>
      <c r="W29" s="43"/>
      <c r="X29" s="43"/>
      <c r="Y29" s="43"/>
      <c r="Z29" s="43"/>
      <c r="AA29" s="43"/>
    </row>
    <row r="30" spans="1:27">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c r="B31" s="51" t="s">
        <v>185</v>
      </c>
      <c r="C31" s="51" t="s">
        <v>174</v>
      </c>
      <c r="D31" s="43"/>
      <c r="E31" s="51" t="s">
        <v>185</v>
      </c>
      <c r="F31" s="51" t="s">
        <v>174</v>
      </c>
      <c r="G31" s="43"/>
      <c r="H31" s="51" t="s">
        <v>185</v>
      </c>
      <c r="I31" s="51" t="s">
        <v>174</v>
      </c>
      <c r="J31" s="43"/>
      <c r="K31" s="51" t="s">
        <v>185</v>
      </c>
      <c r="L31" s="51" t="s">
        <v>174</v>
      </c>
      <c r="M31" s="43"/>
      <c r="N31" s="51" t="s">
        <v>185</v>
      </c>
      <c r="O31" s="51" t="s">
        <v>174</v>
      </c>
      <c r="P31" s="43"/>
      <c r="U31" s="43"/>
      <c r="V31" s="43"/>
      <c r="W31" s="43"/>
      <c r="X31" s="43"/>
      <c r="Y31" s="43"/>
      <c r="Z31" s="43"/>
      <c r="AA31" s="43"/>
    </row>
    <row r="32" spans="1:27" ht="16.5" thickBot="1">
      <c r="B32" s="50" t="s">
        <v>186</v>
      </c>
      <c r="C32" s="50" t="s">
        <v>186</v>
      </c>
      <c r="D32" s="43"/>
      <c r="E32" s="50" t="s">
        <v>187</v>
      </c>
      <c r="F32" s="50" t="s">
        <v>187</v>
      </c>
      <c r="G32" s="43"/>
      <c r="H32" s="50" t="s">
        <v>188</v>
      </c>
      <c r="I32" s="50" t="s">
        <v>188</v>
      </c>
      <c r="J32" s="43"/>
      <c r="K32" s="50" t="s">
        <v>189</v>
      </c>
      <c r="L32" s="50" t="s">
        <v>189</v>
      </c>
      <c r="M32" s="43"/>
      <c r="N32" s="50" t="s">
        <v>190</v>
      </c>
      <c r="O32" s="50" t="s">
        <v>190</v>
      </c>
      <c r="P32" s="43"/>
      <c r="Q32" s="114" t="s">
        <v>206</v>
      </c>
      <c r="R32" s="114"/>
      <c r="S32" s="114"/>
      <c r="T32" s="114"/>
      <c r="U32" s="43"/>
      <c r="V32" s="43"/>
      <c r="W32" s="43"/>
      <c r="X32" s="43"/>
      <c r="Y32" s="43"/>
      <c r="Z32" s="43"/>
      <c r="AA32" s="43"/>
    </row>
    <row r="33" spans="1:27" ht="16.5" thickBot="1">
      <c r="B33" s="326" t="s">
        <v>191</v>
      </c>
      <c r="C33" s="326" t="s">
        <v>192</v>
      </c>
      <c r="D33" s="208"/>
      <c r="E33" s="326" t="s">
        <v>193</v>
      </c>
      <c r="F33" s="326" t="s">
        <v>194</v>
      </c>
      <c r="G33" s="208"/>
      <c r="H33" s="326" t="s">
        <v>195</v>
      </c>
      <c r="I33" s="326" t="s">
        <v>196</v>
      </c>
      <c r="J33" s="208"/>
      <c r="K33" s="326" t="s">
        <v>197</v>
      </c>
      <c r="L33" s="326" t="s">
        <v>198</v>
      </c>
      <c r="M33" s="208"/>
      <c r="N33" s="181" t="s">
        <v>199</v>
      </c>
      <c r="O33" s="181" t="s">
        <v>200</v>
      </c>
      <c r="P33" s="43"/>
      <c r="Q33" s="182" t="s">
        <v>174</v>
      </c>
      <c r="R33" s="182" t="s">
        <v>175</v>
      </c>
      <c r="S33" s="182" t="s">
        <v>176</v>
      </c>
      <c r="T33" s="182" t="s">
        <v>177</v>
      </c>
      <c r="U33" s="43"/>
      <c r="V33" s="43"/>
      <c r="W33" s="43"/>
      <c r="X33" s="43"/>
      <c r="Y33" s="43"/>
      <c r="Z33" s="43"/>
      <c r="AA33" s="43"/>
    </row>
    <row r="34" spans="1:27">
      <c r="A34" s="2" t="s">
        <v>207</v>
      </c>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row>
    <row r="35" spans="1:27">
      <c r="A35" s="183" t="s">
        <v>208</v>
      </c>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row>
    <row r="36" spans="1:27">
      <c r="A36" s="2" t="s">
        <v>209</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A38" s="2" t="s">
        <v>210</v>
      </c>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t="s">
        <v>211</v>
      </c>
      <c r="B40" s="57"/>
      <c r="C40" s="57"/>
      <c r="D40" s="57"/>
      <c r="E40" s="57"/>
      <c r="F40" s="57"/>
      <c r="G40" s="57"/>
      <c r="H40" s="57"/>
      <c r="I40" s="57"/>
      <c r="J40" s="57"/>
      <c r="K40" s="57"/>
      <c r="L40" s="57"/>
      <c r="M40" s="57"/>
      <c r="N40" s="57"/>
      <c r="O40" s="57"/>
      <c r="P40" s="57"/>
      <c r="Q40" s="57"/>
      <c r="R40" s="57"/>
      <c r="S40" s="57"/>
      <c r="T40" s="57"/>
      <c r="U40" s="43"/>
      <c r="V40" s="43"/>
      <c r="W40" s="43"/>
      <c r="X40" s="43"/>
      <c r="Y40" s="43"/>
      <c r="Z40" s="43"/>
      <c r="AA40" s="43"/>
    </row>
    <row r="41" spans="1:27">
      <c r="A41" t="s">
        <v>212</v>
      </c>
      <c r="B41" s="58">
        <f>+sogebkvar!B51/sogebkvar!B22</f>
        <v>6.6718680801081856E-2</v>
      </c>
      <c r="C41" s="59">
        <v>8.3799999999999999E-2</v>
      </c>
      <c r="D41" s="59"/>
      <c r="E41" s="364">
        <v>0</v>
      </c>
      <c r="F41" s="59">
        <v>8.2699999999999996E-2</v>
      </c>
      <c r="G41" s="59"/>
      <c r="H41" s="364">
        <v>0</v>
      </c>
      <c r="I41" s="59">
        <v>6.6500000000000004E-2</v>
      </c>
      <c r="J41" s="59"/>
      <c r="K41" s="364">
        <v>0</v>
      </c>
      <c r="L41" s="59">
        <v>6.8199999999999997E-2</v>
      </c>
      <c r="M41" s="59"/>
      <c r="N41" s="58">
        <f>+B41</f>
        <v>6.6718680801081856E-2</v>
      </c>
      <c r="O41" s="59">
        <f>+C41</f>
        <v>8.3799999999999999E-2</v>
      </c>
      <c r="P41" s="59"/>
      <c r="Q41" s="59">
        <f>+sogebkvar!J51/sogebkvar!J22</f>
        <v>6.8150830259460796E-2</v>
      </c>
      <c r="R41" s="59">
        <v>6.1100000000000002E-2</v>
      </c>
      <c r="S41" s="59">
        <v>6.2600000000000003E-2</v>
      </c>
      <c r="T41" s="59">
        <v>5.0900000000000001E-2</v>
      </c>
      <c r="U41" s="43"/>
      <c r="V41" s="43"/>
      <c r="W41" s="43"/>
      <c r="X41" s="43"/>
      <c r="Y41" s="43"/>
      <c r="Z41" s="43"/>
      <c r="AA41" s="43"/>
    </row>
    <row r="42" spans="1:27">
      <c r="B42" s="58"/>
      <c r="C42" s="59"/>
      <c r="D42" s="59"/>
      <c r="E42" s="57"/>
      <c r="F42" s="59"/>
      <c r="G42" s="59"/>
      <c r="H42" s="57"/>
      <c r="I42" s="59"/>
      <c r="J42" s="59"/>
      <c r="K42" s="57"/>
      <c r="L42" s="59"/>
      <c r="M42" s="59"/>
      <c r="N42" s="58"/>
      <c r="O42" s="59"/>
      <c r="P42" s="59"/>
      <c r="Q42" s="59"/>
      <c r="R42" s="59"/>
      <c r="S42" s="59"/>
      <c r="T42" s="59"/>
      <c r="U42" s="43"/>
      <c r="V42" s="43"/>
      <c r="W42" s="43"/>
      <c r="X42" s="43"/>
      <c r="Y42" s="43"/>
      <c r="Z42" s="43"/>
      <c r="AA42" s="43"/>
    </row>
    <row r="43" spans="1:27">
      <c r="A43" t="s">
        <v>213</v>
      </c>
      <c r="B43" s="58">
        <f>+sogebkvar!B29/sogebkvar!B22</f>
        <v>0.85881995061743022</v>
      </c>
      <c r="C43" s="59">
        <v>0.86660000000000004</v>
      </c>
      <c r="D43" s="59"/>
      <c r="E43" s="364">
        <v>0</v>
      </c>
      <c r="F43" s="59">
        <v>0.87509999999999999</v>
      </c>
      <c r="G43" s="59"/>
      <c r="H43" s="364">
        <v>0</v>
      </c>
      <c r="I43" s="59">
        <v>0.88370000000000004</v>
      </c>
      <c r="J43" s="59"/>
      <c r="K43" s="364">
        <v>0</v>
      </c>
      <c r="L43" s="59">
        <v>0.88339999999999996</v>
      </c>
      <c r="M43" s="59"/>
      <c r="N43" s="58">
        <f>+B43</f>
        <v>0.85881995061743022</v>
      </c>
      <c r="O43" s="59">
        <f>+C43</f>
        <v>0.86660000000000004</v>
      </c>
      <c r="P43" s="59"/>
      <c r="Q43" s="59">
        <f>+sogebkvar!J29/sogebkvar!J22</f>
        <v>0.88337447175008599</v>
      </c>
      <c r="R43" s="59">
        <v>0.87229999999999996</v>
      </c>
      <c r="S43" s="59">
        <v>0.89280000000000004</v>
      </c>
      <c r="T43" s="59">
        <v>0.90069999999999995</v>
      </c>
      <c r="U43" s="43"/>
      <c r="V43" s="43"/>
      <c r="W43" s="43"/>
      <c r="X43" s="43"/>
      <c r="Y43" s="43"/>
      <c r="Z43" s="43"/>
      <c r="AA43" s="43"/>
    </row>
    <row r="44" spans="1:27">
      <c r="A44" t="s">
        <v>0</v>
      </c>
      <c r="B44" s="57"/>
      <c r="C44" s="59"/>
      <c r="D44" s="59"/>
      <c r="E44" s="41"/>
      <c r="F44" s="59"/>
      <c r="G44" s="59"/>
      <c r="H44" s="41"/>
      <c r="I44" s="59"/>
      <c r="J44" s="59"/>
      <c r="K44" s="41"/>
      <c r="L44" s="59"/>
      <c r="M44" s="59"/>
      <c r="N44" s="59"/>
      <c r="O44" s="59"/>
      <c r="P44" s="59"/>
      <c r="Q44" s="59"/>
      <c r="R44" s="59"/>
      <c r="S44" s="59"/>
      <c r="T44" s="59"/>
      <c r="U44" s="43"/>
      <c r="V44" s="43"/>
      <c r="W44" s="43"/>
      <c r="X44" s="43"/>
      <c r="Y44" s="43"/>
      <c r="Z44" s="43"/>
      <c r="AA44" s="43"/>
    </row>
    <row r="45" spans="1:27">
      <c r="A45" s="2" t="s">
        <v>214</v>
      </c>
      <c r="B45" s="57"/>
      <c r="C45" s="59"/>
      <c r="D45" s="59"/>
      <c r="E45" s="57"/>
      <c r="F45" s="59"/>
      <c r="G45" s="59"/>
      <c r="H45" s="57"/>
      <c r="I45" s="59"/>
      <c r="J45" s="59"/>
      <c r="K45" s="57"/>
      <c r="L45" s="59"/>
      <c r="M45" s="59"/>
      <c r="N45" s="59"/>
      <c r="O45" s="59"/>
      <c r="P45" s="59"/>
      <c r="Q45" s="59"/>
      <c r="R45" s="59"/>
      <c r="S45" s="59"/>
      <c r="T45" s="59"/>
      <c r="U45" s="43"/>
      <c r="V45" s="43"/>
      <c r="W45" s="43"/>
      <c r="X45" s="43"/>
      <c r="Y45" s="43"/>
      <c r="Z45" s="43"/>
      <c r="AA45" s="43"/>
    </row>
    <row r="46" spans="1:27">
      <c r="A46" s="2"/>
      <c r="B46" s="57"/>
      <c r="C46" s="59"/>
      <c r="D46" s="59"/>
      <c r="E46" s="57"/>
      <c r="F46" s="59"/>
      <c r="G46" s="59"/>
      <c r="H46" s="57"/>
      <c r="I46" s="59"/>
      <c r="J46" s="59"/>
      <c r="K46" s="57"/>
      <c r="L46" s="59"/>
      <c r="M46" s="59"/>
      <c r="N46" s="59"/>
      <c r="O46" s="59"/>
      <c r="P46" s="59"/>
      <c r="Q46" s="59"/>
      <c r="R46" s="59"/>
      <c r="S46" s="59"/>
      <c r="T46" s="59"/>
      <c r="U46" s="43"/>
      <c r="V46" s="43"/>
      <c r="W46" s="43"/>
      <c r="X46" s="43"/>
      <c r="Y46" s="43"/>
      <c r="Z46" s="43"/>
      <c r="AA46" s="43"/>
    </row>
    <row r="47" spans="1:27">
      <c r="A47" t="s">
        <v>215</v>
      </c>
      <c r="B47" s="57"/>
      <c r="C47" s="59"/>
      <c r="D47" s="59"/>
      <c r="E47" s="57"/>
      <c r="F47" s="59"/>
      <c r="G47" s="59"/>
      <c r="H47" s="57"/>
      <c r="I47" s="59"/>
      <c r="J47" s="59"/>
      <c r="K47" s="57"/>
      <c r="L47" s="59"/>
      <c r="M47" s="59"/>
      <c r="N47" s="59"/>
      <c r="O47" s="59"/>
      <c r="P47" s="59"/>
      <c r="Q47" s="59"/>
      <c r="R47" s="59"/>
      <c r="S47" s="59"/>
      <c r="T47" s="59"/>
      <c r="U47" s="43"/>
      <c r="V47" s="43"/>
      <c r="W47" s="43"/>
      <c r="X47" s="43"/>
      <c r="Y47" s="43"/>
      <c r="Z47" s="43"/>
      <c r="AA47" s="43"/>
    </row>
    <row r="48" spans="1:27">
      <c r="A48" t="s">
        <v>216</v>
      </c>
      <c r="B48" s="59">
        <f>+sogebkvar!B62/sogebkvar!B60</f>
        <v>8.2188719689878675E-2</v>
      </c>
      <c r="C48" s="59">
        <v>5.0200000000000002E-2</v>
      </c>
      <c r="D48" s="59"/>
      <c r="E48" s="57">
        <v>0</v>
      </c>
      <c r="F48" s="59">
        <v>8.5000000000000006E-2</v>
      </c>
      <c r="G48" s="59"/>
      <c r="H48" s="364">
        <v>0</v>
      </c>
      <c r="I48" s="59">
        <v>7.2400000000000006E-2</v>
      </c>
      <c r="J48" s="59"/>
      <c r="K48" s="57">
        <v>0</v>
      </c>
      <c r="L48" s="59">
        <v>5.8700000000000002E-2</v>
      </c>
      <c r="M48" s="59"/>
      <c r="N48" s="58">
        <f>+B48</f>
        <v>8.2188719689878675E-2</v>
      </c>
      <c r="O48" s="59">
        <f>+C48</f>
        <v>5.0200000000000002E-2</v>
      </c>
      <c r="P48" s="59"/>
      <c r="Q48" s="59">
        <f>+sogebkvar!J62/sogebkvar!J60</f>
        <v>5.8659445293929267E-2</v>
      </c>
      <c r="R48" s="59">
        <v>3.7999999999999999E-2</v>
      </c>
      <c r="S48" s="59">
        <v>3.7600000000000001E-2</v>
      </c>
      <c r="T48" s="59">
        <v>2.4199999999999999E-2</v>
      </c>
      <c r="U48" s="43"/>
      <c r="V48" s="43"/>
      <c r="W48" s="43"/>
      <c r="X48" s="43"/>
      <c r="Y48" s="43"/>
      <c r="Z48" s="43"/>
      <c r="AA48" s="43"/>
    </row>
    <row r="49" spans="1:27">
      <c r="B49" s="57"/>
      <c r="C49" s="59"/>
      <c r="D49" s="59"/>
      <c r="E49" s="41"/>
      <c r="F49" s="59"/>
      <c r="G49" s="59"/>
      <c r="H49" s="41"/>
      <c r="I49" s="59"/>
      <c r="J49" s="59"/>
      <c r="K49" s="41"/>
      <c r="L49" s="59"/>
      <c r="M49" s="59"/>
      <c r="N49" s="59"/>
      <c r="O49" s="59"/>
      <c r="P49" s="59"/>
      <c r="Q49" s="59"/>
      <c r="R49" s="59"/>
      <c r="S49" s="59"/>
      <c r="T49" s="59"/>
      <c r="U49" s="43"/>
      <c r="V49" s="43"/>
      <c r="W49" s="43"/>
      <c r="X49" s="43"/>
      <c r="Y49" s="43"/>
      <c r="Z49" s="43"/>
      <c r="AA49" s="43"/>
    </row>
    <row r="50" spans="1:27">
      <c r="A50" t="s">
        <v>217</v>
      </c>
      <c r="B50" s="57"/>
      <c r="C50" s="59"/>
      <c r="D50" s="59"/>
      <c r="E50" s="57"/>
      <c r="F50" s="59"/>
      <c r="G50" s="59"/>
      <c r="H50" s="57"/>
      <c r="I50" s="59"/>
      <c r="J50" s="59"/>
      <c r="K50" s="57"/>
      <c r="L50" s="59"/>
      <c r="M50" s="59"/>
      <c r="N50" s="59"/>
      <c r="O50" s="59"/>
      <c r="P50" s="59"/>
      <c r="Q50" s="59"/>
      <c r="R50" s="59"/>
      <c r="S50" s="59"/>
      <c r="T50" s="59"/>
      <c r="U50" s="43"/>
      <c r="V50" s="43"/>
      <c r="W50" s="43"/>
      <c r="X50" s="43"/>
      <c r="Y50" s="43"/>
      <c r="Z50" s="43"/>
      <c r="AA50" s="43"/>
    </row>
    <row r="51" spans="1:27">
      <c r="A51" t="s">
        <v>218</v>
      </c>
      <c r="B51" s="59">
        <f>+sogebkvar!B61/sogebkvar!B62</f>
        <v>0.5439606448264076</v>
      </c>
      <c r="C51" s="59">
        <v>0.58760000000000001</v>
      </c>
      <c r="D51" s="59"/>
      <c r="E51" s="57">
        <v>0</v>
      </c>
      <c r="F51" s="59">
        <v>0.37259999999999999</v>
      </c>
      <c r="G51" s="59"/>
      <c r="H51" s="364">
        <v>0</v>
      </c>
      <c r="I51" s="59">
        <v>0.4178</v>
      </c>
      <c r="J51" s="59"/>
      <c r="K51" s="57">
        <v>0</v>
      </c>
      <c r="L51" s="59">
        <v>0.75219999999999998</v>
      </c>
      <c r="M51" s="59"/>
      <c r="N51" s="58">
        <f>+B51</f>
        <v>0.5439606448264076</v>
      </c>
      <c r="O51" s="59">
        <f>+C51</f>
        <v>0.58760000000000001</v>
      </c>
      <c r="P51" s="59"/>
      <c r="Q51" s="59">
        <f>+sogebkvar!J61/sogebkvar!J62</f>
        <v>0.75220252249619857</v>
      </c>
      <c r="R51" s="59">
        <v>0.79010000000000002</v>
      </c>
      <c r="S51" s="59">
        <v>0.97030000000000005</v>
      </c>
      <c r="T51" s="59">
        <v>1.4658</v>
      </c>
      <c r="U51" s="43"/>
      <c r="V51" s="43"/>
      <c r="W51" s="43"/>
      <c r="X51" s="43"/>
      <c r="Y51" s="43"/>
      <c r="Z51" s="43"/>
      <c r="AA51" s="43"/>
    </row>
    <row r="52" spans="1:27">
      <c r="B52" s="57"/>
      <c r="C52" s="59"/>
      <c r="D52" s="59"/>
      <c r="E52" s="41"/>
      <c r="F52" s="59"/>
      <c r="G52" s="59"/>
      <c r="H52" s="41"/>
      <c r="I52" s="59"/>
      <c r="J52" s="59"/>
      <c r="K52" s="41"/>
      <c r="L52" s="59"/>
      <c r="M52" s="59"/>
      <c r="N52" s="59"/>
      <c r="O52" s="59"/>
      <c r="P52" s="59"/>
      <c r="Q52" s="59"/>
      <c r="R52" s="59"/>
      <c r="S52" s="59"/>
      <c r="T52" s="59"/>
      <c r="U52" s="43"/>
      <c r="V52" s="43"/>
      <c r="W52" s="43"/>
      <c r="X52" s="43"/>
      <c r="Y52" s="43"/>
      <c r="Z52" s="43"/>
      <c r="AA52" s="43"/>
    </row>
    <row r="53" spans="1:27">
      <c r="A53" t="s">
        <v>219</v>
      </c>
      <c r="B53" s="57"/>
      <c r="C53" s="59"/>
      <c r="D53" s="59"/>
      <c r="E53" s="57"/>
      <c r="F53" s="59"/>
      <c r="G53" s="59"/>
      <c r="H53" s="57"/>
      <c r="I53" s="59"/>
      <c r="J53" s="59"/>
      <c r="K53" s="57"/>
      <c r="L53" s="59"/>
      <c r="M53" s="59"/>
      <c r="N53" s="59"/>
      <c r="O53" s="59"/>
      <c r="P53" s="59"/>
      <c r="Q53" s="59"/>
      <c r="R53" s="59"/>
      <c r="S53" s="59"/>
      <c r="T53" s="59"/>
      <c r="U53" s="43"/>
      <c r="V53" s="43"/>
      <c r="W53" s="43"/>
      <c r="X53" s="43"/>
      <c r="Y53" s="43"/>
      <c r="Z53" s="43"/>
      <c r="AA53" s="43"/>
    </row>
    <row r="54" spans="1:27">
      <c r="A54" t="s">
        <v>220</v>
      </c>
      <c r="B54" s="59">
        <f>+(sogebkvar!B62-sogebkvar!B61)/sogebkvar!B51</f>
        <v>0.18846384388684465</v>
      </c>
      <c r="C54" s="59">
        <v>9.0999999999999998E-2</v>
      </c>
      <c r="D54" s="59"/>
      <c r="E54" s="57">
        <v>0</v>
      </c>
      <c r="F54" s="59">
        <v>0.23219999999999999</v>
      </c>
      <c r="G54" s="59"/>
      <c r="H54" s="364">
        <v>0</v>
      </c>
      <c r="I54" s="59">
        <v>0.22700000000000001</v>
      </c>
      <c r="J54" s="59"/>
      <c r="K54" s="57">
        <v>0</v>
      </c>
      <c r="L54" s="59">
        <v>7.3099999999999998E-2</v>
      </c>
      <c r="M54" s="59"/>
      <c r="N54" s="58">
        <f>+B54</f>
        <v>0.18846384388684465</v>
      </c>
      <c r="O54" s="59">
        <f>+C54</f>
        <v>9.0999999999999998E-2</v>
      </c>
      <c r="P54" s="59"/>
      <c r="Q54" s="59">
        <f>+(sogebkvar!J62-sogebkvar!J61)/sogebkvar!J51</f>
        <v>7.3067995340571887E-2</v>
      </c>
      <c r="R54" s="59">
        <v>4.53E-2</v>
      </c>
      <c r="S54" s="59">
        <v>7.3000000000000001E-3</v>
      </c>
      <c r="T54" s="59">
        <v>-8.2400000000000001E-2</v>
      </c>
      <c r="U54" s="43"/>
      <c r="V54" s="43"/>
      <c r="W54" s="43"/>
      <c r="X54" s="43"/>
      <c r="Y54" s="43"/>
      <c r="Z54" s="43"/>
      <c r="AA54" s="43"/>
    </row>
    <row r="55" spans="1:27">
      <c r="A55" t="s">
        <v>0</v>
      </c>
      <c r="B55" s="57"/>
      <c r="C55" s="59"/>
      <c r="D55" s="59"/>
      <c r="E55" s="41"/>
      <c r="F55" s="59"/>
      <c r="G55" s="59"/>
      <c r="H55" s="41"/>
      <c r="I55" s="59"/>
      <c r="J55" s="59"/>
      <c r="K55" s="41"/>
      <c r="L55" s="59"/>
      <c r="M55" s="59"/>
      <c r="N55" s="57"/>
      <c r="O55" s="59"/>
      <c r="P55" s="59"/>
      <c r="Q55" s="59"/>
      <c r="R55" s="59"/>
      <c r="S55" s="59"/>
      <c r="T55" s="59"/>
      <c r="U55" s="43"/>
      <c r="V55" s="43"/>
      <c r="W55" s="43"/>
      <c r="X55" s="43"/>
      <c r="Y55" s="43"/>
      <c r="Z55" s="43"/>
      <c r="AA55" s="43"/>
    </row>
    <row r="56" spans="1:27">
      <c r="A56" s="2" t="s">
        <v>221</v>
      </c>
      <c r="B56" s="57"/>
      <c r="C56" s="59"/>
      <c r="D56" s="59"/>
      <c r="E56" s="57"/>
      <c r="F56" s="59"/>
      <c r="G56" s="59"/>
      <c r="H56" s="57"/>
      <c r="I56" s="59"/>
      <c r="J56" s="59"/>
      <c r="K56" s="57"/>
      <c r="L56" s="59"/>
      <c r="M56" s="59"/>
      <c r="N56" s="57"/>
      <c r="O56" s="59"/>
      <c r="P56" s="59"/>
      <c r="Q56" s="59"/>
      <c r="R56" s="59"/>
      <c r="S56" s="59"/>
      <c r="T56" s="59"/>
      <c r="U56" s="43"/>
      <c r="V56" s="43"/>
      <c r="W56" s="43"/>
      <c r="X56" s="43"/>
      <c r="Y56" s="43"/>
      <c r="Z56" s="43"/>
      <c r="AA56" s="43"/>
    </row>
    <row r="57" spans="1:27">
      <c r="A57" s="2"/>
      <c r="B57" s="57"/>
      <c r="C57" s="59"/>
      <c r="D57" s="59"/>
      <c r="E57" s="57"/>
      <c r="F57" s="59"/>
      <c r="G57" s="59"/>
      <c r="H57" s="57"/>
      <c r="I57" s="59"/>
      <c r="J57" s="59"/>
      <c r="K57" s="57"/>
      <c r="L57" s="59"/>
      <c r="M57" s="59"/>
      <c r="N57" s="57"/>
      <c r="O57" s="59"/>
      <c r="P57" s="59"/>
      <c r="Q57" s="59"/>
      <c r="R57" s="59"/>
      <c r="S57" s="59"/>
      <c r="T57" s="59"/>
      <c r="U57" s="43"/>
      <c r="V57" s="43"/>
      <c r="W57" s="43"/>
      <c r="X57" s="43"/>
      <c r="Y57" s="43"/>
      <c r="Z57" s="43"/>
      <c r="AA57" s="43"/>
    </row>
    <row r="58" spans="1:27">
      <c r="A58" t="s">
        <v>222</v>
      </c>
      <c r="B58" s="59">
        <f>+(SOGEBKRÉSULT!B41/((sogebkvar!B22+sogebkvar!J22)/2)*4)</f>
        <v>1.2285187089496994E-2</v>
      </c>
      <c r="C58" s="59">
        <v>4.4999999999999997E-3</v>
      </c>
      <c r="D58" s="59"/>
      <c r="E58" s="57">
        <v>0</v>
      </c>
      <c r="F58" s="59">
        <v>1.32E-2</v>
      </c>
      <c r="G58" s="59"/>
      <c r="H58" s="364">
        <v>0</v>
      </c>
      <c r="I58" s="59">
        <v>1.23E-2</v>
      </c>
      <c r="J58" s="59"/>
      <c r="K58" s="57">
        <v>0</v>
      </c>
      <c r="L58" s="59">
        <v>1.5699999999999999E-2</v>
      </c>
      <c r="M58" s="59"/>
      <c r="N58" s="58">
        <f>+'sysratfinclé '!I37</f>
        <v>1.2285187089496994E-2</v>
      </c>
      <c r="O58" s="58">
        <f>+'sysratfinclé '!I38</f>
        <v>4.4999999999999997E-3</v>
      </c>
      <c r="P58" s="59"/>
      <c r="Q58" s="59">
        <f>+'SOGEBKVARAN '!F43/((sogebkvar!J22+sogebkvar!L22)/2)</f>
        <v>1.1358599907694901E-2</v>
      </c>
      <c r="R58" s="59">
        <v>1.34E-2</v>
      </c>
      <c r="S58" s="59">
        <v>2.0299999999999999E-2</v>
      </c>
      <c r="T58" s="59">
        <v>9.5999999999999992E-3</v>
      </c>
      <c r="U58" s="43"/>
      <c r="V58" s="43"/>
      <c r="W58" s="43"/>
      <c r="X58" s="43"/>
      <c r="Y58" s="43"/>
      <c r="Z58" s="43"/>
      <c r="AA58" s="43"/>
    </row>
    <row r="59" spans="1:27" ht="7.15" customHeight="1">
      <c r="B59" s="57"/>
      <c r="C59" s="59"/>
      <c r="D59" s="59"/>
      <c r="E59" s="41"/>
      <c r="F59" s="59"/>
      <c r="G59" s="59"/>
      <c r="H59" s="41"/>
      <c r="I59" s="59"/>
      <c r="J59" s="59"/>
      <c r="K59" s="41"/>
      <c r="L59" s="59"/>
      <c r="M59" s="59"/>
      <c r="N59" s="57"/>
      <c r="O59" s="57"/>
      <c r="P59" s="59"/>
      <c r="Q59" s="59"/>
      <c r="R59" s="59"/>
      <c r="S59" s="59"/>
      <c r="T59" s="59"/>
      <c r="U59" s="43"/>
      <c r="V59" s="43"/>
      <c r="W59" s="43"/>
      <c r="X59" s="43"/>
      <c r="Y59" s="43"/>
      <c r="Z59" s="43"/>
      <c r="AA59" s="43"/>
    </row>
    <row r="60" spans="1:27">
      <c r="A60" t="s">
        <v>547</v>
      </c>
      <c r="B60" s="59">
        <f>+(SOGEBKRÉSULT!B41/((sogebkvar!J51+sogebkvar!B51)/2)*4)</f>
        <v>0.18221981051253039</v>
      </c>
      <c r="C60" s="59">
        <v>6.1499999999999999E-2</v>
      </c>
      <c r="D60" s="59"/>
      <c r="E60" s="57">
        <v>0</v>
      </c>
      <c r="F60" s="59">
        <v>0.15909999999999999</v>
      </c>
      <c r="G60" s="59"/>
      <c r="H60" s="364">
        <v>0</v>
      </c>
      <c r="I60" s="58">
        <v>0.1666</v>
      </c>
      <c r="J60" s="59"/>
      <c r="K60" s="57">
        <v>0</v>
      </c>
      <c r="L60" s="59">
        <v>0.23319999999999999</v>
      </c>
      <c r="M60" s="59"/>
      <c r="N60" s="58">
        <f>+'sysratfinclé '!I43</f>
        <v>0.18221981051253039</v>
      </c>
      <c r="O60" s="58">
        <f>+'sysratfinclé '!I44</f>
        <v>6.1699999999999998E-2</v>
      </c>
      <c r="P60" s="59"/>
      <c r="Q60" s="59">
        <f>+'SOGEBKVARAN '!F43/((sogebkvar!J51+sogebkvar!L51)/2)</f>
        <v>0.17424161293377288</v>
      </c>
      <c r="R60" s="59">
        <v>0.21690000000000001</v>
      </c>
      <c r="S60" s="59">
        <v>0.35580000000000001</v>
      </c>
      <c r="T60" s="59">
        <v>0.1996</v>
      </c>
      <c r="U60" s="43"/>
      <c r="V60" s="43"/>
      <c r="W60" s="43"/>
      <c r="X60" s="43"/>
      <c r="Y60" s="43"/>
      <c r="Z60" s="43"/>
      <c r="AA60" s="43"/>
    </row>
    <row r="61" spans="1:27" ht="7.15" customHeight="1">
      <c r="B61" s="57"/>
      <c r="C61" s="59"/>
      <c r="D61" s="59"/>
      <c r="E61" s="41"/>
      <c r="F61" s="59"/>
      <c r="G61" s="59"/>
      <c r="H61" s="41"/>
      <c r="I61" s="59"/>
      <c r="J61" s="59"/>
      <c r="K61" s="41"/>
      <c r="L61" s="59"/>
      <c r="M61" s="59"/>
      <c r="N61" s="57"/>
      <c r="O61" s="57"/>
      <c r="P61" s="59"/>
      <c r="Q61" s="59"/>
      <c r="R61" s="59"/>
      <c r="S61" s="59"/>
      <c r="T61" s="59"/>
      <c r="U61" s="43"/>
      <c r="V61" s="43"/>
      <c r="W61" s="43"/>
      <c r="X61" s="43"/>
      <c r="Y61" s="43"/>
      <c r="Z61" s="43"/>
      <c r="AA61" s="43"/>
    </row>
    <row r="62" spans="1:27">
      <c r="A62" t="s">
        <v>201</v>
      </c>
      <c r="B62" s="57"/>
      <c r="C62" s="59"/>
      <c r="D62" s="59"/>
      <c r="E62" s="57"/>
      <c r="F62" s="59"/>
      <c r="G62" s="59"/>
      <c r="H62" s="57"/>
      <c r="I62" s="59"/>
      <c r="J62" s="59"/>
      <c r="K62" s="57"/>
      <c r="L62" s="59"/>
      <c r="M62" s="59"/>
      <c r="N62" s="57"/>
      <c r="O62" s="57"/>
      <c r="P62" s="59"/>
      <c r="Q62" s="59"/>
      <c r="R62" s="59"/>
      <c r="S62" s="59"/>
      <c r="T62" s="59"/>
      <c r="U62" s="43"/>
      <c r="V62" s="43"/>
      <c r="W62" s="43"/>
      <c r="X62" s="43"/>
      <c r="Y62" s="43"/>
      <c r="Z62" s="43"/>
      <c r="AA62" s="43"/>
    </row>
    <row r="63" spans="1:27">
      <c r="A63" t="s">
        <v>225</v>
      </c>
      <c r="B63" s="59">
        <f>+SOGEBKRÉSULT!B15/SOGEBKRÉSULT!B13</f>
        <v>0.74798072957502648</v>
      </c>
      <c r="C63" s="59">
        <v>0.56359999999999999</v>
      </c>
      <c r="D63" s="59"/>
      <c r="E63" s="57">
        <v>0</v>
      </c>
      <c r="F63" s="59">
        <v>0.73399999999999999</v>
      </c>
      <c r="G63" s="59"/>
      <c r="H63" s="364">
        <v>0</v>
      </c>
      <c r="I63" s="59">
        <v>0.75860000000000005</v>
      </c>
      <c r="J63" s="59"/>
      <c r="K63" s="57">
        <v>0</v>
      </c>
      <c r="L63" s="59">
        <v>0.76249999999999996</v>
      </c>
      <c r="M63" s="59"/>
      <c r="N63" s="58">
        <f>+'sysratfinclé '!I50</f>
        <v>0.74798072957502648</v>
      </c>
      <c r="O63" s="58">
        <f>+'sysratfinclé '!I51</f>
        <v>0.56358859836656638</v>
      </c>
      <c r="P63" s="59"/>
      <c r="Q63" s="59">
        <f>+'SOGEBKVARAN '!F17/'SOGEBKVARAN '!F15</f>
        <v>0.70561897015486763</v>
      </c>
      <c r="R63" s="59">
        <v>0.63590000000000002</v>
      </c>
      <c r="S63" s="59">
        <v>0.72099999999999997</v>
      </c>
      <c r="T63" s="59">
        <v>0.64939999999999998</v>
      </c>
      <c r="U63" s="43"/>
      <c r="V63" s="43"/>
      <c r="W63" s="43"/>
      <c r="X63" s="43"/>
      <c r="Y63" s="43"/>
      <c r="Z63" s="43"/>
      <c r="AA63" s="43"/>
    </row>
    <row r="64" spans="1:27" ht="7.15" customHeight="1">
      <c r="B64" s="57"/>
      <c r="C64" s="59"/>
      <c r="D64" s="59"/>
      <c r="E64" s="41"/>
      <c r="F64" s="59"/>
      <c r="G64" s="59"/>
      <c r="H64" s="41"/>
      <c r="I64" s="59"/>
      <c r="J64" s="59"/>
      <c r="K64" s="41"/>
      <c r="L64" s="59"/>
      <c r="M64" s="59"/>
      <c r="N64" s="57"/>
      <c r="O64" s="57"/>
      <c r="P64" s="59"/>
      <c r="Q64" s="59"/>
      <c r="R64" s="59"/>
      <c r="S64" s="59"/>
      <c r="T64" s="59"/>
      <c r="U64" s="43"/>
      <c r="V64" s="43"/>
      <c r="W64" s="43"/>
      <c r="X64" s="43"/>
      <c r="Y64" s="43"/>
      <c r="Z64" s="43"/>
      <c r="AA64" s="43"/>
    </row>
    <row r="65" spans="1:20">
      <c r="A65" t="s">
        <v>226</v>
      </c>
      <c r="B65" s="59">
        <f>+(SOGEBKRÉSULT!B10/((sogebkvar!B60+sogebkvar!J60)/2)*4)</f>
        <v>0.15971240196789344</v>
      </c>
      <c r="C65" s="56">
        <v>0.17069999999999999</v>
      </c>
      <c r="D65" s="56"/>
      <c r="E65" s="57">
        <v>0</v>
      </c>
      <c r="F65" s="56">
        <v>0.1832</v>
      </c>
      <c r="G65" s="56"/>
      <c r="H65" s="364">
        <v>0</v>
      </c>
      <c r="I65" s="56">
        <v>0.1825</v>
      </c>
      <c r="J65" s="56"/>
      <c r="K65" s="57">
        <v>0</v>
      </c>
      <c r="L65" s="56">
        <v>0.16400000000000001</v>
      </c>
      <c r="M65" s="56"/>
      <c r="N65" s="58">
        <f>+'sysratfinclé '!I56</f>
        <v>0.15971240196789344</v>
      </c>
      <c r="O65" s="58">
        <f>+'sysratfinclé '!I57</f>
        <v>0.19289999999999999</v>
      </c>
      <c r="P65" s="56"/>
      <c r="Q65" s="56">
        <f>+'SOGEBKVARAN '!F12/((sogebkvar!J60+sogebkvar!L60)/2)</f>
        <v>0.17471827024546616</v>
      </c>
      <c r="R65" s="56">
        <v>0.19450000000000001</v>
      </c>
      <c r="S65" s="56">
        <v>0.2102</v>
      </c>
      <c r="T65" s="56">
        <v>0.23330000000000001</v>
      </c>
    </row>
    <row r="66" spans="1:20" ht="7.15" customHeight="1">
      <c r="B66" s="9"/>
      <c r="C66" s="56"/>
      <c r="D66" s="56"/>
      <c r="E66" s="41"/>
      <c r="F66" s="56"/>
      <c r="G66" s="56"/>
      <c r="H66" s="41"/>
      <c r="I66" s="56"/>
      <c r="J66" s="56"/>
      <c r="K66" s="41"/>
      <c r="L66" s="56"/>
      <c r="M66" s="56"/>
      <c r="N66" s="9"/>
      <c r="O66" s="9"/>
      <c r="P66" s="56"/>
      <c r="Q66" s="56"/>
      <c r="R66" s="56"/>
      <c r="S66" s="56"/>
      <c r="T66" s="56"/>
    </row>
    <row r="67" spans="1:20">
      <c r="A67" t="s">
        <v>227</v>
      </c>
      <c r="B67" s="59">
        <f>+(SOGEBKRÉSULT!B14/((sogebkvar!J29+sogebkvar!B29)/2)*4)</f>
        <v>2.4145788844299746E-2</v>
      </c>
      <c r="C67" s="56">
        <v>5.0099999999999999E-2</v>
      </c>
      <c r="D67" s="56"/>
      <c r="E67" s="57">
        <v>0</v>
      </c>
      <c r="F67" s="56">
        <v>2.7099999999999999E-2</v>
      </c>
      <c r="G67" s="56"/>
      <c r="H67" s="364">
        <v>0</v>
      </c>
      <c r="I67" s="56">
        <v>2.3599999999999999E-2</v>
      </c>
      <c r="J67" s="56"/>
      <c r="K67" s="57">
        <v>0</v>
      </c>
      <c r="L67" s="56">
        <v>2.1999999999999999E-2</v>
      </c>
      <c r="M67" s="56"/>
      <c r="N67" s="58">
        <f>+'sysratfinclé '!I62</f>
        <v>2.4145788844299746E-2</v>
      </c>
      <c r="O67" s="58">
        <f>+'sysratfinclé '!I63</f>
        <v>5.0099999999999999E-2</v>
      </c>
      <c r="P67" s="56"/>
      <c r="Q67" s="56">
        <f>+'SOGEBKVARAN '!F16/((sogebkvar!J29+sogebkvar!L29)/2)</f>
        <v>2.8550845832861264E-2</v>
      </c>
      <c r="R67" s="56">
        <v>4.65E-2</v>
      </c>
      <c r="S67" s="56">
        <v>3.1199999999999999E-2</v>
      </c>
      <c r="T67" s="56">
        <v>3.5299999999999998E-2</v>
      </c>
    </row>
    <row r="68" spans="1:20" ht="6" customHeight="1">
      <c r="B68" s="9"/>
      <c r="C68" s="56"/>
      <c r="D68" s="56"/>
      <c r="E68" s="49">
        <v>0</v>
      </c>
      <c r="F68" s="56"/>
      <c r="G68" s="56"/>
      <c r="H68" s="49">
        <v>0</v>
      </c>
      <c r="I68" s="56"/>
      <c r="J68" s="56"/>
      <c r="K68" s="49">
        <v>0</v>
      </c>
      <c r="L68" s="56"/>
      <c r="M68" s="56"/>
      <c r="N68" s="9"/>
      <c r="O68" s="9"/>
      <c r="P68" s="56"/>
      <c r="Q68" s="56"/>
      <c r="R68" s="56"/>
      <c r="S68" s="56"/>
      <c r="T68" s="56"/>
    </row>
    <row r="69" spans="1:20">
      <c r="A69" t="s">
        <v>204</v>
      </c>
      <c r="B69" s="9"/>
      <c r="C69" s="56"/>
      <c r="D69" s="56"/>
      <c r="E69" s="49"/>
      <c r="F69" s="56"/>
      <c r="G69" s="56"/>
      <c r="H69" s="49"/>
      <c r="I69" s="56"/>
      <c r="J69" s="56"/>
      <c r="K69" s="49"/>
      <c r="L69" s="56"/>
      <c r="M69" s="56"/>
      <c r="N69" s="9"/>
      <c r="O69" s="9"/>
      <c r="P69" s="56"/>
      <c r="Q69" s="56"/>
      <c r="R69" s="56"/>
      <c r="S69" s="56"/>
      <c r="T69" s="56"/>
    </row>
    <row r="70" spans="1:20">
      <c r="A70" t="s">
        <v>228</v>
      </c>
      <c r="B70" s="59">
        <f>+SOGEBKRÉSULT!B35/SOGEBKRÉSULT!B23</f>
        <v>0.80341135832135424</v>
      </c>
      <c r="C70" s="56">
        <v>0.87519999999999998</v>
      </c>
      <c r="D70" s="56"/>
      <c r="E70" s="57">
        <v>0</v>
      </c>
      <c r="F70" s="56">
        <v>0.74680000000000002</v>
      </c>
      <c r="G70" s="56"/>
      <c r="H70" s="364">
        <v>0</v>
      </c>
      <c r="I70" s="56">
        <v>0.71419999999999995</v>
      </c>
      <c r="J70" s="56"/>
      <c r="K70" s="57">
        <v>0</v>
      </c>
      <c r="L70" s="56">
        <v>0.81089999999999995</v>
      </c>
      <c r="M70" s="56"/>
      <c r="N70" s="58">
        <f>+'sysratfinclé '!I70</f>
        <v>0.80341135832135424</v>
      </c>
      <c r="O70" s="58">
        <f>+'sysratfinclé '!I71</f>
        <v>0.87519054378971295</v>
      </c>
      <c r="P70" s="56"/>
      <c r="Q70" s="56">
        <f>+'SOGEBKVARAN '!F37/'SOGEBKVARAN '!F25</f>
        <v>0.78277115422902666</v>
      </c>
      <c r="R70" s="56">
        <v>0.74839999999999995</v>
      </c>
      <c r="S70" s="56">
        <v>0.69340000000000002</v>
      </c>
      <c r="T70" s="56">
        <v>0.79710000000000003</v>
      </c>
    </row>
    <row r="71" spans="1:20">
      <c r="A71" t="s">
        <v>452</v>
      </c>
      <c r="B71" s="9"/>
      <c r="C71" s="56"/>
      <c r="D71" s="56"/>
      <c r="E71" s="41"/>
      <c r="F71" s="56"/>
      <c r="G71" s="56"/>
      <c r="H71" s="41"/>
      <c r="I71" s="56"/>
      <c r="J71" s="56"/>
      <c r="K71" s="41"/>
      <c r="L71" s="56"/>
      <c r="M71" s="56"/>
      <c r="N71" s="56"/>
      <c r="O71" s="56"/>
      <c r="P71" s="56"/>
      <c r="Q71" s="56"/>
      <c r="R71" s="56"/>
      <c r="S71" s="56"/>
      <c r="T71" s="56"/>
    </row>
    <row r="72" spans="1:20">
      <c r="B72" s="9"/>
      <c r="C72" s="56"/>
      <c r="D72" s="56"/>
      <c r="E72" s="41"/>
      <c r="F72" s="56"/>
      <c r="G72" s="56"/>
      <c r="H72" s="41"/>
      <c r="I72" s="56"/>
      <c r="J72" s="56"/>
      <c r="K72" s="41"/>
      <c r="L72" s="56"/>
      <c r="M72" s="56"/>
      <c r="N72" s="56"/>
      <c r="O72" s="56"/>
      <c r="P72" s="56"/>
      <c r="Q72" s="56"/>
      <c r="R72" s="56"/>
      <c r="S72" s="56"/>
      <c r="T72" s="56"/>
    </row>
    <row r="73" spans="1:20">
      <c r="A73" t="s">
        <v>453</v>
      </c>
      <c r="B73" s="49">
        <f>+(SOGEBKRÉSULT!B23/((750+806)/2)*4)</f>
        <v>599.08740359897172</v>
      </c>
      <c r="C73" s="49">
        <v>593.66999999999996</v>
      </c>
      <c r="D73" s="56"/>
      <c r="E73" s="41">
        <v>0</v>
      </c>
      <c r="F73" s="49">
        <v>668.71</v>
      </c>
      <c r="G73" s="56"/>
      <c r="H73" s="364">
        <v>0</v>
      </c>
      <c r="I73" s="49">
        <v>694.59</v>
      </c>
      <c r="J73" s="56"/>
      <c r="K73" s="41">
        <v>0</v>
      </c>
      <c r="L73" s="49">
        <v>685.2</v>
      </c>
      <c r="M73" s="56"/>
      <c r="N73" s="946">
        <f>+'sysratfinclé '!I76</f>
        <v>599.08740359897172</v>
      </c>
      <c r="O73" s="946">
        <f>+'sysratfinclé '!I77</f>
        <v>593.66999999999996</v>
      </c>
      <c r="P73" s="56"/>
      <c r="Q73" s="49">
        <v>625.76</v>
      </c>
      <c r="R73" s="49">
        <v>732.8</v>
      </c>
      <c r="S73" s="49">
        <v>639.87</v>
      </c>
      <c r="T73" s="49">
        <v>596.98</v>
      </c>
    </row>
    <row r="74" spans="1:20" ht="16.5" thickBot="1">
      <c r="B74" s="952"/>
      <c r="C74" s="952"/>
      <c r="D74" s="189"/>
      <c r="E74" s="212"/>
      <c r="F74" s="952"/>
      <c r="G74" s="189"/>
      <c r="H74" s="212"/>
      <c r="I74" s="952"/>
      <c r="J74" s="189"/>
      <c r="K74" s="212"/>
      <c r="L74" s="952"/>
      <c r="M74" s="189"/>
      <c r="N74" s="953"/>
      <c r="O74" s="954"/>
      <c r="P74" s="189"/>
      <c r="Q74" s="952"/>
      <c r="R74" s="952"/>
      <c r="S74" s="952"/>
      <c r="T74" s="952"/>
    </row>
    <row r="75" spans="1:20">
      <c r="B75" s="956"/>
      <c r="C75" s="956"/>
      <c r="D75" s="957"/>
      <c r="E75" s="213"/>
      <c r="F75" s="956"/>
      <c r="G75" s="957"/>
      <c r="H75" s="213"/>
      <c r="I75" s="956"/>
      <c r="J75" s="957"/>
      <c r="K75" s="213"/>
      <c r="L75" s="956"/>
      <c r="M75" s="957"/>
      <c r="N75" s="958"/>
      <c r="O75" s="959"/>
      <c r="P75" s="957"/>
      <c r="Q75" s="956"/>
      <c r="R75" s="956"/>
      <c r="S75" s="956"/>
      <c r="T75" s="956"/>
    </row>
    <row r="76" spans="1:20" ht="18.75">
      <c r="A76" s="960" t="s">
        <v>645</v>
      </c>
      <c r="B76" s="20"/>
      <c r="C76" s="955"/>
      <c r="D76" s="955"/>
      <c r="E76" s="955"/>
      <c r="F76" s="955"/>
      <c r="G76" s="955"/>
      <c r="H76" s="955"/>
      <c r="I76" s="955"/>
      <c r="J76" s="955"/>
      <c r="K76" s="955"/>
      <c r="L76" s="955"/>
      <c r="M76" s="955"/>
      <c r="N76" s="955"/>
      <c r="O76" s="955"/>
      <c r="P76" s="955"/>
      <c r="Q76" s="955"/>
      <c r="R76" s="955"/>
      <c r="S76" s="955"/>
      <c r="T76" s="955"/>
    </row>
  </sheetData>
  <pageMargins left="0.2" right="0.2" top="0.71" bottom="0.54" header="0.43" footer="0.27"/>
  <pageSetup scale="44"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1"/>
  <sheetViews>
    <sheetView workbookViewId="0"/>
  </sheetViews>
  <sheetFormatPr defaultRowHeight="15.75"/>
  <cols>
    <col min="1" max="1" width="33.25" customWidth="1"/>
    <col min="2" max="2" width="19.87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11.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8" width="15.75" style="12" customWidth="1"/>
    <col min="19" max="21" width="15.75" customWidth="1"/>
    <col min="22" max="256" width="11" customWidth="1"/>
  </cols>
  <sheetData>
    <row r="1" spans="1:21">
      <c r="A1" s="114" t="s">
        <v>646</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6" spans="1:21" s="2" customFormat="1" ht="16.5" thickBot="1">
      <c r="B6" s="4"/>
      <c r="C6" s="11"/>
      <c r="D6" s="4"/>
      <c r="E6" s="11"/>
      <c r="F6" s="4"/>
      <c r="G6" s="11"/>
      <c r="H6" s="4"/>
      <c r="I6" s="67" t="s">
        <v>166</v>
      </c>
      <c r="J6" s="123" t="s">
        <v>167</v>
      </c>
      <c r="K6" s="230"/>
      <c r="L6" s="123"/>
      <c r="M6" s="230"/>
      <c r="N6" s="123"/>
      <c r="O6" s="230"/>
      <c r="P6" s="123"/>
      <c r="Q6" s="4"/>
      <c r="R6" s="4"/>
    </row>
    <row r="7" spans="1:21" s="2" customFormat="1" ht="16.5" thickBot="1">
      <c r="B7" s="223" t="s">
        <v>168</v>
      </c>
      <c r="C7" s="224" t="s">
        <v>169</v>
      </c>
      <c r="D7" s="225" t="s">
        <v>170</v>
      </c>
      <c r="E7" s="224" t="s">
        <v>169</v>
      </c>
      <c r="F7" s="225" t="s">
        <v>171</v>
      </c>
      <c r="G7" s="224" t="s">
        <v>169</v>
      </c>
      <c r="H7" s="225" t="s">
        <v>172</v>
      </c>
      <c r="I7" s="445" t="s">
        <v>173</v>
      </c>
      <c r="J7" s="228" t="s">
        <v>174</v>
      </c>
      <c r="K7" s="227" t="s">
        <v>169</v>
      </c>
      <c r="L7" s="228" t="s">
        <v>175</v>
      </c>
      <c r="M7" s="227" t="s">
        <v>169</v>
      </c>
      <c r="N7" s="228" t="s">
        <v>176</v>
      </c>
      <c r="O7" s="227" t="s">
        <v>169</v>
      </c>
      <c r="P7" s="228" t="s">
        <v>177</v>
      </c>
      <c r="Q7" s="80"/>
      <c r="R7" s="80"/>
      <c r="S7" s="18"/>
      <c r="T7" s="18"/>
      <c r="U7" s="18"/>
    </row>
    <row r="8" spans="1:21">
      <c r="A8" s="87" t="s">
        <v>243</v>
      </c>
      <c r="B8" s="125"/>
      <c r="C8" s="124"/>
      <c r="D8" s="125"/>
      <c r="E8" s="124"/>
      <c r="F8" s="125"/>
      <c r="G8" s="124"/>
      <c r="H8" s="125"/>
      <c r="I8" s="124"/>
      <c r="J8" s="219"/>
      <c r="K8" s="124"/>
      <c r="L8" s="219"/>
      <c r="M8" s="124"/>
      <c r="N8" s="219"/>
      <c r="O8" s="124"/>
      <c r="P8" s="219"/>
      <c r="Q8" s="14"/>
      <c r="R8" s="14"/>
      <c r="S8" s="9"/>
      <c r="T8" s="9"/>
      <c r="U8" s="9"/>
    </row>
    <row r="9" spans="1:21">
      <c r="A9" s="1" t="s">
        <v>264</v>
      </c>
      <c r="B9"/>
    </row>
    <row r="10" spans="1:21">
      <c r="A10" s="1" t="s">
        <v>265</v>
      </c>
      <c r="B10" s="12">
        <v>265332</v>
      </c>
      <c r="C10" s="44">
        <v>0</v>
      </c>
      <c r="D10" s="12">
        <v>0</v>
      </c>
      <c r="E10" s="44">
        <v>0</v>
      </c>
      <c r="F10" s="12">
        <v>0</v>
      </c>
      <c r="G10" s="44">
        <v>0</v>
      </c>
      <c r="H10" s="12">
        <v>0</v>
      </c>
      <c r="I10" s="47">
        <f>+(B10-J10)/ABS(J10)</f>
        <v>-0.1189257038114403</v>
      </c>
      <c r="J10" s="12">
        <v>301146</v>
      </c>
      <c r="K10" s="47">
        <f>+(J10-L10)/ABS(L10)</f>
        <v>1.0149340613019129</v>
      </c>
      <c r="L10" s="12">
        <v>149457</v>
      </c>
      <c r="M10" s="47">
        <f>+(L10-N10)/ABS(N10)</f>
        <v>0.60007579796630206</v>
      </c>
      <c r="N10" s="12">
        <v>93406.2</v>
      </c>
      <c r="O10" s="47">
        <f>+(N10-P10)/ABS(P10)</f>
        <v>-0.77125717557058315</v>
      </c>
      <c r="P10" s="12">
        <f>408345924/1000</f>
        <v>408345.924</v>
      </c>
    </row>
    <row r="11" spans="1:21">
      <c r="A11" s="1" t="s">
        <v>266</v>
      </c>
      <c r="B11" s="12">
        <v>1060879</v>
      </c>
      <c r="C11" s="44">
        <v>0</v>
      </c>
      <c r="D11" s="12">
        <v>0</v>
      </c>
      <c r="E11" s="44">
        <v>0</v>
      </c>
      <c r="F11" s="12">
        <v>0</v>
      </c>
      <c r="G11" s="44">
        <v>0</v>
      </c>
      <c r="H11" s="12">
        <v>0</v>
      </c>
      <c r="I11" s="47">
        <f>+(B11-J11)/ABS(J11)</f>
        <v>0.17094553875157009</v>
      </c>
      <c r="J11" s="12">
        <v>906002</v>
      </c>
      <c r="K11" s="47">
        <f>+(J11-L11)/ABS(L11)</f>
        <v>0.16503613404315512</v>
      </c>
      <c r="L11" s="12">
        <v>777660</v>
      </c>
      <c r="M11" s="47">
        <f>+(L11-N11)/ABS(N11)</f>
        <v>0.44325875154016442</v>
      </c>
      <c r="N11" s="12">
        <v>538822.30000000005</v>
      </c>
      <c r="O11" s="47">
        <f>+(N11-P11)/ABS(P11)</f>
        <v>0.13753739296209289</v>
      </c>
      <c r="P11" s="12">
        <f>473674363/1000</f>
        <v>473674.36300000001</v>
      </c>
    </row>
    <row r="12" spans="1:21">
      <c r="A12" s="1" t="s">
        <v>267</v>
      </c>
      <c r="B12" s="12">
        <v>314717</v>
      </c>
      <c r="C12" s="44">
        <v>0</v>
      </c>
      <c r="D12" s="12">
        <v>0</v>
      </c>
      <c r="E12" s="44">
        <v>0</v>
      </c>
      <c r="F12" s="12">
        <v>0</v>
      </c>
      <c r="G12" s="44">
        <v>0</v>
      </c>
      <c r="H12" s="12">
        <v>0</v>
      </c>
      <c r="I12" s="47">
        <f>+(B12-J12)/ABS(J12)</f>
        <v>0.53170810053146966</v>
      </c>
      <c r="J12" s="12">
        <v>205468</v>
      </c>
      <c r="K12" s="47">
        <f>+(J12-L12)/ABS(L12)</f>
        <v>-0.26350540000931966</v>
      </c>
      <c r="L12" s="12">
        <v>278981</v>
      </c>
      <c r="M12" s="47">
        <f>+(L12-N12)/ABS(N12)</f>
        <v>0.96560451034795691</v>
      </c>
      <c r="N12" s="12">
        <v>141931.4</v>
      </c>
      <c r="O12" s="47">
        <f>+(N12-P12)/ABS(P12)</f>
        <v>-0.64155442933083318</v>
      </c>
      <c r="P12" s="12">
        <f>395963604/1000</f>
        <v>395963.60399999999</v>
      </c>
    </row>
    <row r="13" spans="1:21">
      <c r="A13" s="1" t="s">
        <v>268</v>
      </c>
      <c r="B13" s="12">
        <f>+B75</f>
        <v>0</v>
      </c>
      <c r="C13" s="44">
        <v>0</v>
      </c>
      <c r="D13" s="12">
        <f>+D75</f>
        <v>0</v>
      </c>
      <c r="E13" s="44">
        <v>0</v>
      </c>
      <c r="F13" s="12">
        <v>0</v>
      </c>
      <c r="G13" s="44">
        <v>0</v>
      </c>
      <c r="H13" s="12">
        <v>0</v>
      </c>
      <c r="I13" s="44">
        <v>0</v>
      </c>
      <c r="J13" s="12">
        <v>0</v>
      </c>
      <c r="K13" s="44">
        <v>0</v>
      </c>
      <c r="L13" s="12">
        <v>227</v>
      </c>
      <c r="M13" s="44">
        <v>0</v>
      </c>
      <c r="N13" s="12">
        <v>0</v>
      </c>
      <c r="O13" s="44">
        <v>0</v>
      </c>
      <c r="P13" s="12">
        <v>0</v>
      </c>
    </row>
    <row r="14" spans="1:21">
      <c r="A14" s="1" t="s">
        <v>269</v>
      </c>
      <c r="B14" s="221">
        <v>143700</v>
      </c>
      <c r="C14" s="44">
        <v>0</v>
      </c>
      <c r="D14" s="221">
        <v>0</v>
      </c>
      <c r="E14" s="44">
        <v>0</v>
      </c>
      <c r="F14" s="221">
        <v>0</v>
      </c>
      <c r="G14" s="44">
        <v>0</v>
      </c>
      <c r="H14" s="221">
        <v>0</v>
      </c>
      <c r="I14" s="47">
        <f>+(B14-J14)/ABS(J14)</f>
        <v>0.29666224520180828</v>
      </c>
      <c r="J14" s="221">
        <v>110823</v>
      </c>
      <c r="K14" s="47">
        <f>+(J14-L14)/ABS(L14)</f>
        <v>0.32674488207829522</v>
      </c>
      <c r="L14" s="221">
        <f>43262+40268</f>
        <v>83530</v>
      </c>
      <c r="M14" s="47">
        <f>+(L14-N14)/ABS(N14)</f>
        <v>-0.28764165296473426</v>
      </c>
      <c r="N14" s="221">
        <v>117258.4</v>
      </c>
      <c r="O14" s="47">
        <f>+(N14-P14)/ABS(P14)</f>
        <v>1.4793225567809825</v>
      </c>
      <c r="P14" s="221">
        <f>47294532/1000</f>
        <v>47294.531999999999</v>
      </c>
    </row>
    <row r="15" spans="1:21" ht="15.6" customHeight="1">
      <c r="A15" s="1"/>
      <c r="B15" s="12">
        <f>SUM(B10:B14)</f>
        <v>1784628</v>
      </c>
      <c r="C15" s="44">
        <v>0</v>
      </c>
      <c r="D15" s="12">
        <f>SUM(D10:D14)</f>
        <v>0</v>
      </c>
      <c r="E15" s="44">
        <v>0</v>
      </c>
      <c r="F15" s="12">
        <f>SUM(F10:F14)</f>
        <v>0</v>
      </c>
      <c r="G15" s="44">
        <v>0</v>
      </c>
      <c r="H15" s="12">
        <f>SUM(H10:H14)</f>
        <v>0</v>
      </c>
      <c r="I15" s="47">
        <f>+(B15-J15)/ABS(J15)</f>
        <v>0.17144696965221451</v>
      </c>
      <c r="J15" s="12">
        <f>SUM(J10:J14)</f>
        <v>1523439</v>
      </c>
      <c r="K15" s="47">
        <f>+(J15-L15)/ABS(L15)</f>
        <v>0.18109322365692268</v>
      </c>
      <c r="L15" s="12">
        <f>SUM(L10:L14)</f>
        <v>1289855</v>
      </c>
      <c r="M15" s="47">
        <f>+(L15-N15)/ABS(N15)</f>
        <v>0.44696939697109644</v>
      </c>
      <c r="N15" s="12">
        <f>SUM(N10:N14)</f>
        <v>891418.3</v>
      </c>
      <c r="O15" s="47">
        <f>+(N15-P15)/ABS(P15)</f>
        <v>-0.32737281123002177</v>
      </c>
      <c r="P15" s="12">
        <f>SUM(P10:P14)</f>
        <v>1325278.423</v>
      </c>
    </row>
    <row r="16" spans="1:21" ht="7.9" customHeight="1">
      <c r="A16" s="1"/>
      <c r="C16" s="44" t="s">
        <v>0</v>
      </c>
      <c r="E16" s="44" t="s">
        <v>0</v>
      </c>
      <c r="G16" s="44" t="s">
        <v>0</v>
      </c>
      <c r="I16" s="47" t="s">
        <v>0</v>
      </c>
      <c r="K16" s="47" t="s">
        <v>0</v>
      </c>
      <c r="M16" s="47" t="s">
        <v>0</v>
      </c>
      <c r="O16" s="47" t="s">
        <v>0</v>
      </c>
    </row>
    <row r="17" spans="1:16" ht="15.6" customHeight="1">
      <c r="A17" s="1" t="s">
        <v>270</v>
      </c>
      <c r="B17" s="12">
        <v>935000</v>
      </c>
      <c r="C17" s="44">
        <v>0</v>
      </c>
      <c r="D17" s="12">
        <v>0</v>
      </c>
      <c r="E17" s="44">
        <v>0</v>
      </c>
      <c r="F17" s="12">
        <v>0</v>
      </c>
      <c r="G17" s="44">
        <v>0</v>
      </c>
      <c r="H17" s="12">
        <v>0</v>
      </c>
      <c r="I17" s="47">
        <f t="shared" ref="I17:I22" si="0">+(B17-J17)/ABS(J17)</f>
        <v>-8.3333333333333329E-2</v>
      </c>
      <c r="J17" s="12">
        <v>1020000</v>
      </c>
      <c r="K17" s="47">
        <f t="shared" ref="K17:K22" si="1">+(J17-L17)/ABS(L17)</f>
        <v>0.64516129032258063</v>
      </c>
      <c r="L17" s="12">
        <v>620000</v>
      </c>
      <c r="M17" s="44">
        <v>0</v>
      </c>
      <c r="N17" s="12">
        <v>410000</v>
      </c>
      <c r="O17" s="44">
        <v>0</v>
      </c>
      <c r="P17" s="12">
        <v>0</v>
      </c>
    </row>
    <row r="18" spans="1:16">
      <c r="A18" s="1" t="s">
        <v>271</v>
      </c>
      <c r="B18" s="12">
        <v>334696</v>
      </c>
      <c r="C18" s="44">
        <v>0</v>
      </c>
      <c r="D18" s="12">
        <v>0</v>
      </c>
      <c r="E18" s="44">
        <v>0</v>
      </c>
      <c r="F18" s="12">
        <v>0</v>
      </c>
      <c r="G18" s="44">
        <v>0</v>
      </c>
      <c r="H18" s="12">
        <v>0</v>
      </c>
      <c r="I18" s="47">
        <f t="shared" si="0"/>
        <v>8.5111073647080177E-2</v>
      </c>
      <c r="J18" s="12">
        <v>308444</v>
      </c>
      <c r="K18" s="47">
        <f t="shared" si="1"/>
        <v>0.35934704238759663</v>
      </c>
      <c r="L18" s="12">
        <f>846906-620000</f>
        <v>226906</v>
      </c>
      <c r="M18" s="47">
        <f>+(L18-N18)/ABS(N18)</f>
        <v>0.23575232670924418</v>
      </c>
      <c r="N18" s="12">
        <v>183617.7</v>
      </c>
      <c r="O18" s="47">
        <f>+(N18-P18)/ABS(P18)</f>
        <v>9.069547764046515</v>
      </c>
      <c r="P18" s="12">
        <f>18234950/1000</f>
        <v>18234.95</v>
      </c>
    </row>
    <row r="19" spans="1:16">
      <c r="A19" s="1" t="s">
        <v>272</v>
      </c>
      <c r="B19" s="12">
        <v>1730929</v>
      </c>
      <c r="C19" s="44">
        <v>0</v>
      </c>
      <c r="D19" s="12">
        <v>0</v>
      </c>
      <c r="E19" s="44">
        <v>0</v>
      </c>
      <c r="F19" s="12">
        <v>0</v>
      </c>
      <c r="G19" s="44">
        <v>0</v>
      </c>
      <c r="H19" s="12">
        <v>0</v>
      </c>
      <c r="I19" s="47">
        <f t="shared" si="0"/>
        <v>2.0977193701651266E-2</v>
      </c>
      <c r="J19" s="12">
        <v>1695365</v>
      </c>
      <c r="K19" s="47">
        <f t="shared" si="1"/>
        <v>0.34992682503459688</v>
      </c>
      <c r="L19" s="12">
        <v>1255894</v>
      </c>
      <c r="M19" s="47">
        <f>+(L19-N19)/ABS(N19)</f>
        <v>9.2133021898419584E-2</v>
      </c>
      <c r="N19" s="12">
        <v>1149946</v>
      </c>
      <c r="O19" s="47">
        <f>+(N19-P19)/ABS(P19)</f>
        <v>0.27732215562500973</v>
      </c>
      <c r="P19" s="12">
        <f>900278755/1000</f>
        <v>900278.755</v>
      </c>
    </row>
    <row r="20" spans="1:16">
      <c r="A20" s="1" t="s">
        <v>273</v>
      </c>
      <c r="B20" s="12">
        <v>456305</v>
      </c>
      <c r="C20" s="44">
        <v>0</v>
      </c>
      <c r="D20" s="12">
        <v>0</v>
      </c>
      <c r="E20" s="44">
        <v>0</v>
      </c>
      <c r="F20" s="12">
        <v>0</v>
      </c>
      <c r="G20" s="44">
        <v>0</v>
      </c>
      <c r="H20" s="12">
        <v>0</v>
      </c>
      <c r="I20" s="47">
        <f t="shared" si="0"/>
        <v>0.27475164545363118</v>
      </c>
      <c r="J20" s="12">
        <v>357956</v>
      </c>
      <c r="K20" s="47">
        <f t="shared" si="1"/>
        <v>0.38535905722081393</v>
      </c>
      <c r="L20" s="12">
        <v>258385</v>
      </c>
      <c r="M20" s="47">
        <f>+(L20-N20)/ABS(N20)</f>
        <v>0.22722041711767896</v>
      </c>
      <c r="N20" s="12">
        <v>210544.9</v>
      </c>
      <c r="O20" s="47">
        <f>+(N20-P20)/ABS(P20)</f>
        <v>-1.2684666906110378E-2</v>
      </c>
      <c r="P20" s="12">
        <f>213249904/1000</f>
        <v>213249.90400000001</v>
      </c>
    </row>
    <row r="21" spans="1:16" ht="16.5" thickBot="1">
      <c r="A21" s="1" t="s">
        <v>274</v>
      </c>
      <c r="B21" s="99">
        <v>159538</v>
      </c>
      <c r="C21" s="44">
        <v>0</v>
      </c>
      <c r="D21" s="99">
        <v>0</v>
      </c>
      <c r="E21" s="44">
        <v>0</v>
      </c>
      <c r="F21" s="99">
        <v>0</v>
      </c>
      <c r="G21" s="44">
        <v>0</v>
      </c>
      <c r="H21" s="99">
        <v>0</v>
      </c>
      <c r="I21" s="47">
        <f t="shared" si="0"/>
        <v>-0.41353438737212028</v>
      </c>
      <c r="J21" s="99">
        <v>272033</v>
      </c>
      <c r="K21" s="47">
        <f t="shared" si="1"/>
        <v>2.3457512883269582</v>
      </c>
      <c r="L21" s="99">
        <f>3732347-3651040</f>
        <v>81307</v>
      </c>
      <c r="M21" s="47">
        <f>+(L21-N21)/ABS(N21)</f>
        <v>0.37069923244079778</v>
      </c>
      <c r="N21" s="99">
        <v>59317.9</v>
      </c>
      <c r="O21" s="47">
        <f>+(N21-P21)/ABS(P21)</f>
        <v>5.0340296983077605E-2</v>
      </c>
      <c r="P21" s="99">
        <f>56474935/1000</f>
        <v>56474.934999999998</v>
      </c>
    </row>
    <row r="22" spans="1:16">
      <c r="A22" s="1" t="s">
        <v>275</v>
      </c>
      <c r="B22" s="4">
        <f>SUM(B15:B21)</f>
        <v>5401096</v>
      </c>
      <c r="C22" s="44">
        <v>0</v>
      </c>
      <c r="D22" s="4">
        <f>SUM(D15:D21)</f>
        <v>0</v>
      </c>
      <c r="E22" s="44">
        <v>0</v>
      </c>
      <c r="F22" s="4">
        <f>SUM(F15:F21)</f>
        <v>0</v>
      </c>
      <c r="G22" s="44">
        <v>0</v>
      </c>
      <c r="H22" s="4">
        <f>SUM(H15:H21)</f>
        <v>0</v>
      </c>
      <c r="I22" s="47">
        <f t="shared" si="0"/>
        <v>4.3239086794751719E-2</v>
      </c>
      <c r="J22" s="4">
        <f>SUM(J15:J21)</f>
        <v>5177237</v>
      </c>
      <c r="K22" s="47">
        <f t="shared" si="1"/>
        <v>0.3871263845510613</v>
      </c>
      <c r="L22" s="4">
        <f>SUM(L15:L21)</f>
        <v>3732347</v>
      </c>
      <c r="M22" s="47">
        <f>+(L22-N22)/ABS(N22)</f>
        <v>0.28486967703059396</v>
      </c>
      <c r="N22" s="4">
        <f>SUM(N15:N21)</f>
        <v>2904844.8</v>
      </c>
      <c r="O22" s="47">
        <f>+(N22-P22)/ABS(P22)</f>
        <v>0.15568935405559153</v>
      </c>
      <c r="P22" s="4">
        <f>SUM(P15:P21)</f>
        <v>2513516.9670000002</v>
      </c>
    </row>
    <row r="23" spans="1:16" ht="7.9" customHeight="1">
      <c r="A23" s="1"/>
      <c r="C23" s="44" t="s">
        <v>0</v>
      </c>
      <c r="E23" s="44" t="s">
        <v>0</v>
      </c>
      <c r="G23" s="44" t="s">
        <v>0</v>
      </c>
      <c r="I23" s="47" t="s">
        <v>0</v>
      </c>
      <c r="K23" s="47" t="s">
        <v>0</v>
      </c>
      <c r="M23" s="47" t="s">
        <v>0</v>
      </c>
      <c r="O23" s="47" t="s">
        <v>0</v>
      </c>
    </row>
    <row r="24" spans="1:16">
      <c r="A24" s="87" t="s">
        <v>276</v>
      </c>
      <c r="C24" s="44" t="s">
        <v>0</v>
      </c>
      <c r="E24" s="44" t="s">
        <v>0</v>
      </c>
      <c r="G24" s="44" t="s">
        <v>0</v>
      </c>
      <c r="I24" s="47" t="s">
        <v>0</v>
      </c>
      <c r="K24" s="47" t="s">
        <v>0</v>
      </c>
      <c r="M24" s="47" t="s">
        <v>0</v>
      </c>
      <c r="O24" s="47" t="s">
        <v>0</v>
      </c>
    </row>
    <row r="25" spans="1:16">
      <c r="A25" s="1" t="s">
        <v>277</v>
      </c>
      <c r="C25" s="44" t="s">
        <v>0</v>
      </c>
      <c r="E25" s="44" t="s">
        <v>0</v>
      </c>
      <c r="G25" s="44" t="s">
        <v>0</v>
      </c>
      <c r="I25" s="47" t="s">
        <v>0</v>
      </c>
      <c r="K25" s="47" t="s">
        <v>0</v>
      </c>
      <c r="M25" s="47" t="s">
        <v>0</v>
      </c>
      <c r="O25" s="47" t="s">
        <v>0</v>
      </c>
    </row>
    <row r="26" spans="1:16">
      <c r="A26" s="1" t="s">
        <v>278</v>
      </c>
      <c r="B26" s="12">
        <v>1075154</v>
      </c>
      <c r="C26" s="44">
        <v>0</v>
      </c>
      <c r="D26" s="12">
        <v>0</v>
      </c>
      <c r="E26" s="44">
        <v>0</v>
      </c>
      <c r="F26" s="12">
        <v>0</v>
      </c>
      <c r="G26" s="44">
        <v>0</v>
      </c>
      <c r="H26" s="12">
        <v>0</v>
      </c>
      <c r="I26" s="47">
        <f>+(B26-J26)/ABS(J26)</f>
        <v>-3.2505846877061255E-2</v>
      </c>
      <c r="J26" s="12">
        <v>1111277</v>
      </c>
      <c r="K26" s="47">
        <f>+(J26-L26)/ABS(L26)</f>
        <v>0.57271906435926612</v>
      </c>
      <c r="L26" s="12">
        <v>706596</v>
      </c>
      <c r="M26" s="47">
        <f>+(L26-N26)/ABS(N26)</f>
        <v>1.1458634385694326E-2</v>
      </c>
      <c r="N26" s="12">
        <v>698591.1</v>
      </c>
      <c r="O26" s="47">
        <f>+(N26-P26)/ABS(P26)</f>
        <v>-7.8400813647624079E-2</v>
      </c>
      <c r="P26" s="12">
        <f>758020526/1000</f>
        <v>758020.52599999995</v>
      </c>
    </row>
    <row r="27" spans="1:16">
      <c r="A27" s="1" t="s">
        <v>279</v>
      </c>
      <c r="B27" s="12">
        <v>2345280</v>
      </c>
      <c r="C27" s="44">
        <v>0</v>
      </c>
      <c r="D27" s="12">
        <v>0</v>
      </c>
      <c r="E27" s="44">
        <v>0</v>
      </c>
      <c r="F27" s="12">
        <v>0</v>
      </c>
      <c r="G27" s="44">
        <v>0</v>
      </c>
      <c r="H27" s="12">
        <v>0</v>
      </c>
      <c r="I27" s="47">
        <f>+(B27-J27)/ABS(J27)</f>
        <v>1.6551998554024481E-2</v>
      </c>
      <c r="J27" s="12">
        <v>2307093</v>
      </c>
      <c r="K27" s="47">
        <f>+(J27-L27)/ABS(L27)</f>
        <v>0.55483870967741933</v>
      </c>
      <c r="L27" s="12">
        <v>1483815</v>
      </c>
      <c r="M27" s="47">
        <f>+(L27-N27)/ABS(N27)</f>
        <v>5.7184872961690794E-2</v>
      </c>
      <c r="N27" s="12">
        <v>1403553</v>
      </c>
      <c r="O27" s="47">
        <f>+(N27-P27)/ABS(P27)</f>
        <v>0.12729659052153955</v>
      </c>
      <c r="P27" s="12">
        <f>1245060982/1000</f>
        <v>1245060.9820000001</v>
      </c>
    </row>
    <row r="28" spans="1:16">
      <c r="A28" s="1" t="s">
        <v>280</v>
      </c>
      <c r="B28" s="221">
        <v>1218135</v>
      </c>
      <c r="C28" s="44">
        <v>0</v>
      </c>
      <c r="D28" s="221">
        <v>0</v>
      </c>
      <c r="E28" s="44">
        <v>0</v>
      </c>
      <c r="F28" s="221">
        <v>0</v>
      </c>
      <c r="G28" s="44">
        <v>0</v>
      </c>
      <c r="H28" s="221">
        <v>0</v>
      </c>
      <c r="I28" s="47">
        <f>+(B28-J28)/ABS(J28)</f>
        <v>5.4599335624105572E-2</v>
      </c>
      <c r="J28" s="221">
        <v>1155069</v>
      </c>
      <c r="K28" s="47">
        <f>+(J28-L28)/ABS(L28)</f>
        <v>8.4389572081312161E-2</v>
      </c>
      <c r="L28" s="221">
        <v>1065179</v>
      </c>
      <c r="M28" s="47">
        <f>+(L28-N28)/ABS(N28)</f>
        <v>1.1675417451293451</v>
      </c>
      <c r="N28" s="221">
        <v>491422.6</v>
      </c>
      <c r="O28" s="47">
        <f>+(N28-P28)/ABS(P28)</f>
        <v>0.88381815589047508</v>
      </c>
      <c r="P28" s="221">
        <f>260865200/1000</f>
        <v>260865.2</v>
      </c>
    </row>
    <row r="29" spans="1:16">
      <c r="A29" s="1"/>
      <c r="B29" s="12">
        <f>SUM(B26:B28)</f>
        <v>4638569</v>
      </c>
      <c r="C29" s="44">
        <v>0</v>
      </c>
      <c r="D29" s="12">
        <f>SUM(D26:D28)</f>
        <v>0</v>
      </c>
      <c r="E29" s="44">
        <v>0</v>
      </c>
      <c r="F29" s="12">
        <f>SUM(F26:F28)</f>
        <v>0</v>
      </c>
      <c r="G29" s="44">
        <v>0</v>
      </c>
      <c r="H29" s="12">
        <f>SUM(H26:H28)</f>
        <v>0</v>
      </c>
      <c r="I29" s="47">
        <f>+(B29-J29)/ABS(J29)</f>
        <v>1.4240924608374573E-2</v>
      </c>
      <c r="J29" s="12">
        <f>SUM(J26:J28)</f>
        <v>4573439</v>
      </c>
      <c r="K29" s="47">
        <f>+(J29-L29)/ABS(L29)</f>
        <v>0.4047957513077507</v>
      </c>
      <c r="L29" s="12">
        <f>SUM(L26:L28)</f>
        <v>3255590</v>
      </c>
      <c r="M29" s="47">
        <f>+(L29-N29)/ABS(N29)</f>
        <v>0.25525593770154426</v>
      </c>
      <c r="N29" s="12">
        <f>SUM(N26:N28)</f>
        <v>2593566.7000000002</v>
      </c>
      <c r="O29" s="47">
        <f>+(N29-P29)/ABS(P29)</f>
        <v>0.14559529640659724</v>
      </c>
      <c r="P29" s="12">
        <f>SUM(P26:P28)</f>
        <v>2263946.7080000001</v>
      </c>
    </row>
    <row r="30" spans="1:16" ht="7.9" customHeight="1">
      <c r="A30" s="1"/>
      <c r="C30" s="44" t="s">
        <v>0</v>
      </c>
      <c r="E30" s="44" t="s">
        <v>0</v>
      </c>
      <c r="G30" s="44" t="s">
        <v>0</v>
      </c>
      <c r="I30" s="47" t="s">
        <v>0</v>
      </c>
      <c r="K30" s="47" t="s">
        <v>0</v>
      </c>
      <c r="M30" s="47" t="s">
        <v>0</v>
      </c>
      <c r="O30" s="47" t="s">
        <v>0</v>
      </c>
    </row>
    <row r="31" spans="1:16">
      <c r="A31" s="1" t="s">
        <v>281</v>
      </c>
      <c r="C31" s="44" t="s">
        <v>0</v>
      </c>
      <c r="E31" s="44" t="s">
        <v>0</v>
      </c>
      <c r="G31" s="44" t="s">
        <v>0</v>
      </c>
      <c r="I31" s="47" t="s">
        <v>0</v>
      </c>
      <c r="K31" s="47" t="s">
        <v>0</v>
      </c>
      <c r="M31" s="47" t="s">
        <v>0</v>
      </c>
      <c r="O31" s="47" t="s">
        <v>0</v>
      </c>
    </row>
    <row r="32" spans="1:16">
      <c r="A32" s="1" t="s">
        <v>282</v>
      </c>
      <c r="B32" s="12">
        <f>+B139</f>
        <v>0</v>
      </c>
      <c r="C32" s="44">
        <v>0</v>
      </c>
      <c r="D32" s="12">
        <f>+D139</f>
        <v>0</v>
      </c>
      <c r="E32" s="44">
        <v>0</v>
      </c>
      <c r="F32" s="12">
        <f>+F139</f>
        <v>0</v>
      </c>
      <c r="G32" s="44">
        <v>0</v>
      </c>
      <c r="H32" s="12">
        <f>+H139</f>
        <v>0</v>
      </c>
      <c r="I32" s="44">
        <v>0</v>
      </c>
      <c r="J32" s="12">
        <f>+J139</f>
        <v>0</v>
      </c>
      <c r="K32" s="44">
        <v>0</v>
      </c>
      <c r="L32" s="12">
        <f>+L139</f>
        <v>0</v>
      </c>
      <c r="M32" s="44">
        <v>0</v>
      </c>
      <c r="N32" s="12">
        <v>0</v>
      </c>
      <c r="O32" s="44">
        <v>0</v>
      </c>
      <c r="P32" s="12">
        <v>0</v>
      </c>
    </row>
    <row r="33" spans="1:21">
      <c r="A33" s="1" t="s">
        <v>283</v>
      </c>
      <c r="B33" s="12">
        <f>+B140</f>
        <v>0</v>
      </c>
      <c r="C33" s="44">
        <v>0</v>
      </c>
      <c r="D33" s="12">
        <f>+D140</f>
        <v>0</v>
      </c>
      <c r="E33" s="44">
        <v>0</v>
      </c>
      <c r="F33" s="12">
        <f>+F140</f>
        <v>0</v>
      </c>
      <c r="G33" s="44">
        <v>0</v>
      </c>
      <c r="H33" s="12">
        <f>+H140</f>
        <v>0</v>
      </c>
      <c r="I33" s="44">
        <v>0</v>
      </c>
      <c r="J33" s="12">
        <f>+J140</f>
        <v>0</v>
      </c>
      <c r="K33" s="44">
        <v>0</v>
      </c>
      <c r="L33" s="12">
        <f>+L140</f>
        <v>0</v>
      </c>
      <c r="M33" s="44">
        <v>0</v>
      </c>
      <c r="N33" s="12">
        <v>0</v>
      </c>
      <c r="O33" s="44">
        <v>0</v>
      </c>
      <c r="P33" s="12">
        <v>0</v>
      </c>
    </row>
    <row r="34" spans="1:21" ht="18">
      <c r="A34" s="1" t="s">
        <v>284</v>
      </c>
      <c r="B34" s="221">
        <v>106544</v>
      </c>
      <c r="C34" s="44">
        <v>0</v>
      </c>
      <c r="D34" s="221">
        <v>0</v>
      </c>
      <c r="E34" s="44">
        <v>0</v>
      </c>
      <c r="F34" s="221">
        <v>0</v>
      </c>
      <c r="G34" s="44">
        <v>0</v>
      </c>
      <c r="H34" s="221">
        <v>0</v>
      </c>
      <c r="I34" s="47">
        <f>+(B34-J34)/ABS(J34)</f>
        <v>0.11430214924436542</v>
      </c>
      <c r="J34" s="221">
        <v>95615</v>
      </c>
      <c r="K34" s="47">
        <f>+(J34-L34)/ABS(L34)</f>
        <v>-0.11447914351337334</v>
      </c>
      <c r="L34" s="221">
        <v>107976</v>
      </c>
      <c r="M34" s="47">
        <f>+(L34-N34)/ABS(N34)</f>
        <v>0.61690823353943502</v>
      </c>
      <c r="N34" s="221">
        <v>66779.3</v>
      </c>
      <c r="O34" s="47">
        <f>+(N34-P34)/ABS(P34)</f>
        <v>-9.9698757232869931E-2</v>
      </c>
      <c r="P34" s="221">
        <f>74174395/1000</f>
        <v>74174.395000000004</v>
      </c>
      <c r="Q34" s="6"/>
      <c r="R34" s="6"/>
      <c r="S34" s="7"/>
      <c r="T34" s="7"/>
      <c r="U34" s="7"/>
    </row>
    <row r="35" spans="1:21">
      <c r="A35" s="1"/>
      <c r="B35" s="12">
        <f>SUM(B32:B34)</f>
        <v>106544</v>
      </c>
      <c r="C35" s="44">
        <v>0</v>
      </c>
      <c r="D35" s="12">
        <f>SUM(D32:D34)</f>
        <v>0</v>
      </c>
      <c r="E35" s="44">
        <v>0</v>
      </c>
      <c r="F35" s="12">
        <f>SUM(F32:F34)</f>
        <v>0</v>
      </c>
      <c r="G35" s="44">
        <v>0</v>
      </c>
      <c r="H35" s="12">
        <f>SUM(H32:H34)</f>
        <v>0</v>
      </c>
      <c r="I35" s="47">
        <f>+(B35-J35)/ABS(J35)</f>
        <v>0.11430214924436542</v>
      </c>
      <c r="J35" s="12">
        <f>SUM(J32:J34)</f>
        <v>95615</v>
      </c>
      <c r="K35" s="47">
        <f>+(J35-L35)/ABS(L35)</f>
        <v>-0.11447914351337334</v>
      </c>
      <c r="L35" s="12">
        <f>SUM(L32:L34)</f>
        <v>107976</v>
      </c>
      <c r="M35" s="47">
        <f>+(L35-N35)/ABS(N35)</f>
        <v>0.61690823353943502</v>
      </c>
      <c r="N35" s="12">
        <f>SUM(N32:N34)</f>
        <v>66779.3</v>
      </c>
      <c r="O35" s="47">
        <f>+(N35-P35)/ABS(P35)</f>
        <v>-9.9698757232869931E-2</v>
      </c>
      <c r="P35" s="12">
        <f>SUM(P32:P34)</f>
        <v>74174.395000000004</v>
      </c>
    </row>
    <row r="36" spans="1:21" ht="7.15" customHeight="1">
      <c r="A36" s="1"/>
      <c r="C36" s="44" t="s">
        <v>0</v>
      </c>
      <c r="E36" s="44" t="s">
        <v>0</v>
      </c>
      <c r="G36" s="44" t="s">
        <v>0</v>
      </c>
      <c r="I36" s="47" t="s">
        <v>0</v>
      </c>
      <c r="K36" s="47" t="s">
        <v>0</v>
      </c>
      <c r="M36" s="47" t="s">
        <v>0</v>
      </c>
      <c r="O36" s="47" t="s">
        <v>0</v>
      </c>
    </row>
    <row r="37" spans="1:21">
      <c r="A37" s="1" t="s">
        <v>285</v>
      </c>
      <c r="C37" s="44" t="s">
        <v>0</v>
      </c>
      <c r="E37" s="44" t="s">
        <v>0</v>
      </c>
      <c r="G37" s="44" t="s">
        <v>0</v>
      </c>
      <c r="I37" s="47" t="s">
        <v>0</v>
      </c>
      <c r="K37" s="47" t="s">
        <v>0</v>
      </c>
      <c r="M37" s="47" t="s">
        <v>0</v>
      </c>
      <c r="O37" s="47" t="s">
        <v>0</v>
      </c>
    </row>
    <row r="38" spans="1:21">
      <c r="A38" s="1" t="s">
        <v>282</v>
      </c>
      <c r="B38" s="12">
        <v>143000</v>
      </c>
      <c r="C38" s="44">
        <v>0</v>
      </c>
      <c r="D38" s="12">
        <v>0</v>
      </c>
      <c r="E38" s="44">
        <v>0</v>
      </c>
      <c r="F38" s="12">
        <v>0</v>
      </c>
      <c r="G38" s="44">
        <v>0</v>
      </c>
      <c r="H38" s="12">
        <v>0</v>
      </c>
      <c r="I38" s="47">
        <f>+(B38-J38)/ABS(J38)</f>
        <v>793.44444444444446</v>
      </c>
      <c r="J38" s="12">
        <v>180</v>
      </c>
      <c r="K38" s="44">
        <v>0</v>
      </c>
      <c r="L38" s="12">
        <v>3000</v>
      </c>
      <c r="M38" s="44">
        <v>0</v>
      </c>
      <c r="N38" s="12">
        <v>0</v>
      </c>
      <c r="O38" s="44">
        <v>0</v>
      </c>
      <c r="P38" s="12">
        <v>0</v>
      </c>
    </row>
    <row r="39" spans="1:21">
      <c r="A39" s="1" t="s">
        <v>286</v>
      </c>
      <c r="B39" s="12">
        <f t="shared" ref="B39:H39" si="2">+B147</f>
        <v>0</v>
      </c>
      <c r="C39" s="44">
        <v>0</v>
      </c>
      <c r="D39" s="12">
        <f t="shared" si="2"/>
        <v>0</v>
      </c>
      <c r="E39" s="44">
        <v>0</v>
      </c>
      <c r="F39" s="12">
        <f t="shared" si="2"/>
        <v>0</v>
      </c>
      <c r="G39" s="44">
        <v>0</v>
      </c>
      <c r="H39" s="12">
        <f t="shared" si="2"/>
        <v>0</v>
      </c>
      <c r="I39" s="44">
        <v>0</v>
      </c>
      <c r="J39" s="12">
        <f>+J147</f>
        <v>0</v>
      </c>
      <c r="K39" s="44">
        <v>0</v>
      </c>
      <c r="L39" s="12">
        <f>+L147</f>
        <v>0</v>
      </c>
      <c r="M39" s="44">
        <v>0</v>
      </c>
      <c r="N39" s="12">
        <v>0</v>
      </c>
      <c r="O39" s="44">
        <v>0</v>
      </c>
      <c r="P39" s="12">
        <v>0</v>
      </c>
    </row>
    <row r="40" spans="1:21">
      <c r="A40" s="1" t="s">
        <v>284</v>
      </c>
      <c r="B40" s="221">
        <v>71218</v>
      </c>
      <c r="C40" s="44">
        <v>0</v>
      </c>
      <c r="D40" s="221">
        <v>0</v>
      </c>
      <c r="E40" s="44">
        <v>0</v>
      </c>
      <c r="F40" s="221">
        <v>0</v>
      </c>
      <c r="G40" s="44">
        <v>0</v>
      </c>
      <c r="H40" s="221">
        <v>0</v>
      </c>
      <c r="I40" s="47">
        <f>+(B40-J40)/ABS(J40)</f>
        <v>-0.11938471430514511</v>
      </c>
      <c r="J40" s="221">
        <v>80873</v>
      </c>
      <c r="K40" s="47">
        <f>+(J40-L40)/ABS(L40)</f>
        <v>0.27975757192138495</v>
      </c>
      <c r="L40" s="221">
        <f>66194-3000</f>
        <v>63194</v>
      </c>
      <c r="M40" s="47">
        <f>+(L40-N40)/ABS(N40)</f>
        <v>1.4002218137068716</v>
      </c>
      <c r="N40" s="221">
        <v>26328.400000000001</v>
      </c>
      <c r="O40" s="47">
        <f>+(N40-P40)/ABS(P40)</f>
        <v>0.13688642077855509</v>
      </c>
      <c r="P40" s="221">
        <f>23158338/1000</f>
        <v>23158.338</v>
      </c>
    </row>
    <row r="41" spans="1:21">
      <c r="A41" s="1"/>
      <c r="B41" s="12">
        <f>SUM(B38:B40)</f>
        <v>214218</v>
      </c>
      <c r="C41" s="44">
        <v>0</v>
      </c>
      <c r="D41" s="12">
        <f>SUM(D38:D40)</f>
        <v>0</v>
      </c>
      <c r="E41" s="44">
        <v>0</v>
      </c>
      <c r="F41" s="12">
        <f>SUM(F38:F40)</f>
        <v>0</v>
      </c>
      <c r="G41" s="44">
        <v>0</v>
      </c>
      <c r="H41" s="12">
        <f>SUM(H38:H40)</f>
        <v>0</v>
      </c>
      <c r="I41" s="47">
        <f>+(B41-J41)/ABS(J41)</f>
        <v>1.6429373372978175</v>
      </c>
      <c r="J41" s="12">
        <f>SUM(J38:J40)</f>
        <v>81053</v>
      </c>
      <c r="K41" s="47">
        <f>+(J41-L41)/ABS(L41)</f>
        <v>0.22447653865909298</v>
      </c>
      <c r="L41" s="12">
        <f>SUM(L38:L40)</f>
        <v>66194</v>
      </c>
      <c r="M41" s="47">
        <f>+(L41-N41)/ABS(N41)</f>
        <v>1.514167211072454</v>
      </c>
      <c r="N41" s="12">
        <f>SUM(N38:N40)</f>
        <v>26328.400000000001</v>
      </c>
      <c r="O41" s="47">
        <f>+(N41-P41)/ABS(P41)</f>
        <v>0.13688642077855509</v>
      </c>
      <c r="P41" s="12">
        <f>SUM(P38:P40)</f>
        <v>23158.338</v>
      </c>
    </row>
    <row r="42" spans="1:21" ht="8.4499999999999993" customHeight="1">
      <c r="A42" s="1"/>
      <c r="C42" s="44" t="s">
        <v>0</v>
      </c>
      <c r="E42" s="44" t="s">
        <v>0</v>
      </c>
      <c r="G42" s="44" t="s">
        <v>0</v>
      </c>
      <c r="I42" s="47" t="s">
        <v>0</v>
      </c>
      <c r="K42" s="47" t="s">
        <v>0</v>
      </c>
      <c r="M42" s="47" t="s">
        <v>0</v>
      </c>
      <c r="O42" s="47" t="s">
        <v>0</v>
      </c>
    </row>
    <row r="43" spans="1:21" ht="18">
      <c r="A43" s="1" t="s">
        <v>287</v>
      </c>
      <c r="B43" s="221">
        <v>81411</v>
      </c>
      <c r="C43" s="44">
        <v>0</v>
      </c>
      <c r="D43" s="221">
        <v>0</v>
      </c>
      <c r="E43" s="44">
        <v>0</v>
      </c>
      <c r="F43" s="221">
        <v>0</v>
      </c>
      <c r="G43" s="44">
        <v>0</v>
      </c>
      <c r="H43" s="221">
        <v>0</v>
      </c>
      <c r="I43" s="47">
        <f>+(B43-J43)/ABS(J43)</f>
        <v>9.5750837853479959E-2</v>
      </c>
      <c r="J43" s="221">
        <v>74297</v>
      </c>
      <c r="K43" s="47">
        <f>+(J43-L43)/ABS(L43)</f>
        <v>-4.2618776385445287E-3</v>
      </c>
      <c r="L43" s="221">
        <v>74615</v>
      </c>
      <c r="M43" s="47">
        <f>+(L43-N43)/ABS(N43)</f>
        <v>1.0536426939696695</v>
      </c>
      <c r="N43" s="221">
        <v>36333</v>
      </c>
      <c r="O43" s="47">
        <f>+(N43-P43)/ABS(P43)</f>
        <v>0.49370340681791142</v>
      </c>
      <c r="P43" s="221">
        <f>24324106/1000</f>
        <v>24324.106</v>
      </c>
      <c r="Q43" s="6"/>
      <c r="R43" s="6"/>
    </row>
    <row r="44" spans="1:21">
      <c r="A44" s="1"/>
      <c r="B44" s="12">
        <f t="shared" ref="B44:L44" si="3">+B29+B35+B41+B43</f>
        <v>5040742</v>
      </c>
      <c r="C44" s="44">
        <v>0</v>
      </c>
      <c r="D44" s="12">
        <f t="shared" si="3"/>
        <v>0</v>
      </c>
      <c r="E44" s="44">
        <v>0</v>
      </c>
      <c r="F44" s="12">
        <f t="shared" si="3"/>
        <v>0</v>
      </c>
      <c r="G44" s="44">
        <v>0</v>
      </c>
      <c r="H44" s="12">
        <f t="shared" si="3"/>
        <v>0</v>
      </c>
      <c r="I44" s="47">
        <f>+(B44-J44)/ABS(J44)</f>
        <v>4.4842430277397996E-2</v>
      </c>
      <c r="J44" s="12">
        <f t="shared" si="3"/>
        <v>4824404</v>
      </c>
      <c r="K44" s="47">
        <f>+(J44-L44)/ABS(L44)</f>
        <v>0.37668029249152846</v>
      </c>
      <c r="L44" s="12">
        <f t="shared" si="3"/>
        <v>3504375</v>
      </c>
      <c r="M44" s="47">
        <f>+(L44-N44)/ABS(N44)</f>
        <v>0.2869502301022025</v>
      </c>
      <c r="N44" s="12">
        <f>+N29+N35+N41+N43</f>
        <v>2723007.4</v>
      </c>
      <c r="O44" s="47">
        <f>+(N44-P44)/ABS(P44)</f>
        <v>0.14143332970153386</v>
      </c>
      <c r="P44" s="12">
        <f>+P29+P35+P41+P43</f>
        <v>2385603.5470000003</v>
      </c>
    </row>
    <row r="45" spans="1:21" ht="8.4499999999999993" customHeight="1">
      <c r="A45" s="1"/>
      <c r="C45" s="44" t="s">
        <v>0</v>
      </c>
      <c r="E45" s="44" t="s">
        <v>0</v>
      </c>
      <c r="G45" s="44" t="s">
        <v>0</v>
      </c>
      <c r="I45" s="47" t="s">
        <v>0</v>
      </c>
      <c r="K45" s="47" t="s">
        <v>0</v>
      </c>
      <c r="M45" s="47" t="s">
        <v>0</v>
      </c>
      <c r="O45" s="47" t="s">
        <v>0</v>
      </c>
    </row>
    <row r="46" spans="1:21">
      <c r="A46" s="87" t="s">
        <v>288</v>
      </c>
      <c r="C46" s="44" t="s">
        <v>0</v>
      </c>
      <c r="E46" s="44" t="s">
        <v>0</v>
      </c>
      <c r="G46" s="44" t="s">
        <v>0</v>
      </c>
      <c r="I46" s="47" t="s">
        <v>0</v>
      </c>
      <c r="K46" s="47" t="s">
        <v>0</v>
      </c>
      <c r="M46" s="47" t="s">
        <v>0</v>
      </c>
      <c r="O46" s="47" t="s">
        <v>0</v>
      </c>
    </row>
    <row r="47" spans="1:21">
      <c r="A47" s="1" t="s">
        <v>289</v>
      </c>
      <c r="B47" s="12">
        <v>207935</v>
      </c>
      <c r="C47" s="44">
        <v>0</v>
      </c>
      <c r="D47" s="12">
        <v>0</v>
      </c>
      <c r="E47" s="44">
        <v>0</v>
      </c>
      <c r="F47" s="12">
        <v>0</v>
      </c>
      <c r="G47" s="44">
        <v>0</v>
      </c>
      <c r="H47" s="12">
        <v>0</v>
      </c>
      <c r="I47" s="47">
        <f>+(B47-J47)/ABS(J47)</f>
        <v>6.015109956209999E-4</v>
      </c>
      <c r="J47" s="12">
        <v>207810</v>
      </c>
      <c r="K47" s="47">
        <f>+(J47-L47)/ABS(L47)</f>
        <v>0.38540000000000002</v>
      </c>
      <c r="L47" s="12">
        <v>150000</v>
      </c>
      <c r="M47" s="47">
        <f>+(L47-N47)/ABS(N47)</f>
        <v>1.4</v>
      </c>
      <c r="N47" s="12">
        <v>62500</v>
      </c>
      <c r="O47" s="47">
        <f>+(N47-P47)/ABS(P47)</f>
        <v>0.10035211267605634</v>
      </c>
      <c r="P47" s="12">
        <f>56800000/1000</f>
        <v>56800</v>
      </c>
    </row>
    <row r="48" spans="1:21">
      <c r="A48" s="1" t="s">
        <v>290</v>
      </c>
      <c r="B48" s="12">
        <v>32581</v>
      </c>
      <c r="C48" s="44">
        <v>0</v>
      </c>
      <c r="D48" s="12">
        <v>0</v>
      </c>
      <c r="E48" s="44">
        <v>0</v>
      </c>
      <c r="F48" s="12">
        <v>0</v>
      </c>
      <c r="G48" s="44">
        <v>0</v>
      </c>
      <c r="H48" s="12">
        <v>0</v>
      </c>
      <c r="I48" s="47">
        <f>+(B48-J48)/ABS(J48)</f>
        <v>0.22627874590688396</v>
      </c>
      <c r="J48" s="12">
        <v>26569</v>
      </c>
      <c r="K48" s="47">
        <f>+(J48-L48)/ABS(L48)</f>
        <v>0.43872854280608653</v>
      </c>
      <c r="L48" s="12">
        <f>25260-6383-410</f>
        <v>18467</v>
      </c>
      <c r="M48" s="47">
        <f>+(L48-N48)/ABS(N48)</f>
        <v>-0.37767488255791226</v>
      </c>
      <c r="N48" s="12">
        <v>29674.2</v>
      </c>
      <c r="O48" s="47">
        <f>+(N48-P48)/ABS(P48)</f>
        <v>0.38861585076949179</v>
      </c>
      <c r="P48" s="12">
        <f>21369625/1000</f>
        <v>21369.625</v>
      </c>
    </row>
    <row r="49" spans="1:21">
      <c r="A49" s="1" t="s">
        <v>302</v>
      </c>
      <c r="B49" s="12">
        <v>56105</v>
      </c>
      <c r="C49" s="44">
        <v>0</v>
      </c>
      <c r="D49" s="12">
        <v>0</v>
      </c>
      <c r="E49" s="44">
        <v>0</v>
      </c>
      <c r="F49" s="12">
        <v>0</v>
      </c>
      <c r="G49" s="44">
        <v>0</v>
      </c>
      <c r="H49" s="12">
        <v>0</v>
      </c>
      <c r="I49" s="44">
        <v>0</v>
      </c>
      <c r="J49" s="12">
        <v>55819</v>
      </c>
      <c r="K49" s="44">
        <v>0</v>
      </c>
      <c r="L49" s="12">
        <f>+L161</f>
        <v>0</v>
      </c>
      <c r="M49" s="44">
        <v>0</v>
      </c>
      <c r="N49" s="12">
        <v>0</v>
      </c>
      <c r="O49" s="44">
        <v>0</v>
      </c>
      <c r="P49" s="12">
        <v>0</v>
      </c>
    </row>
    <row r="50" spans="1:21" ht="18">
      <c r="A50" s="1" t="s">
        <v>292</v>
      </c>
      <c r="B50" s="221">
        <v>63733</v>
      </c>
      <c r="C50" s="44">
        <v>0</v>
      </c>
      <c r="D50" s="221">
        <v>0</v>
      </c>
      <c r="E50" s="44">
        <v>0</v>
      </c>
      <c r="F50" s="221">
        <v>0</v>
      </c>
      <c r="G50" s="44">
        <v>0</v>
      </c>
      <c r="H50" s="221">
        <v>0</v>
      </c>
      <c r="I50" s="47">
        <f>+(B50-J50)/ABS(J50)</f>
        <v>1.7530134908597429E-2</v>
      </c>
      <c r="J50" s="221">
        <v>62635</v>
      </c>
      <c r="K50" s="47">
        <f>+(J50-L50)/ABS(L50)</f>
        <v>5.2600621796487688E-2</v>
      </c>
      <c r="L50" s="221">
        <f>104735+44432-23165-66497</f>
        <v>59505</v>
      </c>
      <c r="M50" s="47">
        <f>+(L50-N50)/ABS(N50)</f>
        <v>-0.33635054699079781</v>
      </c>
      <c r="N50" s="221">
        <v>89663.3</v>
      </c>
      <c r="O50" s="47">
        <f>+(N50-P50)/ABS(P50)</f>
        <v>0.80250220153086438</v>
      </c>
      <c r="P50" s="221">
        <f>49743795/1000</f>
        <v>49743.794999999998</v>
      </c>
      <c r="Q50" s="6"/>
      <c r="R50" s="6"/>
      <c r="S50" s="7"/>
      <c r="T50" s="7"/>
      <c r="U50" s="7"/>
    </row>
    <row r="51" spans="1:21" ht="16.5" thickBot="1">
      <c r="A51" s="1" t="s">
        <v>275</v>
      </c>
      <c r="B51" s="76">
        <f>SUM(B47:B50)</f>
        <v>360354</v>
      </c>
      <c r="C51" s="44">
        <v>0</v>
      </c>
      <c r="D51" s="76">
        <f>SUM(D47:D50)</f>
        <v>0</v>
      </c>
      <c r="E51" s="44">
        <v>0</v>
      </c>
      <c r="F51" s="76">
        <f>SUM(F47:F50)</f>
        <v>0</v>
      </c>
      <c r="G51" s="44">
        <v>0</v>
      </c>
      <c r="H51" s="76">
        <f>SUM(H47:H50)</f>
        <v>0</v>
      </c>
      <c r="I51" s="47">
        <f>+(B51-J51)/ABS(J51)</f>
        <v>2.1316033364226137E-2</v>
      </c>
      <c r="J51" s="76">
        <f>SUM(J47:J50)</f>
        <v>352833</v>
      </c>
      <c r="K51" s="47">
        <f>+(J51-L51)/ABS(L51)</f>
        <v>0.5477032267120524</v>
      </c>
      <c r="L51" s="76">
        <f>SUM(L47:L50)</f>
        <v>227972</v>
      </c>
      <c r="M51" s="47">
        <f>+(L51-N51)/ABS(N51)</f>
        <v>0.25371279301574207</v>
      </c>
      <c r="N51" s="76">
        <f>SUM(N47:N50)</f>
        <v>181837.5</v>
      </c>
      <c r="O51" s="47">
        <f>+(N51-P51)/ABS(P51)</f>
        <v>0.4215670255708901</v>
      </c>
      <c r="P51" s="76">
        <f>SUM(P47:P50)</f>
        <v>127913.42</v>
      </c>
    </row>
    <row r="52" spans="1:21">
      <c r="A52" s="1" t="s">
        <v>0</v>
      </c>
      <c r="B52" s="4">
        <f>+B29+B35+B41+B43+B51</f>
        <v>5401096</v>
      </c>
      <c r="C52" s="44">
        <v>0</v>
      </c>
      <c r="D52" s="4">
        <f>+D29+D35+D41+D43+D51</f>
        <v>0</v>
      </c>
      <c r="E52" s="44">
        <v>0</v>
      </c>
      <c r="F52" s="4">
        <f>+F29+F35+F41+F43+F51</f>
        <v>0</v>
      </c>
      <c r="G52" s="44">
        <v>0</v>
      </c>
      <c r="H52" s="4">
        <f>+H29+H35+H41+H43+H51</f>
        <v>0</v>
      </c>
      <c r="I52" s="47">
        <f>+(B52-J52)/ABS(J52)</f>
        <v>4.3239086794751719E-2</v>
      </c>
      <c r="J52" s="4">
        <f>+J29+J35+J41+J43+J51</f>
        <v>5177237</v>
      </c>
      <c r="K52" s="47">
        <f>+(J52-L52)/ABS(L52)</f>
        <v>0.3871263845510613</v>
      </c>
      <c r="L52" s="4">
        <f>+L29+L35+L41+L43+L51</f>
        <v>3732347</v>
      </c>
      <c r="M52" s="47">
        <f>+(L52-N52)/ABS(N52)</f>
        <v>0.28486967703059396</v>
      </c>
      <c r="N52" s="4">
        <f>+N29+N35+N41+N43+N51-0.1</f>
        <v>2904844.8</v>
      </c>
      <c r="O52" s="47">
        <f>+(N52-P52)/ABS(P52)</f>
        <v>0.15568935405559153</v>
      </c>
      <c r="P52" s="4">
        <f>+P29+P35+P41+P43+P51</f>
        <v>2513516.9670000002</v>
      </c>
    </row>
    <row r="55" spans="1:21">
      <c r="A55" s="185" t="s">
        <v>293</v>
      </c>
    </row>
    <row r="56" spans="1:21">
      <c r="A56" t="s">
        <v>294</v>
      </c>
      <c r="B56" s="12">
        <v>22364.3</v>
      </c>
      <c r="D56" s="12">
        <v>0</v>
      </c>
      <c r="E56" s="43"/>
      <c r="F56" s="12">
        <v>0</v>
      </c>
      <c r="G56" s="43"/>
      <c r="H56" s="12">
        <v>0</v>
      </c>
      <c r="J56" s="12">
        <v>41294.199999999997</v>
      </c>
      <c r="K56" s="12"/>
      <c r="L56" s="12">
        <v>109417</v>
      </c>
      <c r="M56" s="12"/>
      <c r="N56" s="12">
        <v>31334.799999999999</v>
      </c>
      <c r="O56" s="12"/>
      <c r="P56" s="12">
        <v>92.6</v>
      </c>
    </row>
    <row r="57" spans="1:21">
      <c r="A57" t="s">
        <v>295</v>
      </c>
      <c r="B57" s="12">
        <v>184666.1</v>
      </c>
      <c r="D57" s="12">
        <v>0</v>
      </c>
      <c r="E57" s="43"/>
      <c r="F57" s="12">
        <v>0</v>
      </c>
      <c r="G57" s="43"/>
      <c r="H57" s="12">
        <v>0</v>
      </c>
      <c r="J57" s="12">
        <v>145522.6</v>
      </c>
      <c r="K57" s="12"/>
      <c r="L57" s="12">
        <v>90017</v>
      </c>
      <c r="M57" s="12"/>
      <c r="N57" s="12">
        <v>150501.6</v>
      </c>
      <c r="O57" s="12"/>
      <c r="P57" s="12">
        <v>33944.300000000003</v>
      </c>
    </row>
    <row r="58" spans="1:21">
      <c r="A58" t="s">
        <v>284</v>
      </c>
      <c r="B58" s="12">
        <v>82023.7</v>
      </c>
      <c r="D58" s="12">
        <v>0</v>
      </c>
      <c r="E58" s="43"/>
      <c r="F58" s="12">
        <v>0</v>
      </c>
      <c r="G58" s="43"/>
      <c r="H58" s="12">
        <v>0</v>
      </c>
      <c r="J58" s="12">
        <v>63982.1</v>
      </c>
      <c r="K58" s="12"/>
      <c r="L58" s="12">
        <f>131042+8306</f>
        <v>139348</v>
      </c>
      <c r="M58" s="12"/>
      <c r="N58" s="12">
        <v>131311</v>
      </c>
      <c r="O58" s="12"/>
      <c r="P58" s="12">
        <v>10341.4</v>
      </c>
    </row>
    <row r="59" spans="1:21">
      <c r="D59" s="43"/>
      <c r="E59" s="43"/>
      <c r="F59" s="43"/>
      <c r="G59" s="43"/>
      <c r="H59" s="43"/>
      <c r="J59" s="43"/>
      <c r="K59" s="12"/>
      <c r="L59" s="43"/>
      <c r="M59" s="12"/>
      <c r="O59" s="12"/>
    </row>
    <row r="60" spans="1:21" ht="18.75">
      <c r="A60" s="122" t="s">
        <v>303</v>
      </c>
      <c r="B60" s="12">
        <v>1811936</v>
      </c>
      <c r="D60" s="12">
        <v>0</v>
      </c>
      <c r="E60" s="43"/>
      <c r="F60" s="12">
        <v>0</v>
      </c>
      <c r="G60" s="43"/>
      <c r="H60" s="12">
        <v>0</v>
      </c>
      <c r="J60" s="12">
        <v>1773624</v>
      </c>
      <c r="K60" s="12"/>
      <c r="L60" s="12">
        <v>1294742</v>
      </c>
      <c r="M60" s="12"/>
      <c r="N60" s="12">
        <v>1193500.3999999999</v>
      </c>
      <c r="O60" s="12"/>
      <c r="P60" s="12">
        <v>933460.1</v>
      </c>
    </row>
    <row r="61" spans="1:21">
      <c r="A61" t="s">
        <v>217</v>
      </c>
      <c r="B61" s="12">
        <v>81007</v>
      </c>
      <c r="D61" s="12">
        <v>0</v>
      </c>
      <c r="E61" s="43"/>
      <c r="F61" s="12">
        <v>0</v>
      </c>
      <c r="G61" s="43"/>
      <c r="H61" s="12">
        <v>0</v>
      </c>
      <c r="J61" s="12">
        <v>78259</v>
      </c>
      <c r="K61" s="12"/>
      <c r="L61" s="12">
        <v>38848</v>
      </c>
      <c r="M61" s="12"/>
      <c r="N61" s="12">
        <v>43554.400000000001</v>
      </c>
      <c r="O61" s="12"/>
      <c r="P61" s="12">
        <v>33181.300000000003</v>
      </c>
    </row>
    <row r="62" spans="1:21">
      <c r="A62" t="s">
        <v>297</v>
      </c>
      <c r="B62" s="12">
        <v>148920.70000000001</v>
      </c>
      <c r="D62" s="12">
        <v>0</v>
      </c>
      <c r="E62" s="43"/>
      <c r="F62" s="12">
        <v>0</v>
      </c>
      <c r="G62" s="43"/>
      <c r="H62" s="12">
        <v>0</v>
      </c>
      <c r="J62" s="12">
        <v>104039.8</v>
      </c>
      <c r="K62" s="12"/>
      <c r="L62" s="12">
        <f>18457+18107+12602</f>
        <v>49166</v>
      </c>
      <c r="M62" s="12"/>
      <c r="N62" s="12">
        <v>44887.8</v>
      </c>
      <c r="O62" s="12"/>
      <c r="P62" s="12">
        <v>22636.400000000001</v>
      </c>
    </row>
    <row r="67" spans="1:15">
      <c r="B67" s="17" t="s">
        <v>548</v>
      </c>
      <c r="D67" s="17" t="s">
        <v>549</v>
      </c>
      <c r="F67" s="17" t="s">
        <v>138</v>
      </c>
      <c r="H67" s="17" t="s">
        <v>528</v>
      </c>
    </row>
    <row r="69" spans="1:15">
      <c r="A69" t="s">
        <v>414</v>
      </c>
      <c r="B69" s="4">
        <f t="shared" ref="B69:M69" si="4">SUM(B70:B78)</f>
        <v>1358085.693</v>
      </c>
      <c r="C69" s="11" t="s">
        <v>0</v>
      </c>
      <c r="D69" s="4">
        <f t="shared" si="4"/>
        <v>0</v>
      </c>
      <c r="E69" s="11">
        <f t="shared" si="4"/>
        <v>0</v>
      </c>
      <c r="F69" s="4">
        <f t="shared" si="4"/>
        <v>0</v>
      </c>
      <c r="G69" s="11">
        <f t="shared" si="4"/>
        <v>0</v>
      </c>
      <c r="H69" s="4">
        <f t="shared" si="4"/>
        <v>0</v>
      </c>
      <c r="I69" s="11">
        <f t="shared" si="4"/>
        <v>0</v>
      </c>
      <c r="J69" s="4">
        <f t="shared" si="4"/>
        <v>0</v>
      </c>
      <c r="K69" s="11">
        <f t="shared" si="4"/>
        <v>0</v>
      </c>
      <c r="L69" s="4">
        <f t="shared" si="4"/>
        <v>0</v>
      </c>
      <c r="M69" s="11">
        <f t="shared" si="4"/>
        <v>0</v>
      </c>
      <c r="O69" s="11">
        <f>SUM(O70:O78)</f>
        <v>0</v>
      </c>
    </row>
    <row r="70" spans="1:15">
      <c r="A70" t="s">
        <v>461</v>
      </c>
      <c r="B70" s="12">
        <f>117443975/1000</f>
        <v>117443.97500000001</v>
      </c>
      <c r="D70" s="12">
        <v>0</v>
      </c>
      <c r="F70" s="12">
        <v>0</v>
      </c>
      <c r="H70" s="12">
        <v>0</v>
      </c>
    </row>
    <row r="71" spans="1:15">
      <c r="A71" t="s">
        <v>462</v>
      </c>
      <c r="B71" s="12">
        <v>0</v>
      </c>
      <c r="D71" s="12">
        <v>0</v>
      </c>
      <c r="F71" s="12">
        <v>0</v>
      </c>
      <c r="H71" s="12">
        <v>0</v>
      </c>
    </row>
    <row r="72" spans="1:15">
      <c r="A72" t="s">
        <v>463</v>
      </c>
      <c r="B72" s="12">
        <f>27196827/1000</f>
        <v>27196.827000000001</v>
      </c>
      <c r="D72" s="12">
        <v>0</v>
      </c>
      <c r="F72" s="12">
        <v>0</v>
      </c>
      <c r="H72" s="12">
        <v>0</v>
      </c>
    </row>
    <row r="73" spans="1:15">
      <c r="A73" t="s">
        <v>464</v>
      </c>
      <c r="B73" s="12">
        <f>574096075/1000</f>
        <v>574096.07499999995</v>
      </c>
      <c r="D73" s="12">
        <v>0</v>
      </c>
      <c r="F73" s="12">
        <v>0</v>
      </c>
      <c r="H73" s="12">
        <v>0</v>
      </c>
    </row>
    <row r="74" spans="1:15">
      <c r="A74" t="s">
        <v>465</v>
      </c>
      <c r="B74" s="12">
        <v>410000</v>
      </c>
      <c r="D74" s="12">
        <v>0</v>
      </c>
      <c r="F74" s="12">
        <v>0</v>
      </c>
      <c r="H74" s="12">
        <v>0</v>
      </c>
    </row>
    <row r="75" spans="1:15">
      <c r="A75" t="s">
        <v>466</v>
      </c>
      <c r="B75" s="12">
        <v>0</v>
      </c>
      <c r="D75" s="12">
        <v>0</v>
      </c>
      <c r="F75" s="12">
        <v>0</v>
      </c>
      <c r="H75" s="12">
        <v>0</v>
      </c>
    </row>
    <row r="76" spans="1:15">
      <c r="A76" t="s">
        <v>467</v>
      </c>
      <c r="B76" s="12">
        <f>170674365/1000</f>
        <v>170674.36499999999</v>
      </c>
      <c r="D76" s="12">
        <v>0</v>
      </c>
      <c r="F76" s="12">
        <v>0</v>
      </c>
      <c r="H76" s="12">
        <v>0</v>
      </c>
    </row>
    <row r="77" spans="1:15">
      <c r="A77" t="s">
        <v>468</v>
      </c>
      <c r="B77" s="12">
        <v>0</v>
      </c>
      <c r="D77" s="12">
        <v>0</v>
      </c>
      <c r="F77" s="12">
        <v>0</v>
      </c>
      <c r="H77" s="12">
        <v>0</v>
      </c>
    </row>
    <row r="78" spans="1:15">
      <c r="A78" t="s">
        <v>469</v>
      </c>
      <c r="B78" s="12">
        <f>58674451/1000</f>
        <v>58674.451000000001</v>
      </c>
      <c r="D78" s="12">
        <v>0</v>
      </c>
      <c r="F78" s="12">
        <v>0</v>
      </c>
      <c r="H78" s="12">
        <v>0</v>
      </c>
    </row>
    <row r="80" spans="1:15">
      <c r="A80" t="s">
        <v>470</v>
      </c>
      <c r="B80" s="4">
        <f t="shared" ref="B80:M80" si="5">SUM(B81:B82)</f>
        <v>597105.81499999994</v>
      </c>
      <c r="C80" s="11" t="s">
        <v>0</v>
      </c>
      <c r="D80" s="4">
        <f t="shared" si="5"/>
        <v>0</v>
      </c>
      <c r="E80" s="11">
        <f t="shared" si="5"/>
        <v>0</v>
      </c>
      <c r="F80" s="4">
        <f t="shared" si="5"/>
        <v>0</v>
      </c>
      <c r="G80" s="11">
        <f t="shared" si="5"/>
        <v>0</v>
      </c>
      <c r="H80" s="4">
        <f t="shared" si="5"/>
        <v>0</v>
      </c>
      <c r="I80" s="11">
        <f t="shared" si="5"/>
        <v>0</v>
      </c>
      <c r="J80" s="4">
        <f t="shared" si="5"/>
        <v>0</v>
      </c>
      <c r="K80" s="11">
        <f t="shared" si="5"/>
        <v>0</v>
      </c>
      <c r="L80" s="4">
        <f t="shared" si="5"/>
        <v>0</v>
      </c>
      <c r="M80" s="11">
        <f t="shared" si="5"/>
        <v>0</v>
      </c>
      <c r="O80" s="11">
        <f>SUM(O81:O82)</f>
        <v>0</v>
      </c>
    </row>
    <row r="81" spans="1:15">
      <c r="A81" t="s">
        <v>471</v>
      </c>
      <c r="B81" s="12">
        <f>187105815/1000</f>
        <v>187105.815</v>
      </c>
      <c r="D81" s="12">
        <v>0</v>
      </c>
      <c r="F81" s="12">
        <v>0</v>
      </c>
      <c r="H81" s="12">
        <v>0</v>
      </c>
    </row>
    <row r="82" spans="1:15">
      <c r="A82" t="s">
        <v>472</v>
      </c>
      <c r="B82" s="12">
        <f>410000000/1000</f>
        <v>410000</v>
      </c>
      <c r="D82" s="12">
        <v>0</v>
      </c>
      <c r="F82" s="12">
        <v>0</v>
      </c>
      <c r="H82" s="12">
        <v>0</v>
      </c>
    </row>
    <row r="84" spans="1:15">
      <c r="A84" t="s">
        <v>473</v>
      </c>
      <c r="B84" s="4">
        <f t="shared" ref="B84:M84" si="6">SUM(B85:B95)</f>
        <v>1168744.3770000001</v>
      </c>
      <c r="C84" s="11" t="s">
        <v>0</v>
      </c>
      <c r="D84" s="4">
        <f t="shared" si="6"/>
        <v>0</v>
      </c>
      <c r="E84" s="11">
        <f t="shared" si="6"/>
        <v>0</v>
      </c>
      <c r="F84" s="4">
        <f t="shared" si="6"/>
        <v>0</v>
      </c>
      <c r="G84" s="11">
        <f t="shared" si="6"/>
        <v>0</v>
      </c>
      <c r="H84" s="4">
        <f t="shared" si="6"/>
        <v>0</v>
      </c>
      <c r="I84" s="11">
        <f t="shared" si="6"/>
        <v>0</v>
      </c>
      <c r="J84" s="4">
        <f t="shared" si="6"/>
        <v>0</v>
      </c>
      <c r="K84" s="11">
        <f t="shared" si="6"/>
        <v>0</v>
      </c>
      <c r="L84" s="4">
        <f t="shared" si="6"/>
        <v>0</v>
      </c>
      <c r="M84" s="11">
        <f t="shared" si="6"/>
        <v>0</v>
      </c>
      <c r="O84" s="11">
        <f>SUM(O85:O95)</f>
        <v>0</v>
      </c>
    </row>
    <row r="85" spans="1:15">
      <c r="A85" t="s">
        <v>474</v>
      </c>
      <c r="B85" s="12">
        <f>23825262/1000</f>
        <v>23825.261999999999</v>
      </c>
      <c r="D85" s="12">
        <v>0</v>
      </c>
      <c r="F85" s="12">
        <v>0</v>
      </c>
      <c r="H85" s="12">
        <v>0</v>
      </c>
    </row>
    <row r="86" spans="1:15">
      <c r="A86" t="s">
        <v>475</v>
      </c>
      <c r="B86" s="12">
        <f>566405511/1000</f>
        <v>566405.51100000006</v>
      </c>
      <c r="D86" s="12">
        <v>0</v>
      </c>
      <c r="F86" s="12">
        <v>0</v>
      </c>
      <c r="H86" s="12">
        <v>0</v>
      </c>
    </row>
    <row r="87" spans="1:15">
      <c r="A87" t="s">
        <v>476</v>
      </c>
      <c r="B87" s="43">
        <f>522835856/1000</f>
        <v>522835.85600000003</v>
      </c>
      <c r="D87" s="43">
        <v>0</v>
      </c>
      <c r="F87" s="43">
        <v>0</v>
      </c>
      <c r="H87" s="43">
        <v>0</v>
      </c>
    </row>
    <row r="88" spans="1:15">
      <c r="A88" t="s">
        <v>477</v>
      </c>
      <c r="B88" s="12">
        <v>0</v>
      </c>
      <c r="D88" s="12">
        <v>0</v>
      </c>
      <c r="F88" s="12">
        <v>0</v>
      </c>
      <c r="H88" s="12">
        <v>0</v>
      </c>
    </row>
    <row r="89" spans="1:15">
      <c r="A89" t="s">
        <v>478</v>
      </c>
      <c r="B89" s="12">
        <v>0</v>
      </c>
      <c r="D89" s="12">
        <v>0</v>
      </c>
      <c r="F89" s="12">
        <v>0</v>
      </c>
      <c r="H89" s="12">
        <v>0</v>
      </c>
    </row>
    <row r="90" spans="1:15">
      <c r="A90" t="s">
        <v>479</v>
      </c>
      <c r="B90" s="12">
        <v>0</v>
      </c>
      <c r="D90" s="12">
        <v>0</v>
      </c>
      <c r="F90" s="12">
        <v>0</v>
      </c>
      <c r="H90" s="12">
        <v>0</v>
      </c>
    </row>
    <row r="91" spans="1:15">
      <c r="A91" t="s">
        <v>480</v>
      </c>
      <c r="B91" s="12">
        <v>0</v>
      </c>
      <c r="D91" s="12">
        <v>0</v>
      </c>
      <c r="F91" s="12">
        <v>0</v>
      </c>
      <c r="H91" s="12">
        <v>0</v>
      </c>
    </row>
    <row r="92" spans="1:15">
      <c r="A92" t="s">
        <v>481</v>
      </c>
      <c r="B92" s="12">
        <v>0</v>
      </c>
      <c r="D92" s="12">
        <v>0</v>
      </c>
      <c r="F92" s="12">
        <v>0</v>
      </c>
      <c r="H92" s="12">
        <v>0</v>
      </c>
    </row>
    <row r="93" spans="1:15">
      <c r="A93" t="s">
        <v>482</v>
      </c>
      <c r="B93" s="12">
        <v>0</v>
      </c>
      <c r="D93" s="12">
        <v>0</v>
      </c>
      <c r="F93" s="12">
        <v>0</v>
      </c>
      <c r="H93" s="12">
        <v>0</v>
      </c>
    </row>
    <row r="94" spans="1:15">
      <c r="A94" t="s">
        <v>483</v>
      </c>
      <c r="B94" s="12">
        <f>87458328/1000</f>
        <v>87458.327999999994</v>
      </c>
      <c r="D94" s="12">
        <v>0</v>
      </c>
      <c r="F94" s="12">
        <v>0</v>
      </c>
      <c r="H94" s="12">
        <v>0</v>
      </c>
    </row>
    <row r="95" spans="1:15">
      <c r="A95" t="s">
        <v>484</v>
      </c>
      <c r="B95" s="12">
        <f>-31780580/1000</f>
        <v>-31780.58</v>
      </c>
      <c r="D95" s="12">
        <v>0</v>
      </c>
      <c r="F95" s="12">
        <v>0</v>
      </c>
      <c r="H95" s="12">
        <v>0</v>
      </c>
    </row>
    <row r="97" spans="1:15">
      <c r="A97" t="s">
        <v>485</v>
      </c>
      <c r="B97" s="4">
        <f t="shared" ref="B97:M97" si="7">SUM(B98:B101)</f>
        <v>19912.496999999999</v>
      </c>
      <c r="C97" s="11" t="s">
        <v>0</v>
      </c>
      <c r="D97" s="4">
        <f t="shared" si="7"/>
        <v>0</v>
      </c>
      <c r="E97" s="11">
        <f t="shared" si="7"/>
        <v>0</v>
      </c>
      <c r="F97" s="4">
        <f t="shared" si="7"/>
        <v>0</v>
      </c>
      <c r="G97" s="11">
        <f t="shared" si="7"/>
        <v>0</v>
      </c>
      <c r="H97" s="4">
        <f t="shared" si="7"/>
        <v>0</v>
      </c>
      <c r="I97" s="11">
        <f t="shared" si="7"/>
        <v>0</v>
      </c>
      <c r="J97" s="4">
        <f t="shared" si="7"/>
        <v>0</v>
      </c>
      <c r="K97" s="11">
        <f t="shared" si="7"/>
        <v>0</v>
      </c>
      <c r="L97" s="4">
        <f t="shared" si="7"/>
        <v>0</v>
      </c>
      <c r="M97" s="11">
        <f t="shared" si="7"/>
        <v>0</v>
      </c>
      <c r="O97" s="11">
        <f>SUM(O98:O101)</f>
        <v>0</v>
      </c>
    </row>
    <row r="98" spans="1:15">
      <c r="A98" t="s">
        <v>486</v>
      </c>
      <c r="B98" s="12">
        <f>4062433/1000</f>
        <v>4062.433</v>
      </c>
      <c r="D98" s="12">
        <v>0</v>
      </c>
      <c r="F98" s="12">
        <v>0</v>
      </c>
      <c r="H98" s="12">
        <v>0</v>
      </c>
    </row>
    <row r="99" spans="1:15">
      <c r="A99" t="s">
        <v>487</v>
      </c>
      <c r="B99" s="12">
        <f>13868760/1000</f>
        <v>13868.76</v>
      </c>
      <c r="D99" s="12">
        <v>0</v>
      </c>
      <c r="F99" s="12">
        <v>0</v>
      </c>
      <c r="H99" s="12">
        <v>0</v>
      </c>
    </row>
    <row r="100" spans="1:15">
      <c r="A100" t="s">
        <v>488</v>
      </c>
      <c r="B100" s="12">
        <v>0</v>
      </c>
      <c r="D100" s="12">
        <v>0</v>
      </c>
      <c r="F100" s="12">
        <v>0</v>
      </c>
      <c r="H100" s="12">
        <v>0</v>
      </c>
    </row>
    <row r="101" spans="1:15">
      <c r="A101" t="s">
        <v>489</v>
      </c>
      <c r="B101" s="12">
        <f>1981304/1000</f>
        <v>1981.3040000000001</v>
      </c>
      <c r="D101" s="12">
        <v>0</v>
      </c>
      <c r="F101" s="12">
        <v>0</v>
      </c>
      <c r="H101" s="12">
        <v>0</v>
      </c>
    </row>
    <row r="103" spans="1:15">
      <c r="A103" t="s">
        <v>490</v>
      </c>
      <c r="B103" s="4">
        <f>28003924/1000</f>
        <v>28003.923999999999</v>
      </c>
      <c r="C103" s="11" t="s">
        <v>0</v>
      </c>
      <c r="D103" s="4">
        <v>0</v>
      </c>
      <c r="E103" s="11">
        <v>0</v>
      </c>
      <c r="F103" s="4">
        <v>0</v>
      </c>
      <c r="G103" s="11">
        <v>0</v>
      </c>
      <c r="H103" s="4">
        <v>0</v>
      </c>
      <c r="I103" s="11">
        <v>0</v>
      </c>
      <c r="J103" s="4">
        <v>0</v>
      </c>
      <c r="K103" s="11">
        <v>0</v>
      </c>
      <c r="L103" s="4">
        <v>0</v>
      </c>
      <c r="M103" s="11">
        <v>0</v>
      </c>
      <c r="N103" s="12">
        <v>0</v>
      </c>
      <c r="O103" s="11">
        <v>0</v>
      </c>
    </row>
    <row r="104" spans="1:15">
      <c r="B104" s="16" t="s">
        <v>0</v>
      </c>
      <c r="D104" s="16" t="s">
        <v>0</v>
      </c>
      <c r="F104" s="16" t="s">
        <v>0</v>
      </c>
      <c r="H104" s="16" t="s">
        <v>0</v>
      </c>
    </row>
    <row r="105" spans="1:15">
      <c r="A105" t="s">
        <v>491</v>
      </c>
      <c r="B105" s="4">
        <v>0</v>
      </c>
      <c r="D105" s="4">
        <v>0</v>
      </c>
      <c r="F105" s="4">
        <v>0</v>
      </c>
      <c r="H105" s="4">
        <v>0</v>
      </c>
    </row>
    <row r="107" spans="1:15">
      <c r="A107" t="s">
        <v>492</v>
      </c>
      <c r="B107" s="4">
        <f t="shared" ref="B107:M107" si="8">SUM(B108:B111)</f>
        <v>217512.61900000001</v>
      </c>
      <c r="C107" s="11" t="s">
        <v>0</v>
      </c>
      <c r="D107" s="4">
        <f t="shared" si="8"/>
        <v>0</v>
      </c>
      <c r="E107" s="11">
        <f t="shared" si="8"/>
        <v>0</v>
      </c>
      <c r="F107" s="4">
        <f t="shared" si="8"/>
        <v>0</v>
      </c>
      <c r="G107" s="11">
        <f t="shared" si="8"/>
        <v>0</v>
      </c>
      <c r="H107" s="4">
        <f t="shared" si="8"/>
        <v>0</v>
      </c>
      <c r="I107" s="11">
        <f t="shared" si="8"/>
        <v>0</v>
      </c>
      <c r="J107" s="4">
        <f t="shared" si="8"/>
        <v>0</v>
      </c>
      <c r="K107" s="11">
        <f t="shared" si="8"/>
        <v>0</v>
      </c>
      <c r="L107" s="4">
        <f t="shared" si="8"/>
        <v>0</v>
      </c>
      <c r="M107" s="11">
        <f t="shared" si="8"/>
        <v>0</v>
      </c>
      <c r="O107" s="11">
        <f>SUM(O108:O111)</f>
        <v>0</v>
      </c>
    </row>
    <row r="108" spans="1:15">
      <c r="A108" t="s">
        <v>493</v>
      </c>
      <c r="B108" s="12">
        <f>324088542/1000</f>
        <v>324088.54200000002</v>
      </c>
      <c r="D108" s="12">
        <v>0</v>
      </c>
      <c r="F108" s="12">
        <v>0</v>
      </c>
      <c r="H108" s="12">
        <v>0</v>
      </c>
    </row>
    <row r="109" spans="1:15">
      <c r="A109" t="s">
        <v>494</v>
      </c>
      <c r="B109" s="12">
        <f>2885620/1000</f>
        <v>2885.62</v>
      </c>
      <c r="D109" s="12">
        <v>0</v>
      </c>
      <c r="F109" s="12">
        <v>0</v>
      </c>
      <c r="H109" s="12">
        <v>0</v>
      </c>
    </row>
    <row r="110" spans="1:15">
      <c r="A110" t="s">
        <v>495</v>
      </c>
      <c r="B110" s="12">
        <f>-110438149/1000</f>
        <v>-110438.149</v>
      </c>
      <c r="D110" s="12">
        <v>0</v>
      </c>
      <c r="F110" s="12">
        <v>0</v>
      </c>
      <c r="H110" s="12">
        <v>0</v>
      </c>
    </row>
    <row r="111" spans="1:15">
      <c r="A111" t="s">
        <v>496</v>
      </c>
      <c r="B111" s="12">
        <f>976606/1000</f>
        <v>976.60599999999999</v>
      </c>
      <c r="D111" s="12">
        <v>0</v>
      </c>
      <c r="F111" s="12">
        <v>0</v>
      </c>
      <c r="H111" s="12">
        <v>0</v>
      </c>
    </row>
    <row r="113" spans="1:15">
      <c r="A113" t="s">
        <v>497</v>
      </c>
      <c r="B113" s="12">
        <f>70810639/1000</f>
        <v>70810.638999999996</v>
      </c>
      <c r="D113" s="12">
        <v>0</v>
      </c>
      <c r="F113" s="12">
        <v>0</v>
      </c>
      <c r="H113" s="12">
        <v>0</v>
      </c>
    </row>
    <row r="115" spans="1:15">
      <c r="A115" s="2" t="s">
        <v>498</v>
      </c>
      <c r="B115" s="4">
        <f t="shared" ref="B115:M115" si="9">+B69+B80+B84+B97+B103+B105+B107+B113</f>
        <v>3460175.5639999998</v>
      </c>
      <c r="C115" s="11" t="s">
        <v>0</v>
      </c>
      <c r="D115" s="4">
        <f t="shared" si="9"/>
        <v>0</v>
      </c>
      <c r="E115" s="11">
        <f t="shared" si="9"/>
        <v>0</v>
      </c>
      <c r="F115" s="4">
        <f t="shared" si="9"/>
        <v>0</v>
      </c>
      <c r="G115" s="11">
        <f t="shared" si="9"/>
        <v>0</v>
      </c>
      <c r="H115" s="4">
        <f t="shared" si="9"/>
        <v>0</v>
      </c>
      <c r="I115" s="11">
        <f t="shared" si="9"/>
        <v>0</v>
      </c>
      <c r="J115" s="4">
        <f t="shared" si="9"/>
        <v>0</v>
      </c>
      <c r="K115" s="11">
        <f t="shared" si="9"/>
        <v>0</v>
      </c>
      <c r="L115" s="4">
        <f t="shared" si="9"/>
        <v>0</v>
      </c>
      <c r="M115" s="11">
        <f t="shared" si="9"/>
        <v>0</v>
      </c>
      <c r="O115" s="11">
        <f>+O69+O80+O84+O97+O103+O105+O107+O113</f>
        <v>0</v>
      </c>
    </row>
    <row r="118" spans="1:15">
      <c r="A118" t="s">
        <v>276</v>
      </c>
    </row>
    <row r="120" spans="1:15">
      <c r="A120" t="s">
        <v>499</v>
      </c>
      <c r="B120" s="4">
        <f>SUM(B121:B122)</f>
        <v>731954.87700000009</v>
      </c>
      <c r="C120" s="11"/>
      <c r="D120" s="4">
        <f>SUM(D121:D122)</f>
        <v>0</v>
      </c>
      <c r="E120" s="11"/>
      <c r="F120" s="4">
        <f>SUM(F121:F122)</f>
        <v>0</v>
      </c>
      <c r="G120" s="11"/>
      <c r="H120" s="4">
        <f>SUM(H121:H122)</f>
        <v>0</v>
      </c>
      <c r="I120" s="11"/>
      <c r="J120" s="4"/>
      <c r="K120" s="11"/>
      <c r="L120" s="4"/>
      <c r="M120" s="11"/>
      <c r="O120" s="11"/>
    </row>
    <row r="121" spans="1:15">
      <c r="A121" t="s">
        <v>500</v>
      </c>
      <c r="B121" s="12">
        <f>727898072/1000</f>
        <v>727898.07200000004</v>
      </c>
      <c r="D121" s="12">
        <v>0</v>
      </c>
      <c r="F121" s="12">
        <v>0</v>
      </c>
      <c r="H121" s="12">
        <v>0</v>
      </c>
    </row>
    <row r="122" spans="1:15">
      <c r="A122" t="s">
        <v>501</v>
      </c>
      <c r="B122" s="12">
        <f>4056805/1000</f>
        <v>4056.8049999999998</v>
      </c>
      <c r="D122" s="12">
        <v>0</v>
      </c>
      <c r="F122" s="12">
        <v>0</v>
      </c>
      <c r="H122" s="12">
        <v>0</v>
      </c>
    </row>
    <row r="123" spans="1:15">
      <c r="A123" t="s">
        <v>0</v>
      </c>
    </row>
    <row r="124" spans="1:15">
      <c r="A124" t="s">
        <v>502</v>
      </c>
      <c r="B124" s="4">
        <f>1472978508/1000</f>
        <v>1472978.5079999999</v>
      </c>
      <c r="C124" s="11"/>
      <c r="D124" s="4">
        <v>0</v>
      </c>
      <c r="E124" s="11"/>
      <c r="F124" s="4">
        <v>0</v>
      </c>
      <c r="G124" s="11"/>
      <c r="H124" s="4">
        <v>0</v>
      </c>
      <c r="I124" s="11"/>
      <c r="J124" s="4"/>
      <c r="K124" s="11"/>
      <c r="L124" s="4"/>
      <c r="M124" s="11"/>
      <c r="O124" s="11"/>
    </row>
    <row r="126" spans="1:15">
      <c r="A126" t="s">
        <v>503</v>
      </c>
      <c r="B126" s="4">
        <f>449954554/1000</f>
        <v>449954.554</v>
      </c>
      <c r="C126" s="11"/>
      <c r="D126" s="4">
        <v>0</v>
      </c>
      <c r="E126" s="11"/>
      <c r="F126" s="4">
        <v>0</v>
      </c>
      <c r="G126" s="11"/>
      <c r="H126" s="4">
        <v>0</v>
      </c>
      <c r="I126" s="11"/>
      <c r="J126" s="4"/>
      <c r="K126" s="11"/>
      <c r="L126" s="4"/>
      <c r="M126" s="11"/>
      <c r="O126" s="11"/>
    </row>
    <row r="128" spans="1:15">
      <c r="A128" t="s">
        <v>504</v>
      </c>
      <c r="B128" s="4">
        <f>SUM(B129:B141)</f>
        <v>83622.997999999992</v>
      </c>
      <c r="C128" s="11"/>
      <c r="D128" s="4">
        <f>SUM(D129:D141)</f>
        <v>0</v>
      </c>
      <c r="E128" s="11"/>
      <c r="F128" s="4">
        <f>SUM(F129:F141)</f>
        <v>0</v>
      </c>
      <c r="G128" s="11"/>
      <c r="H128" s="4">
        <f>SUM(H129:H141)</f>
        <v>0</v>
      </c>
      <c r="I128" s="11"/>
      <c r="J128" s="4"/>
      <c r="K128" s="11"/>
      <c r="L128" s="4"/>
      <c r="M128" s="11"/>
      <c r="O128" s="11"/>
    </row>
    <row r="129" spans="1:15">
      <c r="A129" t="s">
        <v>505</v>
      </c>
      <c r="B129" s="12">
        <f>53414054/1000</f>
        <v>53414.053999999996</v>
      </c>
      <c r="D129" s="12">
        <v>0</v>
      </c>
      <c r="F129" s="12">
        <v>0</v>
      </c>
      <c r="H129" s="12">
        <v>0</v>
      </c>
    </row>
    <row r="130" spans="1:15">
      <c r="A130" t="s">
        <v>506</v>
      </c>
      <c r="B130" s="16">
        <v>0</v>
      </c>
      <c r="D130" s="16">
        <v>0</v>
      </c>
      <c r="F130" s="16">
        <v>0</v>
      </c>
      <c r="H130" s="16">
        <v>0</v>
      </c>
    </row>
    <row r="131" spans="1:15">
      <c r="A131" t="s">
        <v>507</v>
      </c>
      <c r="B131" s="12">
        <f>-3281975/1000</f>
        <v>-3281.9749999999999</v>
      </c>
      <c r="D131" s="12">
        <v>0</v>
      </c>
      <c r="F131" s="12">
        <v>0</v>
      </c>
      <c r="H131" s="12">
        <v>0</v>
      </c>
    </row>
    <row r="132" spans="1:15">
      <c r="A132" t="s">
        <v>508</v>
      </c>
      <c r="B132" s="12">
        <f>106431/1000</f>
        <v>106.431</v>
      </c>
      <c r="D132" s="12">
        <v>0</v>
      </c>
      <c r="F132" s="12">
        <v>0</v>
      </c>
      <c r="H132" s="12">
        <v>0</v>
      </c>
    </row>
    <row r="133" spans="1:15">
      <c r="A133" t="s">
        <v>509</v>
      </c>
      <c r="B133" s="12">
        <v>0</v>
      </c>
      <c r="D133" s="12">
        <v>0</v>
      </c>
      <c r="F133" s="12">
        <v>0</v>
      </c>
      <c r="H133" s="12">
        <v>0</v>
      </c>
    </row>
    <row r="134" spans="1:15">
      <c r="A134" t="s">
        <v>510</v>
      </c>
      <c r="B134" s="12">
        <f>7847349/1000</f>
        <v>7847.3490000000002</v>
      </c>
      <c r="D134" s="12">
        <v>0</v>
      </c>
      <c r="F134" s="12">
        <v>0</v>
      </c>
      <c r="H134" s="12">
        <v>0</v>
      </c>
    </row>
    <row r="135" spans="1:15">
      <c r="A135" t="s">
        <v>511</v>
      </c>
      <c r="B135" s="12">
        <v>0</v>
      </c>
      <c r="D135" s="12">
        <v>0</v>
      </c>
      <c r="F135" s="12">
        <v>0</v>
      </c>
      <c r="H135" s="12">
        <v>0</v>
      </c>
    </row>
    <row r="136" spans="1:15">
      <c r="A136" t="s">
        <v>512</v>
      </c>
      <c r="B136" s="12">
        <f>22860440/1000</f>
        <v>22860.44</v>
      </c>
      <c r="D136" s="12">
        <v>0</v>
      </c>
      <c r="F136" s="12">
        <v>0</v>
      </c>
      <c r="H136" s="12">
        <v>0</v>
      </c>
    </row>
    <row r="137" spans="1:15">
      <c r="A137" t="s">
        <v>513</v>
      </c>
      <c r="B137" s="12">
        <f>2676699/1000</f>
        <v>2676.6990000000001</v>
      </c>
      <c r="D137" s="12">
        <v>0</v>
      </c>
      <c r="F137" s="12">
        <v>0</v>
      </c>
      <c r="H137" s="12">
        <v>0</v>
      </c>
    </row>
    <row r="138" spans="1:15">
      <c r="A138" t="s">
        <v>514</v>
      </c>
      <c r="B138" s="12">
        <v>0</v>
      </c>
      <c r="D138" s="12">
        <v>0</v>
      </c>
      <c r="F138" s="12">
        <v>0</v>
      </c>
      <c r="H138" s="12">
        <v>0</v>
      </c>
    </row>
    <row r="139" spans="1:15">
      <c r="A139" t="s">
        <v>515</v>
      </c>
      <c r="B139" s="12">
        <v>0</v>
      </c>
      <c r="D139" s="12">
        <v>0</v>
      </c>
      <c r="F139" s="12">
        <v>0</v>
      </c>
      <c r="H139" s="12">
        <v>0</v>
      </c>
    </row>
    <row r="140" spans="1:15">
      <c r="A140" t="s">
        <v>516</v>
      </c>
      <c r="B140" s="12">
        <v>0</v>
      </c>
      <c r="D140" s="12">
        <v>0</v>
      </c>
      <c r="F140" s="12">
        <v>0</v>
      </c>
      <c r="H140" s="12">
        <v>0</v>
      </c>
    </row>
    <row r="141" spans="1:15">
      <c r="A141" t="s">
        <v>273</v>
      </c>
      <c r="B141" s="12">
        <v>0</v>
      </c>
      <c r="D141" s="12">
        <v>0</v>
      </c>
      <c r="F141" s="12">
        <v>0</v>
      </c>
      <c r="H141" s="12">
        <v>0</v>
      </c>
    </row>
    <row r="143" spans="1:15">
      <c r="A143" t="s">
        <v>517</v>
      </c>
      <c r="B143" s="4">
        <f>SUM(B144:B150)</f>
        <v>36321.438999999998</v>
      </c>
      <c r="C143" s="11"/>
      <c r="D143" s="4">
        <f>SUM(D144:D150)</f>
        <v>0</v>
      </c>
      <c r="E143" s="11"/>
      <c r="F143" s="4">
        <f>SUM(F144:F150)</f>
        <v>0</v>
      </c>
      <c r="G143" s="11"/>
      <c r="H143" s="4">
        <f>SUM(H144:H150)</f>
        <v>0</v>
      </c>
      <c r="I143" s="11"/>
      <c r="J143" s="4"/>
      <c r="K143" s="11"/>
      <c r="L143" s="4"/>
      <c r="M143" s="11"/>
      <c r="O143" s="11"/>
    </row>
    <row r="144" spans="1:15">
      <c r="A144" t="s">
        <v>629</v>
      </c>
      <c r="B144" s="12">
        <v>0</v>
      </c>
      <c r="D144" s="12">
        <v>0</v>
      </c>
      <c r="F144" s="12">
        <v>0</v>
      </c>
      <c r="H144" s="12">
        <v>0</v>
      </c>
    </row>
    <row r="145" spans="1:15">
      <c r="A145" t="s">
        <v>630</v>
      </c>
      <c r="B145" s="12">
        <f>2845619/1000</f>
        <v>2845.6190000000001</v>
      </c>
      <c r="D145" s="12">
        <v>0</v>
      </c>
      <c r="F145" s="12">
        <v>0</v>
      </c>
      <c r="H145" s="12">
        <v>0</v>
      </c>
    </row>
    <row r="146" spans="1:15">
      <c r="A146" t="s">
        <v>631</v>
      </c>
      <c r="B146" s="12">
        <v>0</v>
      </c>
      <c r="D146" s="12">
        <v>0</v>
      </c>
      <c r="F146" s="12">
        <v>0</v>
      </c>
      <c r="H146" s="12">
        <v>0</v>
      </c>
    </row>
    <row r="147" spans="1:15">
      <c r="A147" t="s">
        <v>632</v>
      </c>
      <c r="B147" s="12">
        <v>0</v>
      </c>
      <c r="D147" s="12">
        <v>0</v>
      </c>
      <c r="F147" s="12">
        <v>0</v>
      </c>
      <c r="H147" s="12">
        <v>0</v>
      </c>
    </row>
    <row r="148" spans="1:15">
      <c r="A148" t="s">
        <v>633</v>
      </c>
      <c r="B148" s="12">
        <v>0</v>
      </c>
      <c r="D148" s="12">
        <v>0</v>
      </c>
      <c r="F148" s="12">
        <v>0</v>
      </c>
      <c r="H148" s="12">
        <v>0</v>
      </c>
    </row>
    <row r="149" spans="1:15">
      <c r="A149" t="s">
        <v>523</v>
      </c>
      <c r="B149" s="12">
        <v>0</v>
      </c>
      <c r="D149" s="12">
        <v>0</v>
      </c>
      <c r="F149" s="12">
        <v>0</v>
      </c>
      <c r="H149" s="12">
        <v>0</v>
      </c>
    </row>
    <row r="150" spans="1:15">
      <c r="A150" t="s">
        <v>524</v>
      </c>
      <c r="B150" s="12">
        <f>33475820/1000</f>
        <v>33475.82</v>
      </c>
      <c r="D150" s="12">
        <v>0</v>
      </c>
      <c r="F150" s="12">
        <v>0</v>
      </c>
      <c r="H150" s="12">
        <v>0</v>
      </c>
    </row>
    <row r="152" spans="1:15">
      <c r="A152" t="s">
        <v>525</v>
      </c>
      <c r="B152" s="4">
        <v>0</v>
      </c>
      <c r="C152" s="11"/>
      <c r="D152" s="4">
        <v>0</v>
      </c>
      <c r="E152" s="11"/>
      <c r="F152" s="4">
        <v>0</v>
      </c>
      <c r="G152" s="11"/>
      <c r="H152" s="4">
        <v>0</v>
      </c>
      <c r="I152" s="11"/>
      <c r="J152" s="4"/>
      <c r="K152" s="11"/>
      <c r="L152" s="4"/>
      <c r="M152" s="11"/>
      <c r="O152" s="11"/>
    </row>
    <row r="154" spans="1:15">
      <c r="A154" t="s">
        <v>609</v>
      </c>
      <c r="B154" s="4">
        <f>33451996/1000</f>
        <v>33451.995999999999</v>
      </c>
      <c r="C154" s="11"/>
      <c r="D154" s="4">
        <v>0</v>
      </c>
      <c r="E154" s="11"/>
      <c r="F154" s="4">
        <v>0</v>
      </c>
      <c r="G154" s="11"/>
      <c r="H154" s="4">
        <v>0</v>
      </c>
      <c r="I154" s="11"/>
      <c r="J154" s="4"/>
      <c r="K154" s="11"/>
      <c r="L154" s="4"/>
      <c r="M154" s="11"/>
      <c r="O154" s="11"/>
    </row>
    <row r="156" spans="1:15">
      <c r="A156" t="s">
        <v>375</v>
      </c>
      <c r="B156" s="4">
        <f>70810640/1000</f>
        <v>70810.64</v>
      </c>
      <c r="C156" s="11"/>
      <c r="D156" s="4">
        <v>0</v>
      </c>
      <c r="E156" s="11"/>
      <c r="F156" s="4">
        <v>0</v>
      </c>
      <c r="G156" s="11"/>
      <c r="H156" s="4">
        <v>0</v>
      </c>
      <c r="I156" s="11"/>
      <c r="J156" s="4"/>
      <c r="K156" s="11"/>
      <c r="L156" s="4"/>
      <c r="M156" s="11"/>
      <c r="O156" s="11"/>
    </row>
    <row r="158" spans="1:15">
      <c r="A158" t="s">
        <v>376</v>
      </c>
      <c r="B158" s="4">
        <f>+B162+B163+B164</f>
        <v>141406.402</v>
      </c>
      <c r="C158" s="11"/>
      <c r="D158" s="4">
        <f>+D162+D163+D164</f>
        <v>0</v>
      </c>
      <c r="E158" s="11"/>
      <c r="F158" s="4">
        <f>+F162+F163+F164</f>
        <v>0</v>
      </c>
      <c r="G158" s="11"/>
      <c r="H158" s="4">
        <f>+H162+H163+H164</f>
        <v>0</v>
      </c>
      <c r="I158" s="11"/>
      <c r="J158" s="4"/>
      <c r="K158" s="11"/>
      <c r="L158" s="4"/>
      <c r="M158" s="11"/>
      <c r="O158" s="11"/>
    </row>
    <row r="159" spans="1:15">
      <c r="A159" t="s">
        <v>377</v>
      </c>
      <c r="B159" s="12">
        <f>62500000/1000</f>
        <v>62500</v>
      </c>
      <c r="D159" s="12">
        <v>0</v>
      </c>
      <c r="F159" s="12">
        <v>0</v>
      </c>
      <c r="H159" s="12">
        <v>0</v>
      </c>
    </row>
    <row r="160" spans="1:15">
      <c r="A160" t="s">
        <v>378</v>
      </c>
      <c r="B160" s="12">
        <v>0</v>
      </c>
      <c r="D160" s="12">
        <v>0</v>
      </c>
      <c r="F160" s="12">
        <v>0</v>
      </c>
      <c r="H160" s="12">
        <v>0</v>
      </c>
    </row>
    <row r="161" spans="1:15">
      <c r="A161" t="s">
        <v>302</v>
      </c>
      <c r="B161" s="12">
        <v>0</v>
      </c>
      <c r="D161" s="12">
        <v>0</v>
      </c>
      <c r="F161" s="12">
        <v>0</v>
      </c>
      <c r="H161" s="12">
        <v>0</v>
      </c>
    </row>
    <row r="162" spans="1:15">
      <c r="A162" t="s">
        <v>289</v>
      </c>
      <c r="B162" s="4">
        <f>+B159+B160</f>
        <v>62500</v>
      </c>
      <c r="D162" s="4">
        <f>+D159+D160</f>
        <v>0</v>
      </c>
      <c r="F162" s="4">
        <f>+F159+F160</f>
        <v>0</v>
      </c>
      <c r="H162" s="4">
        <f>+H159+H160</f>
        <v>0</v>
      </c>
    </row>
    <row r="163" spans="1:15">
      <c r="A163" t="s">
        <v>379</v>
      </c>
      <c r="B163" s="12">
        <f>66498298/1000</f>
        <v>66498.297999999995</v>
      </c>
      <c r="D163" s="12">
        <v>0</v>
      </c>
      <c r="F163" s="12">
        <v>0</v>
      </c>
      <c r="H163" s="12">
        <v>0</v>
      </c>
    </row>
    <row r="164" spans="1:15">
      <c r="A164" t="s">
        <v>380</v>
      </c>
      <c r="B164" s="12">
        <f>12408104/1000</f>
        <v>12408.103999999999</v>
      </c>
      <c r="D164" s="12">
        <v>0</v>
      </c>
      <c r="F164" s="12">
        <v>0</v>
      </c>
      <c r="H164" s="12">
        <v>0</v>
      </c>
    </row>
    <row r="166" spans="1:15">
      <c r="A166" t="s">
        <v>381</v>
      </c>
      <c r="B166" s="4">
        <f>SUM(B167:B169)</f>
        <v>29674.151999999998</v>
      </c>
      <c r="C166" s="11"/>
      <c r="D166" s="4">
        <f>SUM(D167:D169)</f>
        <v>0</v>
      </c>
      <c r="E166" s="11"/>
      <c r="F166" s="4">
        <f>SUM(F167:F169)</f>
        <v>0</v>
      </c>
      <c r="G166" s="11"/>
      <c r="H166" s="4">
        <f>SUM(H167:H169)</f>
        <v>0</v>
      </c>
      <c r="I166" s="11"/>
      <c r="J166" s="4"/>
      <c r="K166" s="11"/>
      <c r="L166" s="4"/>
      <c r="M166" s="11"/>
      <c r="O166" s="11"/>
    </row>
    <row r="167" spans="1:15">
      <c r="A167" t="s">
        <v>382</v>
      </c>
      <c r="B167" s="12">
        <f>17214618/1000</f>
        <v>17214.617999999999</v>
      </c>
      <c r="D167" s="12">
        <v>0</v>
      </c>
      <c r="F167" s="12">
        <v>0</v>
      </c>
      <c r="H167" s="12">
        <v>0</v>
      </c>
    </row>
    <row r="168" spans="1:15">
      <c r="A168" t="s">
        <v>647</v>
      </c>
      <c r="B168" s="12">
        <f>-2159187/1000</f>
        <v>-2159.1869999999999</v>
      </c>
      <c r="D168" s="12">
        <v>0</v>
      </c>
      <c r="F168" s="12">
        <v>0</v>
      </c>
      <c r="H168" s="12">
        <v>0</v>
      </c>
    </row>
    <row r="169" spans="1:15">
      <c r="A169" t="s">
        <v>383</v>
      </c>
      <c r="B169" s="12">
        <f>14618721/1000</f>
        <v>14618.721</v>
      </c>
      <c r="D169" s="12">
        <v>0</v>
      </c>
      <c r="F169" s="12">
        <v>0</v>
      </c>
      <c r="H169" s="12">
        <v>0</v>
      </c>
    </row>
    <row r="171" spans="1:15">
      <c r="A171" t="s">
        <v>384</v>
      </c>
      <c r="B171" s="4">
        <f t="shared" ref="B171:M171" si="10">+B120+B124+B126+B128+B143+B152+B154+B156+B158+B166</f>
        <v>3050175.5659999996</v>
      </c>
      <c r="C171" s="11" t="s">
        <v>0</v>
      </c>
      <c r="D171" s="4">
        <f t="shared" si="10"/>
        <v>0</v>
      </c>
      <c r="E171" s="11">
        <f t="shared" si="10"/>
        <v>0</v>
      </c>
      <c r="F171" s="4">
        <f t="shared" si="10"/>
        <v>0</v>
      </c>
      <c r="G171" s="11">
        <f t="shared" si="10"/>
        <v>0</v>
      </c>
      <c r="H171" s="4">
        <f t="shared" si="10"/>
        <v>0</v>
      </c>
      <c r="I171" s="11">
        <f t="shared" si="10"/>
        <v>0</v>
      </c>
      <c r="J171" s="4">
        <f t="shared" si="10"/>
        <v>0</v>
      </c>
      <c r="K171" s="11">
        <f t="shared" si="10"/>
        <v>0</v>
      </c>
      <c r="L171" s="4">
        <f t="shared" si="10"/>
        <v>0</v>
      </c>
      <c r="M171" s="11">
        <f t="shared" si="10"/>
        <v>0</v>
      </c>
      <c r="O171" s="11">
        <f>+O120+O124+O126+O128+O143+O152+O154+O156+O158+O166</f>
        <v>0</v>
      </c>
    </row>
  </sheetData>
  <pageMargins left="0.27" right="0.23" top="0.47" bottom="0.56999999999999995" header="0.31" footer="0.3"/>
  <pageSetup scale="53" orientation="landscape" r:id="rId1"/>
  <headerFooter alignWithMargins="0">
    <oddFooter>&amp;R&amp;P</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6"/>
  <sheetViews>
    <sheetView workbookViewId="0"/>
  </sheetViews>
  <sheetFormatPr defaultRowHeight="15.75"/>
  <cols>
    <col min="1" max="1" width="33.25" customWidth="1"/>
    <col min="2" max="2" width="17"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8.75" style="12" customWidth="1"/>
    <col min="18" max="18" width="15.75" style="12" customWidth="1"/>
    <col min="19" max="21" width="15.75" customWidth="1"/>
    <col min="22" max="256" width="11" customWidth="1"/>
  </cols>
  <sheetData>
    <row r="1" spans="1:21">
      <c r="A1" s="114" t="s">
        <v>648</v>
      </c>
      <c r="B1" s="37"/>
      <c r="C1" s="38"/>
      <c r="D1" s="37"/>
      <c r="E1" s="38"/>
      <c r="F1" s="37"/>
      <c r="G1" s="38"/>
      <c r="H1" s="37"/>
      <c r="I1" s="38"/>
      <c r="J1" s="37"/>
      <c r="K1" s="38"/>
      <c r="L1" s="37"/>
      <c r="M1" s="38"/>
      <c r="N1" s="37"/>
      <c r="O1" s="38"/>
      <c r="P1" s="37"/>
      <c r="Q1" s="37"/>
    </row>
    <row r="2" spans="1:21">
      <c r="A2" s="114" t="s">
        <v>305</v>
      </c>
      <c r="B2" s="37"/>
      <c r="C2" s="38"/>
      <c r="D2" s="37"/>
      <c r="E2" s="38"/>
      <c r="F2" s="37"/>
      <c r="G2" s="38"/>
      <c r="H2" s="37"/>
      <c r="I2" s="38"/>
      <c r="J2" s="37"/>
      <c r="K2" s="38"/>
      <c r="L2" s="37"/>
      <c r="M2" s="38"/>
      <c r="N2" s="37"/>
      <c r="O2" s="38"/>
      <c r="P2" s="37"/>
      <c r="Q2" s="37"/>
    </row>
    <row r="3" spans="1:21">
      <c r="A3" s="114" t="s">
        <v>526</v>
      </c>
      <c r="B3" s="37"/>
      <c r="C3" s="38"/>
      <c r="D3" s="37"/>
      <c r="E3" s="38"/>
      <c r="F3" s="37"/>
      <c r="G3" s="38"/>
      <c r="H3" s="37"/>
      <c r="I3" s="38"/>
      <c r="J3" s="37"/>
      <c r="K3" s="38"/>
      <c r="L3" s="37"/>
      <c r="M3" s="38"/>
      <c r="N3" s="37"/>
      <c r="O3" s="38"/>
      <c r="P3" s="37"/>
      <c r="Q3" s="37"/>
    </row>
    <row r="4" spans="1:21">
      <c r="A4" s="114" t="s">
        <v>179</v>
      </c>
      <c r="B4" s="37"/>
      <c r="C4" s="38"/>
      <c r="D4" s="37"/>
      <c r="E4" s="38"/>
      <c r="F4" s="37"/>
      <c r="G4" s="38"/>
      <c r="H4" s="37"/>
      <c r="I4" s="38"/>
      <c r="J4" s="37"/>
      <c r="K4" s="38"/>
      <c r="L4" s="37"/>
      <c r="M4" s="38"/>
      <c r="N4" s="37"/>
      <c r="O4" s="38"/>
      <c r="P4" s="37"/>
      <c r="Q4" s="37"/>
    </row>
    <row r="6" spans="1:21" s="2" customFormat="1" ht="16.5" thickBot="1">
      <c r="B6" s="4"/>
      <c r="C6" s="11"/>
      <c r="D6" s="4"/>
      <c r="E6" s="11"/>
      <c r="F6" s="4"/>
      <c r="G6" s="11"/>
      <c r="H6" s="4"/>
      <c r="I6" s="11"/>
      <c r="J6" s="123" t="s">
        <v>167</v>
      </c>
      <c r="K6" s="230"/>
      <c r="L6" s="123"/>
      <c r="M6" s="230"/>
      <c r="N6" s="123"/>
      <c r="O6" s="230"/>
      <c r="P6" s="123"/>
      <c r="Q6" s="123"/>
      <c r="R6" s="4"/>
    </row>
    <row r="7" spans="1:21" s="2" customFormat="1" ht="16.5" thickBot="1">
      <c r="B7" s="223" t="s">
        <v>168</v>
      </c>
      <c r="C7" s="224" t="s">
        <v>301</v>
      </c>
      <c r="D7" s="225" t="s">
        <v>170</v>
      </c>
      <c r="E7" s="224" t="s">
        <v>301</v>
      </c>
      <c r="F7" s="225" t="s">
        <v>171</v>
      </c>
      <c r="G7" s="224" t="s">
        <v>301</v>
      </c>
      <c r="H7" s="225" t="s">
        <v>172</v>
      </c>
      <c r="I7" s="224" t="s">
        <v>301</v>
      </c>
      <c r="J7" s="228" t="s">
        <v>174</v>
      </c>
      <c r="K7" s="227" t="s">
        <v>301</v>
      </c>
      <c r="L7" s="228" t="s">
        <v>175</v>
      </c>
      <c r="M7" s="227" t="s">
        <v>301</v>
      </c>
      <c r="N7" s="228" t="s">
        <v>176</v>
      </c>
      <c r="O7" s="227" t="s">
        <v>301</v>
      </c>
      <c r="P7" s="228" t="s">
        <v>177</v>
      </c>
      <c r="Q7" s="414" t="s">
        <v>301</v>
      </c>
      <c r="R7" s="80"/>
      <c r="S7" s="18"/>
      <c r="T7" s="18"/>
      <c r="U7" s="18"/>
    </row>
    <row r="8" spans="1:21">
      <c r="A8" s="87" t="s">
        <v>243</v>
      </c>
      <c r="B8" s="125"/>
      <c r="C8" s="124"/>
      <c r="D8" s="125"/>
      <c r="E8" s="124"/>
      <c r="F8" s="125"/>
      <c r="G8" s="124"/>
      <c r="H8" s="125"/>
      <c r="I8" s="124"/>
      <c r="J8" s="219"/>
      <c r="K8" s="124"/>
      <c r="L8" s="219"/>
      <c r="M8" s="124"/>
      <c r="N8" s="219"/>
      <c r="O8" s="124"/>
      <c r="P8" s="219"/>
      <c r="Q8" s="125"/>
      <c r="R8" s="14"/>
      <c r="S8" s="9"/>
      <c r="T8" s="9"/>
      <c r="U8" s="9"/>
    </row>
    <row r="9" spans="1:21">
      <c r="A9" s="1" t="s">
        <v>264</v>
      </c>
      <c r="B9"/>
      <c r="Q9" s="15" t="s">
        <v>0</v>
      </c>
    </row>
    <row r="10" spans="1:21">
      <c r="A10" s="1" t="s">
        <v>265</v>
      </c>
      <c r="B10" s="12">
        <f>+sogebkvar!B10</f>
        <v>265332</v>
      </c>
      <c r="C10" s="47">
        <f t="shared" ref="C10:C15" si="0">+B10/$B$22</f>
        <v>4.9125584881290763E-2</v>
      </c>
      <c r="D10" s="12">
        <f>+sogebkvar!D10</f>
        <v>0</v>
      </c>
      <c r="E10" s="44">
        <v>0</v>
      </c>
      <c r="F10" s="12">
        <f>+sogebkvar!F10</f>
        <v>0</v>
      </c>
      <c r="G10" s="44">
        <v>0</v>
      </c>
      <c r="H10" s="12">
        <f>+sogebkvar!H10</f>
        <v>0</v>
      </c>
      <c r="I10" s="44">
        <v>0</v>
      </c>
      <c r="J10" s="12">
        <f>+sogebkvar!J10</f>
        <v>301146</v>
      </c>
      <c r="K10" s="47">
        <f t="shared" ref="K10:K15" si="1">+J10/$J$22</f>
        <v>5.8167319749897486E-2</v>
      </c>
      <c r="L10" s="12">
        <f>+sogebkvar!L10</f>
        <v>149457</v>
      </c>
      <c r="M10" s="47">
        <f t="shared" ref="M10:M15" si="2">+L10/$L$22</f>
        <v>4.0043704403690226E-2</v>
      </c>
      <c r="N10" s="12">
        <f>+sogebkvar!N10</f>
        <v>93406.2</v>
      </c>
      <c r="O10" s="47">
        <f t="shared" ref="O10:O15" si="3">+N10/$N$22</f>
        <v>3.2155315147990006E-2</v>
      </c>
      <c r="P10" s="12">
        <f>+sogebkvar!P10</f>
        <v>408345.924</v>
      </c>
      <c r="Q10" s="47">
        <f>+P10/$P$22</f>
        <v>0.16245998310780449</v>
      </c>
    </row>
    <row r="11" spans="1:21">
      <c r="A11" s="1" t="s">
        <v>266</v>
      </c>
      <c r="B11" s="12">
        <f>+sogebkvar!B11</f>
        <v>1060879</v>
      </c>
      <c r="C11" s="47">
        <f t="shared" si="0"/>
        <v>0.19641920824958489</v>
      </c>
      <c r="D11" s="12">
        <f>+sogebkvar!D11</f>
        <v>0</v>
      </c>
      <c r="E11" s="44">
        <v>0</v>
      </c>
      <c r="F11" s="12">
        <f>+sogebkvar!F11</f>
        <v>0</v>
      </c>
      <c r="G11" s="44">
        <v>0</v>
      </c>
      <c r="H11" s="12">
        <f>+sogebkvar!H11</f>
        <v>0</v>
      </c>
      <c r="I11" s="44">
        <v>0</v>
      </c>
      <c r="J11" s="12">
        <f>+sogebkvar!J11</f>
        <v>906002</v>
      </c>
      <c r="K11" s="47">
        <f t="shared" si="1"/>
        <v>0.17499720410713282</v>
      </c>
      <c r="L11" s="12">
        <f>+sogebkvar!L11</f>
        <v>777660</v>
      </c>
      <c r="M11" s="47">
        <f t="shared" si="2"/>
        <v>0.20835683284539191</v>
      </c>
      <c r="N11" s="12">
        <f>+sogebkvar!N11</f>
        <v>538822.30000000005</v>
      </c>
      <c r="O11" s="47">
        <f t="shared" si="3"/>
        <v>0.18549090815454239</v>
      </c>
      <c r="P11" s="12">
        <f>+sogebkvar!P11</f>
        <v>473674.36300000001</v>
      </c>
      <c r="Q11" s="47">
        <f t="shared" ref="Q11:Q27" si="4">+P11/$P$22</f>
        <v>0.18845083173055024</v>
      </c>
    </row>
    <row r="12" spans="1:21">
      <c r="A12" s="1" t="s">
        <v>267</v>
      </c>
      <c r="B12" s="12">
        <f>+sogebkvar!B12</f>
        <v>314717</v>
      </c>
      <c r="C12" s="47">
        <f t="shared" si="0"/>
        <v>5.8269099456850978E-2</v>
      </c>
      <c r="D12" s="12">
        <f>+sogebkvar!D12</f>
        <v>0</v>
      </c>
      <c r="E12" s="44">
        <v>0</v>
      </c>
      <c r="F12" s="12">
        <f>+sogebkvar!F12</f>
        <v>0</v>
      </c>
      <c r="G12" s="44">
        <v>0</v>
      </c>
      <c r="H12" s="12">
        <f>+sogebkvar!H12</f>
        <v>0</v>
      </c>
      <c r="I12" s="44">
        <v>0</v>
      </c>
      <c r="J12" s="12">
        <f>+sogebkvar!J12</f>
        <v>205468</v>
      </c>
      <c r="K12" s="47">
        <f t="shared" si="1"/>
        <v>3.9686805915974101E-2</v>
      </c>
      <c r="L12" s="12">
        <f>+sogebkvar!L12</f>
        <v>278981</v>
      </c>
      <c r="M12" s="47">
        <f t="shared" si="2"/>
        <v>7.4746801409408078E-2</v>
      </c>
      <c r="N12" s="12">
        <f>+sogebkvar!N12</f>
        <v>141931.4</v>
      </c>
      <c r="O12" s="47">
        <f t="shared" si="3"/>
        <v>4.8860235149223809E-2</v>
      </c>
      <c r="P12" s="12">
        <f>+sogebkvar!P12</f>
        <v>395963.60399999999</v>
      </c>
      <c r="Q12" s="47">
        <f t="shared" si="4"/>
        <v>0.15753369052153288</v>
      </c>
    </row>
    <row r="13" spans="1:21">
      <c r="A13" s="1" t="s">
        <v>268</v>
      </c>
      <c r="B13" s="12">
        <f>+sogebkvar!B13</f>
        <v>0</v>
      </c>
      <c r="C13" s="47">
        <f t="shared" si="0"/>
        <v>0</v>
      </c>
      <c r="D13" s="12">
        <f>+sogebkvar!D13</f>
        <v>0</v>
      </c>
      <c r="E13" s="44">
        <v>0</v>
      </c>
      <c r="F13" s="12">
        <f>+sogebkvar!F13</f>
        <v>0</v>
      </c>
      <c r="G13" s="44">
        <v>0</v>
      </c>
      <c r="H13" s="12">
        <f>+sogebkvar!H13</f>
        <v>0</v>
      </c>
      <c r="I13" s="44">
        <v>0</v>
      </c>
      <c r="J13" s="12">
        <f>+sogebkvar!J13</f>
        <v>0</v>
      </c>
      <c r="K13" s="47">
        <f t="shared" si="1"/>
        <v>0</v>
      </c>
      <c r="L13" s="12">
        <f>+sogebkvar!L13</f>
        <v>227</v>
      </c>
      <c r="M13" s="47">
        <f t="shared" si="2"/>
        <v>6.0819639760183071E-5</v>
      </c>
      <c r="N13" s="12">
        <f>+sogebkvar!N13</f>
        <v>0</v>
      </c>
      <c r="O13" s="47">
        <f t="shared" si="3"/>
        <v>0</v>
      </c>
      <c r="P13" s="12">
        <f>+sogebkvar!P13</f>
        <v>0</v>
      </c>
      <c r="Q13" s="47">
        <f t="shared" si="4"/>
        <v>0</v>
      </c>
    </row>
    <row r="14" spans="1:21">
      <c r="A14" s="1" t="s">
        <v>269</v>
      </c>
      <c r="B14" s="221">
        <f>+sogebkvar!B14</f>
        <v>143700</v>
      </c>
      <c r="C14" s="328">
        <f t="shared" si="0"/>
        <v>2.6605711137146978E-2</v>
      </c>
      <c r="D14" s="221">
        <f>+sogebkvar!D14</f>
        <v>0</v>
      </c>
      <c r="E14" s="545">
        <v>0</v>
      </c>
      <c r="F14" s="221">
        <f>+sogebkvar!F14</f>
        <v>0</v>
      </c>
      <c r="G14" s="545">
        <v>0</v>
      </c>
      <c r="H14" s="221">
        <f>+sogebkvar!H14</f>
        <v>0</v>
      </c>
      <c r="I14" s="545">
        <v>0</v>
      </c>
      <c r="J14" s="221">
        <f>+sogebkvar!J14</f>
        <v>110823</v>
      </c>
      <c r="K14" s="328">
        <f t="shared" si="1"/>
        <v>2.1405819358858789E-2</v>
      </c>
      <c r="L14" s="221">
        <f>+sogebkvar!L14</f>
        <v>83530</v>
      </c>
      <c r="M14" s="328">
        <f t="shared" si="2"/>
        <v>2.2380019864176617E-2</v>
      </c>
      <c r="N14" s="221">
        <f>+sogebkvar!N14</f>
        <v>117258.4</v>
      </c>
      <c r="O14" s="328">
        <f t="shared" si="3"/>
        <v>4.0366493934546867E-2</v>
      </c>
      <c r="P14" s="221">
        <f>+sogebkvar!P14</f>
        <v>47294.531999999999</v>
      </c>
      <c r="Q14" s="328">
        <f t="shared" si="4"/>
        <v>1.8816078276347674E-2</v>
      </c>
    </row>
    <row r="15" spans="1:21" ht="15.6" customHeight="1">
      <c r="A15" s="1"/>
      <c r="B15" s="12">
        <f>SUM(B10:B14)</f>
        <v>1784628</v>
      </c>
      <c r="C15" s="47">
        <f t="shared" si="0"/>
        <v>0.33041960372487361</v>
      </c>
      <c r="D15" s="12">
        <f>SUM(D10:D14)</f>
        <v>0</v>
      </c>
      <c r="E15" s="44">
        <v>0</v>
      </c>
      <c r="F15" s="12">
        <f>SUM(F10:F14)</f>
        <v>0</v>
      </c>
      <c r="G15" s="44">
        <v>0</v>
      </c>
      <c r="H15" s="12">
        <f>SUM(H10:H14)</f>
        <v>0</v>
      </c>
      <c r="I15" s="44">
        <v>0</v>
      </c>
      <c r="J15" s="12">
        <f>SUM(J10:J14)</f>
        <v>1523439</v>
      </c>
      <c r="K15" s="47">
        <f t="shared" si="1"/>
        <v>0.29425714913186318</v>
      </c>
      <c r="L15" s="12">
        <f>SUM(L10:L14)</f>
        <v>1289855</v>
      </c>
      <c r="M15" s="47">
        <f t="shared" si="2"/>
        <v>0.34558817816242704</v>
      </c>
      <c r="N15" s="12">
        <f>SUM(N10:N14)</f>
        <v>891418.3</v>
      </c>
      <c r="O15" s="47">
        <f t="shared" si="3"/>
        <v>0.30687295238630308</v>
      </c>
      <c r="P15" s="12">
        <f>SUM(P10:P14)</f>
        <v>1325278.423</v>
      </c>
      <c r="Q15" s="47">
        <f t="shared" si="4"/>
        <v>0.52726058363623529</v>
      </c>
    </row>
    <row r="16" spans="1:21" ht="7.9" customHeight="1">
      <c r="A16" s="1"/>
      <c r="C16" s="47" t="s">
        <v>0</v>
      </c>
      <c r="E16" s="44" t="s">
        <v>0</v>
      </c>
      <c r="G16" s="44" t="s">
        <v>0</v>
      </c>
      <c r="I16" s="44" t="s">
        <v>0</v>
      </c>
      <c r="K16" s="47" t="s">
        <v>0</v>
      </c>
      <c r="M16" s="47" t="s">
        <v>0</v>
      </c>
      <c r="O16" s="47" t="s">
        <v>0</v>
      </c>
      <c r="Q16" s="47" t="s">
        <v>0</v>
      </c>
    </row>
    <row r="17" spans="1:17" ht="16.899999999999999" customHeight="1">
      <c r="A17" s="1" t="s">
        <v>270</v>
      </c>
      <c r="B17" s="12">
        <f>+sogebkvar!B17</f>
        <v>935000</v>
      </c>
      <c r="C17" s="47">
        <f t="shared" ref="C17:C22" si="5">+B17/$B$22</f>
        <v>0.17311301261817971</v>
      </c>
      <c r="D17" s="12">
        <f>+sogebkvar!D17</f>
        <v>0</v>
      </c>
      <c r="E17" s="44">
        <v>0</v>
      </c>
      <c r="F17" s="12">
        <f>+sogebkvar!F17</f>
        <v>0</v>
      </c>
      <c r="G17" s="44">
        <v>0</v>
      </c>
      <c r="H17" s="12">
        <f>+sogebkvar!H17</f>
        <v>0</v>
      </c>
      <c r="I17" s="44">
        <v>0</v>
      </c>
      <c r="J17" s="12">
        <f>+sogebkvar!J17</f>
        <v>1020000</v>
      </c>
      <c r="K17" s="47">
        <f t="shared" ref="K17:K22" si="6">+J17/$J$22</f>
        <v>0.19701628494117615</v>
      </c>
      <c r="L17" s="12">
        <f>+sogebkvar!L17</f>
        <v>620000</v>
      </c>
      <c r="M17" s="47">
        <f t="shared" ref="M17:M22" si="7">+L17/$L$22</f>
        <v>0.16611531564455287</v>
      </c>
      <c r="N17" s="12">
        <f>+sogebkvar!N17</f>
        <v>410000</v>
      </c>
      <c r="O17" s="47">
        <f t="shared" ref="O17:O22" si="8">+N17/$N$22</f>
        <v>0.14114351307167944</v>
      </c>
      <c r="P17" s="12">
        <f>+sogebkvar!P17</f>
        <v>0</v>
      </c>
      <c r="Q17" s="47">
        <f t="shared" si="4"/>
        <v>0</v>
      </c>
    </row>
    <row r="18" spans="1:17" ht="16.899999999999999" customHeight="1">
      <c r="A18" s="1" t="s">
        <v>271</v>
      </c>
      <c r="B18" s="12">
        <f>+sogebkvar!B18</f>
        <v>334696</v>
      </c>
      <c r="C18" s="47">
        <f t="shared" si="5"/>
        <v>6.1968163498667676E-2</v>
      </c>
      <c r="D18" s="12">
        <f>+sogebkvar!D18</f>
        <v>0</v>
      </c>
      <c r="E18" s="44">
        <v>0</v>
      </c>
      <c r="F18" s="12">
        <f>+sogebkvar!F18</f>
        <v>0</v>
      </c>
      <c r="G18" s="44">
        <v>0</v>
      </c>
      <c r="H18" s="12">
        <f>+sogebkvar!H18</f>
        <v>0</v>
      </c>
      <c r="I18" s="44">
        <v>0</v>
      </c>
      <c r="J18" s="12">
        <f>+sogebkvar!J18</f>
        <v>308444</v>
      </c>
      <c r="K18" s="47">
        <f t="shared" si="6"/>
        <v>5.9576951953329543E-2</v>
      </c>
      <c r="L18" s="12">
        <f>+sogebkvar!L18</f>
        <v>226906</v>
      </c>
      <c r="M18" s="47">
        <f t="shared" si="7"/>
        <v>6.0794454534907928E-2</v>
      </c>
      <c r="N18" s="12">
        <f>+sogebkvar!N18</f>
        <v>183617.7</v>
      </c>
      <c r="O18" s="47">
        <f t="shared" si="8"/>
        <v>6.3210846927174907E-2</v>
      </c>
      <c r="P18" s="12">
        <f>+sogebkvar!P18</f>
        <v>18234.95</v>
      </c>
      <c r="Q18" s="47">
        <f t="shared" si="4"/>
        <v>7.2547550859639771E-3</v>
      </c>
    </row>
    <row r="19" spans="1:17">
      <c r="A19" s="1" t="s">
        <v>272</v>
      </c>
      <c r="B19" s="12">
        <f>+sogebkvar!B19</f>
        <v>1730929</v>
      </c>
      <c r="C19" s="47">
        <f t="shared" si="5"/>
        <v>0.32047736237237773</v>
      </c>
      <c r="D19" s="12">
        <f>+sogebkvar!D19</f>
        <v>0</v>
      </c>
      <c r="E19" s="44">
        <v>0</v>
      </c>
      <c r="F19" s="12">
        <f>+sogebkvar!F19</f>
        <v>0</v>
      </c>
      <c r="G19" s="44">
        <v>0</v>
      </c>
      <c r="H19" s="12">
        <f>+sogebkvar!H19</f>
        <v>0</v>
      </c>
      <c r="I19" s="44">
        <v>0</v>
      </c>
      <c r="J19" s="12">
        <f>+sogebkvar!J19</f>
        <v>1695365</v>
      </c>
      <c r="K19" s="47">
        <f t="shared" si="6"/>
        <v>0.32746520972480109</v>
      </c>
      <c r="L19" s="12">
        <f>+sogebkvar!L19</f>
        <v>1255894</v>
      </c>
      <c r="M19" s="47">
        <f t="shared" si="7"/>
        <v>0.33648907778403242</v>
      </c>
      <c r="N19" s="12">
        <f>+sogebkvar!N19</f>
        <v>1149946</v>
      </c>
      <c r="O19" s="47">
        <f t="shared" si="8"/>
        <v>0.39587175190908652</v>
      </c>
      <c r="P19" s="12">
        <f>+sogebkvar!P19</f>
        <v>900278.755</v>
      </c>
      <c r="Q19" s="47">
        <f t="shared" si="4"/>
        <v>0.3581749265351189</v>
      </c>
    </row>
    <row r="20" spans="1:17">
      <c r="A20" s="1" t="s">
        <v>273</v>
      </c>
      <c r="B20" s="12">
        <f>+sogebkvar!B20</f>
        <v>456305</v>
      </c>
      <c r="C20" s="47">
        <f t="shared" si="5"/>
        <v>8.4483778847848662E-2</v>
      </c>
      <c r="D20" s="12">
        <f>+sogebkvar!D20</f>
        <v>0</v>
      </c>
      <c r="E20" s="44">
        <v>0</v>
      </c>
      <c r="F20" s="12">
        <f>+sogebkvar!F20</f>
        <v>0</v>
      </c>
      <c r="G20" s="44">
        <v>0</v>
      </c>
      <c r="H20" s="12">
        <f>+sogebkvar!H20</f>
        <v>0</v>
      </c>
      <c r="I20" s="44">
        <v>0</v>
      </c>
      <c r="J20" s="12">
        <f>+sogebkvar!J20</f>
        <v>357956</v>
      </c>
      <c r="K20" s="47">
        <f t="shared" si="6"/>
        <v>6.9140354208238872E-2</v>
      </c>
      <c r="L20" s="12">
        <f>+sogebkvar!L20</f>
        <v>258385</v>
      </c>
      <c r="M20" s="47">
        <f t="shared" si="7"/>
        <v>6.9228557794867418E-2</v>
      </c>
      <c r="N20" s="12">
        <f>+sogebkvar!N20</f>
        <v>210544.9</v>
      </c>
      <c r="O20" s="47">
        <f t="shared" si="8"/>
        <v>7.2480602061769359E-2</v>
      </c>
      <c r="P20" s="12">
        <f>+sogebkvar!P20</f>
        <v>213249.90400000001</v>
      </c>
      <c r="Q20" s="47">
        <f t="shared" si="4"/>
        <v>8.4841243086782786E-2</v>
      </c>
    </row>
    <row r="21" spans="1:17" ht="16.5" thickBot="1">
      <c r="A21" s="1" t="s">
        <v>274</v>
      </c>
      <c r="B21" s="99">
        <f>+sogebkvar!B21</f>
        <v>159538</v>
      </c>
      <c r="C21" s="329">
        <f t="shared" si="5"/>
        <v>2.9538078938052572E-2</v>
      </c>
      <c r="D21" s="99">
        <f>+sogebkvar!D21</f>
        <v>0</v>
      </c>
      <c r="E21" s="232">
        <v>0</v>
      </c>
      <c r="F21" s="99">
        <f>+sogebkvar!F21</f>
        <v>0</v>
      </c>
      <c r="G21" s="232">
        <v>0</v>
      </c>
      <c r="H21" s="99">
        <f>+sogebkvar!H21</f>
        <v>0</v>
      </c>
      <c r="I21" s="232">
        <v>0</v>
      </c>
      <c r="J21" s="99">
        <f>+sogebkvar!J21</f>
        <v>272033</v>
      </c>
      <c r="K21" s="329">
        <f t="shared" si="6"/>
        <v>5.254405004059115E-2</v>
      </c>
      <c r="L21" s="99">
        <f>+sogebkvar!L21</f>
        <v>81307</v>
      </c>
      <c r="M21" s="329">
        <f t="shared" si="7"/>
        <v>2.1784416079212356E-2</v>
      </c>
      <c r="N21" s="99">
        <f>+sogebkvar!N21</f>
        <v>59317.9</v>
      </c>
      <c r="O21" s="329">
        <f t="shared" si="8"/>
        <v>2.0420333643986766E-2</v>
      </c>
      <c r="P21" s="99">
        <f>+sogebkvar!P21</f>
        <v>56474.934999999998</v>
      </c>
      <c r="Q21" s="329">
        <f t="shared" si="4"/>
        <v>2.2468491655898974E-2</v>
      </c>
    </row>
    <row r="22" spans="1:17">
      <c r="A22" s="1" t="s">
        <v>275</v>
      </c>
      <c r="B22" s="4">
        <f>SUM(B15:B21)</f>
        <v>5401096</v>
      </c>
      <c r="C22" s="112">
        <f t="shared" si="5"/>
        <v>1</v>
      </c>
      <c r="D22" s="4">
        <f>SUM(D15:D21)</f>
        <v>0</v>
      </c>
      <c r="E22" s="42">
        <v>0</v>
      </c>
      <c r="F22" s="4">
        <f>SUM(F15:F21)</f>
        <v>0</v>
      </c>
      <c r="G22" s="42">
        <v>0</v>
      </c>
      <c r="H22" s="4">
        <f>SUM(H15:H21)</f>
        <v>0</v>
      </c>
      <c r="I22" s="42">
        <v>0</v>
      </c>
      <c r="J22" s="4">
        <f>SUM(J15:J21)</f>
        <v>5177237</v>
      </c>
      <c r="K22" s="47">
        <f t="shared" si="6"/>
        <v>1</v>
      </c>
      <c r="L22" s="4">
        <f>SUM(L15:L21)</f>
        <v>3732347</v>
      </c>
      <c r="M22" s="47">
        <f t="shared" si="7"/>
        <v>1</v>
      </c>
      <c r="N22" s="4">
        <f>SUM(N15:N21)</f>
        <v>2904844.8</v>
      </c>
      <c r="O22" s="47">
        <f t="shared" si="8"/>
        <v>1</v>
      </c>
      <c r="P22" s="4">
        <f>SUM(P15:P21)</f>
        <v>2513516.9670000002</v>
      </c>
      <c r="Q22" s="47">
        <f t="shared" si="4"/>
        <v>1</v>
      </c>
    </row>
    <row r="23" spans="1:17" ht="7.9" customHeight="1">
      <c r="A23" s="1"/>
      <c r="C23" s="47" t="s">
        <v>0</v>
      </c>
      <c r="E23" s="44" t="s">
        <v>0</v>
      </c>
      <c r="G23" s="44" t="s">
        <v>0</v>
      </c>
      <c r="I23" s="44" t="s">
        <v>0</v>
      </c>
      <c r="K23" s="47" t="s">
        <v>0</v>
      </c>
      <c r="M23" s="47" t="s">
        <v>0</v>
      </c>
      <c r="O23" s="47" t="s">
        <v>0</v>
      </c>
      <c r="Q23" s="47" t="s">
        <v>0</v>
      </c>
    </row>
    <row r="24" spans="1:17">
      <c r="A24" s="87" t="s">
        <v>276</v>
      </c>
      <c r="C24" s="47" t="s">
        <v>0</v>
      </c>
      <c r="E24" s="44" t="s">
        <v>0</v>
      </c>
      <c r="G24" s="44" t="s">
        <v>0</v>
      </c>
      <c r="I24" s="44" t="s">
        <v>0</v>
      </c>
      <c r="K24" s="47" t="s">
        <v>0</v>
      </c>
      <c r="M24" s="47" t="s">
        <v>0</v>
      </c>
      <c r="O24" s="47" t="s">
        <v>0</v>
      </c>
      <c r="Q24" s="47" t="s">
        <v>0</v>
      </c>
    </row>
    <row r="25" spans="1:17">
      <c r="A25" s="1" t="s">
        <v>277</v>
      </c>
      <c r="C25" s="47" t="s">
        <v>0</v>
      </c>
      <c r="E25" s="44" t="s">
        <v>0</v>
      </c>
      <c r="G25" s="44" t="s">
        <v>0</v>
      </c>
      <c r="I25" s="44" t="s">
        <v>0</v>
      </c>
      <c r="K25" s="47" t="s">
        <v>0</v>
      </c>
      <c r="M25" s="47" t="s">
        <v>0</v>
      </c>
      <c r="O25" s="47" t="s">
        <v>0</v>
      </c>
      <c r="Q25" s="47" t="s">
        <v>0</v>
      </c>
    </row>
    <row r="26" spans="1:17">
      <c r="A26" s="1" t="s">
        <v>278</v>
      </c>
      <c r="B26" s="12">
        <f>+sogebkvar!B26</f>
        <v>1075154</v>
      </c>
      <c r="C26" s="47">
        <f>+B26/$B$22</f>
        <v>0.19906219034062717</v>
      </c>
      <c r="D26" s="12">
        <f>+sogebkvar!D26</f>
        <v>0</v>
      </c>
      <c r="E26" s="44">
        <v>0</v>
      </c>
      <c r="F26" s="12">
        <f>+sogebkvar!F26</f>
        <v>0</v>
      </c>
      <c r="G26" s="44">
        <v>0</v>
      </c>
      <c r="H26" s="12">
        <f>+sogebkvar!H26</f>
        <v>0</v>
      </c>
      <c r="I26" s="44">
        <v>0</v>
      </c>
      <c r="J26" s="12">
        <f>+sogebkvar!J26</f>
        <v>1111277</v>
      </c>
      <c r="K26" s="47">
        <f>+J26/$J$22</f>
        <v>0.21464673145154453</v>
      </c>
      <c r="L26" s="12">
        <f>+sogebkvar!L26</f>
        <v>706596</v>
      </c>
      <c r="M26" s="47">
        <f>+L26/$L$22</f>
        <v>0.18931680253738464</v>
      </c>
      <c r="N26" s="12">
        <f>+sogebkvar!N26</f>
        <v>698591.1</v>
      </c>
      <c r="O26" s="47">
        <f>+N26/$N$22</f>
        <v>0.24049171232831443</v>
      </c>
      <c r="P26" s="12">
        <f>+sogebkvar!P26</f>
        <v>758020.52599999995</v>
      </c>
      <c r="Q26" s="47">
        <f t="shared" si="4"/>
        <v>0.3015776443732277</v>
      </c>
    </row>
    <row r="27" spans="1:17">
      <c r="A27" s="1" t="s">
        <v>279</v>
      </c>
      <c r="B27" s="12">
        <f>+sogebkvar!B27</f>
        <v>2345280</v>
      </c>
      <c r="C27" s="47">
        <f>+B27/$B$22</f>
        <v>0.43422297992851822</v>
      </c>
      <c r="D27" s="12">
        <f>+sogebkvar!D27</f>
        <v>0</v>
      </c>
      <c r="E27" s="44">
        <v>0</v>
      </c>
      <c r="F27" s="12">
        <f>+sogebkvar!F27</f>
        <v>0</v>
      </c>
      <c r="G27" s="44">
        <v>0</v>
      </c>
      <c r="H27" s="12">
        <f>+sogebkvar!H27</f>
        <v>0</v>
      </c>
      <c r="I27" s="44">
        <v>0</v>
      </c>
      <c r="J27" s="12">
        <f>+sogebkvar!J27</f>
        <v>2307093</v>
      </c>
      <c r="K27" s="47">
        <f>+J27/$J$22</f>
        <v>0.44562244301352244</v>
      </c>
      <c r="L27" s="12">
        <f>+sogebkvar!L27</f>
        <v>1483815</v>
      </c>
      <c r="M27" s="47">
        <f>+L27/$L$22</f>
        <v>0.39755547916632616</v>
      </c>
      <c r="N27" s="12">
        <f>+sogebkvar!N27</f>
        <v>1403553</v>
      </c>
      <c r="O27" s="47">
        <f>+N27/$N$22</f>
        <v>0.4831765882982802</v>
      </c>
      <c r="P27" s="12">
        <f>+sogebkvar!P27</f>
        <v>1245060.9820000001</v>
      </c>
      <c r="Q27" s="47">
        <f t="shared" si="4"/>
        <v>0.49534616171142798</v>
      </c>
    </row>
    <row r="28" spans="1:17">
      <c r="A28" s="1" t="s">
        <v>280</v>
      </c>
      <c r="B28" s="221">
        <f>+sogebkvar!B28</f>
        <v>1218135</v>
      </c>
      <c r="C28" s="328">
        <f>+B28/$B$22</f>
        <v>0.22553478034828486</v>
      </c>
      <c r="D28" s="221">
        <f>+sogebkvar!D28</f>
        <v>0</v>
      </c>
      <c r="E28" s="545">
        <v>0</v>
      </c>
      <c r="F28" s="221">
        <f>+sogebkvar!F28</f>
        <v>0</v>
      </c>
      <c r="G28" s="545">
        <v>0</v>
      </c>
      <c r="H28" s="221">
        <f>+sogebkvar!H28</f>
        <v>0</v>
      </c>
      <c r="I28" s="545">
        <v>0</v>
      </c>
      <c r="J28" s="221">
        <f>+sogebkvar!J28</f>
        <v>1155069</v>
      </c>
      <c r="K28" s="328">
        <f>+J28/$J$22</f>
        <v>0.22310529728501902</v>
      </c>
      <c r="L28" s="221">
        <f>+sogebkvar!L28</f>
        <v>1065179</v>
      </c>
      <c r="M28" s="328">
        <f>+L28/$L$22</f>
        <v>0.28539120290798259</v>
      </c>
      <c r="N28" s="221">
        <f>+sogebkvar!N28</f>
        <v>491422.6</v>
      </c>
      <c r="O28" s="328">
        <f>+N28/$N$22</f>
        <v>0.16917344430931389</v>
      </c>
      <c r="P28" s="221">
        <f>+sogebkvar!P28</f>
        <v>260865.2</v>
      </c>
      <c r="Q28" s="328">
        <f t="shared" ref="Q28:Q43" si="9">+P28/$P$22</f>
        <v>0.10378493697273697</v>
      </c>
    </row>
    <row r="29" spans="1:17">
      <c r="A29" s="1"/>
      <c r="B29" s="12">
        <f>SUM(B26:B28)</f>
        <v>4638569</v>
      </c>
      <c r="C29" s="47">
        <f>+B29/$B$22</f>
        <v>0.85881995061743022</v>
      </c>
      <c r="D29" s="12">
        <f>SUM(D26:D28)</f>
        <v>0</v>
      </c>
      <c r="E29" s="44">
        <v>0</v>
      </c>
      <c r="F29" s="12">
        <f>SUM(F26:F28)</f>
        <v>0</v>
      </c>
      <c r="G29" s="44">
        <v>0</v>
      </c>
      <c r="H29" s="12">
        <f>SUM(H26:H28)</f>
        <v>0</v>
      </c>
      <c r="I29" s="44">
        <v>0</v>
      </c>
      <c r="J29" s="12">
        <f>SUM(J26:J28)</f>
        <v>4573439</v>
      </c>
      <c r="K29" s="47">
        <f>+J29/$J$22</f>
        <v>0.88337447175008599</v>
      </c>
      <c r="L29" s="12">
        <f>SUM(L26:L28)</f>
        <v>3255590</v>
      </c>
      <c r="M29" s="47">
        <f>+L29/$L$22</f>
        <v>0.87226348461169334</v>
      </c>
      <c r="N29" s="12">
        <f>SUM(N26:N28)</f>
        <v>2593566.7000000002</v>
      </c>
      <c r="O29" s="47">
        <f>+N29/$N$22</f>
        <v>0.89284174493590862</v>
      </c>
      <c r="P29" s="12">
        <f>SUM(P26:P28)</f>
        <v>2263946.7080000001</v>
      </c>
      <c r="Q29" s="47">
        <f t="shared" si="9"/>
        <v>0.90070874305739268</v>
      </c>
    </row>
    <row r="30" spans="1:17" ht="7.9" customHeight="1">
      <c r="A30" s="1"/>
      <c r="C30" s="47" t="s">
        <v>0</v>
      </c>
      <c r="E30" s="44" t="s">
        <v>0</v>
      </c>
      <c r="G30" s="44" t="s">
        <v>0</v>
      </c>
      <c r="I30" s="44" t="s">
        <v>0</v>
      </c>
      <c r="K30" s="47" t="s">
        <v>0</v>
      </c>
      <c r="M30" s="47" t="s">
        <v>0</v>
      </c>
      <c r="O30" s="47" t="s">
        <v>0</v>
      </c>
      <c r="Q30" s="47" t="s">
        <v>0</v>
      </c>
    </row>
    <row r="31" spans="1:17">
      <c r="A31" s="1" t="s">
        <v>281</v>
      </c>
      <c r="C31" s="47" t="s">
        <v>0</v>
      </c>
      <c r="E31" s="44" t="s">
        <v>0</v>
      </c>
      <c r="G31" s="44" t="s">
        <v>0</v>
      </c>
      <c r="I31" s="44" t="s">
        <v>0</v>
      </c>
      <c r="K31" s="47" t="s">
        <v>0</v>
      </c>
      <c r="M31" s="47" t="s">
        <v>0</v>
      </c>
      <c r="O31" s="47" t="s">
        <v>0</v>
      </c>
      <c r="Q31" s="47" t="s">
        <v>0</v>
      </c>
    </row>
    <row r="32" spans="1:17">
      <c r="A32" s="1" t="s">
        <v>282</v>
      </c>
      <c r="B32" s="12">
        <f>+sogebkvar!B32</f>
        <v>0</v>
      </c>
      <c r="C32" s="47">
        <f>+B32/$B$22</f>
        <v>0</v>
      </c>
      <c r="D32" s="12">
        <f>+sogebkvar!D32</f>
        <v>0</v>
      </c>
      <c r="E32" s="44">
        <v>0</v>
      </c>
      <c r="F32" s="12">
        <f>+sogebkvar!F32</f>
        <v>0</v>
      </c>
      <c r="G32" s="44">
        <v>0</v>
      </c>
      <c r="H32" s="12">
        <f>+sogebkvar!H32</f>
        <v>0</v>
      </c>
      <c r="I32" s="44">
        <v>0</v>
      </c>
      <c r="J32" s="12">
        <f>+sogebkvar!J32</f>
        <v>0</v>
      </c>
      <c r="K32" s="47">
        <f>+J32/$J$22</f>
        <v>0</v>
      </c>
      <c r="L32" s="12">
        <f>+sogebkvar!L32</f>
        <v>0</v>
      </c>
      <c r="M32" s="47">
        <f>+L32/$L$22</f>
        <v>0</v>
      </c>
      <c r="N32" s="12">
        <f>+sogebkvar!N32</f>
        <v>0</v>
      </c>
      <c r="O32" s="47">
        <f>+N32/$N$22</f>
        <v>0</v>
      </c>
      <c r="P32" s="12">
        <f>+sogebkvar!P32</f>
        <v>0</v>
      </c>
      <c r="Q32" s="47">
        <f t="shared" si="9"/>
        <v>0</v>
      </c>
    </row>
    <row r="33" spans="1:21">
      <c r="A33" s="1" t="s">
        <v>283</v>
      </c>
      <c r="B33" s="12">
        <f>+sogebkvar!B33</f>
        <v>0</v>
      </c>
      <c r="C33" s="47">
        <f>+B33/$B$22</f>
        <v>0</v>
      </c>
      <c r="D33" s="12">
        <f>+sogebkvar!D33</f>
        <v>0</v>
      </c>
      <c r="E33" s="44">
        <v>0</v>
      </c>
      <c r="F33" s="12">
        <f>+sogebkvar!F33</f>
        <v>0</v>
      </c>
      <c r="G33" s="44">
        <v>0</v>
      </c>
      <c r="H33" s="12">
        <f>+sogebkvar!H33</f>
        <v>0</v>
      </c>
      <c r="I33" s="44">
        <v>0</v>
      </c>
      <c r="J33" s="12">
        <f>+sogebkvar!J33</f>
        <v>0</v>
      </c>
      <c r="K33" s="47">
        <f>+J33/$J$22</f>
        <v>0</v>
      </c>
      <c r="L33" s="12">
        <f>+sogebkvar!L33</f>
        <v>0</v>
      </c>
      <c r="M33" s="47">
        <f>+L33/$L$22</f>
        <v>0</v>
      </c>
      <c r="N33" s="12">
        <f>+sogebkvar!N33</f>
        <v>0</v>
      </c>
      <c r="O33" s="47">
        <f>+N33/$N$22</f>
        <v>0</v>
      </c>
      <c r="P33" s="12">
        <f>+sogebkvar!P33</f>
        <v>0</v>
      </c>
      <c r="Q33" s="47">
        <f t="shared" si="9"/>
        <v>0</v>
      </c>
    </row>
    <row r="34" spans="1:21" ht="18">
      <c r="A34" s="1" t="s">
        <v>284</v>
      </c>
      <c r="B34" s="221">
        <f>+sogebkvar!B34</f>
        <v>106544</v>
      </c>
      <c r="C34" s="328">
        <f>+B34/$B$22</f>
        <v>1.9726366648546888E-2</v>
      </c>
      <c r="D34" s="221">
        <f>+sogebkvar!D34</f>
        <v>0</v>
      </c>
      <c r="E34" s="545">
        <v>0</v>
      </c>
      <c r="F34" s="221">
        <f>+sogebkvar!F34</f>
        <v>0</v>
      </c>
      <c r="G34" s="545">
        <v>0</v>
      </c>
      <c r="H34" s="221">
        <f>+sogebkvar!H34</f>
        <v>0</v>
      </c>
      <c r="I34" s="545">
        <v>0</v>
      </c>
      <c r="J34" s="221">
        <f>+sogebkvar!J34</f>
        <v>95615</v>
      </c>
      <c r="K34" s="328">
        <f>+J34/$J$22</f>
        <v>1.8468345181029959E-2</v>
      </c>
      <c r="L34" s="221">
        <f>+sogebkvar!L34</f>
        <v>107976</v>
      </c>
      <c r="M34" s="328">
        <f>+L34/$L$22</f>
        <v>2.8929786003284261E-2</v>
      </c>
      <c r="N34" s="221">
        <f>+sogebkvar!N34</f>
        <v>66779.3</v>
      </c>
      <c r="O34" s="328">
        <f>+N34/$N$22</f>
        <v>2.2988939030408787E-2</v>
      </c>
      <c r="P34" s="221">
        <f>+sogebkvar!P34</f>
        <v>74174.395000000004</v>
      </c>
      <c r="Q34" s="328">
        <f t="shared" si="9"/>
        <v>2.9510202625976544E-2</v>
      </c>
      <c r="R34" s="6"/>
      <c r="S34" s="7"/>
      <c r="T34" s="7"/>
      <c r="U34" s="7"/>
    </row>
    <row r="35" spans="1:21">
      <c r="A35" s="1"/>
      <c r="B35" s="12">
        <f>SUM(B32:B34)</f>
        <v>106544</v>
      </c>
      <c r="C35" s="47">
        <f>+B35/$B$22</f>
        <v>1.9726366648546888E-2</v>
      </c>
      <c r="D35" s="12">
        <f>SUM(D32:D34)</f>
        <v>0</v>
      </c>
      <c r="E35" s="44">
        <v>0</v>
      </c>
      <c r="F35" s="12">
        <f>SUM(F32:F34)</f>
        <v>0</v>
      </c>
      <c r="G35" s="44">
        <v>0</v>
      </c>
      <c r="H35" s="12">
        <f>SUM(H32:H34)</f>
        <v>0</v>
      </c>
      <c r="I35" s="44">
        <v>0</v>
      </c>
      <c r="J35" s="12">
        <f>SUM(J32:J34)</f>
        <v>95615</v>
      </c>
      <c r="K35" s="47">
        <f>+J35/$J$22</f>
        <v>1.8468345181029959E-2</v>
      </c>
      <c r="L35" s="12">
        <f>SUM(L32:L34)</f>
        <v>107976</v>
      </c>
      <c r="M35" s="47">
        <f>+L35/$L$22</f>
        <v>2.8929786003284261E-2</v>
      </c>
      <c r="N35" s="12">
        <f>SUM(N32:N34)</f>
        <v>66779.3</v>
      </c>
      <c r="O35" s="47">
        <f>+N35/$N$22</f>
        <v>2.2988939030408787E-2</v>
      </c>
      <c r="P35" s="12">
        <f>SUM(P32:P34)</f>
        <v>74174.395000000004</v>
      </c>
      <c r="Q35" s="47">
        <f t="shared" si="9"/>
        <v>2.9510202625976544E-2</v>
      </c>
    </row>
    <row r="36" spans="1:21" ht="7.15" customHeight="1">
      <c r="A36" s="1"/>
      <c r="C36" s="47" t="s">
        <v>0</v>
      </c>
      <c r="E36" s="44" t="s">
        <v>0</v>
      </c>
      <c r="G36" s="44" t="s">
        <v>0</v>
      </c>
      <c r="I36" s="44" t="s">
        <v>0</v>
      </c>
      <c r="K36" s="47" t="s">
        <v>0</v>
      </c>
      <c r="M36" s="47" t="s">
        <v>0</v>
      </c>
      <c r="O36" s="47" t="s">
        <v>0</v>
      </c>
      <c r="Q36" s="47" t="s">
        <v>0</v>
      </c>
    </row>
    <row r="37" spans="1:21">
      <c r="A37" s="1" t="s">
        <v>285</v>
      </c>
      <c r="C37" s="47" t="s">
        <v>0</v>
      </c>
      <c r="E37" s="44" t="s">
        <v>0</v>
      </c>
      <c r="G37" s="44" t="s">
        <v>0</v>
      </c>
      <c r="I37" s="44" t="s">
        <v>0</v>
      </c>
      <c r="K37" s="47" t="s">
        <v>0</v>
      </c>
      <c r="M37" s="47" t="s">
        <v>0</v>
      </c>
      <c r="O37" s="47" t="s">
        <v>0</v>
      </c>
      <c r="Q37" s="47" t="s">
        <v>0</v>
      </c>
    </row>
    <row r="38" spans="1:21">
      <c r="A38" s="1" t="s">
        <v>282</v>
      </c>
      <c r="B38" s="12">
        <f>+sogebkvar!B38</f>
        <v>143000</v>
      </c>
      <c r="C38" s="47">
        <f>+B38/$B$22</f>
        <v>2.6476107812192191E-2</v>
      </c>
      <c r="D38" s="12">
        <f>+sogebkvar!D38</f>
        <v>0</v>
      </c>
      <c r="E38" s="44">
        <v>0</v>
      </c>
      <c r="F38" s="12">
        <f>+sogebkvar!F38</f>
        <v>0</v>
      </c>
      <c r="G38" s="44">
        <v>0</v>
      </c>
      <c r="H38" s="12">
        <f>+sogebkvar!H38</f>
        <v>0</v>
      </c>
      <c r="I38" s="44">
        <v>0</v>
      </c>
      <c r="J38" s="12">
        <f>+sogebkvar!J38</f>
        <v>180</v>
      </c>
      <c r="K38" s="47">
        <f>+J38/$J$22</f>
        <v>3.4767579695501672E-5</v>
      </c>
      <c r="L38" s="12">
        <f>+sogebkvar!L38</f>
        <v>3000</v>
      </c>
      <c r="M38" s="47">
        <f>+L38/$L$22</f>
        <v>8.0378378537686876E-4</v>
      </c>
      <c r="N38" s="12">
        <f>+sogebkvar!N38</f>
        <v>0</v>
      </c>
      <c r="O38" s="47">
        <f>+N38/$N$22</f>
        <v>0</v>
      </c>
      <c r="P38" s="12">
        <f>+sogebkvar!P38</f>
        <v>0</v>
      </c>
      <c r="Q38" s="47">
        <f t="shared" si="9"/>
        <v>0</v>
      </c>
    </row>
    <row r="39" spans="1:21">
      <c r="A39" s="1" t="s">
        <v>286</v>
      </c>
      <c r="B39" s="12">
        <f>+sogebkvar!B39</f>
        <v>0</v>
      </c>
      <c r="C39" s="47">
        <f>+B39/$B$22</f>
        <v>0</v>
      </c>
      <c r="D39" s="12">
        <f>+sogebkvar!D39</f>
        <v>0</v>
      </c>
      <c r="E39" s="44">
        <v>0</v>
      </c>
      <c r="F39" s="12">
        <f>+sogebkvar!F39</f>
        <v>0</v>
      </c>
      <c r="G39" s="44">
        <v>0</v>
      </c>
      <c r="H39" s="12">
        <f>+sogebkvar!H39</f>
        <v>0</v>
      </c>
      <c r="I39" s="44">
        <v>0</v>
      </c>
      <c r="J39" s="12">
        <f>+sogebkvar!J39</f>
        <v>0</v>
      </c>
      <c r="K39" s="47">
        <f>+J39/$J$22</f>
        <v>0</v>
      </c>
      <c r="L39" s="12">
        <f>+sogebkvar!L39</f>
        <v>0</v>
      </c>
      <c r="M39" s="47">
        <f>+L39/$L$22</f>
        <v>0</v>
      </c>
      <c r="N39" s="12">
        <f>+sogebkvar!N39</f>
        <v>0</v>
      </c>
      <c r="O39" s="47">
        <f>+N39/$N$22</f>
        <v>0</v>
      </c>
      <c r="P39" s="12">
        <f>+sogebkvar!P39</f>
        <v>0</v>
      </c>
      <c r="Q39" s="47">
        <f t="shared" si="9"/>
        <v>0</v>
      </c>
    </row>
    <row r="40" spans="1:21">
      <c r="A40" s="1" t="s">
        <v>284</v>
      </c>
      <c r="B40" s="221">
        <f>+sogebkvar!B40</f>
        <v>71218</v>
      </c>
      <c r="C40" s="328">
        <f>+B40/$B$22</f>
        <v>1.3185842280900025E-2</v>
      </c>
      <c r="D40" s="221">
        <f>+sogebkvar!D40</f>
        <v>0</v>
      </c>
      <c r="E40" s="545">
        <v>0</v>
      </c>
      <c r="F40" s="221">
        <f>+sogebkvar!F40</f>
        <v>0</v>
      </c>
      <c r="G40" s="545">
        <v>0</v>
      </c>
      <c r="H40" s="221">
        <f>+sogebkvar!H40</f>
        <v>0</v>
      </c>
      <c r="I40" s="545">
        <v>0</v>
      </c>
      <c r="J40" s="221">
        <f>+sogebkvar!J40</f>
        <v>80873</v>
      </c>
      <c r="K40" s="328">
        <f>+J40/$J$22</f>
        <v>1.5620880403968371E-2</v>
      </c>
      <c r="L40" s="221">
        <f>+sogebkvar!L40</f>
        <v>63194</v>
      </c>
      <c r="M40" s="328">
        <f>+L40/$L$22</f>
        <v>1.6931437511035281E-2</v>
      </c>
      <c r="N40" s="221">
        <f>+sogebkvar!N40</f>
        <v>26328.400000000001</v>
      </c>
      <c r="O40" s="328">
        <f>+N40/$N$22</f>
        <v>9.0636167550156212E-3</v>
      </c>
      <c r="P40" s="221">
        <f>+sogebkvar!P40</f>
        <v>23158.338</v>
      </c>
      <c r="Q40" s="328">
        <f t="shared" si="9"/>
        <v>9.2135196635018367E-3</v>
      </c>
    </row>
    <row r="41" spans="1:21">
      <c r="A41" s="1"/>
      <c r="B41" s="12">
        <f>SUM(B38:B40)</f>
        <v>214218</v>
      </c>
      <c r="C41" s="47">
        <f>+B41/$B$22</f>
        <v>3.9661950093092216E-2</v>
      </c>
      <c r="D41" s="12">
        <f>SUM(D38:D40)</f>
        <v>0</v>
      </c>
      <c r="E41" s="44">
        <v>0</v>
      </c>
      <c r="F41" s="12">
        <f>SUM(F38:F40)</f>
        <v>0</v>
      </c>
      <c r="G41" s="44">
        <v>0</v>
      </c>
      <c r="H41" s="12">
        <f>SUM(H38:H40)</f>
        <v>0</v>
      </c>
      <c r="I41" s="44">
        <v>0</v>
      </c>
      <c r="J41" s="12">
        <f>SUM(J38:J40)</f>
        <v>81053</v>
      </c>
      <c r="K41" s="47">
        <f>+J41/$J$22</f>
        <v>1.5655647983663874E-2</v>
      </c>
      <c r="L41" s="12">
        <f>SUM(L38:L40)</f>
        <v>66194</v>
      </c>
      <c r="M41" s="47">
        <f>+L41/$L$22</f>
        <v>1.7735221296412151E-2</v>
      </c>
      <c r="N41" s="12">
        <f>SUM(N38:N40)</f>
        <v>26328.400000000001</v>
      </c>
      <c r="O41" s="47">
        <f>+N41/$N$22</f>
        <v>9.0636167550156212E-3</v>
      </c>
      <c r="P41" s="12">
        <f>SUM(P38:P40)</f>
        <v>23158.338</v>
      </c>
      <c r="Q41" s="47">
        <f t="shared" si="9"/>
        <v>9.2135196635018367E-3</v>
      </c>
    </row>
    <row r="42" spans="1:21" ht="8.4499999999999993" customHeight="1">
      <c r="A42" s="1"/>
      <c r="C42" s="47" t="s">
        <v>0</v>
      </c>
      <c r="E42" s="44" t="s">
        <v>0</v>
      </c>
      <c r="G42" s="44" t="s">
        <v>0</v>
      </c>
      <c r="I42" s="44" t="s">
        <v>0</v>
      </c>
      <c r="K42" s="47" t="s">
        <v>0</v>
      </c>
      <c r="M42" s="47" t="s">
        <v>0</v>
      </c>
      <c r="O42" s="47" t="s">
        <v>0</v>
      </c>
      <c r="Q42" s="47" t="s">
        <v>0</v>
      </c>
    </row>
    <row r="43" spans="1:21" ht="18">
      <c r="A43" s="1" t="s">
        <v>287</v>
      </c>
      <c r="B43" s="221">
        <f>+sogebkvar!B43</f>
        <v>81411</v>
      </c>
      <c r="C43" s="328">
        <f>+B43/$B$22</f>
        <v>1.50730518398488E-2</v>
      </c>
      <c r="D43" s="221">
        <f>+sogebkvar!D43</f>
        <v>0</v>
      </c>
      <c r="E43" s="545">
        <v>0</v>
      </c>
      <c r="F43" s="221">
        <f>+sogebkvar!F43</f>
        <v>0</v>
      </c>
      <c r="G43" s="545">
        <v>0</v>
      </c>
      <c r="H43" s="221">
        <f>+sogebkvar!H43</f>
        <v>0</v>
      </c>
      <c r="I43" s="545">
        <v>0</v>
      </c>
      <c r="J43" s="221">
        <f>+sogebkvar!J43</f>
        <v>74297</v>
      </c>
      <c r="K43" s="328">
        <f>+J43/$J$22</f>
        <v>1.4350704825759376E-2</v>
      </c>
      <c r="L43" s="221">
        <f>+sogebkvar!L43</f>
        <v>74615</v>
      </c>
      <c r="M43" s="328">
        <f>+L43/$L$22</f>
        <v>1.999144238196502E-2</v>
      </c>
      <c r="N43" s="221">
        <f>+sogebkvar!N43</f>
        <v>36333</v>
      </c>
      <c r="O43" s="328">
        <f>+N43/$N$22</f>
        <v>1.2507725025447143E-2</v>
      </c>
      <c r="P43" s="221">
        <f>+sogebkvar!P43</f>
        <v>24324.106</v>
      </c>
      <c r="Q43" s="328">
        <f t="shared" si="9"/>
        <v>9.6773191982992487E-3</v>
      </c>
      <c r="R43" s="6"/>
    </row>
    <row r="44" spans="1:21">
      <c r="A44" s="1"/>
      <c r="B44" s="12">
        <f>+B29+B35+B41+B43</f>
        <v>5040742</v>
      </c>
      <c r="C44" s="47">
        <f>+B44/$B$22</f>
        <v>0.9332813191989181</v>
      </c>
      <c r="D44" s="12">
        <f t="shared" ref="D44:J44" si="10">+D29+D35+D41+D43</f>
        <v>0</v>
      </c>
      <c r="E44" s="44">
        <v>0</v>
      </c>
      <c r="F44" s="12">
        <f t="shared" si="10"/>
        <v>0</v>
      </c>
      <c r="G44" s="44">
        <v>0</v>
      </c>
      <c r="H44" s="12">
        <f t="shared" si="10"/>
        <v>0</v>
      </c>
      <c r="I44" s="44">
        <v>0</v>
      </c>
      <c r="J44" s="12">
        <f t="shared" si="10"/>
        <v>4824404</v>
      </c>
      <c r="K44" s="47">
        <f>+J44/$J$22</f>
        <v>0.93184916974053922</v>
      </c>
      <c r="L44" s="12">
        <f>+L29+L35+L41+L43</f>
        <v>3504375</v>
      </c>
      <c r="M44" s="47">
        <f>+L44/$L$22</f>
        <v>0.93891993429335485</v>
      </c>
      <c r="N44" s="12">
        <f>+N29+N35+N41+N43</f>
        <v>2723007.4</v>
      </c>
      <c r="O44" s="47">
        <f>+N44/$N$22</f>
        <v>0.93740202574678</v>
      </c>
      <c r="P44" s="12">
        <f>+P29+P35+P41+P43</f>
        <v>2385603.5470000003</v>
      </c>
      <c r="Q44" s="47">
        <f>+P44/$P$22</f>
        <v>0.94910978454517037</v>
      </c>
    </row>
    <row r="45" spans="1:21" ht="8.4499999999999993" customHeight="1">
      <c r="A45" s="1"/>
      <c r="C45" s="47" t="s">
        <v>0</v>
      </c>
      <c r="E45" s="44" t="s">
        <v>0</v>
      </c>
      <c r="G45" s="44" t="s">
        <v>0</v>
      </c>
      <c r="I45" s="44" t="s">
        <v>0</v>
      </c>
      <c r="K45" s="47" t="s">
        <v>0</v>
      </c>
      <c r="M45" s="47" t="s">
        <v>0</v>
      </c>
      <c r="O45" s="47" t="s">
        <v>0</v>
      </c>
      <c r="Q45" s="47" t="s">
        <v>0</v>
      </c>
    </row>
    <row r="46" spans="1:21">
      <c r="A46" s="87" t="s">
        <v>288</v>
      </c>
      <c r="C46" s="47" t="s">
        <v>0</v>
      </c>
      <c r="E46" s="44" t="s">
        <v>0</v>
      </c>
      <c r="G46" s="44" t="s">
        <v>0</v>
      </c>
      <c r="I46" s="44" t="s">
        <v>0</v>
      </c>
      <c r="K46" s="47" t="s">
        <v>0</v>
      </c>
      <c r="M46" s="47" t="s">
        <v>0</v>
      </c>
      <c r="O46" s="47" t="s">
        <v>0</v>
      </c>
      <c r="Q46" s="47" t="s">
        <v>0</v>
      </c>
    </row>
    <row r="47" spans="1:21">
      <c r="A47" s="1" t="s">
        <v>289</v>
      </c>
      <c r="B47" s="12">
        <f>+sogebkvar!B47</f>
        <v>207935</v>
      </c>
      <c r="C47" s="47">
        <f t="shared" ref="C47:C52" si="11">+B47/$B$22</f>
        <v>3.8498667677819468E-2</v>
      </c>
      <c r="D47" s="12">
        <f>+sogebkvar!D47</f>
        <v>0</v>
      </c>
      <c r="E47" s="44">
        <v>0</v>
      </c>
      <c r="F47" s="12">
        <f>+sogebkvar!F47</f>
        <v>0</v>
      </c>
      <c r="G47" s="44">
        <v>0</v>
      </c>
      <c r="H47" s="12">
        <f>+sogebkvar!H47</f>
        <v>0</v>
      </c>
      <c r="I47" s="44">
        <v>0</v>
      </c>
      <c r="J47" s="12">
        <f>+sogebkvar!J47</f>
        <v>207810</v>
      </c>
      <c r="K47" s="47">
        <f>+J47/$J$22</f>
        <v>4.0139170758456681E-2</v>
      </c>
      <c r="L47" s="12">
        <f>+sogebkvar!L47</f>
        <v>150000</v>
      </c>
      <c r="M47" s="47">
        <f>+L47/$L$22</f>
        <v>4.0189189268843441E-2</v>
      </c>
      <c r="N47" s="12">
        <f>+sogebkvar!N47</f>
        <v>62500</v>
      </c>
      <c r="O47" s="47">
        <f>+N47/$N$22</f>
        <v>2.1515779431658451E-2</v>
      </c>
      <c r="P47" s="12">
        <f>+sogebkvar!P47</f>
        <v>56800</v>
      </c>
      <c r="Q47" s="47">
        <f>+P47/$P$22</f>
        <v>2.2597818413692052E-2</v>
      </c>
    </row>
    <row r="48" spans="1:21">
      <c r="A48" s="1" t="s">
        <v>290</v>
      </c>
      <c r="B48" s="12">
        <f>+sogebkvar!B48</f>
        <v>32581</v>
      </c>
      <c r="C48" s="47">
        <f t="shared" si="11"/>
        <v>6.0322941862170198E-3</v>
      </c>
      <c r="D48" s="12">
        <f>+sogebkvar!D48</f>
        <v>0</v>
      </c>
      <c r="E48" s="44">
        <v>0</v>
      </c>
      <c r="F48" s="12">
        <f>+sogebkvar!F48</f>
        <v>0</v>
      </c>
      <c r="G48" s="44">
        <v>0</v>
      </c>
      <c r="H48" s="12">
        <f>+sogebkvar!H48</f>
        <v>0</v>
      </c>
      <c r="I48" s="44">
        <v>0</v>
      </c>
      <c r="J48" s="12">
        <f>+sogebkvar!J48</f>
        <v>26569</v>
      </c>
      <c r="K48" s="47">
        <f>+J48/$J$22</f>
        <v>5.131887916276578E-3</v>
      </c>
      <c r="L48" s="12">
        <f>+sogebkvar!L48</f>
        <v>18467</v>
      </c>
      <c r="M48" s="47">
        <f>+L48/$L$22</f>
        <v>4.9478250548515455E-3</v>
      </c>
      <c r="N48" s="12">
        <f>+sogebkvar!N48</f>
        <v>29674.2</v>
      </c>
      <c r="O48" s="47">
        <f>+N48/$N$22</f>
        <v>1.0215416672174706E-2</v>
      </c>
      <c r="P48" s="12">
        <f>+sogebkvar!P48</f>
        <v>21369.625</v>
      </c>
      <c r="Q48" s="47">
        <f>+P48/$P$22</f>
        <v>8.5018821358924992E-3</v>
      </c>
    </row>
    <row r="49" spans="1:21">
      <c r="A49" s="1" t="s">
        <v>302</v>
      </c>
      <c r="B49" s="12">
        <f>+sogebkvar!B49</f>
        <v>56105</v>
      </c>
      <c r="C49" s="47">
        <f t="shared" si="11"/>
        <v>1.0387706495126174E-2</v>
      </c>
      <c r="D49" s="12">
        <f>+sogebkvar!D49</f>
        <v>0</v>
      </c>
      <c r="E49" s="44">
        <v>0</v>
      </c>
      <c r="F49" s="12">
        <f>+sogebkvar!F49</f>
        <v>0</v>
      </c>
      <c r="G49" s="44">
        <v>0</v>
      </c>
      <c r="H49" s="12">
        <f>+sogebkvar!H49</f>
        <v>0</v>
      </c>
      <c r="I49" s="44">
        <v>0</v>
      </c>
      <c r="K49" s="47"/>
      <c r="M49" s="47"/>
      <c r="O49" s="47"/>
      <c r="Q49" s="47"/>
    </row>
    <row r="50" spans="1:21" ht="18">
      <c r="A50" s="1" t="s">
        <v>292</v>
      </c>
      <c r="B50" s="221">
        <f>+sogebkvar!B50</f>
        <v>63733</v>
      </c>
      <c r="C50" s="328">
        <f t="shared" si="11"/>
        <v>1.1800012441919196E-2</v>
      </c>
      <c r="D50" s="221">
        <f>+sogebkvar!D50</f>
        <v>0</v>
      </c>
      <c r="E50" s="545">
        <v>0</v>
      </c>
      <c r="F50" s="221">
        <f>+sogebkvar!F50</f>
        <v>0</v>
      </c>
      <c r="G50" s="545">
        <v>0</v>
      </c>
      <c r="H50" s="221">
        <f>+sogebkvar!H50</f>
        <v>0</v>
      </c>
      <c r="I50" s="545">
        <v>0</v>
      </c>
      <c r="J50" s="221">
        <f>+sogebkvar!J50</f>
        <v>62635</v>
      </c>
      <c r="K50" s="328">
        <f>+J50/$J$22</f>
        <v>1.209815196793193E-2</v>
      </c>
      <c r="L50" s="221">
        <f>+sogebkvar!L50</f>
        <v>59505</v>
      </c>
      <c r="M50" s="328">
        <f>+L50/$L$22</f>
        <v>1.5943051382950192E-2</v>
      </c>
      <c r="N50" s="221">
        <f>+sogebkvar!N50</f>
        <v>89663.3</v>
      </c>
      <c r="O50" s="328">
        <f>+N50/$N$22</f>
        <v>3.0866812574633938E-2</v>
      </c>
      <c r="P50" s="221">
        <f>+sogebkvar!P50</f>
        <v>49743.794999999998</v>
      </c>
      <c r="Q50" s="328">
        <f>+P50/$P$22</f>
        <v>1.9790514905245114E-2</v>
      </c>
      <c r="R50" s="6"/>
      <c r="S50" s="7"/>
      <c r="T50" s="7"/>
      <c r="U50" s="7"/>
    </row>
    <row r="51" spans="1:21" ht="16.5" thickBot="1">
      <c r="A51" s="1" t="s">
        <v>275</v>
      </c>
      <c r="B51" s="76">
        <f>SUM(B47:B50)</f>
        <v>360354</v>
      </c>
      <c r="C51" s="231">
        <f t="shared" si="11"/>
        <v>6.6718680801081856E-2</v>
      </c>
      <c r="D51" s="76">
        <f>SUM(D47:D50)</f>
        <v>0</v>
      </c>
      <c r="E51" s="232">
        <v>0</v>
      </c>
      <c r="F51" s="76">
        <f>SUM(F47:F50)</f>
        <v>0</v>
      </c>
      <c r="G51" s="232">
        <v>0</v>
      </c>
      <c r="H51" s="76">
        <f>SUM(H47:H50)</f>
        <v>0</v>
      </c>
      <c r="I51" s="232">
        <v>0</v>
      </c>
      <c r="J51" s="76">
        <f>SUM(J47:J50)</f>
        <v>297014</v>
      </c>
      <c r="K51" s="231">
        <f>+J51/$J$22</f>
        <v>5.7369210642665189E-2</v>
      </c>
      <c r="L51" s="76">
        <f>SUM(L47:L50)</f>
        <v>227972</v>
      </c>
      <c r="M51" s="231">
        <f>+L51/$L$22</f>
        <v>6.1080065706645176E-2</v>
      </c>
      <c r="N51" s="76">
        <f>SUM(N47:N50)</f>
        <v>181837.5</v>
      </c>
      <c r="O51" s="231">
        <f>+N51/$N$22</f>
        <v>6.2598008678467099E-2</v>
      </c>
      <c r="P51" s="76">
        <f>SUM(P47:P50)</f>
        <v>127913.42</v>
      </c>
      <c r="Q51" s="231">
        <f>+P51/$P$22</f>
        <v>5.089021545482967E-2</v>
      </c>
    </row>
    <row r="52" spans="1:21">
      <c r="A52" s="1" t="s">
        <v>0</v>
      </c>
      <c r="B52" s="4">
        <f>+B29+B35+B41+B43+B51</f>
        <v>5401096</v>
      </c>
      <c r="C52" s="112">
        <f t="shared" si="11"/>
        <v>1</v>
      </c>
      <c r="D52" s="4">
        <f>+D29+D35+D41+D43+D51</f>
        <v>0</v>
      </c>
      <c r="E52" s="42">
        <v>0</v>
      </c>
      <c r="F52" s="4">
        <f>+F29+F35+F41+F43+F51</f>
        <v>0</v>
      </c>
      <c r="G52" s="42">
        <v>0</v>
      </c>
      <c r="H52" s="4">
        <f>+H29+H35+H41+H43+H51</f>
        <v>0</v>
      </c>
      <c r="I52" s="42">
        <v>0</v>
      </c>
      <c r="J52" s="4">
        <f>+J29+J35+J41+J43+J51-0.1</f>
        <v>5121417.9000000004</v>
      </c>
      <c r="K52" s="47">
        <f>+J52/$J$22</f>
        <v>0.98921836106788241</v>
      </c>
      <c r="L52" s="4">
        <f>+L29+L35+L41+L43+L51</f>
        <v>3732347</v>
      </c>
      <c r="M52" s="47">
        <f>+L52/$L$22</f>
        <v>1</v>
      </c>
      <c r="N52" s="4">
        <f>+N29+N35+N41+N43+N51</f>
        <v>2904844.9</v>
      </c>
      <c r="O52" s="47">
        <f>+N52/$N$22</f>
        <v>1.0000000344252471</v>
      </c>
      <c r="P52" s="4">
        <f>+P29+P35+P41+P43+P51</f>
        <v>2513516.9670000002</v>
      </c>
      <c r="Q52" s="47">
        <f>+P52/$P$22</f>
        <v>1</v>
      </c>
    </row>
    <row r="55" spans="1:21">
      <c r="A55" s="185" t="s">
        <v>293</v>
      </c>
      <c r="B55"/>
      <c r="C55"/>
      <c r="D55"/>
      <c r="E55"/>
      <c r="F55"/>
      <c r="G55"/>
      <c r="H55"/>
      <c r="I55"/>
      <c r="J55"/>
      <c r="K55"/>
      <c r="L55"/>
      <c r="M55"/>
      <c r="N55"/>
      <c r="O55"/>
      <c r="P55"/>
      <c r="Q55"/>
      <c r="R55"/>
    </row>
    <row r="56" spans="1:21">
      <c r="A56" t="s">
        <v>294</v>
      </c>
      <c r="B56" s="3">
        <f>+sogebkvar!B56</f>
        <v>22364.3</v>
      </c>
      <c r="C56"/>
      <c r="D56" s="3">
        <f>+sogebkvar!D56</f>
        <v>0</v>
      </c>
      <c r="E56"/>
      <c r="F56" s="3">
        <f>+sogebkvar!F56</f>
        <v>0</v>
      </c>
      <c r="G56"/>
      <c r="H56" s="3">
        <f>+sogebkvar!H56</f>
        <v>0</v>
      </c>
      <c r="I56"/>
      <c r="J56" s="3">
        <f>+sogebkvar!J56</f>
        <v>41294.199999999997</v>
      </c>
      <c r="K56"/>
      <c r="L56" s="3">
        <f>+sogebkvar!L56</f>
        <v>109417</v>
      </c>
      <c r="M56"/>
      <c r="N56" s="3">
        <f>+sogebkvar!N56</f>
        <v>31334.799999999999</v>
      </c>
      <c r="O56"/>
      <c r="P56" s="3">
        <f>+sogebkvar!P56</f>
        <v>92.6</v>
      </c>
      <c r="Q56"/>
      <c r="R56"/>
    </row>
    <row r="57" spans="1:21">
      <c r="A57" t="s">
        <v>295</v>
      </c>
      <c r="B57" s="3">
        <f>+sogebkvar!B57</f>
        <v>184666.1</v>
      </c>
      <c r="C57"/>
      <c r="D57" s="3">
        <f>+sogebkvar!D57</f>
        <v>0</v>
      </c>
      <c r="E57"/>
      <c r="F57" s="3">
        <f>+sogebkvar!F57</f>
        <v>0</v>
      </c>
      <c r="G57"/>
      <c r="H57" s="3">
        <f>+sogebkvar!H57</f>
        <v>0</v>
      </c>
      <c r="I57"/>
      <c r="J57" s="3">
        <f>+sogebkvar!J57</f>
        <v>145522.6</v>
      </c>
      <c r="K57"/>
      <c r="L57" s="3">
        <f>+sogebkvar!L57</f>
        <v>90017</v>
      </c>
      <c r="M57"/>
      <c r="N57" s="3">
        <f>+sogebkvar!N57</f>
        <v>150501.6</v>
      </c>
      <c r="O57"/>
      <c r="P57" s="3">
        <f>+sogebkvar!P57</f>
        <v>33944.300000000003</v>
      </c>
      <c r="Q57"/>
      <c r="R57"/>
    </row>
    <row r="58" spans="1:21">
      <c r="A58" t="s">
        <v>284</v>
      </c>
      <c r="B58" s="3">
        <f>+sogebkvar!B58</f>
        <v>82023.7</v>
      </c>
      <c r="C58"/>
      <c r="D58" s="3">
        <f>+sogebkvar!D58</f>
        <v>0</v>
      </c>
      <c r="E58"/>
      <c r="F58" s="3">
        <f>+sogebkvar!F58</f>
        <v>0</v>
      </c>
      <c r="G58"/>
      <c r="H58" s="3">
        <f>+sogebkvar!H58</f>
        <v>0</v>
      </c>
      <c r="I58"/>
      <c r="J58" s="3">
        <f>+sogebkvar!J58</f>
        <v>63982.1</v>
      </c>
      <c r="K58"/>
      <c r="L58" s="3">
        <f>+sogebkvar!L58</f>
        <v>139348</v>
      </c>
      <c r="M58"/>
      <c r="N58" s="3">
        <f>+sogebkvar!N58</f>
        <v>131311</v>
      </c>
      <c r="O58"/>
      <c r="P58" s="3">
        <f>+sogebkvar!P58</f>
        <v>10341.4</v>
      </c>
      <c r="Q58"/>
      <c r="R58"/>
    </row>
    <row r="59" spans="1:21">
      <c r="B59" s="3"/>
      <c r="C59"/>
      <c r="D59" s="3"/>
      <c r="E59"/>
      <c r="F59" s="3"/>
      <c r="G59"/>
      <c r="H59" s="3"/>
      <c r="I59"/>
      <c r="J59" s="3"/>
      <c r="K59"/>
      <c r="L59" s="3"/>
      <c r="M59"/>
      <c r="N59" s="3"/>
      <c r="O59"/>
      <c r="P59" s="3"/>
      <c r="Q59"/>
      <c r="R59"/>
    </row>
    <row r="60" spans="1:21" ht="18.75">
      <c r="A60" s="122" t="s">
        <v>303</v>
      </c>
      <c r="B60" s="3">
        <f>+sogebkvar!B60</f>
        <v>1811936</v>
      </c>
      <c r="C60"/>
      <c r="D60" s="3">
        <f>+sogebkvar!D60</f>
        <v>0</v>
      </c>
      <c r="E60"/>
      <c r="F60" s="3">
        <f>+sogebkvar!F60</f>
        <v>0</v>
      </c>
      <c r="G60"/>
      <c r="H60" s="3">
        <f>+sogebkvar!H60</f>
        <v>0</v>
      </c>
      <c r="I60"/>
      <c r="J60" s="3">
        <f>+sogebkvar!J60</f>
        <v>1773624</v>
      </c>
      <c r="K60"/>
      <c r="L60" s="3">
        <f>+sogebkvar!L60</f>
        <v>1294742</v>
      </c>
      <c r="M60"/>
      <c r="N60" s="3">
        <f>+sogebkvar!N60</f>
        <v>1193500.3999999999</v>
      </c>
      <c r="O60"/>
      <c r="P60" s="3">
        <f>+sogebkvar!P60</f>
        <v>933460.1</v>
      </c>
      <c r="Q60"/>
      <c r="R60"/>
    </row>
    <row r="61" spans="1:21">
      <c r="A61" t="s">
        <v>217</v>
      </c>
      <c r="B61" s="3">
        <f>+sogebkvar!B61</f>
        <v>81007</v>
      </c>
      <c r="C61"/>
      <c r="D61" s="3">
        <f>+sogebkvar!D61</f>
        <v>0</v>
      </c>
      <c r="E61"/>
      <c r="F61" s="3">
        <f>+sogebkvar!F61</f>
        <v>0</v>
      </c>
      <c r="G61"/>
      <c r="H61" s="3">
        <f>+sogebkvar!H61</f>
        <v>0</v>
      </c>
      <c r="I61"/>
      <c r="J61" s="3">
        <f>+sogebkvar!J61</f>
        <v>78259</v>
      </c>
      <c r="K61"/>
      <c r="L61" s="3">
        <f>+sogebkvar!L61</f>
        <v>38848</v>
      </c>
      <c r="M61"/>
      <c r="N61" s="3">
        <f>+sogebkvar!N61</f>
        <v>43554.400000000001</v>
      </c>
      <c r="O61"/>
      <c r="P61" s="3">
        <f>+sogebkvar!P61</f>
        <v>33181.300000000003</v>
      </c>
      <c r="Q61"/>
      <c r="R61"/>
    </row>
    <row r="62" spans="1:21">
      <c r="A62" t="s">
        <v>297</v>
      </c>
      <c r="B62" s="3">
        <f>+sogebkvar!B62</f>
        <v>148920.70000000001</v>
      </c>
      <c r="C62"/>
      <c r="D62" s="3">
        <f>+sogebkvar!D62</f>
        <v>0</v>
      </c>
      <c r="E62"/>
      <c r="F62" s="3">
        <f>+sogebkvar!F62</f>
        <v>0</v>
      </c>
      <c r="G62"/>
      <c r="H62" s="3">
        <f>+sogebkvar!H62</f>
        <v>0</v>
      </c>
      <c r="I62"/>
      <c r="J62" s="3">
        <f>+sogebkvar!J62</f>
        <v>104039.8</v>
      </c>
      <c r="K62"/>
      <c r="L62" s="3">
        <f>+sogebkvar!L62</f>
        <v>49166</v>
      </c>
      <c r="M62"/>
      <c r="N62" s="3">
        <f>+sogebkvar!N62</f>
        <v>44887.8</v>
      </c>
      <c r="O62"/>
      <c r="P62" s="3">
        <f>+sogebkvar!P62</f>
        <v>22636.400000000001</v>
      </c>
      <c r="Q62"/>
      <c r="R62"/>
    </row>
    <row r="63" spans="1:21">
      <c r="B63"/>
      <c r="C63"/>
      <c r="D63"/>
      <c r="E63"/>
      <c r="F63"/>
      <c r="G63"/>
      <c r="H63"/>
      <c r="I63"/>
      <c r="J63"/>
      <c r="K63"/>
      <c r="L63"/>
      <c r="M63"/>
      <c r="N63"/>
      <c r="O63"/>
      <c r="P63"/>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row r="156" spans="2:18">
      <c r="B156"/>
      <c r="C156"/>
      <c r="D156"/>
      <c r="E156"/>
      <c r="F156"/>
      <c r="G156"/>
      <c r="H156"/>
      <c r="I156"/>
      <c r="J156"/>
      <c r="K156"/>
      <c r="L156"/>
      <c r="M156"/>
      <c r="N156"/>
      <c r="O156"/>
      <c r="P156"/>
      <c r="Q156"/>
      <c r="R156"/>
    </row>
  </sheetData>
  <pageMargins left="0.2" right="0.23" top="0.5" bottom="0.55000000000000004" header="0.34" footer="0.34"/>
  <pageSetup scale="53" orientation="landscape" r:id="rId1"/>
  <headerFooter alignWithMargins="0">
    <oddFooter>&amp;R&amp;P</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1"/>
  <sheetViews>
    <sheetView workbookViewId="0"/>
  </sheetViews>
  <sheetFormatPr defaultRowHeight="15.75"/>
  <cols>
    <col min="1" max="1" width="33.25" customWidth="1"/>
    <col min="2" max="2" width="17.5" style="12" customWidth="1"/>
    <col min="3" max="3" width="15.75" style="13" customWidth="1"/>
    <col min="4" max="4" width="15.75" style="12" customWidth="1"/>
    <col min="5" max="5" width="14.75" style="13" customWidth="1"/>
    <col min="6" max="6" width="11" style="12" customWidth="1"/>
    <col min="7" max="7" width="9.75" style="13" customWidth="1"/>
    <col min="8" max="8" width="18"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646</v>
      </c>
      <c r="B1" s="37"/>
      <c r="C1" s="38"/>
      <c r="D1" s="37"/>
      <c r="E1" s="38"/>
      <c r="F1" s="37"/>
      <c r="G1" s="38"/>
      <c r="H1" s="37"/>
      <c r="I1" s="37"/>
      <c r="J1" s="38"/>
      <c r="K1" s="37"/>
    </row>
    <row r="2" spans="1:15">
      <c r="A2" s="114" t="s">
        <v>305</v>
      </c>
      <c r="B2" s="37"/>
      <c r="C2" s="38"/>
      <c r="D2" s="37"/>
      <c r="E2" s="38"/>
      <c r="F2" s="37"/>
      <c r="G2" s="38"/>
      <c r="H2" s="37"/>
      <c r="I2" s="37"/>
      <c r="J2" s="38"/>
      <c r="K2" s="37"/>
    </row>
    <row r="3" spans="1:15">
      <c r="A3" s="114" t="s">
        <v>306</v>
      </c>
      <c r="B3" s="37"/>
      <c r="C3" s="38"/>
      <c r="D3" s="37"/>
      <c r="E3" s="38"/>
      <c r="F3" s="37"/>
      <c r="G3" s="38"/>
      <c r="H3" s="37"/>
      <c r="I3" s="37"/>
      <c r="J3" s="38"/>
      <c r="K3" s="37"/>
    </row>
    <row r="4" spans="1:15">
      <c r="A4" s="114" t="s">
        <v>179</v>
      </c>
      <c r="B4" s="37"/>
      <c r="C4" s="38"/>
      <c r="D4" s="37"/>
      <c r="E4" s="38"/>
      <c r="F4" s="37"/>
      <c r="G4" s="38"/>
      <c r="H4" s="37"/>
      <c r="I4" s="37"/>
      <c r="J4" s="38"/>
      <c r="K4" s="37"/>
    </row>
    <row r="5" spans="1:15">
      <c r="A5" s="34"/>
      <c r="B5" s="37"/>
      <c r="C5" s="38"/>
      <c r="D5" s="37"/>
      <c r="E5" s="38"/>
      <c r="F5" s="37"/>
      <c r="G5" s="38"/>
      <c r="H5" s="37"/>
      <c r="I5" s="37"/>
      <c r="J5" s="38"/>
    </row>
    <row r="6" spans="1:15">
      <c r="B6" s="238" t="s">
        <v>0</v>
      </c>
      <c r="C6" s="215"/>
      <c r="D6" s="216"/>
    </row>
    <row r="7" spans="1:15" ht="16.5" thickBot="1">
      <c r="B7" s="429" t="s">
        <v>307</v>
      </c>
      <c r="C7" s="38"/>
      <c r="D7" s="37"/>
      <c r="E7" s="38"/>
      <c r="H7" s="377" t="s">
        <v>308</v>
      </c>
      <c r="I7" s="215"/>
      <c r="J7" s="216"/>
      <c r="K7" s="37"/>
    </row>
    <row r="8" spans="1:15" ht="16.5" thickTop="1">
      <c r="A8" s="87" t="s">
        <v>243</v>
      </c>
      <c r="B8" s="402" t="s">
        <v>313</v>
      </c>
      <c r="C8" s="403" t="s">
        <v>310</v>
      </c>
      <c r="D8" s="408" t="s">
        <v>311</v>
      </c>
      <c r="E8" s="407" t="s">
        <v>312</v>
      </c>
      <c r="F8" s="125" t="s">
        <v>0</v>
      </c>
      <c r="G8" s="124" t="s">
        <v>0</v>
      </c>
      <c r="H8" s="402" t="s">
        <v>313</v>
      </c>
      <c r="I8" s="404" t="s">
        <v>310</v>
      </c>
      <c r="J8" s="406" t="s">
        <v>311</v>
      </c>
      <c r="K8" s="407" t="s">
        <v>312</v>
      </c>
      <c r="L8" s="14"/>
      <c r="M8" s="9"/>
      <c r="N8" s="9"/>
      <c r="O8" s="9"/>
    </row>
    <row r="9" spans="1:15">
      <c r="A9" s="1" t="s">
        <v>264</v>
      </c>
      <c r="B9" s="126"/>
      <c r="C9" s="127"/>
      <c r="D9" s="365"/>
      <c r="E9" s="372" t="s">
        <v>0</v>
      </c>
      <c r="H9" s="135"/>
      <c r="I9" s="78"/>
      <c r="J9" s="370" t="s">
        <v>0</v>
      </c>
      <c r="K9" s="372" t="s">
        <v>0</v>
      </c>
    </row>
    <row r="10" spans="1:15">
      <c r="A10" s="1" t="s">
        <v>265</v>
      </c>
      <c r="B10" s="129">
        <v>143798</v>
      </c>
      <c r="C10" s="92">
        <v>121534</v>
      </c>
      <c r="D10" s="366">
        <f t="shared" ref="D10:D15" si="0">SUM(B10:C10)</f>
        <v>265332</v>
      </c>
      <c r="E10" s="373">
        <f>+B10/D10</f>
        <v>0.54195498469841552</v>
      </c>
      <c r="F10" s="88" t="s">
        <v>0</v>
      </c>
      <c r="G10" s="100" t="s">
        <v>0</v>
      </c>
      <c r="H10" s="129">
        <v>69579</v>
      </c>
      <c r="I10" s="92">
        <v>231567</v>
      </c>
      <c r="J10" s="366">
        <f t="shared" ref="J10:J15" si="1">SUM(H10:I10)</f>
        <v>301146</v>
      </c>
      <c r="K10" s="373">
        <f t="shared" ref="K10:K15" si="2">+H10/J10</f>
        <v>0.23104739893606424</v>
      </c>
    </row>
    <row r="11" spans="1:15">
      <c r="A11" s="1" t="s">
        <v>266</v>
      </c>
      <c r="B11" s="129">
        <v>105188</v>
      </c>
      <c r="C11" s="92">
        <v>955691</v>
      </c>
      <c r="D11" s="366">
        <f t="shared" si="0"/>
        <v>1060879</v>
      </c>
      <c r="E11" s="373">
        <f>+B11/D11</f>
        <v>9.9151741150498782E-2</v>
      </c>
      <c r="F11" s="88" t="s">
        <v>0</v>
      </c>
      <c r="G11" s="100" t="s">
        <v>0</v>
      </c>
      <c r="H11" s="129">
        <v>68044</v>
      </c>
      <c r="I11" s="92">
        <v>837958</v>
      </c>
      <c r="J11" s="366">
        <f t="shared" si="1"/>
        <v>906002</v>
      </c>
      <c r="K11" s="373">
        <f t="shared" si="2"/>
        <v>7.5103586967799188E-2</v>
      </c>
    </row>
    <row r="12" spans="1:15">
      <c r="A12" s="1" t="s">
        <v>267</v>
      </c>
      <c r="B12" s="129">
        <v>314717</v>
      </c>
      <c r="C12" s="92">
        <v>0</v>
      </c>
      <c r="D12" s="366">
        <f t="shared" si="0"/>
        <v>314717</v>
      </c>
      <c r="E12" s="136">
        <v>0</v>
      </c>
      <c r="F12" s="88" t="s">
        <v>0</v>
      </c>
      <c r="G12" s="100" t="s">
        <v>0</v>
      </c>
      <c r="H12" s="129">
        <v>205468</v>
      </c>
      <c r="I12" s="92">
        <v>0</v>
      </c>
      <c r="J12" s="366">
        <f t="shared" si="1"/>
        <v>205468</v>
      </c>
      <c r="K12" s="373">
        <f t="shared" si="2"/>
        <v>1</v>
      </c>
    </row>
    <row r="13" spans="1:15">
      <c r="A13" s="1" t="s">
        <v>268</v>
      </c>
      <c r="B13" s="129">
        <v>0</v>
      </c>
      <c r="C13" s="3">
        <v>0</v>
      </c>
      <c r="D13" s="366">
        <f>SUM(B13:C13)</f>
        <v>0</v>
      </c>
      <c r="E13" s="136">
        <v>0</v>
      </c>
      <c r="F13" s="88" t="s">
        <v>0</v>
      </c>
      <c r="G13" s="100" t="s">
        <v>0</v>
      </c>
      <c r="H13" s="129">
        <v>0</v>
      </c>
      <c r="I13" s="3">
        <v>0</v>
      </c>
      <c r="J13" s="371">
        <f t="shared" si="1"/>
        <v>0</v>
      </c>
      <c r="K13" s="373" t="e">
        <f t="shared" si="2"/>
        <v>#DIV/0!</v>
      </c>
    </row>
    <row r="14" spans="1:15" ht="18">
      <c r="A14" s="1" t="s">
        <v>269</v>
      </c>
      <c r="B14" s="130">
        <v>83647</v>
      </c>
      <c r="C14" s="137">
        <v>60053</v>
      </c>
      <c r="D14" s="367">
        <f t="shared" si="0"/>
        <v>143700</v>
      </c>
      <c r="E14" s="373">
        <f>+B14/D14</f>
        <v>0.58209464161447455</v>
      </c>
      <c r="F14" s="88" t="s">
        <v>0</v>
      </c>
      <c r="G14" s="100" t="s">
        <v>0</v>
      </c>
      <c r="H14" s="130">
        <f>32685+32625</f>
        <v>65310</v>
      </c>
      <c r="I14" s="137">
        <v>45514</v>
      </c>
      <c r="J14" s="367">
        <f t="shared" si="1"/>
        <v>110824</v>
      </c>
      <c r="K14" s="373">
        <f t="shared" si="2"/>
        <v>0.58931278423446187</v>
      </c>
    </row>
    <row r="15" spans="1:15" ht="15.6" customHeight="1">
      <c r="A15" s="1"/>
      <c r="B15" s="129">
        <f>SUM(B10:B14)</f>
        <v>647350</v>
      </c>
      <c r="C15" s="92">
        <f>SUM(C10:C14)</f>
        <v>1137278</v>
      </c>
      <c r="D15" s="366">
        <f t="shared" si="0"/>
        <v>1784628</v>
      </c>
      <c r="E15" s="373">
        <f>+B15/D15</f>
        <v>0.36273665996498988</v>
      </c>
      <c r="F15" s="88" t="s">
        <v>0</v>
      </c>
      <c r="G15" s="100" t="s">
        <v>0</v>
      </c>
      <c r="H15" s="129">
        <f>SUM(H10:H14)</f>
        <v>408401</v>
      </c>
      <c r="I15" s="92">
        <f>SUM(I10:I14)</f>
        <v>1115039</v>
      </c>
      <c r="J15" s="366">
        <f t="shared" si="1"/>
        <v>1523440</v>
      </c>
      <c r="K15" s="373">
        <f t="shared" si="2"/>
        <v>0.26807816520506222</v>
      </c>
    </row>
    <row r="16" spans="1:15" ht="7.9" customHeight="1">
      <c r="A16" s="1"/>
      <c r="B16" s="129"/>
      <c r="C16" s="93" t="s">
        <v>0</v>
      </c>
      <c r="D16" s="366"/>
      <c r="E16" s="373" t="s">
        <v>0</v>
      </c>
      <c r="F16" s="88"/>
      <c r="G16" s="100" t="s">
        <v>0</v>
      </c>
      <c r="H16" s="129"/>
      <c r="I16" s="93" t="s">
        <v>0</v>
      </c>
      <c r="J16" s="371" t="s">
        <v>0</v>
      </c>
      <c r="K16" s="373" t="s">
        <v>0</v>
      </c>
    </row>
    <row r="17" spans="1:11" ht="15.6" customHeight="1">
      <c r="A17" s="1" t="s">
        <v>270</v>
      </c>
      <c r="B17" s="129">
        <v>0</v>
      </c>
      <c r="C17" s="92">
        <v>935000</v>
      </c>
      <c r="D17" s="366">
        <f t="shared" ref="D17:D22" si="3">SUM(B17:C17)</f>
        <v>935000</v>
      </c>
      <c r="E17" s="136">
        <v>0</v>
      </c>
      <c r="F17"/>
      <c r="G17"/>
      <c r="H17" s="129">
        <v>0</v>
      </c>
      <c r="I17" s="92">
        <v>1020000</v>
      </c>
      <c r="J17" s="371">
        <f t="shared" ref="J17:J22" si="4">SUM(H17:I17)</f>
        <v>1020000</v>
      </c>
      <c r="K17" s="136">
        <v>0</v>
      </c>
    </row>
    <row r="18" spans="1:11">
      <c r="A18" s="1" t="s">
        <v>271</v>
      </c>
      <c r="B18" s="129">
        <v>96461</v>
      </c>
      <c r="C18" s="92">
        <v>238235</v>
      </c>
      <c r="D18" s="366">
        <f t="shared" si="3"/>
        <v>334696</v>
      </c>
      <c r="E18" s="373">
        <f>+B18/D18</f>
        <v>0.28820481870114972</v>
      </c>
      <c r="F18"/>
      <c r="G18"/>
      <c r="H18" s="129">
        <f>16941+90944</f>
        <v>107885</v>
      </c>
      <c r="I18" s="92">
        <f>2655+198314-410</f>
        <v>200559</v>
      </c>
      <c r="J18" s="366">
        <f t="shared" si="4"/>
        <v>308444</v>
      </c>
      <c r="K18" s="373">
        <f>+H18/J18</f>
        <v>0.3497717575961925</v>
      </c>
    </row>
    <row r="19" spans="1:11">
      <c r="A19" s="1" t="s">
        <v>314</v>
      </c>
      <c r="B19" s="129">
        <v>806989</v>
      </c>
      <c r="C19" s="92">
        <v>923940</v>
      </c>
      <c r="D19" s="366">
        <f t="shared" si="3"/>
        <v>1730929</v>
      </c>
      <c r="E19" s="373">
        <f>+B19/D19</f>
        <v>0.46621727407652191</v>
      </c>
      <c r="F19"/>
      <c r="G19"/>
      <c r="H19" s="129">
        <v>844324</v>
      </c>
      <c r="I19" s="92">
        <v>851041</v>
      </c>
      <c r="J19" s="366">
        <f t="shared" si="4"/>
        <v>1695365</v>
      </c>
      <c r="K19" s="373">
        <f>+H19/J19</f>
        <v>0.49801901065552256</v>
      </c>
    </row>
    <row r="20" spans="1:11">
      <c r="A20" s="1" t="s">
        <v>273</v>
      </c>
      <c r="B20" s="129">
        <v>0</v>
      </c>
      <c r="C20" s="92">
        <v>456305</v>
      </c>
      <c r="D20" s="366">
        <f t="shared" si="3"/>
        <v>456305</v>
      </c>
      <c r="E20" s="136">
        <v>0</v>
      </c>
      <c r="F20"/>
      <c r="G20"/>
      <c r="H20" s="129">
        <v>0</v>
      </c>
      <c r="I20" s="92">
        <v>357956</v>
      </c>
      <c r="J20" s="366">
        <f t="shared" si="4"/>
        <v>357956</v>
      </c>
      <c r="K20" s="136">
        <v>0</v>
      </c>
    </row>
    <row r="21" spans="1:11" ht="18">
      <c r="A21" s="1" t="s">
        <v>274</v>
      </c>
      <c r="B21" s="130">
        <v>60356</v>
      </c>
      <c r="C21" s="137">
        <v>99182</v>
      </c>
      <c r="D21" s="367">
        <f t="shared" si="3"/>
        <v>159538</v>
      </c>
      <c r="E21" s="373">
        <f>+B21/D21</f>
        <v>0.37831739146786347</v>
      </c>
      <c r="F21"/>
      <c r="G21"/>
      <c r="H21" s="130">
        <v>56326</v>
      </c>
      <c r="I21" s="137">
        <v>215706</v>
      </c>
      <c r="J21" s="367">
        <f t="shared" si="4"/>
        <v>272032</v>
      </c>
      <c r="K21" s="373">
        <f>+H21/J21</f>
        <v>0.20705652276202799</v>
      </c>
    </row>
    <row r="22" spans="1:11">
      <c r="A22" s="1" t="s">
        <v>275</v>
      </c>
      <c r="B22" s="132">
        <f>SUM(B15:B21)</f>
        <v>1611156</v>
      </c>
      <c r="C22" s="95">
        <f>SUM(C15:C21)</f>
        <v>3789940</v>
      </c>
      <c r="D22" s="368">
        <f t="shared" si="3"/>
        <v>5401096</v>
      </c>
      <c r="E22" s="431">
        <f>+B22/D22</f>
        <v>0.29830167802979246</v>
      </c>
      <c r="F22"/>
      <c r="G22"/>
      <c r="H22" s="132">
        <f>SUM(H15:H21)</f>
        <v>1416936</v>
      </c>
      <c r="I22" s="95">
        <f>SUM(I15:I21)</f>
        <v>3760301</v>
      </c>
      <c r="J22" s="368">
        <f t="shared" si="4"/>
        <v>5177237</v>
      </c>
      <c r="K22" s="431">
        <f>+H22/J22</f>
        <v>0.27368575168569642</v>
      </c>
    </row>
    <row r="23" spans="1:11" ht="7.9" customHeight="1">
      <c r="A23" s="1"/>
      <c r="B23" s="129"/>
      <c r="C23" s="93" t="s">
        <v>0</v>
      </c>
      <c r="D23" s="366"/>
      <c r="E23" s="373" t="s">
        <v>0</v>
      </c>
      <c r="F23"/>
      <c r="G23"/>
      <c r="H23" s="129"/>
      <c r="I23" s="93" t="s">
        <v>0</v>
      </c>
      <c r="J23" s="371" t="s">
        <v>0</v>
      </c>
      <c r="K23" s="373" t="s">
        <v>0</v>
      </c>
    </row>
    <row r="24" spans="1:11">
      <c r="A24" s="87" t="s">
        <v>276</v>
      </c>
      <c r="B24" s="129"/>
      <c r="C24" s="93" t="s">
        <v>0</v>
      </c>
      <c r="D24" s="366"/>
      <c r="E24" s="373" t="s">
        <v>0</v>
      </c>
      <c r="F24"/>
      <c r="G24"/>
      <c r="H24" s="129"/>
      <c r="I24" s="93" t="s">
        <v>0</v>
      </c>
      <c r="J24" s="371" t="s">
        <v>0</v>
      </c>
      <c r="K24" s="373" t="s">
        <v>0</v>
      </c>
    </row>
    <row r="25" spans="1:11">
      <c r="A25" s="1" t="s">
        <v>277</v>
      </c>
      <c r="B25" s="129"/>
      <c r="C25" s="93" t="s">
        <v>0</v>
      </c>
      <c r="D25" s="366"/>
      <c r="E25" s="373" t="s">
        <v>0</v>
      </c>
      <c r="F25"/>
      <c r="G25"/>
      <c r="H25" s="129"/>
      <c r="I25" s="93" t="s">
        <v>0</v>
      </c>
      <c r="J25" s="371" t="s">
        <v>0</v>
      </c>
      <c r="K25" s="373" t="s">
        <v>0</v>
      </c>
    </row>
    <row r="26" spans="1:11">
      <c r="A26" s="1" t="s">
        <v>278</v>
      </c>
      <c r="B26" s="129">
        <v>344431</v>
      </c>
      <c r="C26" s="92">
        <v>730723</v>
      </c>
      <c r="D26" s="366">
        <f>SUM(B26:C26)</f>
        <v>1075154</v>
      </c>
      <c r="E26" s="373">
        <f>+B26/D26</f>
        <v>0.32035503751090544</v>
      </c>
      <c r="F26"/>
      <c r="G26"/>
      <c r="H26" s="129">
        <v>331788</v>
      </c>
      <c r="I26" s="92">
        <v>779489</v>
      </c>
      <c r="J26" s="366">
        <f>SUM(H26:I26)</f>
        <v>1111277</v>
      </c>
      <c r="K26" s="373">
        <f>+H26/J26</f>
        <v>0.29856462430159175</v>
      </c>
    </row>
    <row r="27" spans="1:11">
      <c r="A27" s="1" t="s">
        <v>279</v>
      </c>
      <c r="B27" s="129">
        <v>584331</v>
      </c>
      <c r="C27" s="92">
        <v>1760949</v>
      </c>
      <c r="D27" s="366">
        <f>SUM(B27:C27)</f>
        <v>2345280</v>
      </c>
      <c r="E27" s="373">
        <f>+B27/D27</f>
        <v>0.24915191363078182</v>
      </c>
      <c r="F27"/>
      <c r="G27"/>
      <c r="H27" s="129">
        <v>559357</v>
      </c>
      <c r="I27" s="92">
        <v>1747736</v>
      </c>
      <c r="J27" s="366">
        <f>SUM(H27:I27)</f>
        <v>2307093</v>
      </c>
      <c r="K27" s="373">
        <f>+H27/J27</f>
        <v>0.24245099785747692</v>
      </c>
    </row>
    <row r="28" spans="1:11" ht="18">
      <c r="A28" s="1" t="s">
        <v>280</v>
      </c>
      <c r="B28" s="130">
        <v>506296</v>
      </c>
      <c r="C28" s="137">
        <v>711839</v>
      </c>
      <c r="D28" s="367">
        <f>SUM(B28:C28)</f>
        <v>1218135</v>
      </c>
      <c r="E28" s="373">
        <f>+B28/D28</f>
        <v>0.41563209332298967</v>
      </c>
      <c r="F28"/>
      <c r="G28"/>
      <c r="H28" s="130">
        <v>440577</v>
      </c>
      <c r="I28" s="137">
        <v>714492</v>
      </c>
      <c r="J28" s="367">
        <f>SUM(H28:I28)</f>
        <v>1155069</v>
      </c>
      <c r="K28" s="373">
        <f>+H28/J28</f>
        <v>0.38142916137477501</v>
      </c>
    </row>
    <row r="29" spans="1:11">
      <c r="A29" s="1"/>
      <c r="B29" s="129">
        <f>SUM(B26:B28)</f>
        <v>1435058</v>
      </c>
      <c r="C29" s="92">
        <f>SUM(C26:C28)</f>
        <v>3203511</v>
      </c>
      <c r="D29" s="366">
        <f>SUM(B29:C29)</f>
        <v>4638569</v>
      </c>
      <c r="E29" s="373">
        <f>+B29/D29</f>
        <v>0.30937515427710571</v>
      </c>
      <c r="F29"/>
      <c r="G29"/>
      <c r="H29" s="129">
        <f>SUM(H26:H28)</f>
        <v>1331722</v>
      </c>
      <c r="I29" s="92">
        <f>SUM(I26:I28)</f>
        <v>3241717</v>
      </c>
      <c r="J29" s="366">
        <f>SUM(H29:I29)</f>
        <v>4573439</v>
      </c>
      <c r="K29" s="373">
        <f>+H29/J29</f>
        <v>0.29118612930007376</v>
      </c>
    </row>
    <row r="30" spans="1:11" ht="7.9" customHeight="1">
      <c r="A30" s="1"/>
      <c r="B30" s="129"/>
      <c r="C30" s="93" t="s">
        <v>0</v>
      </c>
      <c r="D30" s="366"/>
      <c r="E30" s="373" t="s">
        <v>0</v>
      </c>
      <c r="F30"/>
      <c r="G30"/>
      <c r="H30" s="129"/>
      <c r="I30" s="93" t="s">
        <v>0</v>
      </c>
      <c r="J30" s="371" t="s">
        <v>0</v>
      </c>
      <c r="K30" s="373" t="s">
        <v>0</v>
      </c>
    </row>
    <row r="31" spans="1:11">
      <c r="A31" s="1" t="s">
        <v>281</v>
      </c>
      <c r="B31" s="129"/>
      <c r="C31" s="93" t="s">
        <v>0</v>
      </c>
      <c r="D31" s="366"/>
      <c r="E31" s="373" t="s">
        <v>0</v>
      </c>
      <c r="F31"/>
      <c r="G31"/>
      <c r="H31" s="129"/>
      <c r="I31" s="93" t="s">
        <v>0</v>
      </c>
      <c r="J31" s="371" t="s">
        <v>0</v>
      </c>
      <c r="K31" s="373" t="s">
        <v>0</v>
      </c>
    </row>
    <row r="32" spans="1:11">
      <c r="A32" s="1" t="s">
        <v>282</v>
      </c>
      <c r="B32" s="129">
        <v>0</v>
      </c>
      <c r="C32" s="92">
        <v>0</v>
      </c>
      <c r="D32" s="366">
        <f>SUM(B32:C32)</f>
        <v>0</v>
      </c>
      <c r="E32" s="136">
        <v>0</v>
      </c>
      <c r="F32"/>
      <c r="G32"/>
      <c r="H32" s="129">
        <v>0</v>
      </c>
      <c r="I32" s="92">
        <v>0</v>
      </c>
      <c r="J32" s="371">
        <f>SUM(H32:I32)</f>
        <v>0</v>
      </c>
      <c r="K32" s="136">
        <v>0</v>
      </c>
    </row>
    <row r="33" spans="1:15">
      <c r="A33" s="1" t="s">
        <v>283</v>
      </c>
      <c r="B33" s="129">
        <v>0</v>
      </c>
      <c r="C33" s="93">
        <v>0</v>
      </c>
      <c r="D33" s="366">
        <f>SUM(B33:C33)</f>
        <v>0</v>
      </c>
      <c r="E33" s="136">
        <v>0</v>
      </c>
      <c r="F33"/>
      <c r="G33"/>
      <c r="H33" s="129">
        <v>0</v>
      </c>
      <c r="I33" s="93">
        <v>0</v>
      </c>
      <c r="J33" s="371">
        <f>SUM(H33:I33)</f>
        <v>0</v>
      </c>
      <c r="K33" s="136">
        <v>0</v>
      </c>
    </row>
    <row r="34" spans="1:15" ht="18">
      <c r="A34" s="1" t="s">
        <v>284</v>
      </c>
      <c r="B34" s="130">
        <v>31522</v>
      </c>
      <c r="C34" s="137">
        <v>75022</v>
      </c>
      <c r="D34" s="367">
        <f>SUM(B34:C34)</f>
        <v>106544</v>
      </c>
      <c r="E34" s="373">
        <f>+B34/D34</f>
        <v>0.29585898783601139</v>
      </c>
      <c r="F34"/>
      <c r="G34"/>
      <c r="H34" s="130">
        <v>10409</v>
      </c>
      <c r="I34" s="137">
        <v>85206</v>
      </c>
      <c r="J34" s="367">
        <f>SUM(H34:I34)</f>
        <v>95615</v>
      </c>
      <c r="K34" s="373">
        <f>+H34/J34</f>
        <v>0.10886367201798881</v>
      </c>
      <c r="L34" s="6"/>
      <c r="M34" s="7"/>
      <c r="N34" s="7"/>
      <c r="O34" s="7"/>
    </row>
    <row r="35" spans="1:15">
      <c r="A35" s="1"/>
      <c r="B35" s="129">
        <f>SUM(B32:B34)</f>
        <v>31522</v>
      </c>
      <c r="C35" s="92">
        <f>SUM(C32:C34)</f>
        <v>75022</v>
      </c>
      <c r="D35" s="366">
        <f>SUM(B35:C35)</f>
        <v>106544</v>
      </c>
      <c r="E35" s="373">
        <f>+B35/D35</f>
        <v>0.29585898783601139</v>
      </c>
      <c r="F35"/>
      <c r="G35"/>
      <c r="H35" s="129">
        <f>SUM(H32:H34)</f>
        <v>10409</v>
      </c>
      <c r="I35" s="92">
        <f>SUM(I32:I34)</f>
        <v>85206</v>
      </c>
      <c r="J35" s="366">
        <f>SUM(H35:I35)</f>
        <v>95615</v>
      </c>
      <c r="K35" s="373">
        <f>+H35/J35</f>
        <v>0.10886367201798881</v>
      </c>
    </row>
    <row r="36" spans="1:15" ht="7.15" customHeight="1">
      <c r="A36" s="1"/>
      <c r="B36" s="129"/>
      <c r="C36" s="93" t="s">
        <v>0</v>
      </c>
      <c r="D36" s="366"/>
      <c r="E36" s="373" t="s">
        <v>275</v>
      </c>
      <c r="F36"/>
      <c r="G36"/>
      <c r="H36" s="129"/>
      <c r="I36" s="93" t="s">
        <v>0</v>
      </c>
      <c r="J36" s="371" t="s">
        <v>0</v>
      </c>
      <c r="K36" s="373" t="s">
        <v>275</v>
      </c>
    </row>
    <row r="37" spans="1:15">
      <c r="A37" s="1" t="s">
        <v>285</v>
      </c>
      <c r="B37" s="129"/>
      <c r="C37" s="93" t="s">
        <v>0</v>
      </c>
      <c r="D37" s="366"/>
      <c r="E37" s="373" t="s">
        <v>0</v>
      </c>
      <c r="F37"/>
      <c r="G37"/>
      <c r="H37" s="129"/>
      <c r="I37" s="93" t="s">
        <v>0</v>
      </c>
      <c r="J37" s="371" t="s">
        <v>0</v>
      </c>
      <c r="K37" s="373" t="s">
        <v>0</v>
      </c>
    </row>
    <row r="38" spans="1:15">
      <c r="A38" s="1" t="s">
        <v>282</v>
      </c>
      <c r="B38" s="129">
        <v>0</v>
      </c>
      <c r="C38" s="92">
        <v>143000</v>
      </c>
      <c r="D38" s="366">
        <f>SUM(B38:C38)</f>
        <v>143000</v>
      </c>
      <c r="E38" s="136">
        <v>0</v>
      </c>
      <c r="F38"/>
      <c r="G38"/>
      <c r="H38" s="129">
        <v>0</v>
      </c>
      <c r="I38" s="92">
        <v>180</v>
      </c>
      <c r="J38" s="371">
        <f>SUM(H38:I38)</f>
        <v>180</v>
      </c>
      <c r="K38" s="136">
        <v>0</v>
      </c>
    </row>
    <row r="39" spans="1:15">
      <c r="A39" s="1" t="s">
        <v>286</v>
      </c>
      <c r="B39" s="129">
        <v>0</v>
      </c>
      <c r="C39" s="93">
        <v>0</v>
      </c>
      <c r="D39" s="366">
        <f>SUM(B39:C39)</f>
        <v>0</v>
      </c>
      <c r="E39" s="136">
        <v>0</v>
      </c>
      <c r="F39"/>
      <c r="G39"/>
      <c r="H39" s="129">
        <v>0</v>
      </c>
      <c r="I39" s="93">
        <v>0</v>
      </c>
      <c r="J39" s="371">
        <f>SUM(H39:I39)</f>
        <v>0</v>
      </c>
      <c r="K39" s="136">
        <v>0</v>
      </c>
    </row>
    <row r="40" spans="1:15" ht="18">
      <c r="A40" s="1" t="s">
        <v>284</v>
      </c>
      <c r="B40" s="130">
        <v>38994</v>
      </c>
      <c r="C40" s="137">
        <v>32224</v>
      </c>
      <c r="D40" s="367">
        <f>SUM(B40:C40)</f>
        <v>71218</v>
      </c>
      <c r="E40" s="373">
        <f>+B40/D40</f>
        <v>0.54753011879019353</v>
      </c>
      <c r="F40"/>
      <c r="G40"/>
      <c r="H40" s="130">
        <v>35669</v>
      </c>
      <c r="I40" s="137">
        <f>45385-181</f>
        <v>45204</v>
      </c>
      <c r="J40" s="367">
        <f>SUM(H40:I40)</f>
        <v>80873</v>
      </c>
      <c r="K40" s="373">
        <f>+H40/J40</f>
        <v>0.44104954682032321</v>
      </c>
    </row>
    <row r="41" spans="1:15">
      <c r="A41" s="1"/>
      <c r="B41" s="129">
        <f>SUM(B38:B40)</f>
        <v>38994</v>
      </c>
      <c r="C41" s="92">
        <f>SUM(C38:C40)</f>
        <v>175224</v>
      </c>
      <c r="D41" s="366">
        <f>SUM(B41:C41)</f>
        <v>214218</v>
      </c>
      <c r="E41" s="373">
        <f>+B41/D41</f>
        <v>0.18202952132873987</v>
      </c>
      <c r="F41"/>
      <c r="G41"/>
      <c r="H41" s="129">
        <f>SUM(H38:H40)</f>
        <v>35669</v>
      </c>
      <c r="I41" s="92">
        <f>SUM(I38:I40)</f>
        <v>45384</v>
      </c>
      <c r="J41" s="366">
        <f>SUM(H41:I41)</f>
        <v>81053</v>
      </c>
      <c r="K41" s="373">
        <f>+H41/J41</f>
        <v>0.44007007760354339</v>
      </c>
    </row>
    <row r="42" spans="1:15" ht="8.4499999999999993" customHeight="1">
      <c r="A42" s="1"/>
      <c r="B42" s="129"/>
      <c r="C42" s="93" t="s">
        <v>0</v>
      </c>
      <c r="D42" s="366"/>
      <c r="E42" s="373" t="s">
        <v>0</v>
      </c>
      <c r="F42"/>
      <c r="G42"/>
      <c r="H42" s="129"/>
      <c r="I42" s="93" t="s">
        <v>0</v>
      </c>
      <c r="J42" s="371" t="s">
        <v>0</v>
      </c>
      <c r="K42" s="373" t="s">
        <v>0</v>
      </c>
    </row>
    <row r="43" spans="1:15" ht="18">
      <c r="A43" s="1" t="s">
        <v>287</v>
      </c>
      <c r="B43" s="130">
        <v>58726</v>
      </c>
      <c r="C43" s="137">
        <v>22685</v>
      </c>
      <c r="D43" s="367">
        <f>SUM(B43:C43)</f>
        <v>81411</v>
      </c>
      <c r="E43" s="373">
        <f>+B43/D43</f>
        <v>0.72135215142916809</v>
      </c>
      <c r="F43"/>
      <c r="G43"/>
      <c r="H43" s="130">
        <f>-123+39154+12473</f>
        <v>51504</v>
      </c>
      <c r="I43" s="137">
        <v>22793</v>
      </c>
      <c r="J43" s="367">
        <f>SUM(H43:I43)</f>
        <v>74297</v>
      </c>
      <c r="K43" s="373">
        <f>+H43/J43</f>
        <v>0.69321776114782563</v>
      </c>
      <c r="L43" s="6"/>
    </row>
    <row r="44" spans="1:15">
      <c r="A44" s="1"/>
      <c r="B44" s="129">
        <f>+B29+B35+B41+B43</f>
        <v>1564300</v>
      </c>
      <c r="C44" s="92">
        <f>+C29+C35+C41+C43</f>
        <v>3476442</v>
      </c>
      <c r="D44" s="366">
        <f>SUM(B44:C44)</f>
        <v>5040742</v>
      </c>
      <c r="E44" s="373">
        <f>+B44/D44</f>
        <v>0.31033129646389362</v>
      </c>
      <c r="F44"/>
      <c r="G44"/>
      <c r="H44" s="129">
        <f>+H29+H35+H41+H43</f>
        <v>1429304</v>
      </c>
      <c r="I44" s="92">
        <f>+I29+I35+I41+I43</f>
        <v>3395100</v>
      </c>
      <c r="J44" s="366">
        <f>SUM(H44:I44)</f>
        <v>4824404</v>
      </c>
      <c r="K44" s="373">
        <f>+H44/J44</f>
        <v>0.29626540397528894</v>
      </c>
    </row>
    <row r="45" spans="1:15" ht="8.4499999999999993" customHeight="1">
      <c r="A45" s="1"/>
      <c r="B45" s="129"/>
      <c r="C45" s="93" t="s">
        <v>0</v>
      </c>
      <c r="D45" s="366"/>
      <c r="E45" s="373" t="s">
        <v>0</v>
      </c>
      <c r="F45"/>
      <c r="G45"/>
      <c r="H45" s="129"/>
      <c r="I45" s="93" t="s">
        <v>0</v>
      </c>
      <c r="J45" s="371" t="s">
        <v>0</v>
      </c>
      <c r="K45" s="373" t="s">
        <v>0</v>
      </c>
    </row>
    <row r="46" spans="1:15">
      <c r="A46" s="87" t="s">
        <v>288</v>
      </c>
      <c r="B46" s="129"/>
      <c r="C46" s="93" t="s">
        <v>0</v>
      </c>
      <c r="D46" s="366"/>
      <c r="E46" s="373" t="s">
        <v>0</v>
      </c>
      <c r="F46"/>
      <c r="G46"/>
      <c r="H46" s="129"/>
      <c r="I46" s="93" t="s">
        <v>0</v>
      </c>
      <c r="J46" s="371" t="s">
        <v>0</v>
      </c>
      <c r="K46" s="373" t="s">
        <v>0</v>
      </c>
    </row>
    <row r="47" spans="1:15">
      <c r="A47" s="1" t="s">
        <v>289</v>
      </c>
      <c r="B47" s="129">
        <v>0</v>
      </c>
      <c r="C47" s="92">
        <v>207935</v>
      </c>
      <c r="D47" s="366">
        <f>SUM(B47:C47)</f>
        <v>207935</v>
      </c>
      <c r="E47" s="136">
        <f>+B47/D47</f>
        <v>0</v>
      </c>
      <c r="F47"/>
      <c r="G47"/>
      <c r="H47" s="129">
        <v>0</v>
      </c>
      <c r="I47" s="92">
        <v>207810</v>
      </c>
      <c r="J47" s="366">
        <f>SUM(H47:I47)</f>
        <v>207810</v>
      </c>
      <c r="K47" s="136">
        <f>+H47/J47</f>
        <v>0</v>
      </c>
    </row>
    <row r="48" spans="1:15">
      <c r="A48" s="1" t="s">
        <v>290</v>
      </c>
      <c r="B48" s="129">
        <v>0</v>
      </c>
      <c r="C48" s="92">
        <v>32581</v>
      </c>
      <c r="D48" s="366">
        <f>SUM(B48:C48)</f>
        <v>32581</v>
      </c>
      <c r="E48" s="136">
        <v>0</v>
      </c>
      <c r="F48"/>
      <c r="G48"/>
      <c r="H48" s="129">
        <v>0</v>
      </c>
      <c r="I48" s="92">
        <v>26569</v>
      </c>
      <c r="J48" s="366">
        <f>SUM(H48:I48)</f>
        <v>26569</v>
      </c>
      <c r="K48" s="136">
        <v>0</v>
      </c>
    </row>
    <row r="49" spans="1:15">
      <c r="A49" s="1" t="s">
        <v>302</v>
      </c>
      <c r="B49" s="129"/>
      <c r="C49" s="92">
        <v>56105</v>
      </c>
      <c r="D49" s="366">
        <f>SUM(B49:C49)</f>
        <v>56105</v>
      </c>
      <c r="E49" s="136">
        <v>0</v>
      </c>
      <c r="F49"/>
      <c r="G49"/>
      <c r="H49" s="129"/>
      <c r="I49" s="92">
        <v>55819</v>
      </c>
      <c r="J49" s="371">
        <v>0</v>
      </c>
      <c r="K49" s="136">
        <v>0</v>
      </c>
    </row>
    <row r="50" spans="1:15" ht="18">
      <c r="A50" s="1" t="s">
        <v>292</v>
      </c>
      <c r="B50" s="130">
        <v>0</v>
      </c>
      <c r="C50" s="137">
        <v>63733</v>
      </c>
      <c r="D50" s="940">
        <f>SUM(B50:C50)</f>
        <v>63733</v>
      </c>
      <c r="E50" s="136">
        <v>0</v>
      </c>
      <c r="F50"/>
      <c r="G50"/>
      <c r="H50" s="130">
        <v>0</v>
      </c>
      <c r="I50" s="137">
        <v>62635</v>
      </c>
      <c r="J50" s="367">
        <f>SUM(H50:I50)</f>
        <v>62635</v>
      </c>
      <c r="K50" s="136">
        <v>0</v>
      </c>
      <c r="L50" s="6"/>
      <c r="M50" s="7"/>
      <c r="N50" s="7"/>
      <c r="O50" s="7"/>
    </row>
    <row r="51" spans="1:15">
      <c r="A51" s="1" t="s">
        <v>275</v>
      </c>
      <c r="B51" s="129">
        <f>SUM(B47:B50)</f>
        <v>0</v>
      </c>
      <c r="C51" s="92">
        <f>SUM(C47:C50)</f>
        <v>360354</v>
      </c>
      <c r="D51" s="366">
        <f>SUM(B51:C51)</f>
        <v>360354</v>
      </c>
      <c r="E51" s="136">
        <v>0</v>
      </c>
      <c r="F51"/>
      <c r="G51"/>
      <c r="H51" s="129">
        <f>SUM(H47:H50)</f>
        <v>0</v>
      </c>
      <c r="I51" s="92">
        <f>SUM(I47:I50)</f>
        <v>352833</v>
      </c>
      <c r="J51" s="366">
        <f>SUM(H51:I51)</f>
        <v>352833</v>
      </c>
      <c r="K51" s="136">
        <v>0</v>
      </c>
    </row>
    <row r="52" spans="1:15">
      <c r="A52" s="1" t="s">
        <v>0</v>
      </c>
      <c r="B52" s="129"/>
      <c r="C52" s="93" t="s">
        <v>0</v>
      </c>
      <c r="D52" s="366"/>
      <c r="E52" s="373" t="s">
        <v>0</v>
      </c>
      <c r="F52"/>
      <c r="G52"/>
      <c r="H52" s="129"/>
      <c r="I52" s="93" t="s">
        <v>0</v>
      </c>
      <c r="J52" s="371" t="s">
        <v>0</v>
      </c>
      <c r="K52" s="373" t="s">
        <v>0</v>
      </c>
    </row>
    <row r="53" spans="1:15" ht="16.5" thickBot="1">
      <c r="A53" s="1" t="s">
        <v>0</v>
      </c>
      <c r="B53" s="133">
        <f>+B29+B35+B41+B43+B51</f>
        <v>1564300</v>
      </c>
      <c r="C53" s="134">
        <f>+C29+C35+C41+C43+C51</f>
        <v>3836796</v>
      </c>
      <c r="D53" s="369">
        <f>SUM(B53:C53)</f>
        <v>5401096</v>
      </c>
      <c r="E53" s="430">
        <f>+B53/D53</f>
        <v>0.28962640175253318</v>
      </c>
      <c r="F53"/>
      <c r="G53"/>
      <c r="H53" s="133">
        <f>+H29+H35+H41+H43+H51</f>
        <v>1429304</v>
      </c>
      <c r="I53" s="134">
        <f>+I29+I35+I41+I43+I51</f>
        <v>3747933</v>
      </c>
      <c r="J53" s="369">
        <f>SUM(H53:I53)</f>
        <v>5177237</v>
      </c>
      <c r="K53" s="430">
        <f>+H53/J53</f>
        <v>0.27607467071721847</v>
      </c>
    </row>
    <row r="54" spans="1:15" ht="16.5" thickTop="1">
      <c r="A54" s="1"/>
      <c r="B54" s="95"/>
      <c r="C54" s="95"/>
      <c r="D54" s="384"/>
      <c r="E54" s="261"/>
      <c r="F54"/>
      <c r="G54"/>
      <c r="H54" s="95"/>
      <c r="I54" s="95"/>
      <c r="J54" s="384"/>
      <c r="K54" s="254"/>
    </row>
    <row r="55" spans="1:15">
      <c r="A55" s="1"/>
      <c r="B55" s="91" t="s">
        <v>634</v>
      </c>
      <c r="C55"/>
      <c r="D55" s="91"/>
      <c r="E55" s="100" t="s">
        <v>0</v>
      </c>
      <c r="F55"/>
      <c r="G55"/>
      <c r="H55" s="91" t="s">
        <v>530</v>
      </c>
      <c r="I55"/>
      <c r="J55" s="89" t="s">
        <v>0</v>
      </c>
    </row>
    <row r="56" spans="1:15">
      <c r="C56" s="43"/>
      <c r="E56" s="115" t="s">
        <v>0</v>
      </c>
      <c r="F56"/>
      <c r="G56"/>
      <c r="H56"/>
      <c r="J56" s="43"/>
    </row>
    <row r="57" spans="1:15">
      <c r="A57" s="18" t="s">
        <v>319</v>
      </c>
      <c r="C57" s="43"/>
      <c r="E57" s="115" t="s">
        <v>0</v>
      </c>
      <c r="F57"/>
      <c r="G57"/>
      <c r="H57"/>
      <c r="J57" s="43"/>
    </row>
    <row r="58" spans="1:15">
      <c r="A58" t="s">
        <v>294</v>
      </c>
      <c r="B58" s="12">
        <v>0</v>
      </c>
      <c r="C58" s="12">
        <f>1544850/1000</f>
        <v>1544.85</v>
      </c>
      <c r="D58" s="12">
        <f>+B58+C58</f>
        <v>1544.85</v>
      </c>
      <c r="E58" s="115" t="s">
        <v>0</v>
      </c>
      <c r="F58"/>
      <c r="G58"/>
      <c r="H58" s="3">
        <v>0</v>
      </c>
      <c r="I58" s="12">
        <f>92608/1000</f>
        <v>92.608000000000004</v>
      </c>
      <c r="J58" s="12">
        <f>+H58+I58</f>
        <v>92.608000000000004</v>
      </c>
    </row>
    <row r="59" spans="1:15">
      <c r="A59" t="s">
        <v>295</v>
      </c>
      <c r="B59" s="12">
        <v>0</v>
      </c>
      <c r="C59" s="12">
        <f>75343919/1000</f>
        <v>75343.918999999994</v>
      </c>
      <c r="D59" s="12">
        <f>+B59+C59</f>
        <v>75343.918999999994</v>
      </c>
      <c r="E59" s="115" t="s">
        <v>0</v>
      </c>
      <c r="F59"/>
      <c r="G59"/>
      <c r="H59" s="3">
        <v>0</v>
      </c>
      <c r="I59" s="12">
        <f>33944270/1000</f>
        <v>33944.269999999997</v>
      </c>
      <c r="J59" s="12">
        <f>+H59+I59</f>
        <v>33944.269999999997</v>
      </c>
    </row>
    <row r="60" spans="1:15">
      <c r="A60" t="s">
        <v>284</v>
      </c>
      <c r="B60" s="12">
        <v>0</v>
      </c>
      <c r="C60" s="12">
        <f>+(8073131+114412046)/1000</f>
        <v>122485.177</v>
      </c>
      <c r="D60" s="12">
        <f>+B60+C60</f>
        <v>122485.177</v>
      </c>
      <c r="E60" s="115" t="s">
        <v>0</v>
      </c>
      <c r="F60"/>
      <c r="G60"/>
      <c r="H60" s="3">
        <v>0</v>
      </c>
      <c r="I60" s="12">
        <f>10341383/1000</f>
        <v>10341.383</v>
      </c>
      <c r="J60" s="12">
        <f>+H60+I60</f>
        <v>10341.383</v>
      </c>
    </row>
    <row r="61" spans="1:15">
      <c r="C61" s="43"/>
      <c r="E61" s="115" t="s">
        <v>0</v>
      </c>
      <c r="F61"/>
      <c r="G61"/>
      <c r="H61"/>
      <c r="J61" s="43"/>
    </row>
    <row r="62" spans="1:15" ht="18.75">
      <c r="A62" s="122" t="s">
        <v>303</v>
      </c>
      <c r="B62" s="12">
        <f>+'sogebkcomp '!B60</f>
        <v>1811936</v>
      </c>
      <c r="C62" s="43"/>
      <c r="E62" s="115" t="s">
        <v>0</v>
      </c>
      <c r="F62"/>
      <c r="G62"/>
      <c r="H62" s="41">
        <v>0</v>
      </c>
      <c r="I62" s="43">
        <v>0</v>
      </c>
      <c r="J62" s="12">
        <f>J63+J19</f>
        <v>1728546.3019999999</v>
      </c>
    </row>
    <row r="63" spans="1:15">
      <c r="A63" t="s">
        <v>217</v>
      </c>
      <c r="B63" s="12">
        <f>+'sogebkcomp '!B61</f>
        <v>81007</v>
      </c>
      <c r="C63" s="43"/>
      <c r="E63" s="115" t="s">
        <v>0</v>
      </c>
      <c r="F63"/>
      <c r="G63"/>
      <c r="H63" s="41">
        <v>0</v>
      </c>
      <c r="I63" s="43">
        <v>0</v>
      </c>
      <c r="J63" s="12">
        <f>33181302/1000</f>
        <v>33181.302000000003</v>
      </c>
    </row>
    <row r="64" spans="1:15">
      <c r="A64" t="s">
        <v>320</v>
      </c>
      <c r="B64" s="12">
        <f>+'sogebkcomp '!B62</f>
        <v>148920.70000000001</v>
      </c>
      <c r="C64" s="43"/>
      <c r="E64" s="115" t="s">
        <v>0</v>
      </c>
      <c r="F64"/>
      <c r="G64"/>
      <c r="H64" s="41">
        <v>0</v>
      </c>
      <c r="I64" s="43">
        <v>0</v>
      </c>
      <c r="J64" s="12">
        <f>22636431/1000</f>
        <v>22636.431</v>
      </c>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sheetData>
  <pageMargins left="0.7" right="0.28999999999999998" top="0.56999999999999995" bottom="0.62" header="0.38" footer="0.38"/>
  <pageSetup scale="63" orientation="landscape" r:id="rId1"/>
  <headerFooter alignWithMargins="0">
    <oddFooter>&amp;R&amp;P</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21"/>
  <sheetViews>
    <sheetView workbookViewId="0"/>
  </sheetViews>
  <sheetFormatPr defaultRowHeight="15.75"/>
  <cols>
    <col min="1" max="1" width="50" customWidth="1"/>
    <col min="2" max="2" width="15.75" style="27" customWidth="1"/>
    <col min="3" max="3" width="8.7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 style="27" customWidth="1"/>
    <col min="14" max="14" width="15.75" style="27" customWidth="1"/>
    <col min="15" max="15" width="11" style="27" customWidth="1"/>
    <col min="16" max="16" width="15.75" style="27" customWidth="1"/>
    <col min="17" max="17" width="11" style="27" customWidth="1"/>
    <col min="18" max="18" width="15.75" style="27" customWidth="1"/>
    <col min="19" max="19" width="11" style="27" customWidth="1"/>
    <col min="20" max="20" width="16.25" style="27" customWidth="1"/>
    <col min="21" max="21" width="13.125" style="27" customWidth="1"/>
    <col min="22" max="256" width="11" customWidth="1"/>
  </cols>
  <sheetData>
    <row r="1" spans="1:22">
      <c r="A1" s="114" t="s">
        <v>646</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6" spans="1:22" s="2" customFormat="1" ht="16.5" thickBot="1">
      <c r="B6" s="333" t="s">
        <v>185</v>
      </c>
      <c r="C6" s="413"/>
      <c r="D6" s="413"/>
      <c r="E6" s="413"/>
      <c r="F6" s="413"/>
      <c r="G6" s="413"/>
      <c r="H6" s="413"/>
      <c r="I6" s="401"/>
      <c r="J6" s="333" t="s">
        <v>174</v>
      </c>
      <c r="K6" s="413"/>
      <c r="L6" s="413"/>
      <c r="M6" s="413"/>
      <c r="N6" s="413"/>
      <c r="O6" s="413"/>
      <c r="P6" s="413"/>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7" t="s">
        <v>0</v>
      </c>
      <c r="D9" s="29" t="s">
        <v>0</v>
      </c>
      <c r="E9" s="29" t="s">
        <v>0</v>
      </c>
      <c r="F9" s="29" t="s">
        <v>0</v>
      </c>
      <c r="G9" s="29" t="s">
        <v>0</v>
      </c>
      <c r="H9" s="29" t="s">
        <v>0</v>
      </c>
      <c r="I9" s="29" t="s">
        <v>0</v>
      </c>
      <c r="J9" s="16" t="s">
        <v>0</v>
      </c>
      <c r="K9" s="47" t="s">
        <v>0</v>
      </c>
      <c r="L9" s="16" t="s">
        <v>0</v>
      </c>
      <c r="M9" s="47" t="s">
        <v>0</v>
      </c>
      <c r="N9" s="16" t="s">
        <v>0</v>
      </c>
      <c r="O9" s="47" t="s">
        <v>0</v>
      </c>
      <c r="P9" s="16" t="s">
        <v>0</v>
      </c>
      <c r="Q9" s="29" t="s">
        <v>0</v>
      </c>
      <c r="R9" s="29" t="s">
        <v>0</v>
      </c>
      <c r="T9" s="29" t="s">
        <v>0</v>
      </c>
    </row>
    <row r="10" spans="1:22">
      <c r="A10" t="s">
        <v>330</v>
      </c>
      <c r="B10" s="12">
        <f>+B50</f>
        <v>71582.3</v>
      </c>
      <c r="C10" s="43">
        <v>0</v>
      </c>
      <c r="D10" s="12">
        <f>+F50</f>
        <v>0</v>
      </c>
      <c r="E10" s="43">
        <v>0</v>
      </c>
      <c r="F10" s="12">
        <f>+J50</f>
        <v>0</v>
      </c>
      <c r="G10" s="43">
        <v>0</v>
      </c>
      <c r="H10" s="12">
        <f>+N50</f>
        <v>0</v>
      </c>
      <c r="J10" s="12">
        <f>+D50</f>
        <v>57859.399999999994</v>
      </c>
      <c r="K10" s="46">
        <f t="shared" ref="K10:K15" si="0">+(-J10+L10)/ABS(J10)</f>
        <v>0.11141664102980688</v>
      </c>
      <c r="L10" s="12">
        <f>+H50</f>
        <v>64305.9</v>
      </c>
      <c r="M10" s="46">
        <f t="shared" ref="M10:M15" si="1">+(-L10+N10)/ABS(L10)</f>
        <v>0.13059454886721114</v>
      </c>
      <c r="N10" s="12">
        <f>+L50</f>
        <v>72703.899999999994</v>
      </c>
      <c r="O10" s="46">
        <f t="shared" ref="O10:O15" si="2">+(-N10+P10)/ABS(N10)</f>
        <v>6.5567321698012304E-3</v>
      </c>
      <c r="P10" s="12">
        <f>+P50</f>
        <v>73180.600000000006</v>
      </c>
    </row>
    <row r="11" spans="1:22">
      <c r="A11" t="s">
        <v>572</v>
      </c>
      <c r="B11" s="12">
        <f>+B51</f>
        <v>30836.6</v>
      </c>
      <c r="C11" s="43">
        <v>0</v>
      </c>
      <c r="D11" s="12">
        <f>+F51</f>
        <v>0</v>
      </c>
      <c r="E11" s="43">
        <v>0</v>
      </c>
      <c r="F11" s="12">
        <f>+J51</f>
        <v>0</v>
      </c>
      <c r="G11" s="43">
        <v>0</v>
      </c>
      <c r="H11" s="12">
        <f>+N51</f>
        <v>0</v>
      </c>
      <c r="J11" s="12">
        <f>+D51</f>
        <v>29181.599999999999</v>
      </c>
      <c r="K11" s="46">
        <f t="shared" si="0"/>
        <v>-0.52437494859774647</v>
      </c>
      <c r="L11" s="12">
        <f>+H51</f>
        <v>13879.5</v>
      </c>
      <c r="M11" s="46">
        <f t="shared" si="1"/>
        <v>0.12233870096185021</v>
      </c>
      <c r="N11" s="12">
        <f>+L51</f>
        <v>15577.5</v>
      </c>
      <c r="O11" s="46">
        <f t="shared" si="2"/>
        <v>0.62230781575991012</v>
      </c>
      <c r="P11" s="12">
        <f>+P51</f>
        <v>25271.5</v>
      </c>
    </row>
    <row r="12" spans="1:22">
      <c r="A12" t="s">
        <v>332</v>
      </c>
      <c r="B12" s="240">
        <f>+B52</f>
        <v>7905.6</v>
      </c>
      <c r="C12" s="43">
        <v>0</v>
      </c>
      <c r="D12" s="240">
        <f>+F52</f>
        <v>0</v>
      </c>
      <c r="E12" s="43">
        <v>0</v>
      </c>
      <c r="F12" s="240">
        <f>+J52</f>
        <v>0</v>
      </c>
      <c r="G12" s="43">
        <v>0</v>
      </c>
      <c r="H12" s="240">
        <f>+N52</f>
        <v>0</v>
      </c>
      <c r="J12" s="221">
        <f>+D52</f>
        <v>7398.1</v>
      </c>
      <c r="K12" s="46">
        <f t="shared" si="0"/>
        <v>-3.7752936564793685E-2</v>
      </c>
      <c r="L12" s="221">
        <f>+H52</f>
        <v>7118.8</v>
      </c>
      <c r="M12" s="46">
        <f t="shared" si="1"/>
        <v>1.1687363038714364E-2</v>
      </c>
      <c r="N12" s="221">
        <f>+L52</f>
        <v>7202</v>
      </c>
      <c r="O12" s="46">
        <f t="shared" si="2"/>
        <v>-0.17045265204109974</v>
      </c>
      <c r="P12" s="221">
        <f>+P52</f>
        <v>5974.4</v>
      </c>
    </row>
    <row r="13" spans="1:22">
      <c r="B13" s="12">
        <f>SUM(B10:B12)</f>
        <v>110324.5</v>
      </c>
      <c r="C13" s="43">
        <v>0</v>
      </c>
      <c r="D13" s="12">
        <f>SUM(D10:D12)</f>
        <v>0</v>
      </c>
      <c r="E13" s="43">
        <v>0</v>
      </c>
      <c r="F13" s="12">
        <f>SUM(F10:F12)</f>
        <v>0</v>
      </c>
      <c r="G13" s="43">
        <v>0</v>
      </c>
      <c r="H13" s="12">
        <f>SUM(H10:H12)</f>
        <v>0</v>
      </c>
      <c r="J13" s="12">
        <f>SUM(J10:J12)</f>
        <v>94439.1</v>
      </c>
      <c r="K13" s="46">
        <f t="shared" si="0"/>
        <v>-9.672794425190423E-2</v>
      </c>
      <c r="L13" s="12">
        <f>SUM(L10:L12)</f>
        <v>85304.2</v>
      </c>
      <c r="M13" s="46">
        <f t="shared" si="1"/>
        <v>0.11932823940673493</v>
      </c>
      <c r="N13" s="12">
        <f>SUM(N10:N12)</f>
        <v>95483.4</v>
      </c>
      <c r="O13" s="46">
        <f t="shared" si="2"/>
        <v>9.3661306572660863E-2</v>
      </c>
      <c r="P13" s="12">
        <f>SUM(P10:P12)</f>
        <v>104426.5</v>
      </c>
    </row>
    <row r="14" spans="1:22">
      <c r="A14" t="s">
        <v>333</v>
      </c>
      <c r="B14" s="240">
        <f>+B54</f>
        <v>27803.9</v>
      </c>
      <c r="C14" s="43">
        <v>0</v>
      </c>
      <c r="D14" s="240">
        <f>+F54</f>
        <v>0</v>
      </c>
      <c r="E14" s="43">
        <v>0</v>
      </c>
      <c r="F14" s="240">
        <f>+J54</f>
        <v>0</v>
      </c>
      <c r="G14" s="43">
        <v>0</v>
      </c>
      <c r="H14" s="240">
        <f>+N54</f>
        <v>0</v>
      </c>
      <c r="J14" s="240">
        <f>+D54</f>
        <v>41214.300000000003</v>
      </c>
      <c r="K14" s="46">
        <f t="shared" si="0"/>
        <v>-0.44935131738255907</v>
      </c>
      <c r="L14" s="240">
        <f>+H54</f>
        <v>22694.6</v>
      </c>
      <c r="M14" s="46">
        <f t="shared" si="1"/>
        <v>1.5541141945661115E-2</v>
      </c>
      <c r="N14" s="240">
        <f>+L54</f>
        <v>23047.3</v>
      </c>
      <c r="O14" s="46">
        <f t="shared" si="2"/>
        <v>7.6329982253886611E-2</v>
      </c>
      <c r="P14" s="240">
        <f>+P54</f>
        <v>24806.5</v>
      </c>
    </row>
    <row r="15" spans="1:22">
      <c r="B15" s="12">
        <f>+B13-B14</f>
        <v>82520.600000000006</v>
      </c>
      <c r="C15" s="43">
        <v>0</v>
      </c>
      <c r="D15" s="12">
        <f>+D13-D14</f>
        <v>0</v>
      </c>
      <c r="E15" s="43">
        <v>0</v>
      </c>
      <c r="F15" s="12">
        <f>+F13-F14</f>
        <v>0</v>
      </c>
      <c r="G15" s="43">
        <v>0</v>
      </c>
      <c r="H15" s="12">
        <f>+H13-H14</f>
        <v>0</v>
      </c>
      <c r="J15" s="12">
        <f>+J13-J14</f>
        <v>53224.800000000003</v>
      </c>
      <c r="K15" s="46">
        <f t="shared" si="0"/>
        <v>0.17632381897160712</v>
      </c>
      <c r="L15" s="12">
        <f>+L13-L14</f>
        <v>62609.599999999999</v>
      </c>
      <c r="M15" s="46">
        <f t="shared" si="1"/>
        <v>0.15694877462881079</v>
      </c>
      <c r="N15" s="12">
        <f>+N13-N14</f>
        <v>72436.099999999991</v>
      </c>
      <c r="O15" s="46">
        <f t="shared" si="2"/>
        <v>9.9175687260910098E-2</v>
      </c>
      <c r="P15" s="12">
        <f>+P13-P14</f>
        <v>79620</v>
      </c>
    </row>
    <row r="16" spans="1:22" ht="9" customHeight="1">
      <c r="B16" s="12"/>
      <c r="C16" s="44" t="s">
        <v>0</v>
      </c>
      <c r="E16" s="44" t="s">
        <v>0</v>
      </c>
      <c r="G16" s="44" t="s">
        <v>0</v>
      </c>
      <c r="J16" s="12"/>
      <c r="K16" s="46"/>
      <c r="L16" s="12"/>
      <c r="M16" s="46"/>
      <c r="N16" s="12"/>
      <c r="O16" s="46"/>
      <c r="P16" s="12"/>
    </row>
    <row r="17" spans="1:16">
      <c r="A17" t="s">
        <v>334</v>
      </c>
      <c r="B17" s="12"/>
      <c r="C17" s="44" t="s">
        <v>0</v>
      </c>
      <c r="E17" s="44" t="s">
        <v>0</v>
      </c>
      <c r="G17" s="44" t="s">
        <v>0</v>
      </c>
      <c r="J17" s="12"/>
      <c r="K17" s="46"/>
      <c r="L17" s="12"/>
      <c r="M17" s="46"/>
      <c r="N17" s="12"/>
      <c r="O17" s="47" t="s">
        <v>0</v>
      </c>
      <c r="P17" s="12"/>
    </row>
    <row r="18" spans="1:16">
      <c r="A18" t="s">
        <v>335</v>
      </c>
      <c r="B18" s="12">
        <f>+B58</f>
        <v>9951.5</v>
      </c>
      <c r="C18" s="43">
        <v>0</v>
      </c>
      <c r="D18" s="12">
        <f>+F58</f>
        <v>0</v>
      </c>
      <c r="E18" s="43">
        <v>0</v>
      </c>
      <c r="F18" s="12">
        <f>+J58</f>
        <v>0</v>
      </c>
      <c r="G18" s="43">
        <v>0</v>
      </c>
      <c r="H18" s="12">
        <f>+N58</f>
        <v>0</v>
      </c>
      <c r="J18" s="12">
        <f>+D58</f>
        <v>7284.7999999999993</v>
      </c>
      <c r="K18" s="46">
        <f>+(-J18+L18)/ABS(J18)</f>
        <v>8.8746430924665193E-2</v>
      </c>
      <c r="L18" s="12">
        <f>+H58</f>
        <v>7931.3</v>
      </c>
      <c r="M18" s="46">
        <f>+(-L18+N18)/ABS(L18)</f>
        <v>1.6567397526256733</v>
      </c>
      <c r="N18" s="12">
        <f>+L58</f>
        <v>21071.4</v>
      </c>
      <c r="O18" s="46">
        <f>+(-N18+P18)/ABS(N18)</f>
        <v>5.28678682954136E-3</v>
      </c>
      <c r="P18" s="12">
        <f>+P58</f>
        <v>21182.799999999999</v>
      </c>
    </row>
    <row r="19" spans="1:16">
      <c r="A19" t="s">
        <v>336</v>
      </c>
      <c r="B19" s="12">
        <f>+B59</f>
        <v>13303.2</v>
      </c>
      <c r="C19" s="43">
        <v>0</v>
      </c>
      <c r="D19" s="12">
        <f>+F59</f>
        <v>0</v>
      </c>
      <c r="E19" s="43">
        <v>0</v>
      </c>
      <c r="F19" s="12">
        <f>+J59</f>
        <v>0</v>
      </c>
      <c r="G19" s="43">
        <v>0</v>
      </c>
      <c r="H19" s="12">
        <f>+N59</f>
        <v>0</v>
      </c>
      <c r="J19" s="12">
        <f>+D59</f>
        <v>14561.7</v>
      </c>
      <c r="K19" s="46">
        <f>+(-J19+L19)/ABS(J19)</f>
        <v>-0.27827794831647407</v>
      </c>
      <c r="L19" s="12">
        <f>+H59</f>
        <v>10509.5</v>
      </c>
      <c r="M19" s="46">
        <f>+(-L19+N19)/ABS(L19)</f>
        <v>-0.21523383605309482</v>
      </c>
      <c r="N19" s="12">
        <f>+L59</f>
        <v>8247.5</v>
      </c>
      <c r="O19" s="46">
        <f>+(-N19+P19)/ABS(N19)</f>
        <v>0.49033040315247045</v>
      </c>
      <c r="P19" s="12">
        <f>+P59</f>
        <v>12291.5</v>
      </c>
    </row>
    <row r="20" spans="1:16">
      <c r="A20" t="s">
        <v>284</v>
      </c>
      <c r="B20" s="240">
        <f>+B60</f>
        <v>10747.2</v>
      </c>
      <c r="C20" s="43">
        <v>0</v>
      </c>
      <c r="D20" s="240">
        <f>+F60</f>
        <v>0</v>
      </c>
      <c r="E20" s="43">
        <v>0</v>
      </c>
      <c r="F20" s="240">
        <f>+J60</f>
        <v>0</v>
      </c>
      <c r="G20" s="43">
        <v>0</v>
      </c>
      <c r="H20" s="240">
        <f>+N60</f>
        <v>0</v>
      </c>
      <c r="J20" s="240">
        <f>+D60</f>
        <v>1289.0999999999999</v>
      </c>
      <c r="K20" s="46">
        <f>+(-J20+L20)/ABS(J20)</f>
        <v>4.6646497556434721</v>
      </c>
      <c r="L20" s="240">
        <f>+H60</f>
        <v>7302.2999999999993</v>
      </c>
      <c r="M20" s="46">
        <f>+(-L20+N20)/ABS(L20)</f>
        <v>-0.22683264177040108</v>
      </c>
      <c r="N20" s="240">
        <f>+L60</f>
        <v>5645.9</v>
      </c>
      <c r="O20" s="46">
        <f>+(-N20+P20)/ABS(N20)</f>
        <v>0.87479409837227051</v>
      </c>
      <c r="P20" s="240">
        <f>+P60</f>
        <v>10584.900000000001</v>
      </c>
    </row>
    <row r="21" spans="1:16">
      <c r="B21" s="12">
        <f>SUM(B18:B20)</f>
        <v>34001.9</v>
      </c>
      <c r="C21" s="43">
        <v>0</v>
      </c>
      <c r="D21" s="12">
        <f>SUM(D18:D20)</f>
        <v>0</v>
      </c>
      <c r="E21" s="43">
        <v>0</v>
      </c>
      <c r="F21" s="12">
        <f>SUM(F18:F20)</f>
        <v>0</v>
      </c>
      <c r="G21" s="43">
        <v>0</v>
      </c>
      <c r="H21" s="12">
        <f>SUM(H18:H20)</f>
        <v>0</v>
      </c>
      <c r="J21" s="12">
        <f>SUM(J18:J20)</f>
        <v>23135.599999999999</v>
      </c>
      <c r="K21" s="46">
        <f>+(-J21+L21)/ABS(J21)</f>
        <v>0.1127050951779941</v>
      </c>
      <c r="L21" s="12">
        <f>SUM(L18:L20)</f>
        <v>25743.1</v>
      </c>
      <c r="M21" s="46">
        <f>+(-L21+N21)/ABS(L21)</f>
        <v>0.35822026096313203</v>
      </c>
      <c r="N21" s="12">
        <f>SUM(N18:N20)</f>
        <v>34964.800000000003</v>
      </c>
      <c r="O21" s="46">
        <f>+(-N21+P21)/ABS(N21)</f>
        <v>0.26010158788267057</v>
      </c>
      <c r="P21" s="12">
        <f>SUM(P18:P20)</f>
        <v>44059.200000000004</v>
      </c>
    </row>
    <row r="22" spans="1:16">
      <c r="B22" s="240"/>
      <c r="C22" s="44" t="s">
        <v>0</v>
      </c>
      <c r="D22" s="379"/>
      <c r="E22" s="44" t="s">
        <v>0</v>
      </c>
      <c r="F22" s="379"/>
      <c r="G22" s="44" t="s">
        <v>0</v>
      </c>
      <c r="H22" s="379"/>
      <c r="J22" s="240"/>
      <c r="K22" s="46"/>
      <c r="L22" s="240"/>
      <c r="M22" s="46"/>
      <c r="N22" s="240"/>
      <c r="O22" s="46"/>
      <c r="P22" s="240"/>
    </row>
    <row r="23" spans="1:16">
      <c r="A23" t="s">
        <v>337</v>
      </c>
      <c r="B23" s="12">
        <f>+B15+B21</f>
        <v>116522.5</v>
      </c>
      <c r="C23" s="43">
        <v>0</v>
      </c>
      <c r="D23" s="12">
        <f>+D15+D21</f>
        <v>0</v>
      </c>
      <c r="E23" s="43">
        <v>0</v>
      </c>
      <c r="F23" s="12">
        <f>+F15+F21</f>
        <v>0</v>
      </c>
      <c r="G23" s="43">
        <v>0</v>
      </c>
      <c r="H23" s="12">
        <f>+H15+H21</f>
        <v>0</v>
      </c>
      <c r="J23" s="12">
        <f>+J15+J21</f>
        <v>76360.399999999994</v>
      </c>
      <c r="K23" s="46">
        <f>+(-J23+L23)/ABS(J23)</f>
        <v>0.15704867968213895</v>
      </c>
      <c r="L23" s="12">
        <f>+L15+L21</f>
        <v>88352.7</v>
      </c>
      <c r="M23" s="46">
        <f>+(-L23+N23)/ABS(L23)</f>
        <v>0.21559273231038778</v>
      </c>
      <c r="N23" s="12">
        <f>+N15+N21</f>
        <v>107400.9</v>
      </c>
      <c r="O23" s="46">
        <f>+(-N23+P23)/ABS(N23)</f>
        <v>0.15156576900193591</v>
      </c>
      <c r="P23" s="12">
        <f>+P15+P21</f>
        <v>123679.20000000001</v>
      </c>
    </row>
    <row r="24" spans="1:16">
      <c r="B24" s="12"/>
      <c r="C24" s="44" t="s">
        <v>0</v>
      </c>
      <c r="E24" s="44" t="s">
        <v>0</v>
      </c>
      <c r="G24" s="44" t="s">
        <v>0</v>
      </c>
      <c r="J24" s="12"/>
      <c r="K24" s="46"/>
      <c r="L24" s="12"/>
      <c r="M24" s="46"/>
      <c r="N24" s="12"/>
      <c r="O24" s="46"/>
      <c r="P24" s="12"/>
    </row>
    <row r="25" spans="1:16">
      <c r="A25" t="s">
        <v>338</v>
      </c>
      <c r="B25" s="12">
        <f>+B65</f>
        <v>3000</v>
      </c>
      <c r="C25" s="43">
        <v>0</v>
      </c>
      <c r="D25" s="12">
        <f>+F65</f>
        <v>0</v>
      </c>
      <c r="E25" s="43">
        <v>0</v>
      </c>
      <c r="F25" s="12">
        <f>+J65</f>
        <v>0</v>
      </c>
      <c r="G25" s="43">
        <v>0</v>
      </c>
      <c r="H25" s="12">
        <f>+N65</f>
        <v>0</v>
      </c>
      <c r="J25" s="12">
        <f>+D65</f>
        <v>3000</v>
      </c>
      <c r="K25" s="46">
        <f>+(-J25+L25)/ABS(J25)</f>
        <v>-0.25</v>
      </c>
      <c r="L25" s="12">
        <f>+H65</f>
        <v>2250</v>
      </c>
      <c r="M25" s="46">
        <f>+(-L25+N25)/ABS(L25)</f>
        <v>3.5555555555555554</v>
      </c>
      <c r="N25" s="12">
        <f>+L65</f>
        <v>10250</v>
      </c>
      <c r="O25" s="46">
        <f>+(-N25+P25)/ABS(N25)</f>
        <v>-0.66742439024390243</v>
      </c>
      <c r="P25" s="12">
        <f>+P65</f>
        <v>3408.9</v>
      </c>
    </row>
    <row r="26" spans="1:16">
      <c r="B26" s="12"/>
      <c r="C26" s="44" t="s">
        <v>0</v>
      </c>
      <c r="E26" s="44" t="s">
        <v>0</v>
      </c>
      <c r="G26" s="44" t="s">
        <v>0</v>
      </c>
      <c r="J26" s="12"/>
      <c r="K26" s="46"/>
      <c r="L26" s="12"/>
      <c r="M26" s="46"/>
      <c r="N26" s="12"/>
      <c r="O26" s="46"/>
      <c r="P26" s="12"/>
    </row>
    <row r="27" spans="1:16">
      <c r="A27" t="s">
        <v>339</v>
      </c>
      <c r="B27" s="240"/>
      <c r="C27" s="44" t="s">
        <v>0</v>
      </c>
      <c r="D27" s="379"/>
      <c r="E27" s="44" t="s">
        <v>0</v>
      </c>
      <c r="F27" s="379"/>
      <c r="G27" s="44" t="s">
        <v>0</v>
      </c>
      <c r="H27" s="379"/>
      <c r="J27" s="240"/>
      <c r="K27" s="46"/>
      <c r="L27" s="240"/>
      <c r="M27" s="46"/>
      <c r="N27" s="240"/>
      <c r="O27" s="46"/>
      <c r="P27" s="240"/>
    </row>
    <row r="28" spans="1:16">
      <c r="A28" t="s">
        <v>340</v>
      </c>
      <c r="B28" s="12">
        <f>+B23-B25</f>
        <v>113522.5</v>
      </c>
      <c r="C28" s="43">
        <v>0</v>
      </c>
      <c r="D28" s="12">
        <f>+D23-D25</f>
        <v>0</v>
      </c>
      <c r="E28" s="43">
        <v>0</v>
      </c>
      <c r="F28" s="12">
        <f>+F23-F25</f>
        <v>0</v>
      </c>
      <c r="G28" s="43">
        <v>0</v>
      </c>
      <c r="H28" s="12">
        <f>+H23-H25</f>
        <v>0</v>
      </c>
      <c r="J28" s="12">
        <f>+J23-J25</f>
        <v>73360.399999999994</v>
      </c>
      <c r="K28" s="46">
        <f>+(-J28+L28)/ABS(J28)</f>
        <v>0.17369452729265386</v>
      </c>
      <c r="L28" s="12">
        <f>+L23-L25</f>
        <v>86102.7</v>
      </c>
      <c r="M28" s="46">
        <f>+(-L28+N28)/ABS(L28)</f>
        <v>0.12831421082033428</v>
      </c>
      <c r="N28" s="12">
        <f>+N23-N25</f>
        <v>97150.9</v>
      </c>
      <c r="O28" s="46">
        <f>+(-N28+P28)/ABS(N28)</f>
        <v>0.23797412067206813</v>
      </c>
      <c r="P28" s="12">
        <f>+P23-P25</f>
        <v>120270.30000000002</v>
      </c>
    </row>
    <row r="29" spans="1:16">
      <c r="B29" s="12"/>
      <c r="C29" s="44" t="s">
        <v>0</v>
      </c>
      <c r="E29" s="44" t="s">
        <v>0</v>
      </c>
      <c r="G29" s="44" t="s">
        <v>0</v>
      </c>
      <c r="J29" s="12"/>
      <c r="K29" s="46"/>
      <c r="L29" s="12"/>
      <c r="M29" s="46"/>
      <c r="N29" s="12"/>
      <c r="O29" s="46"/>
      <c r="P29" s="12"/>
    </row>
    <row r="30" spans="1:16">
      <c r="A30" t="s">
        <v>341</v>
      </c>
      <c r="B30" s="12"/>
      <c r="C30" s="44" t="s">
        <v>0</v>
      </c>
      <c r="E30" s="44" t="s">
        <v>0</v>
      </c>
      <c r="G30" s="44" t="s">
        <v>0</v>
      </c>
      <c r="J30" s="12"/>
      <c r="K30" s="46"/>
      <c r="L30" s="12"/>
      <c r="M30" s="46"/>
      <c r="N30" s="12"/>
      <c r="O30" s="46"/>
      <c r="P30" s="12"/>
    </row>
    <row r="31" spans="1:16">
      <c r="A31" t="s">
        <v>342</v>
      </c>
      <c r="B31" s="12">
        <f>+B71</f>
        <v>44529.2</v>
      </c>
      <c r="C31" s="43">
        <v>0</v>
      </c>
      <c r="D31" s="12">
        <f>+F71</f>
        <v>0</v>
      </c>
      <c r="E31" s="43">
        <v>0</v>
      </c>
      <c r="F31" s="12">
        <f>+J71</f>
        <v>0</v>
      </c>
      <c r="G31" s="43">
        <v>0</v>
      </c>
      <c r="H31" s="12">
        <f>+N71</f>
        <v>0</v>
      </c>
      <c r="J31" s="12">
        <f>+D71</f>
        <v>29671.4</v>
      </c>
      <c r="K31" s="46">
        <f>+(-J31+L31)/ABS(J31)</f>
        <v>6.2518115087255742E-3</v>
      </c>
      <c r="L31" s="12">
        <f>+H71</f>
        <v>29856.9</v>
      </c>
      <c r="M31" s="46">
        <f>+(-L31+N31)/ABS(L31)</f>
        <v>0.10475300516798457</v>
      </c>
      <c r="N31" s="12">
        <f>+L71</f>
        <v>32984.5</v>
      </c>
      <c r="O31" s="46">
        <f>+(-N31+P31)/ABS(N31)</f>
        <v>0.30157195046158036</v>
      </c>
      <c r="P31" s="12">
        <f>+P71</f>
        <v>42931.7</v>
      </c>
    </row>
    <row r="32" spans="1:16">
      <c r="A32" t="s">
        <v>343</v>
      </c>
      <c r="B32" s="12">
        <f>+B72</f>
        <v>2276.9</v>
      </c>
      <c r="C32" s="43">
        <v>0</v>
      </c>
      <c r="D32" s="12">
        <f>+F72</f>
        <v>0</v>
      </c>
      <c r="E32" s="43">
        <v>0</v>
      </c>
      <c r="F32" s="12">
        <f>+J72</f>
        <v>0</v>
      </c>
      <c r="G32" s="43">
        <v>0</v>
      </c>
      <c r="H32" s="12">
        <f>+N72</f>
        <v>0</v>
      </c>
      <c r="J32" s="12">
        <f>+D72</f>
        <v>1807.1</v>
      </c>
      <c r="K32" s="46">
        <f>+(-J32+L32)/ABS(J32)</f>
        <v>0.10491948425654359</v>
      </c>
      <c r="L32" s="12">
        <f>+H72</f>
        <v>1996.6999999999998</v>
      </c>
      <c r="M32" s="46">
        <f>+(-L32+N32)/ABS(L32)</f>
        <v>8.2385936795712933E-2</v>
      </c>
      <c r="N32" s="12">
        <f>+L72</f>
        <v>2161.1999999999998</v>
      </c>
      <c r="O32" s="46">
        <f>+(-N32+P32)/ABS(N32)</f>
        <v>1.46677771608367E-2</v>
      </c>
      <c r="P32" s="12">
        <f>+P72</f>
        <v>2192.9</v>
      </c>
    </row>
    <row r="33" spans="1:22">
      <c r="A33" t="s">
        <v>344</v>
      </c>
      <c r="B33" s="12">
        <f>+B73</f>
        <v>16482.099999999999</v>
      </c>
      <c r="C33" s="43">
        <v>0</v>
      </c>
      <c r="D33" s="12">
        <f>+F73</f>
        <v>0</v>
      </c>
      <c r="E33" s="43">
        <v>0</v>
      </c>
      <c r="F33" s="12">
        <f>+J73</f>
        <v>0</v>
      </c>
      <c r="G33" s="43">
        <v>0</v>
      </c>
      <c r="H33" s="12">
        <f>+N73</f>
        <v>0</v>
      </c>
      <c r="J33" s="12">
        <f>+D73</f>
        <v>11113.3</v>
      </c>
      <c r="K33" s="46">
        <f>+(-J33+L33)/ABS(J33)</f>
        <v>-9.6434002501507105E-2</v>
      </c>
      <c r="L33" s="12">
        <f>+H73</f>
        <v>10041.6</v>
      </c>
      <c r="M33" s="46">
        <f>+(-L33+N33)/ABS(L33)</f>
        <v>0.21367112810707459</v>
      </c>
      <c r="N33" s="12">
        <f>+L73</f>
        <v>12187.2</v>
      </c>
      <c r="O33" s="46">
        <f>+(-N33+P33)/ABS(N33)</f>
        <v>0.24870355783116696</v>
      </c>
      <c r="P33" s="12">
        <f>+P73</f>
        <v>15218.199999999999</v>
      </c>
    </row>
    <row r="34" spans="1:22">
      <c r="A34" t="s">
        <v>345</v>
      </c>
      <c r="B34" s="240">
        <f>+B74</f>
        <v>30327.3</v>
      </c>
      <c r="C34" s="43">
        <v>0</v>
      </c>
      <c r="D34" s="240">
        <f>+F74</f>
        <v>0</v>
      </c>
      <c r="E34" s="43">
        <v>0</v>
      </c>
      <c r="F34" s="240">
        <f>+J74</f>
        <v>0</v>
      </c>
      <c r="G34" s="43">
        <v>0</v>
      </c>
      <c r="H34" s="240">
        <f>+N74</f>
        <v>0</v>
      </c>
      <c r="J34" s="240">
        <f>+D74</f>
        <v>24238.1</v>
      </c>
      <c r="K34" s="46">
        <f>+(-J34+L34)/ABS(J34)</f>
        <v>-6.0813347580873844E-3</v>
      </c>
      <c r="L34" s="240">
        <f>+H74</f>
        <v>24090.7</v>
      </c>
      <c r="M34" s="46">
        <f>+(-L34+N34)/ABS(L34)</f>
        <v>0.21937096057814837</v>
      </c>
      <c r="N34" s="240">
        <f>+L74</f>
        <v>29375.5</v>
      </c>
      <c r="O34" s="46">
        <f>+(-N34+P34)/ABS(N34)</f>
        <v>0.35992578849721707</v>
      </c>
      <c r="P34" s="240">
        <f>+P74</f>
        <v>39948.5</v>
      </c>
    </row>
    <row r="35" spans="1:22">
      <c r="B35" s="12">
        <f>SUM(B31:B34)</f>
        <v>93615.5</v>
      </c>
      <c r="C35" s="43">
        <v>0</v>
      </c>
      <c r="D35" s="12">
        <f>SUM(D31:D34)</f>
        <v>0</v>
      </c>
      <c r="E35" s="43">
        <v>0</v>
      </c>
      <c r="F35" s="12">
        <f>SUM(F31:F34)</f>
        <v>0</v>
      </c>
      <c r="G35" s="43">
        <v>0</v>
      </c>
      <c r="H35" s="12">
        <f>SUM(H31:H34)</f>
        <v>0</v>
      </c>
      <c r="J35" s="12">
        <f>SUM(J31:J34)</f>
        <v>66829.899999999994</v>
      </c>
      <c r="K35" s="46">
        <f>+(-J35+L35)/ABS(J35)</f>
        <v>-1.2629077703243391E-2</v>
      </c>
      <c r="L35" s="12">
        <f>SUM(L31:L34)</f>
        <v>65985.900000000009</v>
      </c>
      <c r="M35" s="46">
        <f>+(-L35+N35)/ABS(L35)</f>
        <v>0.16249683644536156</v>
      </c>
      <c r="N35" s="12">
        <f>SUM(N31:N34)</f>
        <v>76708.399999999994</v>
      </c>
      <c r="O35" s="46">
        <f>+(-N35+P35)/ABS(N35)</f>
        <v>0.30743569152791606</v>
      </c>
      <c r="P35" s="12">
        <f>SUM(P31:P34)</f>
        <v>100291.29999999999</v>
      </c>
    </row>
    <row r="36" spans="1:22">
      <c r="B36" s="240"/>
      <c r="C36" s="43"/>
      <c r="D36" s="379"/>
      <c r="E36" s="43"/>
      <c r="F36" s="379"/>
      <c r="G36" s="43"/>
      <c r="H36" s="379"/>
      <c r="J36" s="240"/>
      <c r="K36" s="46"/>
      <c r="L36" s="240"/>
      <c r="M36" s="46"/>
      <c r="N36" s="240"/>
      <c r="O36" s="46"/>
      <c r="P36" s="240"/>
    </row>
    <row r="37" spans="1:22">
      <c r="A37" t="s">
        <v>346</v>
      </c>
      <c r="B37" s="12">
        <f>+B28-B35</f>
        <v>19907</v>
      </c>
      <c r="C37" s="43">
        <v>0</v>
      </c>
      <c r="D37" s="12">
        <f>+D28-D35</f>
        <v>0</v>
      </c>
      <c r="E37" s="43">
        <v>0</v>
      </c>
      <c r="F37" s="12">
        <f>+F28-F35</f>
        <v>0</v>
      </c>
      <c r="G37" s="43">
        <v>0</v>
      </c>
      <c r="H37" s="12">
        <f>+H28-H35</f>
        <v>0</v>
      </c>
      <c r="J37" s="12">
        <f>+J28-J35</f>
        <v>6530.5</v>
      </c>
      <c r="K37" s="46">
        <f>+(-J37+L37)/ABS(J37)</f>
        <v>2.0804379450271782</v>
      </c>
      <c r="L37" s="12">
        <f>+L28-L35</f>
        <v>20116.799999999988</v>
      </c>
      <c r="M37" s="46">
        <f>+(-L37+N37)/ABS(L37)</f>
        <v>1.619044778493656E-2</v>
      </c>
      <c r="N37" s="12">
        <f>+N28-N35</f>
        <v>20442.5</v>
      </c>
      <c r="O37" s="46">
        <f>+(-N37+P37)/ABS(N37)</f>
        <v>-2.2673352085115367E-2</v>
      </c>
      <c r="P37" s="12">
        <f>+P28-P35</f>
        <v>19979.000000000029</v>
      </c>
    </row>
    <row r="38" spans="1:22">
      <c r="B38" s="12"/>
      <c r="C38" s="44" t="s">
        <v>0</v>
      </c>
      <c r="E38" s="44" t="s">
        <v>0</v>
      </c>
      <c r="G38" s="44" t="s">
        <v>0</v>
      </c>
      <c r="J38" s="12"/>
      <c r="K38" s="46"/>
      <c r="L38" s="12"/>
      <c r="M38" s="46"/>
      <c r="N38" s="12"/>
      <c r="O38" s="46"/>
      <c r="P38" s="12"/>
    </row>
    <row r="39" spans="1:22">
      <c r="A39" t="s">
        <v>347</v>
      </c>
      <c r="B39" s="12">
        <f>+B79</f>
        <v>3662.4</v>
      </c>
      <c r="C39" s="43">
        <v>0</v>
      </c>
      <c r="D39" s="12">
        <f>+F79</f>
        <v>0</v>
      </c>
      <c r="E39" s="43">
        <v>0</v>
      </c>
      <c r="F39" s="12">
        <f>+J79</f>
        <v>0</v>
      </c>
      <c r="G39" s="43">
        <v>0</v>
      </c>
      <c r="H39" s="12">
        <f>+N79</f>
        <v>0</v>
      </c>
      <c r="J39" s="12">
        <f>+D79</f>
        <v>2285.6</v>
      </c>
      <c r="K39" s="46">
        <f>+(-J39+L39)/ABS(J39)</f>
        <v>2.2183234161708083</v>
      </c>
      <c r="L39" s="12">
        <f>+H79</f>
        <v>7355.7999999999993</v>
      </c>
      <c r="M39" s="46">
        <f>+(-L39+N39)/ABS(L39)</f>
        <v>-6.8558144593381998E-2</v>
      </c>
      <c r="N39" s="12">
        <f>+L79</f>
        <v>6851.5</v>
      </c>
      <c r="O39" s="46">
        <f>+(-N39+P39)/ABS(N39)</f>
        <v>-1.0035466686127126</v>
      </c>
      <c r="P39" s="12">
        <f>+P79</f>
        <v>-24.3</v>
      </c>
    </row>
    <row r="40" spans="1:22" ht="16.5" thickBot="1">
      <c r="B40" s="76"/>
      <c r="C40" s="44" t="s">
        <v>0</v>
      </c>
      <c r="D40" s="30"/>
      <c r="E40" s="44" t="s">
        <v>0</v>
      </c>
      <c r="F40" s="30"/>
      <c r="G40" s="44" t="s">
        <v>0</v>
      </c>
      <c r="H40" s="30"/>
      <c r="J40" s="76"/>
      <c r="K40" s="47" t="s">
        <v>0</v>
      </c>
      <c r="L40" s="76"/>
      <c r="M40" s="46"/>
      <c r="N40" s="76"/>
      <c r="O40" s="46"/>
      <c r="P40" s="76"/>
    </row>
    <row r="41" spans="1:22" s="2" customFormat="1">
      <c r="A41" s="2" t="s">
        <v>427</v>
      </c>
      <c r="B41" s="4">
        <f>+B37-B39</f>
        <v>16244.6</v>
      </c>
      <c r="C41" s="42">
        <v>0</v>
      </c>
      <c r="D41" s="4">
        <f>+D37-D39</f>
        <v>0</v>
      </c>
      <c r="E41" s="42">
        <v>0</v>
      </c>
      <c r="F41" s="4">
        <f>+F37-F39</f>
        <v>0</v>
      </c>
      <c r="G41" s="42">
        <v>0</v>
      </c>
      <c r="H41" s="4">
        <f>+H37-H39</f>
        <v>0</v>
      </c>
      <c r="I41" s="146"/>
      <c r="J41" s="4">
        <f>+J37-J39</f>
        <v>4244.8999999999996</v>
      </c>
      <c r="K41" s="112">
        <f>+(-J41+L41)/ABS(J41)</f>
        <v>2.0061956700982333</v>
      </c>
      <c r="L41" s="4">
        <f>+L37-L39</f>
        <v>12760.999999999989</v>
      </c>
      <c r="M41" s="112">
        <f>+(-L41+N41)/ABS(L41)</f>
        <v>6.5041924614059374E-2</v>
      </c>
      <c r="N41" s="4">
        <f>+N37-N39</f>
        <v>13591</v>
      </c>
      <c r="O41" s="112">
        <f>+(-N41+P41)/ABS(N41)</f>
        <v>0.47180487087043105</v>
      </c>
      <c r="P41" s="4">
        <f>+P37-P39</f>
        <v>20003.300000000028</v>
      </c>
      <c r="Q41" s="146"/>
      <c r="R41" s="146"/>
      <c r="S41" s="146"/>
      <c r="T41" s="146"/>
      <c r="U41" s="146"/>
    </row>
    <row r="42" spans="1:22" ht="5.45" customHeight="1">
      <c r="C42" s="47"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s="2" customFormat="1">
      <c r="B46" s="241" t="s">
        <v>349</v>
      </c>
      <c r="C46" s="146" t="s">
        <v>0</v>
      </c>
      <c r="D46" s="241" t="s">
        <v>350</v>
      </c>
      <c r="E46" s="146"/>
      <c r="F46" s="241" t="s">
        <v>349</v>
      </c>
      <c r="G46" s="146" t="s">
        <v>0</v>
      </c>
      <c r="H46" s="241" t="s">
        <v>350</v>
      </c>
      <c r="I46" s="146"/>
      <c r="J46" s="241" t="s">
        <v>349</v>
      </c>
      <c r="K46" s="146" t="s">
        <v>0</v>
      </c>
      <c r="L46" s="241" t="s">
        <v>350</v>
      </c>
      <c r="M46" s="146"/>
      <c r="N46" s="241" t="s">
        <v>349</v>
      </c>
      <c r="O46" s="146" t="s">
        <v>0</v>
      </c>
      <c r="P46" s="241" t="s">
        <v>350</v>
      </c>
      <c r="Q46" s="146"/>
      <c r="R46" s="993" t="s">
        <v>622</v>
      </c>
      <c r="S46" s="146"/>
      <c r="T46" s="993" t="s">
        <v>623</v>
      </c>
      <c r="U46" s="241" t="s">
        <v>263</v>
      </c>
    </row>
    <row r="47" spans="1:22" ht="16.5" thickBot="1">
      <c r="B47" s="243" t="s">
        <v>353</v>
      </c>
      <c r="C47" s="245"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190</v>
      </c>
      <c r="V47" s="18"/>
    </row>
    <row r="48" spans="1:22">
      <c r="A48" t="s">
        <v>328</v>
      </c>
      <c r="B48" s="29" t="s">
        <v>0</v>
      </c>
    </row>
    <row r="49" spans="1:21">
      <c r="A49" t="s">
        <v>329</v>
      </c>
      <c r="B49" s="16" t="s">
        <v>0</v>
      </c>
      <c r="C49" s="47" t="s">
        <v>0</v>
      </c>
      <c r="D49" s="16" t="s">
        <v>0</v>
      </c>
      <c r="E49" s="29" t="s">
        <v>0</v>
      </c>
      <c r="F49" s="29" t="s">
        <v>0</v>
      </c>
      <c r="G49" s="47" t="s">
        <v>0</v>
      </c>
      <c r="H49" s="16" t="s">
        <v>0</v>
      </c>
      <c r="I49" s="29" t="s">
        <v>0</v>
      </c>
      <c r="J49" s="29" t="s">
        <v>0</v>
      </c>
      <c r="K49" s="47" t="s">
        <v>0</v>
      </c>
      <c r="L49" s="16" t="s">
        <v>0</v>
      </c>
      <c r="M49" s="29" t="s">
        <v>0</v>
      </c>
      <c r="N49" s="29" t="s">
        <v>0</v>
      </c>
      <c r="O49" s="47" t="s">
        <v>0</v>
      </c>
      <c r="P49" s="16" t="s">
        <v>0</v>
      </c>
      <c r="Q49" s="29" t="s">
        <v>0</v>
      </c>
      <c r="R49" s="16" t="s">
        <v>0</v>
      </c>
      <c r="S49" s="47" t="s">
        <v>0</v>
      </c>
      <c r="T49" s="16" t="s">
        <v>0</v>
      </c>
      <c r="U49" s="16" t="s">
        <v>0</v>
      </c>
    </row>
    <row r="50" spans="1:21">
      <c r="A50" t="s">
        <v>330</v>
      </c>
      <c r="B50" s="12">
        <v>71582.3</v>
      </c>
      <c r="C50" s="46">
        <f t="shared" ref="C50:C55" si="3">+(B50-D50)/D50</f>
        <v>0.23717667310756782</v>
      </c>
      <c r="D50" s="12">
        <f>17259.3+18580.9+22019.2</f>
        <v>57859.399999999994</v>
      </c>
      <c r="E50" s="29"/>
      <c r="F50" s="12">
        <v>0</v>
      </c>
      <c r="G50" s="43">
        <v>0</v>
      </c>
      <c r="H50" s="12">
        <f>21296.5+19552.5+23456.9</f>
        <v>64305.9</v>
      </c>
      <c r="J50" s="12">
        <v>0</v>
      </c>
      <c r="K50" s="43">
        <v>0</v>
      </c>
      <c r="L50" s="12">
        <f>45121.7+27582.2</f>
        <v>72703.899999999994</v>
      </c>
      <c r="M50" s="29"/>
      <c r="N50" s="12">
        <v>0</v>
      </c>
      <c r="O50" s="43">
        <v>0</v>
      </c>
      <c r="P50" s="12">
        <f>24118.3+26032.2+23030.1</f>
        <v>73180.600000000006</v>
      </c>
      <c r="R50" s="12">
        <f>+B50</f>
        <v>71582.3</v>
      </c>
      <c r="S50" s="46">
        <f t="shared" ref="S50:S55" si="4">+(R50-T50)/ABS(T50)</f>
        <v>0.23717667310756782</v>
      </c>
      <c r="T50" s="12">
        <f>+D50</f>
        <v>57859.399999999994</v>
      </c>
      <c r="U50" s="12">
        <f>+D50+H50+L50+P50</f>
        <v>268049.8</v>
      </c>
    </row>
    <row r="51" spans="1:21">
      <c r="A51" t="s">
        <v>354</v>
      </c>
      <c r="B51" s="12">
        <v>30836.6</v>
      </c>
      <c r="C51" s="46">
        <f t="shared" si="3"/>
        <v>5.6713819667187547E-2</v>
      </c>
      <c r="D51" s="12">
        <f>12210.2+9179.4+7792</f>
        <v>29181.599999999999</v>
      </c>
      <c r="E51" s="29"/>
      <c r="F51" s="12">
        <v>0</v>
      </c>
      <c r="G51" s="43">
        <v>0</v>
      </c>
      <c r="H51" s="12">
        <f>5260.2+4012.1+4607.2</f>
        <v>13879.5</v>
      </c>
      <c r="J51" s="12">
        <v>0</v>
      </c>
      <c r="K51" s="43">
        <v>0</v>
      </c>
      <c r="L51" s="12">
        <f>9007.7+6569.8</f>
        <v>15577.5</v>
      </c>
      <c r="M51" s="29"/>
      <c r="N51" s="12">
        <v>0</v>
      </c>
      <c r="O51" s="43">
        <v>0</v>
      </c>
      <c r="P51" s="12">
        <f>8233.9+8479.7+8557.9</f>
        <v>25271.5</v>
      </c>
      <c r="R51" s="12">
        <f>+B51</f>
        <v>30836.6</v>
      </c>
      <c r="S51" s="46">
        <f t="shared" si="4"/>
        <v>5.6713819667187547E-2</v>
      </c>
      <c r="T51" s="12">
        <f>+D51</f>
        <v>29181.599999999999</v>
      </c>
      <c r="U51" s="12">
        <f>+D51+H51+L51+P51</f>
        <v>83910.1</v>
      </c>
    </row>
    <row r="52" spans="1:21">
      <c r="A52" t="s">
        <v>332</v>
      </c>
      <c r="B52" s="221">
        <v>7905.6</v>
      </c>
      <c r="C52" s="46">
        <f t="shared" si="3"/>
        <v>6.8598694259336859E-2</v>
      </c>
      <c r="D52" s="221">
        <f>2935.9+2303.3+2158.9</f>
        <v>7398.1</v>
      </c>
      <c r="E52" s="29"/>
      <c r="F52" s="221">
        <v>0</v>
      </c>
      <c r="G52" s="43">
        <v>0</v>
      </c>
      <c r="H52" s="221">
        <f>2774.2+2264.9+2079.7</f>
        <v>7118.8</v>
      </c>
      <c r="J52" s="221">
        <v>0</v>
      </c>
      <c r="K52" s="43">
        <v>0</v>
      </c>
      <c r="L52" s="221">
        <f>4104.3+3097.7</f>
        <v>7202</v>
      </c>
      <c r="M52" s="29"/>
      <c r="N52" s="221">
        <v>0</v>
      </c>
      <c r="O52" s="43">
        <v>0</v>
      </c>
      <c r="P52" s="221">
        <f>2745.9+1897.5+1331</f>
        <v>5974.4</v>
      </c>
      <c r="R52" s="240">
        <f>+B52</f>
        <v>7905.6</v>
      </c>
      <c r="S52" s="46">
        <f t="shared" si="4"/>
        <v>6.8598694259336859E-2</v>
      </c>
      <c r="T52" s="240">
        <f>+D52</f>
        <v>7398.1</v>
      </c>
      <c r="U52" s="240">
        <f>+D52+H52+L52+P52</f>
        <v>27693.300000000003</v>
      </c>
    </row>
    <row r="53" spans="1:21">
      <c r="B53" s="12">
        <f>SUM(B50:B52)</f>
        <v>110324.5</v>
      </c>
      <c r="C53" s="46">
        <f t="shared" si="3"/>
        <v>0.16820787152778874</v>
      </c>
      <c r="D53" s="12">
        <f>SUM(D50:D52)</f>
        <v>94439.1</v>
      </c>
      <c r="E53" s="29"/>
      <c r="F53" s="12">
        <f>SUM(F50:F52)</f>
        <v>0</v>
      </c>
      <c r="G53" s="43">
        <v>0</v>
      </c>
      <c r="H53" s="12">
        <f>SUM(H50:H52)</f>
        <v>85304.2</v>
      </c>
      <c r="J53" s="12">
        <f>SUM(J50:J52)</f>
        <v>0</v>
      </c>
      <c r="K53" s="43">
        <v>0</v>
      </c>
      <c r="L53" s="12">
        <f>SUM(L50:L52)</f>
        <v>95483.4</v>
      </c>
      <c r="M53" s="29"/>
      <c r="N53" s="12">
        <f>SUM(N50:N52)</f>
        <v>0</v>
      </c>
      <c r="O53" s="43">
        <v>0</v>
      </c>
      <c r="P53" s="12">
        <f>SUM(P50:P52)</f>
        <v>104426.5</v>
      </c>
      <c r="R53" s="12">
        <f>SUM(R50:R52)</f>
        <v>110324.5</v>
      </c>
      <c r="S53" s="46">
        <f t="shared" si="4"/>
        <v>0.16820787152778874</v>
      </c>
      <c r="T53" s="12">
        <f>SUM(T50:T52)</f>
        <v>94439.1</v>
      </c>
      <c r="U53" s="12">
        <f>SUM(U50:U52)</f>
        <v>379653.2</v>
      </c>
    </row>
    <row r="54" spans="1:21">
      <c r="A54" t="s">
        <v>333</v>
      </c>
      <c r="B54" s="240">
        <v>27803.9</v>
      </c>
      <c r="C54" s="46">
        <f t="shared" si="3"/>
        <v>-0.32538220957289099</v>
      </c>
      <c r="D54" s="240">
        <f>16216.7+14161.4+10836.2</f>
        <v>41214.300000000003</v>
      </c>
      <c r="E54" s="29" t="s">
        <v>0</v>
      </c>
      <c r="F54" s="240">
        <v>0</v>
      </c>
      <c r="G54" s="43">
        <v>0</v>
      </c>
      <c r="H54" s="240">
        <f>7767+7667.9+7259.7</f>
        <v>22694.6</v>
      </c>
      <c r="J54" s="240">
        <v>0</v>
      </c>
      <c r="K54" s="43">
        <v>0</v>
      </c>
      <c r="L54" s="240">
        <f>14611.9+8435.4</f>
        <v>23047.3</v>
      </c>
      <c r="M54" s="29" t="s">
        <v>0</v>
      </c>
      <c r="N54" s="240">
        <v>0</v>
      </c>
      <c r="O54" s="43">
        <v>0</v>
      </c>
      <c r="P54" s="240">
        <f>8313.3+8057.9+8435.3</f>
        <v>24806.5</v>
      </c>
      <c r="R54" s="240">
        <f>+B54</f>
        <v>27803.9</v>
      </c>
      <c r="S54" s="46">
        <f t="shared" si="4"/>
        <v>-0.32538220957289099</v>
      </c>
      <c r="T54" s="240">
        <f>+D54</f>
        <v>41214.300000000003</v>
      </c>
      <c r="U54" s="240">
        <f>+D54+H54+L54+P54</f>
        <v>111762.7</v>
      </c>
    </row>
    <row r="55" spans="1:21">
      <c r="B55" s="12">
        <f>+B53-B54</f>
        <v>82520.600000000006</v>
      </c>
      <c r="C55" s="46">
        <f t="shared" si="3"/>
        <v>0.55041634726668776</v>
      </c>
      <c r="D55" s="12">
        <f>+D53-D54</f>
        <v>53224.800000000003</v>
      </c>
      <c r="E55" s="29" t="s">
        <v>0</v>
      </c>
      <c r="F55" s="12">
        <f>+F53-F54</f>
        <v>0</v>
      </c>
      <c r="G55" s="43">
        <v>0</v>
      </c>
      <c r="H55" s="12">
        <f>+H53-H54</f>
        <v>62609.599999999999</v>
      </c>
      <c r="J55" s="12">
        <f t="shared" ref="J55:U55" si="5">+J53-J54</f>
        <v>0</v>
      </c>
      <c r="K55" s="43">
        <v>0</v>
      </c>
      <c r="L55" s="12">
        <f t="shared" si="5"/>
        <v>72436.099999999991</v>
      </c>
      <c r="M55" s="29" t="s">
        <v>0</v>
      </c>
      <c r="N55" s="12">
        <f t="shared" si="5"/>
        <v>0</v>
      </c>
      <c r="O55" s="43">
        <v>0</v>
      </c>
      <c r="P55" s="12">
        <f t="shared" si="5"/>
        <v>79620</v>
      </c>
      <c r="R55" s="12">
        <f t="shared" si="5"/>
        <v>82520.600000000006</v>
      </c>
      <c r="S55" s="46">
        <f t="shared" si="4"/>
        <v>0.55041634726668776</v>
      </c>
      <c r="T55" s="12">
        <f t="shared" si="5"/>
        <v>53224.800000000003</v>
      </c>
      <c r="U55" s="12">
        <f t="shared" si="5"/>
        <v>267890.5</v>
      </c>
    </row>
    <row r="56" spans="1:21">
      <c r="B56" s="12"/>
      <c r="C56" s="47" t="s">
        <v>0</v>
      </c>
      <c r="D56" s="12"/>
      <c r="E56" s="29" t="s">
        <v>0</v>
      </c>
      <c r="G56" s="44" t="s">
        <v>0</v>
      </c>
      <c r="K56" s="44" t="s">
        <v>0</v>
      </c>
      <c r="M56" s="29" t="s">
        <v>0</v>
      </c>
      <c r="O56" s="44" t="s">
        <v>0</v>
      </c>
      <c r="R56" s="12"/>
      <c r="S56" s="46"/>
      <c r="T56" s="12"/>
      <c r="U56" s="12"/>
    </row>
    <row r="57" spans="1:21">
      <c r="A57" t="s">
        <v>334</v>
      </c>
      <c r="B57" s="12"/>
      <c r="C57" s="47" t="s">
        <v>0</v>
      </c>
      <c r="D57" s="12"/>
      <c r="E57" s="29" t="s">
        <v>0</v>
      </c>
      <c r="G57" s="44" t="s">
        <v>0</v>
      </c>
      <c r="K57" s="44" t="s">
        <v>0</v>
      </c>
      <c r="M57" s="29" t="s">
        <v>0</v>
      </c>
      <c r="O57" s="44" t="s">
        <v>0</v>
      </c>
      <c r="R57" s="12"/>
      <c r="S57" s="47" t="s">
        <v>0</v>
      </c>
      <c r="T57" s="12"/>
      <c r="U57" s="12"/>
    </row>
    <row r="58" spans="1:21">
      <c r="A58" t="s">
        <v>335</v>
      </c>
      <c r="B58" s="12">
        <v>9951.5</v>
      </c>
      <c r="C58" s="46">
        <f>+(B58-D58)/D58</f>
        <v>0.36606358444981346</v>
      </c>
      <c r="D58" s="12">
        <f>2124+1660.6+3500.2</f>
        <v>7284.7999999999993</v>
      </c>
      <c r="E58" s="29" t="s">
        <v>0</v>
      </c>
      <c r="F58" s="12">
        <v>0</v>
      </c>
      <c r="G58" s="43">
        <v>0</v>
      </c>
      <c r="H58" s="12">
        <f>1808.4+1928.4+4194.5</f>
        <v>7931.3</v>
      </c>
      <c r="J58" s="12">
        <v>0</v>
      </c>
      <c r="K58" s="43">
        <v>0</v>
      </c>
      <c r="L58" s="12">
        <f>12258.4+8813</f>
        <v>21071.4</v>
      </c>
      <c r="M58" s="29" t="s">
        <v>0</v>
      </c>
      <c r="N58" s="12">
        <v>0</v>
      </c>
      <c r="O58" s="43">
        <v>0</v>
      </c>
      <c r="P58" s="12">
        <f>6597+6070.5+8515.3</f>
        <v>21182.799999999999</v>
      </c>
      <c r="R58" s="12">
        <f>+B58</f>
        <v>9951.5</v>
      </c>
      <c r="S58" s="46">
        <f>+(R58-T58)/ABS(T58)</f>
        <v>0.36606358444981346</v>
      </c>
      <c r="T58" s="12">
        <f>+D58</f>
        <v>7284.7999999999993</v>
      </c>
      <c r="U58" s="12">
        <f>+D58+H58+L58+P58</f>
        <v>57470.3</v>
      </c>
    </row>
    <row r="59" spans="1:21">
      <c r="A59" t="s">
        <v>336</v>
      </c>
      <c r="B59" s="12">
        <v>13303.2</v>
      </c>
      <c r="C59" s="46">
        <f>+(B59-D59)/D59</f>
        <v>-8.6425348688683318E-2</v>
      </c>
      <c r="D59" s="12">
        <f>3200.4+6233.8+5127.5</f>
        <v>14561.7</v>
      </c>
      <c r="E59" s="29" t="s">
        <v>0</v>
      </c>
      <c r="F59" s="12">
        <v>0</v>
      </c>
      <c r="G59" s="43">
        <v>0</v>
      </c>
      <c r="H59" s="12">
        <f>4023.7+4390.7+2095.1</f>
        <v>10509.5</v>
      </c>
      <c r="J59" s="12">
        <v>0</v>
      </c>
      <c r="K59" s="43">
        <v>0</v>
      </c>
      <c r="L59" s="12">
        <f>5863+2384.5</f>
        <v>8247.5</v>
      </c>
      <c r="M59" s="29" t="s">
        <v>0</v>
      </c>
      <c r="N59" s="12">
        <v>0</v>
      </c>
      <c r="O59" s="43">
        <v>0</v>
      </c>
      <c r="P59" s="12">
        <f>3879.1+3750.8+4661.6</f>
        <v>12291.5</v>
      </c>
      <c r="R59" s="12">
        <f>+B59</f>
        <v>13303.2</v>
      </c>
      <c r="S59" s="46">
        <f>+(R59-T59)/ABS(T59)</f>
        <v>-8.6425348688683318E-2</v>
      </c>
      <c r="T59" s="12">
        <f>+D59</f>
        <v>14561.7</v>
      </c>
      <c r="U59" s="12">
        <f>+D59+H59+L59+P59</f>
        <v>45610.2</v>
      </c>
    </row>
    <row r="60" spans="1:21">
      <c r="A60" t="s">
        <v>284</v>
      </c>
      <c r="B60" s="240">
        <v>10747.2</v>
      </c>
      <c r="C60" s="46">
        <f>+(B60-D60)/D60</f>
        <v>7.3369792878752627</v>
      </c>
      <c r="D60" s="240">
        <f>396.8+489.2+403.1</f>
        <v>1289.0999999999999</v>
      </c>
      <c r="E60" s="29" t="s">
        <v>0</v>
      </c>
      <c r="F60" s="240">
        <v>0</v>
      </c>
      <c r="G60" s="43">
        <v>0</v>
      </c>
      <c r="H60" s="240">
        <f>1902.3+647.3+4752.7</f>
        <v>7302.2999999999993</v>
      </c>
      <c r="J60" s="240">
        <v>0</v>
      </c>
      <c r="K60" s="43">
        <v>0</v>
      </c>
      <c r="L60" s="240">
        <f>2107.1+3538.8</f>
        <v>5645.9</v>
      </c>
      <c r="M60" s="29" t="s">
        <v>0</v>
      </c>
      <c r="N60" s="240">
        <v>0</v>
      </c>
      <c r="O60" s="43">
        <v>0</v>
      </c>
      <c r="P60" s="240">
        <f>274.8+551.4+9758.7</f>
        <v>10584.900000000001</v>
      </c>
      <c r="R60" s="240">
        <f>+B60</f>
        <v>10747.2</v>
      </c>
      <c r="S60" s="46">
        <f>+(R60-T60)/ABS(T60)</f>
        <v>7.3369792878752627</v>
      </c>
      <c r="T60" s="240">
        <f>+D60</f>
        <v>1289.0999999999999</v>
      </c>
      <c r="U60" s="240">
        <f>+D60+H60+L60+P60</f>
        <v>24822.2</v>
      </c>
    </row>
    <row r="61" spans="1:21">
      <c r="B61" s="12">
        <f>SUM(B58:B60)</f>
        <v>34001.9</v>
      </c>
      <c r="C61" s="46">
        <f>+(B61-D61)/D61</f>
        <v>0.46967876346409876</v>
      </c>
      <c r="D61" s="12">
        <f>SUM(D58:D60)</f>
        <v>23135.599999999999</v>
      </c>
      <c r="E61" s="29" t="s">
        <v>0</v>
      </c>
      <c r="F61" s="12">
        <f>SUM(F58:F60)</f>
        <v>0</v>
      </c>
      <c r="G61" s="43">
        <v>0</v>
      </c>
      <c r="H61" s="12">
        <f>SUM(H58:H60)</f>
        <v>25743.1</v>
      </c>
      <c r="J61" s="12">
        <f>SUM(J58:J60)</f>
        <v>0</v>
      </c>
      <c r="K61" s="43">
        <v>0</v>
      </c>
      <c r="L61" s="12">
        <f>SUM(L58:L60)</f>
        <v>34964.800000000003</v>
      </c>
      <c r="M61" s="29" t="s">
        <v>0</v>
      </c>
      <c r="N61" s="12">
        <f>SUM(N58:N60)</f>
        <v>0</v>
      </c>
      <c r="O61" s="43">
        <v>0</v>
      </c>
      <c r="P61" s="12">
        <f>SUM(P58:P60)</f>
        <v>44059.200000000004</v>
      </c>
      <c r="R61" s="12">
        <f>SUM(R58:R60)</f>
        <v>34001.9</v>
      </c>
      <c r="S61" s="46">
        <f>+(R61-T61)/ABS(T61)</f>
        <v>0.46967876346409876</v>
      </c>
      <c r="T61" s="12">
        <f>SUM(T58:T60)</f>
        <v>23135.599999999999</v>
      </c>
      <c r="U61" s="12">
        <f>SUM(U58:U60)</f>
        <v>127902.7</v>
      </c>
    </row>
    <row r="62" spans="1:21">
      <c r="B62" s="240"/>
      <c r="C62" s="47" t="s">
        <v>0</v>
      </c>
      <c r="D62" s="240"/>
      <c r="E62" s="29" t="s">
        <v>0</v>
      </c>
      <c r="F62" s="240"/>
      <c r="G62" s="44" t="s">
        <v>0</v>
      </c>
      <c r="H62" s="240"/>
      <c r="J62" s="379"/>
      <c r="K62" s="44" t="s">
        <v>0</v>
      </c>
      <c r="L62" s="379"/>
      <c r="M62" s="29" t="s">
        <v>0</v>
      </c>
      <c r="N62" s="379"/>
      <c r="O62" s="44" t="s">
        <v>0</v>
      </c>
      <c r="P62" s="379"/>
      <c r="R62" s="240"/>
      <c r="S62" s="46"/>
      <c r="T62" s="240"/>
      <c r="U62" s="240"/>
    </row>
    <row r="63" spans="1:21">
      <c r="A63" t="s">
        <v>337</v>
      </c>
      <c r="B63" s="12">
        <f>+B55+B61</f>
        <v>116522.5</v>
      </c>
      <c r="C63" s="46">
        <f>+(B63-D63)/D63</f>
        <v>0.52595455235960009</v>
      </c>
      <c r="D63" s="12">
        <f>+D55+D61</f>
        <v>76360.399999999994</v>
      </c>
      <c r="E63" s="29" t="s">
        <v>0</v>
      </c>
      <c r="F63" s="12">
        <f>+F55+F61</f>
        <v>0</v>
      </c>
      <c r="G63" s="43">
        <v>0</v>
      </c>
      <c r="H63" s="12">
        <f>+H55+H61</f>
        <v>88352.7</v>
      </c>
      <c r="J63" s="12">
        <f>+J55+J61</f>
        <v>0</v>
      </c>
      <c r="K63" s="43">
        <v>0</v>
      </c>
      <c r="L63" s="12">
        <f>+L55+L61</f>
        <v>107400.9</v>
      </c>
      <c r="M63" s="29" t="s">
        <v>0</v>
      </c>
      <c r="N63" s="12">
        <f>+N55+N61</f>
        <v>0</v>
      </c>
      <c r="O63" s="43">
        <v>0</v>
      </c>
      <c r="P63" s="12">
        <f>+P55+P61</f>
        <v>123679.20000000001</v>
      </c>
      <c r="R63" s="12">
        <f>+R55+R61</f>
        <v>116522.5</v>
      </c>
      <c r="S63" s="46">
        <f>+(R63-T63)/ABS(T63)</f>
        <v>0.52595455235960009</v>
      </c>
      <c r="T63" s="12">
        <f>+T55+T61</f>
        <v>76360.399999999994</v>
      </c>
      <c r="U63" s="12">
        <f>+U55+U61</f>
        <v>395793.2</v>
      </c>
    </row>
    <row r="64" spans="1:21">
      <c r="B64" s="12"/>
      <c r="C64" s="47" t="s">
        <v>0</v>
      </c>
      <c r="D64" s="12"/>
      <c r="E64" s="29" t="s">
        <v>0</v>
      </c>
      <c r="F64" s="12"/>
      <c r="G64" s="44" t="s">
        <v>0</v>
      </c>
      <c r="H64" s="12"/>
      <c r="K64" s="44" t="s">
        <v>0</v>
      </c>
      <c r="M64" s="29" t="s">
        <v>0</v>
      </c>
      <c r="O64" s="44" t="s">
        <v>0</v>
      </c>
      <c r="R64" s="12"/>
      <c r="S64" s="46"/>
      <c r="T64" s="12"/>
      <c r="U64" s="12"/>
    </row>
    <row r="65" spans="1:21">
      <c r="A65" t="s">
        <v>338</v>
      </c>
      <c r="B65" s="12">
        <v>3000</v>
      </c>
      <c r="C65" s="46">
        <f>+(B65-D65)/D65</f>
        <v>0</v>
      </c>
      <c r="D65" s="12">
        <f>1000+1000+1000</f>
        <v>3000</v>
      </c>
      <c r="E65" s="29" t="s">
        <v>0</v>
      </c>
      <c r="F65" s="12">
        <v>0</v>
      </c>
      <c r="G65" s="43">
        <v>0</v>
      </c>
      <c r="H65" s="12">
        <f>750+750+750</f>
        <v>2250</v>
      </c>
      <c r="J65" s="12">
        <v>0</v>
      </c>
      <c r="K65" s="43">
        <v>0</v>
      </c>
      <c r="L65" s="12">
        <f>5500+4750</f>
        <v>10250</v>
      </c>
      <c r="M65" s="29" t="s">
        <v>0</v>
      </c>
      <c r="N65" s="12">
        <v>0</v>
      </c>
      <c r="O65" s="43">
        <v>0</v>
      </c>
      <c r="P65" s="12">
        <f>1908.9+750+750</f>
        <v>3408.9</v>
      </c>
      <c r="R65" s="12">
        <f>+B65</f>
        <v>3000</v>
      </c>
      <c r="S65" s="46">
        <f>+(R65-T65)/ABS(T65)</f>
        <v>0</v>
      </c>
      <c r="T65" s="12">
        <f>+D65</f>
        <v>3000</v>
      </c>
      <c r="U65" s="12">
        <f>+D65+H65+L65+P65</f>
        <v>18908.900000000001</v>
      </c>
    </row>
    <row r="66" spans="1:21">
      <c r="B66" s="12"/>
      <c r="C66" s="47" t="s">
        <v>0</v>
      </c>
      <c r="D66" s="12"/>
      <c r="E66" s="29" t="s">
        <v>0</v>
      </c>
      <c r="F66" s="12"/>
      <c r="G66" s="44" t="s">
        <v>0</v>
      </c>
      <c r="H66" s="12"/>
      <c r="J66" s="29" t="s">
        <v>0</v>
      </c>
      <c r="K66" s="44" t="s">
        <v>0</v>
      </c>
      <c r="L66" s="29" t="s">
        <v>0</v>
      </c>
      <c r="M66" s="29" t="s">
        <v>0</v>
      </c>
      <c r="O66" s="44" t="s">
        <v>0</v>
      </c>
      <c r="R66" s="12"/>
      <c r="S66" s="46"/>
      <c r="T66" s="12"/>
      <c r="U66" s="12"/>
    </row>
    <row r="67" spans="1:21">
      <c r="A67" t="s">
        <v>339</v>
      </c>
      <c r="B67" s="240"/>
      <c r="C67" s="47" t="s">
        <v>0</v>
      </c>
      <c r="D67" s="240"/>
      <c r="E67" s="29" t="s">
        <v>0</v>
      </c>
      <c r="F67" s="240"/>
      <c r="G67" s="44" t="s">
        <v>0</v>
      </c>
      <c r="H67" s="240"/>
      <c r="J67" s="379"/>
      <c r="K67" s="44" t="s">
        <v>0</v>
      </c>
      <c r="L67" s="379"/>
      <c r="M67" s="29" t="s">
        <v>0</v>
      </c>
      <c r="N67" s="379"/>
      <c r="O67" s="44" t="s">
        <v>0</v>
      </c>
      <c r="P67" s="379"/>
      <c r="R67" s="240"/>
      <c r="S67" s="46"/>
      <c r="T67" s="240"/>
      <c r="U67" s="240"/>
    </row>
    <row r="68" spans="1:21">
      <c r="A68" t="s">
        <v>340</v>
      </c>
      <c r="B68" s="12">
        <f>+B63-B65</f>
        <v>113522.5</v>
      </c>
      <c r="C68" s="46">
        <f>+(B68-D68)/D68</f>
        <v>0.54746293640710808</v>
      </c>
      <c r="D68" s="12">
        <f>+D63-D65</f>
        <v>73360.399999999994</v>
      </c>
      <c r="E68" s="29" t="s">
        <v>0</v>
      </c>
      <c r="F68" s="12">
        <f>+F63-F65</f>
        <v>0</v>
      </c>
      <c r="G68" s="43">
        <v>0</v>
      </c>
      <c r="H68" s="12">
        <f>+H63-H65</f>
        <v>86102.7</v>
      </c>
      <c r="J68" s="12">
        <f>+J63-J65</f>
        <v>0</v>
      </c>
      <c r="K68" s="43">
        <v>0</v>
      </c>
      <c r="L68" s="12">
        <f>+L63-L65</f>
        <v>97150.9</v>
      </c>
      <c r="M68" s="29" t="s">
        <v>0</v>
      </c>
      <c r="N68" s="12">
        <f>+N63-N65</f>
        <v>0</v>
      </c>
      <c r="O68" s="43">
        <v>0</v>
      </c>
      <c r="P68" s="12">
        <f>+P63-P65</f>
        <v>120270.30000000002</v>
      </c>
      <c r="R68" s="12">
        <f>+R63-R65</f>
        <v>113522.5</v>
      </c>
      <c r="S68" s="46">
        <f>+(R68-T68)/ABS(T68)</f>
        <v>0.54746293640710808</v>
      </c>
      <c r="T68" s="12">
        <f>+T63-T65</f>
        <v>73360.399999999994</v>
      </c>
      <c r="U68" s="12">
        <f>+U63-U65</f>
        <v>376884.3</v>
      </c>
    </row>
    <row r="69" spans="1:21">
      <c r="B69" s="12"/>
      <c r="C69" s="47" t="s">
        <v>0</v>
      </c>
      <c r="D69" s="12"/>
      <c r="E69" s="29" t="s">
        <v>0</v>
      </c>
      <c r="F69" s="12"/>
      <c r="G69" s="44" t="s">
        <v>0</v>
      </c>
      <c r="H69" s="12"/>
      <c r="K69" s="44" t="s">
        <v>0</v>
      </c>
      <c r="M69" s="29" t="s">
        <v>0</v>
      </c>
      <c r="O69" s="44" t="s">
        <v>0</v>
      </c>
      <c r="R69" s="12"/>
      <c r="S69" s="46"/>
      <c r="T69" s="12"/>
      <c r="U69" s="12"/>
    </row>
    <row r="70" spans="1:21">
      <c r="A70" t="s">
        <v>341</v>
      </c>
      <c r="B70" s="12"/>
      <c r="C70" s="47" t="s">
        <v>0</v>
      </c>
      <c r="D70" s="12"/>
      <c r="E70" s="29" t="s">
        <v>0</v>
      </c>
      <c r="F70" s="12"/>
      <c r="G70" s="44" t="s">
        <v>0</v>
      </c>
      <c r="H70" s="12"/>
      <c r="K70" s="44" t="s">
        <v>0</v>
      </c>
      <c r="M70" s="29" t="s">
        <v>0</v>
      </c>
      <c r="O70" s="44" t="s">
        <v>0</v>
      </c>
      <c r="R70" s="12"/>
      <c r="S70" s="46"/>
      <c r="T70" s="12"/>
      <c r="U70" s="12"/>
    </row>
    <row r="71" spans="1:21">
      <c r="A71" t="s">
        <v>342</v>
      </c>
      <c r="B71" s="12">
        <v>44529.2</v>
      </c>
      <c r="C71" s="46">
        <f t="shared" ref="C71:C81" si="6">+(B71-D71)/D71</f>
        <v>0.50074482498298012</v>
      </c>
      <c r="D71" s="12">
        <f>10245.7+8964.7+10461</f>
        <v>29671.4</v>
      </c>
      <c r="E71" s="29" t="s">
        <v>0</v>
      </c>
      <c r="F71" s="12">
        <v>0</v>
      </c>
      <c r="G71" s="43">
        <v>0</v>
      </c>
      <c r="H71" s="12">
        <f>9493.3+9407.1+10956.5</f>
        <v>29856.9</v>
      </c>
      <c r="J71" s="12">
        <v>0</v>
      </c>
      <c r="K71" s="43">
        <v>0</v>
      </c>
      <c r="L71" s="12">
        <f>20090.1+12894.4</f>
        <v>32984.5</v>
      </c>
      <c r="M71" s="29" t="s">
        <v>0</v>
      </c>
      <c r="N71" s="12">
        <v>0</v>
      </c>
      <c r="O71" s="43">
        <v>0</v>
      </c>
      <c r="P71" s="12">
        <f>13739+14600.2+14592.5</f>
        <v>42931.7</v>
      </c>
      <c r="R71" s="12">
        <f>+B71</f>
        <v>44529.2</v>
      </c>
      <c r="S71" s="46">
        <f>+(R71-T71)/ABS(T71)</f>
        <v>0.50074482498298012</v>
      </c>
      <c r="T71" s="12">
        <f>+D71</f>
        <v>29671.4</v>
      </c>
      <c r="U71" s="12">
        <f>+D71+H71+L71+P71</f>
        <v>135444.5</v>
      </c>
    </row>
    <row r="72" spans="1:21">
      <c r="A72" t="s">
        <v>343</v>
      </c>
      <c r="B72" s="12">
        <v>2276.9</v>
      </c>
      <c r="C72" s="46">
        <f t="shared" si="6"/>
        <v>0.25997454485086613</v>
      </c>
      <c r="D72" s="12">
        <f>714+534.8+558.3</f>
        <v>1807.1</v>
      </c>
      <c r="E72" s="29" t="s">
        <v>0</v>
      </c>
      <c r="F72" s="12">
        <v>0</v>
      </c>
      <c r="G72" s="43">
        <v>0</v>
      </c>
      <c r="H72" s="12">
        <f>615.3+743.4+638</f>
        <v>1996.6999999999998</v>
      </c>
      <c r="J72" s="12">
        <v>0</v>
      </c>
      <c r="K72" s="43">
        <v>0</v>
      </c>
      <c r="L72" s="12">
        <f>1333.6+827.6</f>
        <v>2161.1999999999998</v>
      </c>
      <c r="M72" s="29" t="s">
        <v>0</v>
      </c>
      <c r="N72" s="12">
        <v>0</v>
      </c>
      <c r="O72" s="43">
        <v>0</v>
      </c>
      <c r="P72" s="12">
        <f>694.1+666.2+832.6</f>
        <v>2192.9</v>
      </c>
      <c r="R72" s="12">
        <f>+B72</f>
        <v>2276.9</v>
      </c>
      <c r="S72" s="46">
        <f>+(R72-T72)/ABS(T72)</f>
        <v>0.25997454485086613</v>
      </c>
      <c r="T72" s="12">
        <f>+D72</f>
        <v>1807.1</v>
      </c>
      <c r="U72" s="12">
        <f>+D72+H72+L72+P72</f>
        <v>8157.9</v>
      </c>
    </row>
    <row r="73" spans="1:21">
      <c r="A73" t="s">
        <v>344</v>
      </c>
      <c r="B73" s="12">
        <v>16482.099999999999</v>
      </c>
      <c r="C73" s="46">
        <f t="shared" si="6"/>
        <v>0.48309682992450481</v>
      </c>
      <c r="D73" s="12">
        <f>3420.6+3877+3815.7</f>
        <v>11113.3</v>
      </c>
      <c r="E73" s="29" t="s">
        <v>0</v>
      </c>
      <c r="F73" s="12">
        <v>0</v>
      </c>
      <c r="G73" s="43">
        <v>0</v>
      </c>
      <c r="H73" s="12">
        <f>3796.5+3702.1+2543</f>
        <v>10041.6</v>
      </c>
      <c r="J73" s="12">
        <v>0</v>
      </c>
      <c r="K73" s="43">
        <v>0</v>
      </c>
      <c r="L73" s="12">
        <f>6912.5+5274.7</f>
        <v>12187.2</v>
      </c>
      <c r="M73" s="29" t="s">
        <v>0</v>
      </c>
      <c r="N73" s="12">
        <v>0</v>
      </c>
      <c r="O73" s="43">
        <v>0</v>
      </c>
      <c r="P73" s="12">
        <f>5359+4924.3+4934.9</f>
        <v>15218.199999999999</v>
      </c>
      <c r="R73" s="12">
        <f>+B73</f>
        <v>16482.099999999999</v>
      </c>
      <c r="S73" s="46">
        <f>+(R73-T73)/ABS(T73)</f>
        <v>0.48309682992450481</v>
      </c>
      <c r="T73" s="12">
        <f>+D73</f>
        <v>11113.3</v>
      </c>
      <c r="U73" s="12">
        <f>+D73+H73+L73+P73</f>
        <v>48560.3</v>
      </c>
    </row>
    <row r="74" spans="1:21">
      <c r="A74" t="s">
        <v>345</v>
      </c>
      <c r="B74" s="240">
        <v>30327.3</v>
      </c>
      <c r="C74" s="46">
        <f t="shared" si="6"/>
        <v>0.25122431213667745</v>
      </c>
      <c r="D74" s="240">
        <f>6932.5+8739.7+8565.9</f>
        <v>24238.1</v>
      </c>
      <c r="E74" s="29" t="s">
        <v>0</v>
      </c>
      <c r="F74" s="240">
        <v>0</v>
      </c>
      <c r="G74" s="43">
        <v>0</v>
      </c>
      <c r="H74" s="240">
        <f>8276.7+7481.5+8332.5</f>
        <v>24090.7</v>
      </c>
      <c r="J74" s="240">
        <v>0</v>
      </c>
      <c r="K74" s="43">
        <v>0</v>
      </c>
      <c r="L74" s="240">
        <f>17943.3+11432.2</f>
        <v>29375.5</v>
      </c>
      <c r="M74" s="29" t="s">
        <v>0</v>
      </c>
      <c r="N74" s="240">
        <v>0</v>
      </c>
      <c r="O74" s="43">
        <v>0</v>
      </c>
      <c r="P74" s="240">
        <f>11721.1+15002.2+13225.2</f>
        <v>39948.5</v>
      </c>
      <c r="R74" s="240">
        <f>+B74</f>
        <v>30327.3</v>
      </c>
      <c r="S74" s="46">
        <f>+(R74-T74)/ABS(T74)</f>
        <v>0.25122431213667745</v>
      </c>
      <c r="T74" s="240">
        <f>+D74</f>
        <v>24238.1</v>
      </c>
      <c r="U74" s="240">
        <f>+D74+H74+L74+P74</f>
        <v>117652.8</v>
      </c>
    </row>
    <row r="75" spans="1:21">
      <c r="B75" s="12">
        <f>SUM(B71:B74)</f>
        <v>93615.5</v>
      </c>
      <c r="C75" s="46">
        <f t="shared" si="6"/>
        <v>0.40080263474881767</v>
      </c>
      <c r="D75" s="12">
        <f>SUM(D71:D74)</f>
        <v>66829.899999999994</v>
      </c>
      <c r="E75" s="29" t="s">
        <v>0</v>
      </c>
      <c r="F75" s="12">
        <f>SUM(F71:F74)</f>
        <v>0</v>
      </c>
      <c r="G75" s="43">
        <v>0</v>
      </c>
      <c r="H75" s="12">
        <f>SUM(H71:H74)</f>
        <v>65985.900000000009</v>
      </c>
      <c r="J75" s="12">
        <f>SUM(J71:J74)</f>
        <v>0</v>
      </c>
      <c r="K75" s="43">
        <v>0</v>
      </c>
      <c r="L75" s="12">
        <f>SUM(L71:L74)</f>
        <v>76708.399999999994</v>
      </c>
      <c r="M75" s="29" t="s">
        <v>0</v>
      </c>
      <c r="N75" s="12">
        <f>SUM(N71:N74)</f>
        <v>0</v>
      </c>
      <c r="O75" s="43">
        <v>0</v>
      </c>
      <c r="P75" s="12">
        <f>SUM(P71:P74)</f>
        <v>100291.29999999999</v>
      </c>
      <c r="R75" s="12">
        <f>SUM(R71:R74)</f>
        <v>93615.5</v>
      </c>
      <c r="S75" s="46">
        <f>+(R75-T75)/ABS(T75)</f>
        <v>0.40080263474881767</v>
      </c>
      <c r="T75" s="12">
        <f>SUM(T71:T74)</f>
        <v>66829.899999999994</v>
      </c>
      <c r="U75" s="12">
        <f>SUM(U71:U74)</f>
        <v>309815.5</v>
      </c>
    </row>
    <row r="76" spans="1:21">
      <c r="B76" s="240"/>
      <c r="C76" s="46"/>
      <c r="D76" s="240"/>
      <c r="E76" s="29"/>
      <c r="F76" s="379"/>
      <c r="G76" s="43"/>
      <c r="H76" s="379"/>
      <c r="J76" s="379"/>
      <c r="K76" s="43"/>
      <c r="L76" s="379"/>
      <c r="M76" s="29"/>
      <c r="N76" s="379"/>
      <c r="O76" s="43"/>
      <c r="P76" s="379"/>
      <c r="R76" s="240"/>
      <c r="S76" s="46"/>
      <c r="T76" s="240"/>
      <c r="U76" s="240"/>
    </row>
    <row r="77" spans="1:21">
      <c r="A77" t="s">
        <v>346</v>
      </c>
      <c r="B77" s="12">
        <f>+B68-B75</f>
        <v>19907</v>
      </c>
      <c r="C77" s="46">
        <f t="shared" si="6"/>
        <v>2.0483117678585101</v>
      </c>
      <c r="D77" s="12">
        <f>+D68-D75</f>
        <v>6530.5</v>
      </c>
      <c r="E77" s="29" t="s">
        <v>0</v>
      </c>
      <c r="F77" s="12">
        <f>+F68-F75</f>
        <v>0</v>
      </c>
      <c r="G77" s="43">
        <v>0</v>
      </c>
      <c r="H77" s="12">
        <f>+H68-H75</f>
        <v>20116.799999999988</v>
      </c>
      <c r="J77" s="12">
        <f>+J68-J75</f>
        <v>0</v>
      </c>
      <c r="K77" s="43">
        <v>0</v>
      </c>
      <c r="L77" s="12">
        <f>+L68-L75</f>
        <v>20442.5</v>
      </c>
      <c r="M77" s="29" t="s">
        <v>0</v>
      </c>
      <c r="N77" s="12">
        <f>+N68-N75</f>
        <v>0</v>
      </c>
      <c r="O77" s="43">
        <v>0</v>
      </c>
      <c r="P77" s="12">
        <f>+P68-P75</f>
        <v>19979.000000000029</v>
      </c>
      <c r="R77" s="12">
        <f>+R68-R75</f>
        <v>19907</v>
      </c>
      <c r="S77" s="46">
        <f>+(R77-T77)/ABS(T77)</f>
        <v>2.0483117678585101</v>
      </c>
      <c r="T77" s="12">
        <f>+T68-T75</f>
        <v>6530.5</v>
      </c>
      <c r="U77" s="12">
        <f>+U68-U75</f>
        <v>67068.799999999988</v>
      </c>
    </row>
    <row r="78" spans="1:21">
      <c r="B78" s="12"/>
      <c r="C78" s="47" t="s">
        <v>0</v>
      </c>
      <c r="D78" s="12"/>
      <c r="E78" s="29" t="s">
        <v>0</v>
      </c>
      <c r="G78" s="44" t="s">
        <v>0</v>
      </c>
      <c r="K78" s="44" t="s">
        <v>0</v>
      </c>
      <c r="M78" s="29" t="s">
        <v>0</v>
      </c>
      <c r="O78" s="44" t="s">
        <v>0</v>
      </c>
      <c r="R78" s="12"/>
      <c r="S78" s="46"/>
      <c r="T78" s="12"/>
      <c r="U78" s="12"/>
    </row>
    <row r="79" spans="1:21">
      <c r="A79" t="s">
        <v>347</v>
      </c>
      <c r="B79" s="12">
        <v>3662.4</v>
      </c>
      <c r="C79" s="46">
        <f t="shared" si="6"/>
        <v>0.60238011900595045</v>
      </c>
      <c r="D79" s="12">
        <v>2285.6</v>
      </c>
      <c r="E79" s="29" t="s">
        <v>0</v>
      </c>
      <c r="F79" s="12">
        <v>0</v>
      </c>
      <c r="G79" s="43">
        <v>0</v>
      </c>
      <c r="H79" s="12">
        <f>2370.1+923.6+4062.1</f>
        <v>7355.7999999999993</v>
      </c>
      <c r="J79" s="12">
        <v>0</v>
      </c>
      <c r="K79" s="43">
        <v>0</v>
      </c>
      <c r="L79" s="12">
        <f>3279.6+3571.9</f>
        <v>6851.5</v>
      </c>
      <c r="M79" s="29" t="s">
        <v>0</v>
      </c>
      <c r="N79" s="12">
        <v>0</v>
      </c>
      <c r="O79" s="43">
        <v>0</v>
      </c>
      <c r="P79" s="12">
        <v>-24.3</v>
      </c>
      <c r="R79" s="12">
        <f>+B79</f>
        <v>3662.4</v>
      </c>
      <c r="S79" s="46">
        <f>+(R79-T79)/ABS(T79)</f>
        <v>0.60238011900595045</v>
      </c>
      <c r="T79" s="12">
        <f>+D79</f>
        <v>2285.6</v>
      </c>
      <c r="U79" s="12">
        <f>+D79+H79+L79+P79</f>
        <v>16468.600000000002</v>
      </c>
    </row>
    <row r="80" spans="1:21" ht="16.5" thickBot="1">
      <c r="B80" s="76"/>
      <c r="C80" s="47" t="s">
        <v>0</v>
      </c>
      <c r="D80" s="76"/>
      <c r="E80" s="29" t="s">
        <v>0</v>
      </c>
      <c r="F80" s="30"/>
      <c r="G80" s="44" t="s">
        <v>0</v>
      </c>
      <c r="H80" s="30"/>
      <c r="J80" s="30"/>
      <c r="K80" s="44" t="s">
        <v>0</v>
      </c>
      <c r="L80" s="30"/>
      <c r="M80" s="29" t="s">
        <v>0</v>
      </c>
      <c r="N80" s="30"/>
      <c r="O80" s="44" t="s">
        <v>0</v>
      </c>
      <c r="P80" s="30"/>
      <c r="R80" s="76"/>
      <c r="S80" s="46"/>
      <c r="T80" s="76"/>
      <c r="U80" s="76"/>
    </row>
    <row r="81" spans="1:21" s="2" customFormat="1">
      <c r="A81" s="2" t="s">
        <v>427</v>
      </c>
      <c r="B81" s="4">
        <f>+B77-B79</f>
        <v>16244.6</v>
      </c>
      <c r="C81" s="112">
        <f t="shared" si="6"/>
        <v>2.8268510447831519</v>
      </c>
      <c r="D81" s="4">
        <f>+D77-D79</f>
        <v>4244.8999999999996</v>
      </c>
      <c r="E81" s="146" t="s">
        <v>0</v>
      </c>
      <c r="F81" s="4">
        <f>+F77-F79</f>
        <v>0</v>
      </c>
      <c r="G81" s="42">
        <v>0</v>
      </c>
      <c r="H81" s="4">
        <f>+H77-H79</f>
        <v>12760.999999999989</v>
      </c>
      <c r="I81" s="146"/>
      <c r="J81" s="4">
        <f>+J77-J79</f>
        <v>0</v>
      </c>
      <c r="K81" s="42">
        <v>0</v>
      </c>
      <c r="L81" s="4">
        <f>+L77-L79</f>
        <v>13591</v>
      </c>
      <c r="M81" s="146" t="s">
        <v>0</v>
      </c>
      <c r="N81" s="4">
        <f>+N77-N79</f>
        <v>0</v>
      </c>
      <c r="O81" s="42">
        <v>0</v>
      </c>
      <c r="P81" s="4">
        <f>+P77-P79</f>
        <v>20003.300000000028</v>
      </c>
      <c r="Q81" s="146"/>
      <c r="R81" s="4">
        <f>+R77-R79</f>
        <v>16244.6</v>
      </c>
      <c r="S81" s="112">
        <f>+(R81-T81)/ABS(T81)</f>
        <v>2.8268510447831519</v>
      </c>
      <c r="T81" s="4">
        <f>+T77-T79</f>
        <v>4244.8999999999996</v>
      </c>
      <c r="U81" s="4">
        <f>+U77-U79</f>
        <v>50600.199999999983</v>
      </c>
    </row>
    <row r="82" spans="1:21">
      <c r="E82" s="29"/>
      <c r="M82" s="29"/>
    </row>
    <row r="83" spans="1:21">
      <c r="E83" s="29"/>
      <c r="F83" s="29" t="s">
        <v>0</v>
      </c>
      <c r="M83" s="29"/>
    </row>
    <row r="84" spans="1:21">
      <c r="B84" s="565" t="s">
        <v>261</v>
      </c>
      <c r="D84" s="565" t="s">
        <v>261</v>
      </c>
      <c r="E84" s="29" t="s">
        <v>0</v>
      </c>
      <c r="F84" s="565" t="s">
        <v>261</v>
      </c>
      <c r="H84" s="565" t="s">
        <v>261</v>
      </c>
      <c r="M84" s="29" t="s">
        <v>0</v>
      </c>
      <c r="N84" s="29" t="s">
        <v>0</v>
      </c>
    </row>
    <row r="85" spans="1:21">
      <c r="B85" s="26" t="s">
        <v>353</v>
      </c>
      <c r="D85" s="26" t="s">
        <v>533</v>
      </c>
      <c r="F85" s="26" t="s">
        <v>534</v>
      </c>
      <c r="H85" s="26" t="s">
        <v>535</v>
      </c>
      <c r="M85" s="29" t="s">
        <v>0</v>
      </c>
    </row>
    <row r="86" spans="1:21">
      <c r="A86" t="s">
        <v>536</v>
      </c>
      <c r="B86" s="29" t="s">
        <v>0</v>
      </c>
      <c r="D86" s="29" t="s">
        <v>0</v>
      </c>
      <c r="F86" s="29" t="s">
        <v>0</v>
      </c>
      <c r="H86" s="29" t="s">
        <v>0</v>
      </c>
      <c r="M86" s="29" t="s">
        <v>0</v>
      </c>
    </row>
    <row r="87" spans="1:21">
      <c r="A87" t="s">
        <v>329</v>
      </c>
      <c r="B87" s="16" t="s">
        <v>0</v>
      </c>
    </row>
    <row r="88" spans="1:21">
      <c r="A88" t="s">
        <v>330</v>
      </c>
      <c r="B88" s="12">
        <f>+(17639273+18372877+20814186)/1000</f>
        <v>56826.336000000003</v>
      </c>
      <c r="D88" s="12">
        <v>0</v>
      </c>
      <c r="F88" s="12">
        <v>0</v>
      </c>
      <c r="H88" s="12">
        <v>0</v>
      </c>
    </row>
    <row r="89" spans="1:21" ht="18">
      <c r="A89" t="s">
        <v>537</v>
      </c>
      <c r="B89" s="6">
        <f>+(5574400+6244952+5589521)/1000</f>
        <v>17408.873</v>
      </c>
      <c r="D89" s="6">
        <v>0</v>
      </c>
      <c r="F89" s="6">
        <v>0</v>
      </c>
      <c r="H89" s="6">
        <v>0</v>
      </c>
    </row>
    <row r="90" spans="1:21">
      <c r="B90" s="12">
        <f>SUM(B88:B89)</f>
        <v>74235.209000000003</v>
      </c>
      <c r="D90" s="12">
        <f>SUM(D88:D89)</f>
        <v>0</v>
      </c>
      <c r="F90" s="12">
        <f>SUM(F88:F89)</f>
        <v>0</v>
      </c>
      <c r="H90" s="12">
        <f>SUM(H88:H89)</f>
        <v>0</v>
      </c>
    </row>
    <row r="91" spans="1:21">
      <c r="A91" t="s">
        <v>333</v>
      </c>
      <c r="B91" s="12">
        <f>+(7663622+8302824+8337580)/1000</f>
        <v>24304.026000000002</v>
      </c>
      <c r="D91" s="12">
        <v>0</v>
      </c>
      <c r="F91" s="12">
        <v>0</v>
      </c>
      <c r="H91" s="12">
        <v>0</v>
      </c>
    </row>
    <row r="92" spans="1:21">
      <c r="B92" s="12">
        <f>+B90-B91</f>
        <v>49931.183000000005</v>
      </c>
      <c r="D92" s="12">
        <f>+D90-D91</f>
        <v>0</v>
      </c>
      <c r="F92" s="12">
        <f>+F90-F91</f>
        <v>0</v>
      </c>
      <c r="H92" s="12">
        <f>+H90-H91</f>
        <v>0</v>
      </c>
    </row>
    <row r="93" spans="1:21">
      <c r="B93" s="12"/>
      <c r="D93" s="12"/>
      <c r="F93" s="12"/>
      <c r="H93" s="12"/>
    </row>
    <row r="94" spans="1:21">
      <c r="A94" t="s">
        <v>334</v>
      </c>
      <c r="B94" s="12"/>
      <c r="D94" s="12"/>
      <c r="F94" s="12"/>
      <c r="H94" s="12"/>
    </row>
    <row r="95" spans="1:21">
      <c r="A95" t="s">
        <v>335</v>
      </c>
      <c r="B95" s="16">
        <f>+(2054682+1240002-125878)/1000</f>
        <v>3168.806</v>
      </c>
      <c r="D95" s="16">
        <v>0</v>
      </c>
      <c r="F95" s="16">
        <v>0</v>
      </c>
      <c r="H95" s="16">
        <v>0</v>
      </c>
    </row>
    <row r="96" spans="1:21">
      <c r="A96" t="s">
        <v>336</v>
      </c>
      <c r="B96" s="12">
        <f>+(3604212+1671537+1404648)/1000</f>
        <v>6680.3969999999999</v>
      </c>
      <c r="D96" s="12">
        <v>0</v>
      </c>
      <c r="F96" s="12">
        <v>0</v>
      </c>
      <c r="H96" s="12">
        <v>0</v>
      </c>
    </row>
    <row r="97" spans="1:8">
      <c r="A97" t="s">
        <v>284</v>
      </c>
      <c r="B97" s="12">
        <f>+(1156162+830534+4567863)/1000</f>
        <v>6554.5590000000002</v>
      </c>
      <c r="D97" s="12">
        <v>0</v>
      </c>
      <c r="F97" s="12">
        <v>0</v>
      </c>
      <c r="H97" s="12">
        <v>0</v>
      </c>
    </row>
    <row r="98" spans="1:8">
      <c r="B98" s="12">
        <f>SUM(B95:B97)</f>
        <v>16403.761999999999</v>
      </c>
      <c r="D98" s="12">
        <f>SUM(D95:D97)</f>
        <v>0</v>
      </c>
      <c r="F98" s="12">
        <f>SUM(F95:F97)</f>
        <v>0</v>
      </c>
      <c r="H98" s="12">
        <f>SUM(H95:H97)</f>
        <v>0</v>
      </c>
    </row>
    <row r="99" spans="1:8">
      <c r="B99" s="12"/>
      <c r="D99" s="12"/>
      <c r="F99" s="12"/>
      <c r="H99" s="12"/>
    </row>
    <row r="100" spans="1:8">
      <c r="A100" t="s">
        <v>337</v>
      </c>
      <c r="B100" s="12">
        <f>+B92+B98</f>
        <v>66334.945000000007</v>
      </c>
      <c r="D100" s="12">
        <f>+D92+D98</f>
        <v>0</v>
      </c>
      <c r="F100" s="12">
        <f>+F92+F98</f>
        <v>0</v>
      </c>
      <c r="H100" s="12">
        <f>+H92+H98</f>
        <v>0</v>
      </c>
    </row>
    <row r="101" spans="1:8">
      <c r="B101" s="12"/>
      <c r="D101" s="12"/>
      <c r="F101" s="12"/>
      <c r="H101" s="12"/>
    </row>
    <row r="102" spans="1:8">
      <c r="A102" t="s">
        <v>538</v>
      </c>
      <c r="B102" s="12">
        <f>+(700000+700000+700000)/1000</f>
        <v>2100</v>
      </c>
      <c r="D102" s="12">
        <v>0</v>
      </c>
      <c r="F102" s="12">
        <v>0</v>
      </c>
      <c r="H102" s="12">
        <v>0</v>
      </c>
    </row>
    <row r="103" spans="1:8">
      <c r="B103" s="12"/>
      <c r="D103" s="12"/>
      <c r="F103" s="12"/>
      <c r="H103" s="12"/>
    </row>
    <row r="104" spans="1:8">
      <c r="A104" t="s">
        <v>339</v>
      </c>
      <c r="B104" s="12"/>
      <c r="D104" s="12"/>
      <c r="F104" s="12"/>
      <c r="H104" s="12"/>
    </row>
    <row r="105" spans="1:8">
      <c r="A105" t="s">
        <v>340</v>
      </c>
      <c r="B105" s="12">
        <f>+B100-B102</f>
        <v>64234.945000000007</v>
      </c>
      <c r="D105" s="12">
        <f>+D100-D102</f>
        <v>0</v>
      </c>
      <c r="F105" s="12">
        <f>+F100-F102</f>
        <v>0</v>
      </c>
      <c r="H105" s="12">
        <f>+H100-H102</f>
        <v>0</v>
      </c>
    </row>
    <row r="106" spans="1:8">
      <c r="B106" s="12"/>
      <c r="D106" s="12"/>
      <c r="F106" s="12"/>
      <c r="H106" s="12"/>
    </row>
    <row r="107" spans="1:8">
      <c r="A107" t="s">
        <v>341</v>
      </c>
      <c r="B107" s="12"/>
      <c r="D107" s="12"/>
      <c r="F107" s="12"/>
      <c r="H107" s="12"/>
    </row>
    <row r="108" spans="1:8">
      <c r="A108" t="s">
        <v>342</v>
      </c>
      <c r="B108" s="12">
        <f>+(7793935+5574066+6671252)/1000</f>
        <v>20039.253000000001</v>
      </c>
      <c r="D108" s="12">
        <v>0</v>
      </c>
      <c r="F108" s="12">
        <v>0</v>
      </c>
      <c r="H108" s="12">
        <v>0</v>
      </c>
    </row>
    <row r="109" spans="1:8">
      <c r="A109" t="s">
        <v>343</v>
      </c>
      <c r="B109" s="12">
        <f>+(884207+642942+907538)/1000</f>
        <v>2434.6869999999999</v>
      </c>
      <c r="D109" s="12">
        <v>0</v>
      </c>
      <c r="F109" s="12">
        <v>0</v>
      </c>
      <c r="H109" s="12">
        <v>0</v>
      </c>
    </row>
    <row r="110" spans="1:8">
      <c r="A110" t="s">
        <v>344</v>
      </c>
      <c r="B110" s="12">
        <f>+(2542861+2619586+2435618)/1000</f>
        <v>7598.0649999999996</v>
      </c>
      <c r="D110" s="12">
        <v>0</v>
      </c>
      <c r="F110" s="12">
        <v>0</v>
      </c>
      <c r="H110" s="12">
        <v>0</v>
      </c>
    </row>
    <row r="111" spans="1:8">
      <c r="A111" t="s">
        <v>345</v>
      </c>
      <c r="B111" s="12">
        <f>+(7270531+4225520+5722483)/1000</f>
        <v>17218.534</v>
      </c>
      <c r="D111" s="12">
        <v>0</v>
      </c>
      <c r="F111" s="12">
        <v>0</v>
      </c>
      <c r="H111" s="12">
        <v>0</v>
      </c>
    </row>
    <row r="112" spans="1:8">
      <c r="B112" s="12">
        <f>SUM(B108:B111)</f>
        <v>47290.539000000004</v>
      </c>
      <c r="D112" s="12">
        <f>SUM(D108:D111)</f>
        <v>0</v>
      </c>
      <c r="F112" s="12">
        <f>SUM(F108:F111)</f>
        <v>0</v>
      </c>
      <c r="H112" s="12">
        <f>SUM(H108:H111)</f>
        <v>0</v>
      </c>
    </row>
    <row r="113" spans="1:8">
      <c r="B113" s="12"/>
      <c r="D113" s="12"/>
      <c r="F113" s="12"/>
      <c r="H113" s="12"/>
    </row>
    <row r="114" spans="1:8">
      <c r="A114" t="s">
        <v>346</v>
      </c>
      <c r="B114" s="12">
        <f>+B105-B112</f>
        <v>16944.406000000003</v>
      </c>
      <c r="D114" s="12">
        <f>+D105-D112</f>
        <v>0</v>
      </c>
      <c r="F114" s="12">
        <f>+F105-F112</f>
        <v>0</v>
      </c>
      <c r="H114" s="12">
        <f>+H105-H112</f>
        <v>0</v>
      </c>
    </row>
    <row r="115" spans="1:8">
      <c r="B115" s="12"/>
      <c r="D115" s="12"/>
      <c r="F115" s="12"/>
      <c r="H115" s="12"/>
    </row>
    <row r="116" spans="1:8">
      <c r="A116" t="s">
        <v>347</v>
      </c>
      <c r="B116" s="12">
        <f>+(186318+1733427+2616554)/1000</f>
        <v>4536.299</v>
      </c>
      <c r="D116" s="12">
        <v>0</v>
      </c>
      <c r="F116" s="12">
        <v>0</v>
      </c>
      <c r="H116" s="12">
        <v>0</v>
      </c>
    </row>
    <row r="117" spans="1:8">
      <c r="B117" s="12"/>
      <c r="D117" s="12"/>
      <c r="F117" s="12"/>
      <c r="H117" s="12"/>
    </row>
    <row r="118" spans="1:8">
      <c r="A118" t="s">
        <v>539</v>
      </c>
      <c r="B118" s="12">
        <f>+B114-B116</f>
        <v>12408.107000000004</v>
      </c>
      <c r="D118" s="12">
        <f>+D114-D116</f>
        <v>0</v>
      </c>
      <c r="F118" s="12">
        <f>+F114-F116</f>
        <v>0</v>
      </c>
      <c r="H118" s="12">
        <f>+H114-H116</f>
        <v>0</v>
      </c>
    </row>
    <row r="121" spans="1:8">
      <c r="B121" s="29" t="s">
        <v>0</v>
      </c>
    </row>
  </sheetData>
  <pageMargins left="0.22" right="0.2" top="0.47" bottom="0.43" header="0.31" footer="0.22"/>
  <pageSetup scale="44" orientation="landscape" r:id="rId1"/>
  <headerFooter alignWithMargins="0">
    <oddFooter>&amp;R&amp;P</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sheetViews>
  <sheetFormatPr defaultRowHeight="15.75"/>
  <cols>
    <col min="1" max="1" width="50" customWidth="1"/>
    <col min="2" max="2" width="15.75" customWidth="1"/>
    <col min="3" max="3" width="11" customWidth="1"/>
    <col min="4" max="4" width="15.75" customWidth="1"/>
    <col min="5" max="5" width="6.125" customWidth="1"/>
    <col min="6" max="6" width="16" customWidth="1"/>
    <col min="7" max="7" width="11"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646</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649</v>
      </c>
      <c r="C8" s="114"/>
      <c r="D8" s="34"/>
      <c r="E8" s="2"/>
      <c r="F8" s="114" t="s">
        <v>206</v>
      </c>
      <c r="G8" s="114"/>
      <c r="H8" s="114"/>
      <c r="I8" s="114"/>
      <c r="J8" s="114"/>
      <c r="K8" s="114"/>
      <c r="L8" s="114"/>
    </row>
    <row r="9" spans="1:14" ht="16.5" thickBot="1">
      <c r="B9" s="247" t="s">
        <v>185</v>
      </c>
      <c r="C9" s="226" t="s">
        <v>169</v>
      </c>
      <c r="D9" s="226">
        <v>1999</v>
      </c>
      <c r="E9" s="2"/>
      <c r="F9" s="226">
        <v>1999</v>
      </c>
      <c r="G9" s="226" t="s">
        <v>169</v>
      </c>
      <c r="H9" s="226">
        <v>1998</v>
      </c>
      <c r="I9" s="226" t="s">
        <v>169</v>
      </c>
      <c r="J9" s="226">
        <v>1997</v>
      </c>
      <c r="K9" s="226" t="s">
        <v>169</v>
      </c>
      <c r="L9" s="226">
        <v>1996</v>
      </c>
    </row>
    <row r="10" spans="1:14">
      <c r="A10" t="s">
        <v>328</v>
      </c>
    </row>
    <row r="11" spans="1:14">
      <c r="A11" t="s">
        <v>329</v>
      </c>
      <c r="B11" s="16" t="s">
        <v>0</v>
      </c>
      <c r="C11" s="47" t="s">
        <v>0</v>
      </c>
      <c r="D11" s="16" t="s">
        <v>0</v>
      </c>
      <c r="E11" s="44" t="s">
        <v>0</v>
      </c>
      <c r="F11" s="16" t="s">
        <v>0</v>
      </c>
      <c r="G11" s="47" t="s">
        <v>0</v>
      </c>
      <c r="M11" s="43"/>
      <c r="N11" s="43"/>
    </row>
    <row r="12" spans="1:14">
      <c r="A12" t="s">
        <v>330</v>
      </c>
      <c r="B12" s="12">
        <f>+SOGEBKRÉSULT!R50</f>
        <v>71582.3</v>
      </c>
      <c r="C12" s="46">
        <f t="shared" ref="C12:C17" si="0">+(B12-D12)/D12</f>
        <v>0.23717667310756782</v>
      </c>
      <c r="D12" s="12">
        <f>+SOGEBKRÉSULT!T50</f>
        <v>57859.399999999994</v>
      </c>
      <c r="E12" s="44"/>
      <c r="F12" s="12">
        <f>+SOGEBKRÉSULT!U50</f>
        <v>268049.8</v>
      </c>
      <c r="G12" s="46">
        <f t="shared" ref="G12:G17" si="1">+(F12-H12)/ABS(H12)</f>
        <v>0.10766119467991636</v>
      </c>
      <c r="H12" s="12">
        <v>241996.2</v>
      </c>
      <c r="I12" s="46">
        <f>+(H12-J12)/ABS(J12)</f>
        <v>0.11812739367342506</v>
      </c>
      <c r="J12" s="12">
        <v>216429.9</v>
      </c>
      <c r="K12" s="46">
        <f>+(J12-L12)/ABS(L12)</f>
        <v>6.2233159378237736E-2</v>
      </c>
      <c r="L12" s="12">
        <v>203749.9</v>
      </c>
      <c r="M12" s="43"/>
      <c r="N12" s="43"/>
    </row>
    <row r="13" spans="1:14">
      <c r="A13" t="s">
        <v>354</v>
      </c>
      <c r="B13" s="12">
        <f>+SOGEBKRÉSULT!R51</f>
        <v>30836.6</v>
      </c>
      <c r="C13" s="46">
        <f t="shared" si="0"/>
        <v>5.6713819667187547E-2</v>
      </c>
      <c r="D13" s="12">
        <f>+SOGEBKRÉSULT!T51</f>
        <v>29181.599999999999</v>
      </c>
      <c r="E13" s="44"/>
      <c r="F13" s="12">
        <f>+SOGEBKRÉSULT!U51</f>
        <v>83910.1</v>
      </c>
      <c r="G13" s="46">
        <f t="shared" si="1"/>
        <v>-0.10288720084247883</v>
      </c>
      <c r="H13" s="12">
        <v>93533.5</v>
      </c>
      <c r="I13" s="46"/>
      <c r="J13" s="12">
        <v>0</v>
      </c>
      <c r="K13" s="46"/>
      <c r="L13" s="12">
        <v>0</v>
      </c>
      <c r="M13" s="43"/>
      <c r="N13" s="43"/>
    </row>
    <row r="14" spans="1:14">
      <c r="A14" t="s">
        <v>332</v>
      </c>
      <c r="B14" s="221">
        <f>+SOGEBKRÉSULT!R52</f>
        <v>7905.6</v>
      </c>
      <c r="C14" s="104">
        <f t="shared" si="0"/>
        <v>6.8598694259336859E-2</v>
      </c>
      <c r="D14" s="240">
        <f>+SOGEBKRÉSULT!T52</f>
        <v>7398.1</v>
      </c>
      <c r="E14" s="44"/>
      <c r="F14" s="240">
        <f>+SOGEBKRÉSULT!U52</f>
        <v>27693.300000000003</v>
      </c>
      <c r="G14" s="46">
        <f t="shared" si="1"/>
        <v>-0.2683659478010002</v>
      </c>
      <c r="H14" s="240">
        <v>37851.300000000003</v>
      </c>
      <c r="I14" s="113">
        <f>+(H14-J14)/ABS(J14)</f>
        <v>-0.31766264669298572</v>
      </c>
      <c r="J14" s="240">
        <v>55473</v>
      </c>
      <c r="K14" s="43">
        <v>0</v>
      </c>
      <c r="L14" s="240">
        <v>450</v>
      </c>
      <c r="M14" s="43"/>
      <c r="N14" s="43"/>
    </row>
    <row r="15" spans="1:14">
      <c r="B15" s="12">
        <f>+SOGEBKRÉSULT!R53</f>
        <v>110324.5</v>
      </c>
      <c r="C15" s="46">
        <f t="shared" si="0"/>
        <v>0.16820787152778874</v>
      </c>
      <c r="D15" s="12">
        <f>SUM(D12:D14)</f>
        <v>94439.1</v>
      </c>
      <c r="E15" s="44"/>
      <c r="F15" s="12">
        <f>SUM(F12:F14)</f>
        <v>379653.2</v>
      </c>
      <c r="G15" s="46">
        <f t="shared" si="1"/>
        <v>1.6798390919730816E-2</v>
      </c>
      <c r="H15" s="12">
        <f>SUM(H12:H14)</f>
        <v>373381</v>
      </c>
      <c r="I15" s="46">
        <f>+(H15-J15)/ABS(J15)</f>
        <v>0.37321448208165475</v>
      </c>
      <c r="J15" s="12">
        <f>SUM(J12:J14)</f>
        <v>271902.90000000002</v>
      </c>
      <c r="K15" s="46">
        <f>+(J15-L15)/ABS(L15)</f>
        <v>0.33155256197481014</v>
      </c>
      <c r="L15" s="12">
        <f>SUM(L12:L14)</f>
        <v>204199.9</v>
      </c>
      <c r="M15" s="43"/>
      <c r="N15" s="43"/>
    </row>
    <row r="16" spans="1:14">
      <c r="A16" t="s">
        <v>333</v>
      </c>
      <c r="B16" s="240">
        <f>+SOGEBKRÉSULT!R54</f>
        <v>27803.9</v>
      </c>
      <c r="C16" s="46">
        <f t="shared" si="0"/>
        <v>-0.32538220957289099</v>
      </c>
      <c r="D16" s="240">
        <f>+SOGEBKRÉSULT!T54</f>
        <v>41214.300000000003</v>
      </c>
      <c r="E16" s="44" t="s">
        <v>0</v>
      </c>
      <c r="F16" s="240">
        <f>+SOGEBKRÉSULT!U54</f>
        <v>111762.7</v>
      </c>
      <c r="G16" s="46">
        <f t="shared" si="1"/>
        <v>-0.17796520411360522</v>
      </c>
      <c r="H16" s="240">
        <v>135958.6</v>
      </c>
      <c r="I16" s="46">
        <f>+(H16-J16)/ABS(J16)</f>
        <v>0.79192806908404589</v>
      </c>
      <c r="J16" s="240">
        <v>75872.800000000003</v>
      </c>
      <c r="K16" s="46">
        <f>+(J16-L16)/ABS(L16)</f>
        <v>5.9930597853115553E-2</v>
      </c>
      <c r="L16" s="240">
        <v>71582.8</v>
      </c>
      <c r="M16" s="43"/>
      <c r="N16" s="43"/>
    </row>
    <row r="17" spans="1:14" s="209" customFormat="1">
      <c r="B17" s="16">
        <f>+B15-B16</f>
        <v>82520.600000000006</v>
      </c>
      <c r="C17" s="47">
        <f t="shared" si="0"/>
        <v>0.55041634726668776</v>
      </c>
      <c r="D17" s="16">
        <f>+D15-D16</f>
        <v>53224.800000000003</v>
      </c>
      <c r="E17" s="44" t="s">
        <v>0</v>
      </c>
      <c r="F17" s="16">
        <f>+F15-F16</f>
        <v>267890.5</v>
      </c>
      <c r="G17" s="46">
        <f t="shared" si="1"/>
        <v>0.1283286665453639</v>
      </c>
      <c r="H17" s="16">
        <f>+H15-H16</f>
        <v>237422.4</v>
      </c>
      <c r="I17" s="46">
        <f>+(H17-J17)/ABS(J17)</f>
        <v>0.21115277704801433</v>
      </c>
      <c r="J17" s="16">
        <f>+J15-J16</f>
        <v>196030.10000000003</v>
      </c>
      <c r="K17" s="46">
        <f>+(J17-L17)/ABS(L17)</f>
        <v>0.47816608868690441</v>
      </c>
      <c r="L17" s="16">
        <f>+L15-L16</f>
        <v>132617.09999999998</v>
      </c>
      <c r="M17" s="44"/>
      <c r="N17" s="44"/>
    </row>
    <row r="18" spans="1:14">
      <c r="B18" s="12"/>
      <c r="C18" s="46"/>
      <c r="D18" s="12"/>
      <c r="E18" s="44"/>
      <c r="F18" s="12"/>
      <c r="G18" s="46"/>
      <c r="H18" s="12"/>
      <c r="I18" s="46"/>
      <c r="J18" s="12"/>
      <c r="K18" s="46"/>
      <c r="L18" s="12"/>
      <c r="M18" s="43"/>
      <c r="N18" s="43"/>
    </row>
    <row r="19" spans="1:14">
      <c r="A19" t="s">
        <v>334</v>
      </c>
      <c r="B19" s="12"/>
      <c r="C19" s="46"/>
      <c r="D19" s="12"/>
      <c r="E19" s="44" t="s">
        <v>0</v>
      </c>
      <c r="F19" s="12"/>
      <c r="G19" s="46"/>
      <c r="H19" s="12"/>
      <c r="I19" s="46"/>
      <c r="J19" s="12"/>
      <c r="K19" s="46"/>
      <c r="L19" s="12"/>
      <c r="M19" s="43"/>
      <c r="N19" s="43"/>
    </row>
    <row r="20" spans="1:14">
      <c r="A20" t="s">
        <v>335</v>
      </c>
      <c r="B20" s="12">
        <f>+SOGEBKRÉSULT!R58</f>
        <v>9951.5</v>
      </c>
      <c r="C20" s="46">
        <f>+(B20-D20)/D20</f>
        <v>0.36606358444981346</v>
      </c>
      <c r="D20" s="12">
        <f>+SOGEBKRÉSULT!T58</f>
        <v>7284.7999999999993</v>
      </c>
      <c r="E20" s="44" t="s">
        <v>0</v>
      </c>
      <c r="F20" s="12">
        <f>+SOGEBKRÉSULT!U58</f>
        <v>57470.3</v>
      </c>
      <c r="G20" s="46">
        <f>+(F20-H20)/ABS(H20)</f>
        <v>1.6720305373324471</v>
      </c>
      <c r="H20" s="12">
        <v>21508.1</v>
      </c>
      <c r="I20" s="46">
        <f>+(H20-J20)/ABS(J20)</f>
        <v>0.13318616242189216</v>
      </c>
      <c r="J20" s="12">
        <v>18980.2</v>
      </c>
      <c r="K20" s="46">
        <f>+(J20-L20)/ABS(L20)</f>
        <v>6.3185489743561016E-2</v>
      </c>
      <c r="L20" s="12">
        <v>17852.2</v>
      </c>
      <c r="M20" s="43"/>
      <c r="N20" s="43"/>
    </row>
    <row r="21" spans="1:14">
      <c r="A21" t="s">
        <v>336</v>
      </c>
      <c r="B21" s="12">
        <f>+SOGEBKRÉSULT!R59</f>
        <v>13303.2</v>
      </c>
      <c r="C21" s="46">
        <f>+(B21-D21)/D21</f>
        <v>-8.6425348688683318E-2</v>
      </c>
      <c r="D21" s="12">
        <f>+SOGEBKRÉSULT!T59</f>
        <v>14561.7</v>
      </c>
      <c r="E21" s="44" t="s">
        <v>0</v>
      </c>
      <c r="F21" s="12">
        <f>+SOGEBKRÉSULT!U59</f>
        <v>45610.2</v>
      </c>
      <c r="G21" s="46">
        <f>+(F21-H21)/ABS(H21)</f>
        <v>0.28435298291854633</v>
      </c>
      <c r="H21" s="12">
        <v>35512.199999999997</v>
      </c>
      <c r="I21" s="46">
        <f>+(H21-J21)/ABS(J21)</f>
        <v>0.72339960884989229</v>
      </c>
      <c r="J21" s="12">
        <v>20605.900000000001</v>
      </c>
      <c r="K21" s="46">
        <f>+(J21-L21)/ABS(L21)</f>
        <v>-0.42165695553085664</v>
      </c>
      <c r="L21" s="12">
        <v>35629.199999999997</v>
      </c>
      <c r="M21" s="43"/>
      <c r="N21" s="43"/>
    </row>
    <row r="22" spans="1:14">
      <c r="A22" t="s">
        <v>284</v>
      </c>
      <c r="B22" s="240">
        <f>+SOGEBKRÉSULT!R60</f>
        <v>10747.2</v>
      </c>
      <c r="C22" s="46">
        <f>+(B22-D22)/D22</f>
        <v>7.3369792878752627</v>
      </c>
      <c r="D22" s="240">
        <f>+SOGEBKRÉSULT!T60</f>
        <v>1289.0999999999999</v>
      </c>
      <c r="E22" s="44" t="s">
        <v>0</v>
      </c>
      <c r="F22" s="240">
        <f>+SOGEBKRÉSULT!U60</f>
        <v>24822.2</v>
      </c>
      <c r="G22" s="46">
        <f>+(F22-H22)/ABS(H22)</f>
        <v>0.18037947596176712</v>
      </c>
      <c r="H22" s="240">
        <v>21029</v>
      </c>
      <c r="I22" s="46">
        <f>+(H22-J22)/ABS(J22)</f>
        <v>0.38243182834152878</v>
      </c>
      <c r="J22" s="240">
        <v>15211.6</v>
      </c>
      <c r="K22" s="46">
        <f>+(J22-L22)/ABS(L22)</f>
        <v>1.0776049278173103</v>
      </c>
      <c r="L22" s="240">
        <v>7321.7</v>
      </c>
      <c r="M22" s="43"/>
      <c r="N22" s="43"/>
    </row>
    <row r="23" spans="1:14" s="209" customFormat="1">
      <c r="B23" s="16">
        <f>SUM(B20:B22)</f>
        <v>34001.9</v>
      </c>
      <c r="C23" s="47">
        <f>+(B23-D23)/D23</f>
        <v>0.46967876346409876</v>
      </c>
      <c r="D23" s="16">
        <f>SUM(D20:D22)</f>
        <v>23135.599999999999</v>
      </c>
      <c r="E23" s="44" t="s">
        <v>0</v>
      </c>
      <c r="F23" s="16">
        <f>SUM(F20:F22)</f>
        <v>127902.7</v>
      </c>
      <c r="G23" s="46">
        <f>+(F23-H23)/ABS(H23)</f>
        <v>0.63874243587066148</v>
      </c>
      <c r="H23" s="16">
        <f>SUM(H20:H22)</f>
        <v>78049.299999999988</v>
      </c>
      <c r="I23" s="46">
        <f>+(H23-J23)/ABS(J23)</f>
        <v>0.42431707900149063</v>
      </c>
      <c r="J23" s="16">
        <f>SUM(J20:J22)</f>
        <v>54797.700000000004</v>
      </c>
      <c r="K23" s="46">
        <f>+(J23-L23)/ABS(L23)</f>
        <v>-9.8767990447855253E-2</v>
      </c>
      <c r="L23" s="16">
        <f>SUM(L20:L22)</f>
        <v>60803.099999999991</v>
      </c>
      <c r="M23" s="44"/>
      <c r="N23" s="44"/>
    </row>
    <row r="24" spans="1:14">
      <c r="B24" s="240"/>
      <c r="C24" s="46"/>
      <c r="D24" s="240"/>
      <c r="E24" s="44"/>
      <c r="F24" s="240"/>
      <c r="G24" s="46"/>
      <c r="H24" s="240"/>
      <c r="I24" s="46"/>
      <c r="J24" s="240"/>
      <c r="K24" s="46"/>
      <c r="L24" s="240"/>
      <c r="M24" s="43"/>
      <c r="N24" s="43"/>
    </row>
    <row r="25" spans="1:14" s="209" customFormat="1">
      <c r="A25" s="209" t="s">
        <v>337</v>
      </c>
      <c r="B25" s="16">
        <f>+B17+B23</f>
        <v>116522.5</v>
      </c>
      <c r="C25" s="47">
        <f>+(B25-D25)/D25</f>
        <v>0.52595455235960009</v>
      </c>
      <c r="D25" s="16">
        <f>+D17+D23</f>
        <v>76360.399999999994</v>
      </c>
      <c r="E25" s="44" t="s">
        <v>0</v>
      </c>
      <c r="F25" s="16">
        <f>+F17+F23</f>
        <v>395793.2</v>
      </c>
      <c r="G25" s="46">
        <f>+(F25-H25)/ABS(H25)</f>
        <v>0.25460762407531345</v>
      </c>
      <c r="H25" s="16">
        <f>+H17+H23</f>
        <v>315471.69999999995</v>
      </c>
      <c r="I25" s="46">
        <f>+(H25-J25)/ABS(J25)</f>
        <v>0.25772223015152185</v>
      </c>
      <c r="J25" s="16">
        <f>+J17+J23</f>
        <v>250827.80000000005</v>
      </c>
      <c r="K25" s="46">
        <f>+(J25-L25)/ABS(L25)</f>
        <v>0.29680250563281452</v>
      </c>
      <c r="L25" s="16">
        <f>+L17+L23</f>
        <v>193420.19999999995</v>
      </c>
      <c r="M25" s="44"/>
      <c r="N25" s="44"/>
    </row>
    <row r="26" spans="1:14">
      <c r="B26" s="12"/>
      <c r="C26" s="46"/>
      <c r="D26" s="12"/>
      <c r="E26" s="44" t="s">
        <v>0</v>
      </c>
      <c r="F26" s="12"/>
      <c r="G26" s="46"/>
      <c r="H26" s="12"/>
      <c r="I26" s="46"/>
      <c r="J26" s="12"/>
      <c r="K26" s="46"/>
      <c r="L26" s="12"/>
      <c r="M26" s="43"/>
      <c r="N26" s="43"/>
    </row>
    <row r="27" spans="1:14">
      <c r="A27" t="s">
        <v>338</v>
      </c>
      <c r="B27" s="12">
        <f>+SOGEBKRÉSULT!R65</f>
        <v>3000</v>
      </c>
      <c r="C27" s="46">
        <f>+(B27-D27)/D27</f>
        <v>0</v>
      </c>
      <c r="D27" s="12">
        <f>+SOGEBKRÉSULT!T65</f>
        <v>3000</v>
      </c>
      <c r="E27" s="44" t="s">
        <v>0</v>
      </c>
      <c r="F27" s="12">
        <f>+SOGEBKRÉSULT!U65</f>
        <v>18908.900000000001</v>
      </c>
      <c r="G27" s="46">
        <f>+(F27-H27)/ABS(H27)</f>
        <v>0.71526410798356321</v>
      </c>
      <c r="H27" s="12">
        <v>11023.9</v>
      </c>
      <c r="I27" s="46">
        <f>+(H27-J27)/ABS(J27)</f>
        <v>0.3123690476190476</v>
      </c>
      <c r="J27" s="12">
        <v>8400</v>
      </c>
      <c r="K27" s="46">
        <f>+(J27-L27)/ABS(L27)</f>
        <v>0</v>
      </c>
      <c r="L27" s="12">
        <v>8400</v>
      </c>
      <c r="M27" s="43"/>
      <c r="N27" s="43"/>
    </row>
    <row r="28" spans="1:14">
      <c r="B28" s="12"/>
      <c r="C28" s="46"/>
      <c r="D28" s="12"/>
      <c r="E28" s="44" t="s">
        <v>0</v>
      </c>
      <c r="F28" s="12"/>
      <c r="G28" s="46"/>
      <c r="H28" s="12"/>
      <c r="I28" s="46"/>
      <c r="J28" s="12"/>
      <c r="K28" s="46"/>
      <c r="L28" s="12"/>
      <c r="M28" s="43"/>
      <c r="N28" s="43"/>
    </row>
    <row r="29" spans="1:14">
      <c r="A29" t="s">
        <v>339</v>
      </c>
      <c r="B29" s="240"/>
      <c r="C29" s="46"/>
      <c r="D29" s="240"/>
      <c r="E29" s="44" t="s">
        <v>0</v>
      </c>
      <c r="F29" s="240"/>
      <c r="G29" s="46"/>
      <c r="H29" s="240"/>
      <c r="I29" s="46"/>
      <c r="J29" s="240"/>
      <c r="K29" s="46"/>
      <c r="L29" s="240"/>
      <c r="M29" s="43"/>
      <c r="N29" s="43"/>
    </row>
    <row r="30" spans="1:14" s="209" customFormat="1">
      <c r="A30" s="209" t="s">
        <v>340</v>
      </c>
      <c r="B30" s="16">
        <f>+B25-B27</f>
        <v>113522.5</v>
      </c>
      <c r="C30" s="47">
        <f>+(B30-D30)/D30</f>
        <v>0.54746293640710808</v>
      </c>
      <c r="D30" s="16">
        <f>+D25-D27</f>
        <v>73360.399999999994</v>
      </c>
      <c r="E30" s="44" t="s">
        <v>0</v>
      </c>
      <c r="F30" s="16">
        <f>+F25-F27</f>
        <v>376884.3</v>
      </c>
      <c r="G30" s="46">
        <f>+(F30-H30)/ABS(H30)</f>
        <v>0.23792748707660255</v>
      </c>
      <c r="H30" s="16">
        <f>+H25-H27</f>
        <v>304447.79999999993</v>
      </c>
      <c r="I30" s="46">
        <f>+(H30-J30)/ABS(J30)</f>
        <v>0.25582874571315611</v>
      </c>
      <c r="J30" s="16">
        <f>+J25-J27</f>
        <v>242427.80000000005</v>
      </c>
      <c r="K30" s="46">
        <f>+(J30-L30)/ABS(L30)</f>
        <v>0.31027747240571629</v>
      </c>
      <c r="L30" s="16">
        <f>+L25-L27</f>
        <v>185020.19999999995</v>
      </c>
      <c r="M30" s="44"/>
      <c r="N30" s="44"/>
    </row>
    <row r="31" spans="1:14">
      <c r="B31" s="12"/>
      <c r="C31" s="46"/>
      <c r="D31" s="12"/>
      <c r="E31" s="44" t="s">
        <v>0</v>
      </c>
      <c r="F31" s="12"/>
      <c r="G31" s="46"/>
      <c r="H31" s="12"/>
      <c r="I31" s="46"/>
      <c r="J31" s="12"/>
      <c r="K31" s="46"/>
      <c r="L31" s="12"/>
      <c r="M31" s="43"/>
      <c r="N31" s="43"/>
    </row>
    <row r="32" spans="1:14">
      <c r="A32" t="s">
        <v>341</v>
      </c>
      <c r="B32" s="12"/>
      <c r="C32" s="46"/>
      <c r="D32" s="12"/>
      <c r="E32" s="44" t="s">
        <v>0</v>
      </c>
      <c r="F32" s="12"/>
      <c r="G32" s="46"/>
      <c r="H32" s="12"/>
      <c r="I32" s="46"/>
      <c r="J32" s="12"/>
      <c r="K32" s="46"/>
      <c r="L32" s="12"/>
      <c r="M32" s="43"/>
      <c r="N32" s="43"/>
    </row>
    <row r="33" spans="1:14">
      <c r="A33" t="s">
        <v>342</v>
      </c>
      <c r="B33" s="12">
        <f>+SOGEBKRÉSULT!R71</f>
        <v>44529.2</v>
      </c>
      <c r="C33" s="46">
        <f>+(B33-D33)/D33</f>
        <v>0.50074482498298012</v>
      </c>
      <c r="D33" s="12">
        <f>+SOGEBKRÉSULT!T71</f>
        <v>29671.4</v>
      </c>
      <c r="E33" s="44" t="s">
        <v>0</v>
      </c>
      <c r="F33" s="12">
        <f>+SOGEBKRÉSULT!U71</f>
        <v>135444.5</v>
      </c>
      <c r="G33" s="46">
        <f>+(F33-H33)/ABS(H33)</f>
        <v>0.41596884637499348</v>
      </c>
      <c r="H33" s="12">
        <v>95655</v>
      </c>
      <c r="I33" s="46">
        <f>+(H33-J33)/ABS(J33)</f>
        <v>0.39071432309991688</v>
      </c>
      <c r="J33" s="12">
        <v>68781.2</v>
      </c>
      <c r="K33" s="46">
        <f>+(J33-L33)/ABS(L33)</f>
        <v>0.16955337375743487</v>
      </c>
      <c r="L33" s="12">
        <v>58809.8</v>
      </c>
      <c r="M33" s="43"/>
      <c r="N33" s="43"/>
    </row>
    <row r="34" spans="1:14">
      <c r="A34" t="s">
        <v>343</v>
      </c>
      <c r="B34" s="12">
        <f>+SOGEBKRÉSULT!R72</f>
        <v>2276.9</v>
      </c>
      <c r="C34" s="46">
        <f>+(B34-D34)/D34</f>
        <v>0.25997454485086613</v>
      </c>
      <c r="D34" s="12">
        <f>+SOGEBKRÉSULT!T72</f>
        <v>1807.1</v>
      </c>
      <c r="E34" s="44" t="s">
        <v>0</v>
      </c>
      <c r="F34" s="12">
        <f>+SOGEBKRÉSULT!U72</f>
        <v>8157.9</v>
      </c>
      <c r="G34" s="46">
        <f>+(F34-H34)/ABS(H34)</f>
        <v>0.22645679235071248</v>
      </c>
      <c r="H34" s="12">
        <v>6651.6</v>
      </c>
      <c r="I34" s="46">
        <f>+(H34-J34)/ABS(J34)</f>
        <v>-0.1238903084744869</v>
      </c>
      <c r="J34" s="12">
        <v>7592.2</v>
      </c>
      <c r="K34" s="46">
        <f>+(J34-L34)/ABS(L34)</f>
        <v>0.1459232650104145</v>
      </c>
      <c r="L34" s="12">
        <v>6625.4</v>
      </c>
      <c r="M34" s="43"/>
      <c r="N34" s="43"/>
    </row>
    <row r="35" spans="1:14">
      <c r="A35" t="s">
        <v>344</v>
      </c>
      <c r="B35" s="12">
        <f>+SOGEBKRÉSULT!R73</f>
        <v>16482.099999999999</v>
      </c>
      <c r="C35" s="46">
        <f>+(B35-D35)/D35</f>
        <v>0.48309682992450481</v>
      </c>
      <c r="D35" s="12">
        <f>+SOGEBKRÉSULT!T73</f>
        <v>11113.3</v>
      </c>
      <c r="E35" s="44" t="s">
        <v>0</v>
      </c>
      <c r="F35" s="12">
        <f>+SOGEBKRÉSULT!U73</f>
        <v>48560.3</v>
      </c>
      <c r="G35" s="46">
        <f>+(F35-H35)/ABS(H35)</f>
        <v>0.48746718617423734</v>
      </c>
      <c r="H35" s="12">
        <v>32646.3</v>
      </c>
      <c r="I35" s="46">
        <f>+(H35-J35)/ABS(J35)</f>
        <v>5.0453210117670531E-2</v>
      </c>
      <c r="J35" s="12">
        <v>31078.3</v>
      </c>
      <c r="K35" s="46">
        <f>+(J35-L35)/ABS(L35)</f>
        <v>0.33452565495386005</v>
      </c>
      <c r="L35" s="12">
        <v>23287.9</v>
      </c>
      <c r="M35" s="43"/>
      <c r="N35" s="43"/>
    </row>
    <row r="36" spans="1:14">
      <c r="A36" t="s">
        <v>345</v>
      </c>
      <c r="B36" s="240">
        <f>+SOGEBKRÉSULT!R74</f>
        <v>30327.3</v>
      </c>
      <c r="C36" s="46">
        <f>+(B36-D36)/D36</f>
        <v>0.25122431213667745</v>
      </c>
      <c r="D36" s="240">
        <f>+SOGEBKRÉSULT!T74</f>
        <v>24238.1</v>
      </c>
      <c r="E36" s="44" t="s">
        <v>0</v>
      </c>
      <c r="F36" s="240">
        <f>+SOGEBKRÉSULT!U74</f>
        <v>117652.8</v>
      </c>
      <c r="G36" s="46">
        <f>+(F36-H36)/ABS(H36)</f>
        <v>0.16332311927313065</v>
      </c>
      <c r="H36" s="240">
        <v>101135.1</v>
      </c>
      <c r="I36" s="46">
        <f>+(H36-J36)/ABS(J36)</f>
        <v>0.52138450591719998</v>
      </c>
      <c r="J36" s="240">
        <v>66475.7</v>
      </c>
      <c r="K36" s="46">
        <f>+(J36-L36)/ABS(L36)</f>
        <v>1.5690127244502482E-2</v>
      </c>
      <c r="L36" s="240">
        <v>65448.800000000003</v>
      </c>
      <c r="M36" s="43"/>
      <c r="N36" s="43"/>
    </row>
    <row r="37" spans="1:14" s="209" customFormat="1">
      <c r="B37" s="16">
        <f>SUM(B33:B36)</f>
        <v>93615.5</v>
      </c>
      <c r="C37" s="47">
        <f>+(B37-D37)/D37</f>
        <v>0.40080263474881767</v>
      </c>
      <c r="D37" s="16">
        <f>SUM(D33:D36)</f>
        <v>66829.899999999994</v>
      </c>
      <c r="E37" s="44" t="s">
        <v>0</v>
      </c>
      <c r="F37" s="16">
        <f>SUM(F33:F36)</f>
        <v>309815.5</v>
      </c>
      <c r="G37" s="46">
        <f>+(F37-H37)/ABS(H37)</f>
        <v>0.31228821456406086</v>
      </c>
      <c r="H37" s="16">
        <f>SUM(H33:H36)</f>
        <v>236088</v>
      </c>
      <c r="I37" s="46">
        <f>+(H37-J37)/ABS(J37)</f>
        <v>0.35739394712966449</v>
      </c>
      <c r="J37" s="16">
        <f>SUM(J33:J36)</f>
        <v>173927.4</v>
      </c>
      <c r="K37" s="46">
        <f>+(J37-L37)/ABS(L37)</f>
        <v>0.12813943396948449</v>
      </c>
      <c r="L37" s="16">
        <f>SUM(L33:L36)</f>
        <v>154171.90000000002</v>
      </c>
      <c r="M37" s="44"/>
      <c r="N37" s="44"/>
    </row>
    <row r="38" spans="1:14">
      <c r="B38" s="249"/>
      <c r="C38" s="112"/>
      <c r="D38" s="249"/>
      <c r="E38" s="42"/>
      <c r="F38" s="249"/>
      <c r="G38" s="112"/>
      <c r="H38" s="249"/>
      <c r="I38" s="112"/>
      <c r="J38" s="249"/>
      <c r="K38" s="112"/>
      <c r="L38" s="249"/>
      <c r="M38" s="43"/>
      <c r="N38" s="43"/>
    </row>
    <row r="39" spans="1:14" s="209" customFormat="1">
      <c r="A39" s="209" t="s">
        <v>346</v>
      </c>
      <c r="B39" s="16">
        <f>+B30-B37</f>
        <v>19907</v>
      </c>
      <c r="C39" s="47">
        <f>+(B39-D39)/D39</f>
        <v>2.0483117678585101</v>
      </c>
      <c r="D39" s="16">
        <f>+D30-D37</f>
        <v>6530.5</v>
      </c>
      <c r="E39" s="44" t="s">
        <v>0</v>
      </c>
      <c r="F39" s="16">
        <f>+F30-F37</f>
        <v>67068.799999999988</v>
      </c>
      <c r="G39" s="46">
        <f>+(F39-H39)/ABS(H39)</f>
        <v>-1.8885368301252245E-2</v>
      </c>
      <c r="H39" s="16">
        <f>+H30-H37</f>
        <v>68359.79999999993</v>
      </c>
      <c r="I39" s="46">
        <f>+(H39-J39)/ABS(J39)</f>
        <v>-2.0525427588761838E-3</v>
      </c>
      <c r="J39" s="16">
        <f>+J30-J37</f>
        <v>68500.400000000052</v>
      </c>
      <c r="K39" s="46">
        <f>+(J39-L39)/ABS(L39)</f>
        <v>1.2205567243575888</v>
      </c>
      <c r="L39" s="16">
        <f>+L30-L37</f>
        <v>30848.29999999993</v>
      </c>
      <c r="M39" s="44"/>
      <c r="N39" s="44"/>
    </row>
    <row r="40" spans="1:14">
      <c r="B40" s="12"/>
      <c r="C40" s="46"/>
      <c r="D40" s="12"/>
      <c r="E40" s="44" t="s">
        <v>0</v>
      </c>
      <c r="F40" s="12"/>
      <c r="G40" s="46"/>
      <c r="H40" s="12"/>
      <c r="I40" s="46"/>
      <c r="J40" s="12"/>
      <c r="K40" s="46"/>
      <c r="L40" s="12"/>
      <c r="M40" s="43"/>
      <c r="N40" s="43"/>
    </row>
    <row r="41" spans="1:14">
      <c r="A41" t="s">
        <v>347</v>
      </c>
      <c r="B41" s="12">
        <f>+SOGEBKRÉSULT!R79</f>
        <v>3662.4</v>
      </c>
      <c r="C41" s="46">
        <f>+(B41-D41)/D41</f>
        <v>0.60238011900595045</v>
      </c>
      <c r="D41" s="12">
        <f>+SOGEBKRÉSULT!T79</f>
        <v>2285.6</v>
      </c>
      <c r="E41" s="44" t="s">
        <v>0</v>
      </c>
      <c r="F41" s="12">
        <f>+SOGEBKRÉSULT!U79</f>
        <v>16468.600000000002</v>
      </c>
      <c r="G41" s="46">
        <f>+(F41-H41)/ABS(H41)</f>
        <v>-0.31159396057317695</v>
      </c>
      <c r="H41" s="12">
        <v>23922.799999999999</v>
      </c>
      <c r="I41" s="46">
        <f>+(H41-J41)/ABS(J41)</f>
        <v>0.7862967055942176</v>
      </c>
      <c r="J41" s="12">
        <v>13392.4</v>
      </c>
      <c r="K41" s="46">
        <f>+(J41-L41)/ABS(L41)</f>
        <v>0.94028077597322623</v>
      </c>
      <c r="L41" s="12">
        <v>6902.3</v>
      </c>
      <c r="M41" s="43"/>
      <c r="N41" s="43"/>
    </row>
    <row r="42" spans="1:14" ht="16.5" thickBot="1">
      <c r="B42" s="76"/>
      <c r="C42" s="46"/>
      <c r="D42" s="76"/>
      <c r="E42" s="44" t="s">
        <v>0</v>
      </c>
      <c r="F42" s="76"/>
      <c r="G42" s="46"/>
      <c r="H42" s="76"/>
      <c r="I42" s="46"/>
      <c r="J42" s="76"/>
      <c r="K42" s="46"/>
      <c r="L42" s="76"/>
      <c r="M42" s="43"/>
      <c r="N42" s="43"/>
    </row>
    <row r="43" spans="1:14">
      <c r="A43" s="2" t="s">
        <v>427</v>
      </c>
      <c r="B43" s="4">
        <f>+B39-B41</f>
        <v>16244.6</v>
      </c>
      <c r="C43" s="112">
        <f>+(B43-D43)/D43</f>
        <v>2.8268510447831519</v>
      </c>
      <c r="D43" s="4">
        <f>+D39-D41</f>
        <v>4244.8999999999996</v>
      </c>
      <c r="E43" s="42" t="s">
        <v>0</v>
      </c>
      <c r="F43" s="4">
        <f>+F39-F41</f>
        <v>50600.199999999983</v>
      </c>
      <c r="G43" s="112">
        <f>+(F43-H43)/ABS(H43)</f>
        <v>0.13869523145126955</v>
      </c>
      <c r="H43" s="4">
        <f>+H39-H41</f>
        <v>44436.999999999927</v>
      </c>
      <c r="I43" s="112">
        <f>+(H43-J43)/ABS(J43)</f>
        <v>-0.19363794730347889</v>
      </c>
      <c r="J43" s="4">
        <f>+J39-J41</f>
        <v>55108.000000000051</v>
      </c>
      <c r="K43" s="112">
        <f>+(J43-L43)/ABS(L43)</f>
        <v>1.3013446922241798</v>
      </c>
      <c r="L43" s="4">
        <f>+L39-L41</f>
        <v>23945.999999999931</v>
      </c>
      <c r="M43" s="43"/>
      <c r="N43" s="43"/>
    </row>
    <row r="44" spans="1:14">
      <c r="E44" t="s">
        <v>0</v>
      </c>
    </row>
    <row r="45" spans="1:14">
      <c r="E45" t="s">
        <v>0</v>
      </c>
    </row>
  </sheetData>
  <pageMargins left="0.43" right="0.34" top="0.55000000000000004" bottom="0.75" header="0.31" footer="0.5"/>
  <pageSetup scale="62" orientation="landscape" r:id="rId1"/>
  <headerFooter alignWithMargins="0">
    <oddFooter>&amp;R&amp;P</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4"/>
  <sheetViews>
    <sheetView workbookViewId="0"/>
  </sheetViews>
  <sheetFormatPr defaultRowHeight="15.75"/>
  <cols>
    <col min="1" max="1" width="33.5" customWidth="1"/>
    <col min="2" max="2" width="14.875" customWidth="1"/>
    <col min="3" max="3" width="12.75" customWidth="1"/>
    <col min="4" max="4" width="13.875" customWidth="1"/>
    <col min="5" max="5" width="14.25" customWidth="1"/>
    <col min="6" max="6" width="14.75" customWidth="1"/>
    <col min="7" max="7" width="11" customWidth="1"/>
    <col min="8" max="8" width="14.75" customWidth="1"/>
    <col min="9" max="9" width="12.75" customWidth="1"/>
    <col min="10" max="10" width="13.75" customWidth="1"/>
    <col min="11" max="11" width="13" customWidth="1"/>
    <col min="12" max="12" width="14.5" customWidth="1"/>
    <col min="13" max="13" width="11" customWidth="1"/>
    <col min="14" max="14" width="14.25" customWidth="1"/>
    <col min="15" max="15" width="13.625" customWidth="1"/>
    <col min="16" max="16" width="15.125" customWidth="1"/>
    <col min="17" max="17" width="11" customWidth="1"/>
    <col min="18" max="18" width="15.875" customWidth="1"/>
    <col min="19" max="19" width="11" customWidth="1"/>
    <col min="20" max="20" width="15.875" customWidth="1"/>
    <col min="21" max="256" width="11" customWidth="1"/>
  </cols>
  <sheetData>
    <row r="1" spans="1:27">
      <c r="A1" s="114" t="s">
        <v>650</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166</v>
      </c>
      <c r="J4" s="175" t="s">
        <v>167</v>
      </c>
      <c r="K4" s="176"/>
      <c r="L4" s="176"/>
      <c r="M4" s="176"/>
      <c r="N4" s="176"/>
      <c r="O4" s="176"/>
      <c r="P4" s="176"/>
    </row>
    <row r="5" spans="1:27" ht="16.5" thickBot="1">
      <c r="B5" s="174" t="s">
        <v>168</v>
      </c>
      <c r="C5" s="174" t="s">
        <v>169</v>
      </c>
      <c r="D5" s="173" t="s">
        <v>170</v>
      </c>
      <c r="E5" s="174" t="s">
        <v>169</v>
      </c>
      <c r="F5" s="173" t="s">
        <v>171</v>
      </c>
      <c r="G5" s="174" t="s">
        <v>169</v>
      </c>
      <c r="H5" s="174" t="s">
        <v>172</v>
      </c>
      <c r="I5" s="173" t="s">
        <v>173</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+sgbelvar!B22</f>
        <v>534932.6</v>
      </c>
      <c r="C11" s="43">
        <v>0</v>
      </c>
      <c r="D11" s="43">
        <f>+sgbelvar!D22</f>
        <v>0</v>
      </c>
      <c r="E11" s="43">
        <v>0</v>
      </c>
      <c r="F11" s="43">
        <f>+sgbelvar!F22</f>
        <v>0</v>
      </c>
      <c r="G11" s="43">
        <v>0</v>
      </c>
      <c r="H11" s="43">
        <f>+sgbelvar!H22</f>
        <v>0</v>
      </c>
      <c r="I11" s="46">
        <f>+(B11-J11)/ABS(J11)</f>
        <v>5.0522558444889371E-2</v>
      </c>
      <c r="J11" s="12">
        <f>+sgbelvar!J22</f>
        <v>509206.19999999995</v>
      </c>
      <c r="K11" s="46">
        <f>+(-L11+J11)/L11</f>
        <v>0.14388002435095937</v>
      </c>
      <c r="L11" s="12">
        <f>+sgbelvar!L22</f>
        <v>445156.99999999994</v>
      </c>
      <c r="M11" s="46">
        <f>+(-N11+L11)/ABS(N11)</f>
        <v>0.18057540443818013</v>
      </c>
      <c r="N11" s="12">
        <f>+sgbelvar!N22</f>
        <v>377067.82500000001</v>
      </c>
      <c r="O11" s="46">
        <f>+(-P11+N11)/ABS(P11)</f>
        <v>0.19832887712348271</v>
      </c>
      <c r="P11" s="12">
        <f>+sgbelvar!P22</f>
        <v>314661.38569999993</v>
      </c>
      <c r="Q11" s="43"/>
      <c r="R11" s="43"/>
      <c r="S11" s="43"/>
      <c r="T11" s="43"/>
      <c r="U11" s="43"/>
      <c r="V11" s="43"/>
      <c r="W11" s="43"/>
      <c r="X11" s="43"/>
      <c r="Y11" s="43"/>
      <c r="Z11" s="43"/>
      <c r="AA11" s="43"/>
    </row>
    <row r="12" spans="1:27">
      <c r="A12" t="s">
        <v>181</v>
      </c>
      <c r="B12" s="12">
        <f>+sgbelvar!B17</f>
        <v>46000</v>
      </c>
      <c r="C12" s="43">
        <v>0</v>
      </c>
      <c r="D12" s="12">
        <f>+sgbelvar!D17</f>
        <v>0</v>
      </c>
      <c r="E12" s="43">
        <v>0</v>
      </c>
      <c r="F12" s="12">
        <f>+sgbelvar!F17</f>
        <v>0</v>
      </c>
      <c r="G12" s="43">
        <v>0</v>
      </c>
      <c r="H12" s="12">
        <f>+sgbelvar!H17</f>
        <v>0</v>
      </c>
      <c r="I12" s="46">
        <f>+(B12-J12)/ABS(J12)</f>
        <v>0.31428571428571428</v>
      </c>
      <c r="J12" s="12">
        <f>+sgbelvar!J17</f>
        <v>35000</v>
      </c>
      <c r="K12" s="46">
        <f>+(-L12+J12)/L12</f>
        <v>0.25</v>
      </c>
      <c r="L12" s="12">
        <f>+sgbelvar!L17</f>
        <v>28000</v>
      </c>
      <c r="M12" s="43">
        <v>0</v>
      </c>
      <c r="N12" s="12">
        <v>0</v>
      </c>
      <c r="O12" s="43">
        <v>0</v>
      </c>
      <c r="P12" s="12">
        <v>0</v>
      </c>
      <c r="Q12" s="43"/>
      <c r="R12" s="43"/>
      <c r="S12" s="43"/>
      <c r="T12" s="43"/>
      <c r="U12" s="43"/>
      <c r="V12" s="43"/>
      <c r="W12" s="43"/>
      <c r="X12" s="43"/>
      <c r="Y12" s="43"/>
      <c r="Z12" s="43"/>
      <c r="AA12" s="43"/>
    </row>
    <row r="13" spans="1:27">
      <c r="A13" t="s">
        <v>182</v>
      </c>
      <c r="B13" s="12">
        <f>+sgbelvar!B19</f>
        <v>341630.7</v>
      </c>
      <c r="C13" s="43">
        <v>0</v>
      </c>
      <c r="D13" s="43">
        <f>+sgbelvar!D19</f>
        <v>0</v>
      </c>
      <c r="E13" s="43">
        <v>0</v>
      </c>
      <c r="F13" s="43">
        <f>+sgbelvar!F19</f>
        <v>0</v>
      </c>
      <c r="G13" s="43">
        <v>0</v>
      </c>
      <c r="H13" s="43">
        <f>+sgbelvar!H19</f>
        <v>0</v>
      </c>
      <c r="I13" s="46">
        <f>+(B13-J13)/ABS(J13)</f>
        <v>2.5621111486044245E-2</v>
      </c>
      <c r="J13" s="12">
        <f>+sgbelvar!J19</f>
        <v>333096.40000000002</v>
      </c>
      <c r="K13" s="46">
        <f>+(-L13+J13)/L13</f>
        <v>0.11482485413575724</v>
      </c>
      <c r="L13" s="12">
        <f>+sgbelvar!L19</f>
        <v>298788.09999999998</v>
      </c>
      <c r="M13" s="46">
        <f>+(-N13+L13)/ABS(N13)</f>
        <v>0.1933766555365615</v>
      </c>
      <c r="N13" s="12">
        <f>+sgbelvar!N19</f>
        <v>250372</v>
      </c>
      <c r="O13" s="46">
        <f>+(-P13+N13)/ABS(P13)</f>
        <v>0.16066538063197602</v>
      </c>
      <c r="P13" s="12">
        <f>+sgbelvar!P19</f>
        <v>215714.19650999998</v>
      </c>
      <c r="Q13" s="43"/>
      <c r="R13" s="43"/>
      <c r="S13" s="43"/>
      <c r="T13" s="43"/>
      <c r="U13" s="43"/>
      <c r="V13" s="43"/>
      <c r="W13" s="43"/>
      <c r="X13" s="43"/>
      <c r="Y13" s="43"/>
      <c r="Z13" s="43"/>
      <c r="AA13" s="43"/>
    </row>
    <row r="14" spans="1:27">
      <c r="A14" t="s">
        <v>183</v>
      </c>
      <c r="B14" s="12">
        <f>+sgbelvar!B29</f>
        <v>464678.89999999997</v>
      </c>
      <c r="C14" s="43">
        <v>0</v>
      </c>
      <c r="D14" s="43">
        <f>+sgbelvar!D29</f>
        <v>0</v>
      </c>
      <c r="E14" s="43">
        <v>0</v>
      </c>
      <c r="F14" s="43">
        <f>+sgbelvar!F29</f>
        <v>0</v>
      </c>
      <c r="G14" s="43">
        <v>0</v>
      </c>
      <c r="H14" s="43">
        <f>+sgbelvar!H29</f>
        <v>0</v>
      </c>
      <c r="I14" s="46">
        <f>+(B14-J14)/ABS(J14)</f>
        <v>9.1688366729973506E-2</v>
      </c>
      <c r="J14" s="12">
        <f>+sgbelvar!J29</f>
        <v>425651.6</v>
      </c>
      <c r="K14" s="46">
        <f>+(-L14+J14)/L14</f>
        <v>0.2016500358813921</v>
      </c>
      <c r="L14" s="12">
        <f>+sgbelvar!L29</f>
        <v>354222.6</v>
      </c>
      <c r="M14" s="46">
        <f>+(-N14+L14)/ABS(N14)</f>
        <v>0.1666688624024599</v>
      </c>
      <c r="N14" s="12">
        <f>+sgbelvar!N29</f>
        <v>303618.8</v>
      </c>
      <c r="O14" s="46">
        <f>+(-P14+N14)/ABS(P14)</f>
        <v>0.2121697923090938</v>
      </c>
      <c r="P14" s="12">
        <f>+sgbelvar!P29</f>
        <v>250475.47128</v>
      </c>
      <c r="Q14" s="43"/>
      <c r="R14" s="43"/>
      <c r="S14" s="43"/>
      <c r="T14" s="43"/>
      <c r="U14" s="43"/>
      <c r="V14" s="43"/>
      <c r="W14" s="43"/>
      <c r="X14" s="43"/>
      <c r="Y14" s="43"/>
      <c r="Z14" s="43"/>
      <c r="AA14" s="43"/>
    </row>
    <row r="15" spans="1:27">
      <c r="A15" t="s">
        <v>184</v>
      </c>
      <c r="B15" s="12">
        <f>+sgbelvar!B51</f>
        <v>43402.399999999994</v>
      </c>
      <c r="C15" s="43">
        <v>0</v>
      </c>
      <c r="D15" s="43">
        <f>+sgbelvar!D51</f>
        <v>0</v>
      </c>
      <c r="E15" s="43">
        <v>0</v>
      </c>
      <c r="F15" s="43">
        <f>+sgbelvar!F51</f>
        <v>0</v>
      </c>
      <c r="G15" s="43">
        <v>0</v>
      </c>
      <c r="H15" s="43">
        <f>+sgbelvar!H51</f>
        <v>0</v>
      </c>
      <c r="I15" s="46">
        <f>+(B15-J15)/ABS(J15)</f>
        <v>7.8840484606244696E-2</v>
      </c>
      <c r="J15" s="12">
        <f>+sgbelvar!J51</f>
        <v>40230.600000000006</v>
      </c>
      <c r="K15" s="46">
        <f>+(-L15+J15)/L15</f>
        <v>0.36611090359604742</v>
      </c>
      <c r="L15" s="12">
        <f>+sgbelvar!L51</f>
        <v>29449.000000000004</v>
      </c>
      <c r="M15" s="46">
        <f>+(-N15+L15)/ABS(N15)</f>
        <v>0.27630159012208716</v>
      </c>
      <c r="N15" s="12">
        <f>+sgbelvar!N51</f>
        <v>23073.7</v>
      </c>
      <c r="O15" s="46">
        <f>+(-P15+N15)/ABS(P15)</f>
        <v>0.39241860742904172</v>
      </c>
      <c r="P15" s="12">
        <f>+sgbelvar!P51</f>
        <v>16570.950629999999</v>
      </c>
      <c r="Q15" s="43"/>
      <c r="R15" s="43"/>
      <c r="S15" s="43"/>
      <c r="T15" s="43"/>
      <c r="U15" s="43"/>
      <c r="V15" s="43"/>
      <c r="W15" s="43"/>
      <c r="X15" s="43"/>
      <c r="Y15" s="43"/>
      <c r="Z15" s="43"/>
      <c r="AA15" s="43"/>
    </row>
    <row r="16" spans="1:27">
      <c r="B16" s="12"/>
      <c r="C16" s="46"/>
      <c r="D16" s="43"/>
      <c r="E16" s="46"/>
      <c r="F16" s="43"/>
      <c r="G16" s="46"/>
      <c r="H16" s="43"/>
      <c r="I16" s="46"/>
      <c r="J16" s="12"/>
      <c r="K16" s="46"/>
      <c r="L16" s="12"/>
      <c r="M16" s="46"/>
      <c r="N16" s="12"/>
      <c r="O16" s="46"/>
      <c r="P16" s="12"/>
      <c r="Q16" s="43"/>
      <c r="R16" s="43"/>
      <c r="S16" s="43"/>
      <c r="T16" s="43"/>
      <c r="U16" s="43"/>
      <c r="V16" s="43"/>
      <c r="W16" s="43"/>
      <c r="X16" s="43"/>
      <c r="Y16" s="43"/>
      <c r="Z16" s="43"/>
      <c r="AA16" s="43"/>
    </row>
    <row r="17" spans="1:27" ht="16.5" thickBot="1">
      <c r="B17" s="76"/>
      <c r="C17" s="361"/>
      <c r="D17" s="187"/>
      <c r="E17" s="361"/>
      <c r="F17" s="187"/>
      <c r="G17" s="361"/>
      <c r="H17" s="187"/>
      <c r="I17" s="361"/>
      <c r="J17" s="76"/>
      <c r="K17" s="361"/>
      <c r="L17" s="76"/>
      <c r="M17" s="361"/>
      <c r="N17" s="76"/>
      <c r="O17" s="361"/>
      <c r="P17" s="76"/>
      <c r="Q17" s="43"/>
      <c r="R17" s="43"/>
      <c r="S17" s="43"/>
      <c r="T17" s="43"/>
      <c r="U17" s="43"/>
      <c r="V17" s="43"/>
      <c r="W17" s="43"/>
      <c r="X17" s="43"/>
      <c r="Y17" s="43"/>
      <c r="Z17" s="43"/>
      <c r="AA17" s="43"/>
    </row>
    <row r="18" spans="1:27">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row>
    <row r="19" spans="1:27">
      <c r="B19" s="51" t="s">
        <v>185</v>
      </c>
      <c r="C19" s="43"/>
      <c r="D19" s="51" t="s">
        <v>174</v>
      </c>
      <c r="E19" s="43"/>
      <c r="F19" s="51" t="s">
        <v>185</v>
      </c>
      <c r="G19" s="43"/>
      <c r="H19" s="51" t="s">
        <v>174</v>
      </c>
      <c r="I19" s="43"/>
      <c r="J19" s="51" t="s">
        <v>185</v>
      </c>
      <c r="K19" s="43"/>
      <c r="L19" s="51" t="s">
        <v>174</v>
      </c>
      <c r="M19" s="43"/>
      <c r="N19" s="51" t="s">
        <v>185</v>
      </c>
      <c r="O19" s="43"/>
      <c r="P19" s="51" t="s">
        <v>174</v>
      </c>
      <c r="Q19" s="43"/>
      <c r="R19" s="51" t="s">
        <v>185</v>
      </c>
      <c r="S19" s="43"/>
      <c r="T19" s="51" t="s">
        <v>174</v>
      </c>
      <c r="U19" s="43"/>
      <c r="V19" s="43"/>
      <c r="W19" s="43"/>
      <c r="X19" s="43"/>
      <c r="Y19" s="43"/>
      <c r="Z19" s="43"/>
      <c r="AA19" s="43"/>
    </row>
    <row r="20" spans="1:27">
      <c r="B20" s="50" t="s">
        <v>186</v>
      </c>
      <c r="C20" s="50" t="s">
        <v>169</v>
      </c>
      <c r="D20" s="50" t="s">
        <v>186</v>
      </c>
      <c r="E20" s="43"/>
      <c r="F20" s="50" t="s">
        <v>187</v>
      </c>
      <c r="G20" s="50" t="s">
        <v>169</v>
      </c>
      <c r="H20" s="50" t="s">
        <v>187</v>
      </c>
      <c r="I20" s="43"/>
      <c r="J20" s="50" t="s">
        <v>188</v>
      </c>
      <c r="K20" s="50" t="s">
        <v>169</v>
      </c>
      <c r="L20" s="50" t="s">
        <v>188</v>
      </c>
      <c r="M20" s="43"/>
      <c r="N20" s="50" t="s">
        <v>189</v>
      </c>
      <c r="O20" s="50" t="s">
        <v>169</v>
      </c>
      <c r="P20" s="50" t="s">
        <v>189</v>
      </c>
      <c r="Q20" s="43"/>
      <c r="R20" s="50" t="s">
        <v>190</v>
      </c>
      <c r="S20" s="50" t="s">
        <v>169</v>
      </c>
      <c r="T20" s="50" t="s">
        <v>190</v>
      </c>
      <c r="U20" s="43"/>
      <c r="V20" s="43"/>
      <c r="W20" s="43"/>
      <c r="X20" s="43"/>
      <c r="Y20" s="43"/>
      <c r="Z20" s="43"/>
      <c r="AA20" s="43"/>
    </row>
    <row r="21" spans="1:27" ht="16.5" thickBot="1">
      <c r="B21" s="326" t="s">
        <v>191</v>
      </c>
      <c r="C21" s="326"/>
      <c r="D21" s="326" t="s">
        <v>192</v>
      </c>
      <c r="E21" s="208"/>
      <c r="F21" s="326" t="s">
        <v>193</v>
      </c>
      <c r="G21" s="326"/>
      <c r="H21" s="326" t="s">
        <v>194</v>
      </c>
      <c r="I21" s="208"/>
      <c r="J21" s="326" t="s">
        <v>195</v>
      </c>
      <c r="K21" s="326"/>
      <c r="L21" s="326" t="s">
        <v>196</v>
      </c>
      <c r="M21" s="208"/>
      <c r="N21" s="326" t="s">
        <v>197</v>
      </c>
      <c r="O21" s="326"/>
      <c r="P21" s="326" t="s">
        <v>198</v>
      </c>
      <c r="Q21" s="208"/>
      <c r="R21" s="326" t="s">
        <v>199</v>
      </c>
      <c r="S21" s="326"/>
      <c r="T21" s="326" t="s">
        <v>200</v>
      </c>
      <c r="U21" s="43"/>
      <c r="V21" s="43"/>
      <c r="W21" s="43"/>
      <c r="X21" s="43"/>
      <c r="Y21" s="43"/>
      <c r="Z21" s="43"/>
      <c r="AA21" s="43"/>
    </row>
    <row r="22" spans="1:27">
      <c r="A22" s="2" t="s">
        <v>52</v>
      </c>
      <c r="B22" s="43"/>
      <c r="C22" s="43"/>
      <c r="D22" s="43"/>
      <c r="E22" s="43"/>
      <c r="F22" s="43"/>
      <c r="G22" s="43"/>
      <c r="H22" s="43"/>
      <c r="I22" s="43"/>
      <c r="J22" s="43"/>
      <c r="K22" s="43"/>
      <c r="L22" s="43"/>
      <c r="M22" s="43"/>
      <c r="N22" s="43"/>
      <c r="O22" s="43"/>
      <c r="P22" s="43"/>
      <c r="Q22" s="43"/>
      <c r="R22" s="43"/>
      <c r="S22" s="47" t="s">
        <v>0</v>
      </c>
      <c r="T22" s="43"/>
      <c r="U22" s="43"/>
      <c r="V22" s="43"/>
      <c r="W22" s="43"/>
      <c r="X22" s="43"/>
      <c r="Y22" s="43"/>
      <c r="Z22" s="43"/>
      <c r="AA22" s="43"/>
    </row>
    <row r="23" spans="1:27">
      <c r="A23" t="s">
        <v>201</v>
      </c>
      <c r="B23" s="12">
        <f>+'SGBELRÉSULT       '!B15</f>
        <v>11235.400000000001</v>
      </c>
      <c r="C23" s="46">
        <f>+(-D23+B23)/ABS(D23)</f>
        <v>0.75957276870311541</v>
      </c>
      <c r="D23" s="12">
        <f>+'SGBELRÉSULT       '!D55</f>
        <v>6385.2999999999993</v>
      </c>
      <c r="E23" s="43"/>
      <c r="F23" s="43">
        <f>+'SGBELRÉSULT       '!D15</f>
        <v>0</v>
      </c>
      <c r="G23" s="43">
        <v>0</v>
      </c>
      <c r="H23" s="12">
        <f>+'SGBELRÉSULT       '!H55</f>
        <v>9294.5999999999985</v>
      </c>
      <c r="I23" s="43"/>
      <c r="J23" s="43">
        <f>+'SGBELRÉSULT       '!F15</f>
        <v>0</v>
      </c>
      <c r="K23" s="43">
        <v>0</v>
      </c>
      <c r="L23" s="12">
        <f>+'SGBELRÉSULT       '!L55</f>
        <v>10286.800000000001</v>
      </c>
      <c r="M23" s="43"/>
      <c r="N23" s="43">
        <f>+'SGBELRÉSULT       '!H15</f>
        <v>0</v>
      </c>
      <c r="O23" s="43">
        <v>0</v>
      </c>
      <c r="P23" s="12">
        <f>+'SGBELRÉSULT       '!P55</f>
        <v>13311.100000000002</v>
      </c>
      <c r="Q23" s="43"/>
      <c r="R23" s="12">
        <f>+'SGBELRÉSULT       '!R55</f>
        <v>11235.400000000001</v>
      </c>
      <c r="S23" s="46">
        <f>+(-T23+R23)/ABS(T23)</f>
        <v>0.75957276870311541</v>
      </c>
      <c r="T23" s="12">
        <f>+'SGBELRÉSULT       '!T55</f>
        <v>6385.2999999999993</v>
      </c>
      <c r="U23" s="43"/>
      <c r="V23" s="43"/>
      <c r="W23" s="43"/>
      <c r="X23" s="43"/>
      <c r="Y23" s="43"/>
      <c r="Z23" s="43"/>
      <c r="AA23" s="43"/>
    </row>
    <row r="24" spans="1:27">
      <c r="A24" t="s">
        <v>202</v>
      </c>
      <c r="B24" s="12">
        <f>+'SGBELRÉSULT       '!B21</f>
        <v>2496</v>
      </c>
      <c r="C24" s="46">
        <f>+(-D24+B24)/ABS(D24)</f>
        <v>0.54982924557590807</v>
      </c>
      <c r="D24" s="12">
        <f>+'SGBELRÉSULT       '!D61</f>
        <v>1610.5</v>
      </c>
      <c r="E24" s="43"/>
      <c r="F24" s="43">
        <f>+'SGBELRÉSULT       '!D21</f>
        <v>0</v>
      </c>
      <c r="G24" s="43">
        <v>0</v>
      </c>
      <c r="H24" s="12">
        <f>+'SGBELRÉSULT       '!H61</f>
        <v>1653.2</v>
      </c>
      <c r="I24" s="43"/>
      <c r="J24" s="43">
        <f>+'SGBELRÉSULT       '!F21</f>
        <v>0</v>
      </c>
      <c r="K24" s="43">
        <v>0</v>
      </c>
      <c r="L24" s="12">
        <f>+'SGBELRÉSULT       '!L61</f>
        <v>1234.7</v>
      </c>
      <c r="M24" s="43"/>
      <c r="N24" s="43">
        <f>+'SGBELRÉSULT       '!H21</f>
        <v>0</v>
      </c>
      <c r="O24" s="43">
        <v>0</v>
      </c>
      <c r="P24" s="12">
        <f>+'SGBELRÉSULT       '!P61</f>
        <v>1992.8</v>
      </c>
      <c r="Q24" s="43"/>
      <c r="R24" s="12">
        <f>+'SGBELRÉSULT       '!R61</f>
        <v>2496</v>
      </c>
      <c r="S24" s="46">
        <f>+(-T24+R24)/ABS(T24)</f>
        <v>0.54982924557590807</v>
      </c>
      <c r="T24" s="12">
        <f>+'SGBELRÉSULT       '!T61</f>
        <v>1610.5</v>
      </c>
      <c r="U24" s="43"/>
      <c r="V24" s="43"/>
      <c r="W24" s="43"/>
      <c r="X24" s="43"/>
      <c r="Y24" s="43"/>
      <c r="Z24" s="43"/>
      <c r="AA24" s="43"/>
    </row>
    <row r="25" spans="1:27">
      <c r="A25" t="s">
        <v>447</v>
      </c>
      <c r="B25" s="12">
        <f>+'SGBELRÉSULT       '!B25</f>
        <v>1278.4000000000001</v>
      </c>
      <c r="C25" s="46">
        <f>+(-D25+B25)/ABS(D25)</f>
        <v>3.2613333333333334</v>
      </c>
      <c r="D25" s="12">
        <f>+'SGBELRÉSULT       '!D65</f>
        <v>300</v>
      </c>
      <c r="E25" s="43"/>
      <c r="F25" s="43">
        <f>+'SGBELRÉSULT       '!D25</f>
        <v>0</v>
      </c>
      <c r="G25" s="43">
        <v>0</v>
      </c>
      <c r="H25" s="12">
        <f>+'SGBELRÉSULT       '!H65</f>
        <v>300</v>
      </c>
      <c r="I25" s="43"/>
      <c r="J25" s="43">
        <f>+'SGBELRÉSULT       '!F25</f>
        <v>0</v>
      </c>
      <c r="K25" s="43">
        <v>0</v>
      </c>
      <c r="L25" s="12">
        <f>+'SGBELRÉSULT       '!L65</f>
        <v>1581.8000000000002</v>
      </c>
      <c r="M25" s="43"/>
      <c r="N25" s="43">
        <f>+'SGBELRÉSULT       '!H25</f>
        <v>0</v>
      </c>
      <c r="O25" s="43">
        <v>0</v>
      </c>
      <c r="P25" s="12">
        <f>+'SGBELRÉSULT       '!P65</f>
        <v>1622.4</v>
      </c>
      <c r="Q25" s="43"/>
      <c r="R25" s="12">
        <f>+'SGBELRÉSULT       '!R65</f>
        <v>1278.4000000000001</v>
      </c>
      <c r="S25" s="46">
        <f>+(-T25+R25)/ABS(T25)</f>
        <v>3.2613333333333334</v>
      </c>
      <c r="T25" s="12">
        <f>+'SGBELRÉSULT       '!T65</f>
        <v>300</v>
      </c>
      <c r="U25" s="43"/>
      <c r="V25" s="43"/>
      <c r="W25" s="43"/>
      <c r="X25" s="43"/>
      <c r="Y25" s="43"/>
      <c r="Z25" s="43"/>
      <c r="AA25" s="43"/>
    </row>
    <row r="26" spans="1:27">
      <c r="A26" t="s">
        <v>204</v>
      </c>
      <c r="B26" s="12">
        <f>+'SGBELRÉSULT       '!B35</f>
        <v>6943.5</v>
      </c>
      <c r="C26" s="46">
        <f>+(-D26+B26)/ABS(D26)</f>
        <v>0.16777947829596873</v>
      </c>
      <c r="D26" s="12">
        <f>+'SGBELRÉSULT       '!D75</f>
        <v>5945.9</v>
      </c>
      <c r="E26" s="43"/>
      <c r="F26" s="43">
        <f>+'SGBELRÉSULT       '!D35</f>
        <v>0</v>
      </c>
      <c r="G26" s="43">
        <v>0</v>
      </c>
      <c r="H26" s="12">
        <f>+'SGBELRÉSULT       '!H75</f>
        <v>5963.1</v>
      </c>
      <c r="I26" s="43"/>
      <c r="J26" s="43">
        <f>+'SGBELRÉSULT       '!F35</f>
        <v>0</v>
      </c>
      <c r="K26" s="43">
        <v>0</v>
      </c>
      <c r="L26" s="12">
        <f>+'SGBELRÉSULT       '!L75</f>
        <v>5474.5</v>
      </c>
      <c r="M26" s="43"/>
      <c r="N26" s="43">
        <f>+'SGBELRÉSULT       '!H35</f>
        <v>0</v>
      </c>
      <c r="O26" s="43">
        <v>0</v>
      </c>
      <c r="P26" s="12">
        <f>+'SGBELRÉSULT       '!P75</f>
        <v>6235.2</v>
      </c>
      <c r="Q26" s="43"/>
      <c r="R26" s="12">
        <f>+'SGBELRÉSULT       '!R75</f>
        <v>6943.5</v>
      </c>
      <c r="S26" s="46">
        <f>+(-T26+R26)/ABS(T26)</f>
        <v>0.16777947829596873</v>
      </c>
      <c r="T26" s="12">
        <f>+'SGBELRÉSULT       '!T75</f>
        <v>5945.9</v>
      </c>
      <c r="U26" s="43"/>
      <c r="V26" s="43"/>
      <c r="W26" s="43"/>
      <c r="X26" s="43"/>
      <c r="Y26" s="43"/>
      <c r="Z26" s="43"/>
      <c r="AA26" s="43"/>
    </row>
    <row r="27" spans="1:27">
      <c r="A27" t="s">
        <v>448</v>
      </c>
      <c r="B27" s="12">
        <f>+'SGBELRÉSULT       '!B41</f>
        <v>3842.6000000000017</v>
      </c>
      <c r="C27" s="46">
        <f>+(-D27+B27)/ABS(D27)</f>
        <v>2.0325941125404485</v>
      </c>
      <c r="D27" s="12">
        <f>+'SGBELRÉSULT       '!D81</f>
        <v>1267.0999999999997</v>
      </c>
      <c r="E27" s="43"/>
      <c r="F27" s="43">
        <f>+'SGBELRÉSULT       '!D41</f>
        <v>0</v>
      </c>
      <c r="G27" s="43">
        <v>0</v>
      </c>
      <c r="H27" s="12">
        <f>+'SGBELRÉSULT       '!H81</f>
        <v>3209.099999999999</v>
      </c>
      <c r="I27" s="43"/>
      <c r="J27" s="43">
        <f>+'SGBELRÉSULT       '!F41</f>
        <v>0</v>
      </c>
      <c r="K27" s="43">
        <v>0</v>
      </c>
      <c r="L27" s="12">
        <f>+'SGBELRÉSULT       '!L81</f>
        <v>3058.7000000000007</v>
      </c>
      <c r="M27" s="43"/>
      <c r="N27" s="43">
        <f>+'SGBELRÉSULT       '!H41</f>
        <v>0</v>
      </c>
      <c r="O27" s="43">
        <v>0</v>
      </c>
      <c r="P27" s="12">
        <f>+'SGBELRÉSULT       '!P81</f>
        <v>5100.800000000002</v>
      </c>
      <c r="Q27" s="43"/>
      <c r="R27" s="12">
        <f>+'SGBELRÉSULT       '!R81</f>
        <v>3842.6000000000017</v>
      </c>
      <c r="S27" s="46">
        <f>+(-T27+R27)/ABS(T27)</f>
        <v>2.0325941125404485</v>
      </c>
      <c r="T27" s="12">
        <f>+'SGBELRÉSULT       '!T81</f>
        <v>1267.0999999999997</v>
      </c>
      <c r="U27" s="43"/>
      <c r="V27" s="43"/>
      <c r="W27" s="43"/>
      <c r="X27" s="43"/>
      <c r="Y27" s="43"/>
      <c r="Z27" s="43"/>
      <c r="AA27" s="43"/>
    </row>
    <row r="28" spans="1:27">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ht="16.5" thickBot="1">
      <c r="B29" s="187"/>
      <c r="C29" s="187"/>
      <c r="D29" s="187"/>
      <c r="E29" s="187"/>
      <c r="F29" s="187"/>
      <c r="G29" s="187"/>
      <c r="H29" s="187"/>
      <c r="I29" s="187"/>
      <c r="J29" s="187"/>
      <c r="K29" s="187"/>
      <c r="L29" s="187"/>
      <c r="M29" s="187"/>
      <c r="N29" s="187"/>
      <c r="O29" s="187"/>
      <c r="P29" s="187"/>
      <c r="Q29" s="187"/>
      <c r="R29" s="187"/>
      <c r="S29" s="187"/>
      <c r="T29" s="187"/>
      <c r="U29" s="43"/>
      <c r="V29" s="43"/>
      <c r="W29" s="43"/>
      <c r="X29" s="43"/>
      <c r="Y29" s="43"/>
      <c r="Z29" s="43"/>
      <c r="AA29" s="43"/>
    </row>
    <row r="30" spans="1:27">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row>
    <row r="32" spans="1:27">
      <c r="B32" s="51" t="s">
        <v>185</v>
      </c>
      <c r="C32" s="51" t="s">
        <v>174</v>
      </c>
      <c r="D32" s="43"/>
      <c r="E32" s="51" t="s">
        <v>185</v>
      </c>
      <c r="F32" s="51" t="s">
        <v>174</v>
      </c>
      <c r="G32" s="43"/>
      <c r="H32" s="51" t="s">
        <v>185</v>
      </c>
      <c r="I32" s="51" t="s">
        <v>174</v>
      </c>
      <c r="J32" s="43"/>
      <c r="K32" s="51" t="s">
        <v>185</v>
      </c>
      <c r="L32" s="51" t="s">
        <v>174</v>
      </c>
      <c r="M32" s="43"/>
      <c r="N32" s="51" t="s">
        <v>185</v>
      </c>
      <c r="O32" s="51" t="s">
        <v>174</v>
      </c>
      <c r="P32" s="43"/>
      <c r="U32" s="43"/>
      <c r="V32" s="43"/>
      <c r="W32" s="43"/>
      <c r="X32" s="43"/>
      <c r="Y32" s="43"/>
      <c r="Z32" s="43"/>
      <c r="AA32" s="43"/>
    </row>
    <row r="33" spans="1:27" ht="16.5" thickBot="1">
      <c r="B33" s="50" t="s">
        <v>186</v>
      </c>
      <c r="C33" s="50" t="s">
        <v>186</v>
      </c>
      <c r="D33" s="43"/>
      <c r="E33" s="50" t="s">
        <v>187</v>
      </c>
      <c r="F33" s="50" t="s">
        <v>187</v>
      </c>
      <c r="G33" s="43"/>
      <c r="H33" s="50" t="s">
        <v>188</v>
      </c>
      <c r="I33" s="50" t="s">
        <v>188</v>
      </c>
      <c r="J33" s="43"/>
      <c r="K33" s="50" t="s">
        <v>189</v>
      </c>
      <c r="L33" s="50" t="s">
        <v>189</v>
      </c>
      <c r="M33" s="43"/>
      <c r="N33" s="50" t="s">
        <v>190</v>
      </c>
      <c r="O33" s="50" t="s">
        <v>190</v>
      </c>
      <c r="P33" s="43"/>
      <c r="Q33" s="114" t="s">
        <v>206</v>
      </c>
      <c r="R33" s="114"/>
      <c r="S33" s="114"/>
      <c r="T33" s="114"/>
      <c r="U33" s="43"/>
      <c r="V33" s="43"/>
      <c r="W33" s="43"/>
      <c r="X33" s="43"/>
      <c r="Y33" s="43"/>
      <c r="Z33" s="43"/>
      <c r="AA33" s="43"/>
    </row>
    <row r="34" spans="1:27" ht="16.5" thickBot="1">
      <c r="B34" s="326" t="s">
        <v>191</v>
      </c>
      <c r="C34" s="326" t="s">
        <v>192</v>
      </c>
      <c r="D34" s="208"/>
      <c r="E34" s="326" t="s">
        <v>193</v>
      </c>
      <c r="F34" s="326" t="s">
        <v>194</v>
      </c>
      <c r="G34" s="208"/>
      <c r="H34" s="326" t="s">
        <v>195</v>
      </c>
      <c r="I34" s="326" t="s">
        <v>196</v>
      </c>
      <c r="J34" s="208"/>
      <c r="K34" s="326" t="s">
        <v>197</v>
      </c>
      <c r="L34" s="326" t="s">
        <v>198</v>
      </c>
      <c r="M34" s="208"/>
      <c r="N34" s="181" t="s">
        <v>199</v>
      </c>
      <c r="O34" s="181" t="s">
        <v>200</v>
      </c>
      <c r="P34" s="43"/>
      <c r="Q34" s="182" t="s">
        <v>174</v>
      </c>
      <c r="R34" s="182" t="s">
        <v>175</v>
      </c>
      <c r="S34" s="182" t="s">
        <v>176</v>
      </c>
      <c r="T34" s="182" t="s">
        <v>177</v>
      </c>
      <c r="U34" s="43"/>
      <c r="V34" s="43"/>
      <c r="W34" s="43"/>
      <c r="X34" s="43"/>
      <c r="Y34" s="43"/>
      <c r="Z34" s="43"/>
      <c r="AA34" s="43"/>
    </row>
    <row r="35" spans="1:27">
      <c r="B35" s="355"/>
      <c r="C35" s="355"/>
      <c r="D35" s="208"/>
      <c r="E35" s="355"/>
      <c r="F35" s="355"/>
      <c r="G35" s="208"/>
      <c r="H35" s="355"/>
      <c r="I35" s="355"/>
      <c r="J35" s="208"/>
      <c r="K35" s="355"/>
      <c r="L35" s="355"/>
      <c r="M35" s="208"/>
      <c r="N35" s="355"/>
      <c r="O35" s="355"/>
      <c r="P35" s="43"/>
      <c r="Q35" s="356"/>
      <c r="R35" s="356"/>
      <c r="S35" s="356"/>
      <c r="T35" s="356"/>
      <c r="U35" s="43"/>
      <c r="V35" s="43"/>
      <c r="W35" s="43"/>
      <c r="X35" s="43"/>
      <c r="Y35" s="43"/>
      <c r="Z35" s="43"/>
      <c r="AA35" s="43"/>
    </row>
    <row r="36" spans="1:27">
      <c r="A36" s="2" t="s">
        <v>207</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183" t="s">
        <v>208</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A38" s="2" t="s">
        <v>209</v>
      </c>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t="s">
        <v>211</v>
      </c>
      <c r="B40" s="57"/>
      <c r="C40" s="57"/>
      <c r="D40" s="57"/>
      <c r="E40" s="57"/>
      <c r="F40" s="57"/>
      <c r="G40" s="57"/>
      <c r="H40" s="57"/>
      <c r="I40" s="57"/>
      <c r="J40" s="57"/>
      <c r="K40" s="57"/>
      <c r="L40" s="57"/>
      <c r="M40" s="57"/>
      <c r="N40" s="57"/>
      <c r="O40" s="57"/>
      <c r="P40" s="57"/>
      <c r="Q40" s="57"/>
      <c r="R40" s="57"/>
      <c r="S40" s="57"/>
      <c r="T40" s="57"/>
      <c r="U40" s="43"/>
      <c r="V40" s="43"/>
      <c r="W40" s="43"/>
      <c r="X40" s="43"/>
      <c r="Y40" s="43"/>
      <c r="Z40" s="43"/>
      <c r="AA40" s="43"/>
    </row>
    <row r="41" spans="1:27">
      <c r="A41" t="s">
        <v>212</v>
      </c>
      <c r="B41" s="58">
        <f>+sgbelvar!B51/sgbelvar!B22</f>
        <v>8.1136202953418793E-2</v>
      </c>
      <c r="C41" s="58">
        <v>6.0999999999999999E-2</v>
      </c>
      <c r="D41" s="59"/>
      <c r="E41" s="364">
        <v>0</v>
      </c>
      <c r="F41" s="59">
        <v>6.6299999999999998E-2</v>
      </c>
      <c r="G41" s="59"/>
      <c r="H41" s="364">
        <v>0</v>
      </c>
      <c r="I41" s="59">
        <v>7.1400000000000005E-2</v>
      </c>
      <c r="J41" s="59"/>
      <c r="K41" s="364">
        <v>0</v>
      </c>
      <c r="L41" s="59">
        <v>7.9000000000000001E-2</v>
      </c>
      <c r="M41" s="59"/>
      <c r="N41" s="59">
        <f>+B41</f>
        <v>8.1136202953418793E-2</v>
      </c>
      <c r="O41" s="59">
        <f>+C41</f>
        <v>6.0999999999999999E-2</v>
      </c>
      <c r="P41" s="59"/>
      <c r="Q41" s="59">
        <f>+sgbelvar!J51/sgbelvar!J22</f>
        <v>7.9006500706393618E-2</v>
      </c>
      <c r="R41" s="59">
        <v>6.6199999999999995E-2</v>
      </c>
      <c r="S41" s="59">
        <v>6.1199999999999997E-2</v>
      </c>
      <c r="T41" s="59">
        <v>5.2699999999999997E-2</v>
      </c>
      <c r="U41" s="43"/>
      <c r="V41" s="43"/>
      <c r="W41" s="43"/>
      <c r="X41" s="43"/>
      <c r="Y41" s="43"/>
      <c r="Z41" s="43"/>
      <c r="AA41" s="43"/>
    </row>
    <row r="42" spans="1:27">
      <c r="B42" s="58"/>
      <c r="C42" s="59"/>
      <c r="D42" s="59"/>
      <c r="E42" s="57"/>
      <c r="F42" s="59"/>
      <c r="G42" s="59"/>
      <c r="H42" s="57"/>
      <c r="I42" s="59"/>
      <c r="J42" s="59"/>
      <c r="K42" s="57"/>
      <c r="L42" s="59"/>
      <c r="M42" s="59"/>
      <c r="N42" s="59"/>
      <c r="O42" s="59"/>
      <c r="P42" s="59"/>
      <c r="Q42" s="59"/>
      <c r="R42" s="59"/>
      <c r="S42" s="59"/>
      <c r="T42" s="59"/>
      <c r="U42" s="43"/>
      <c r="V42" s="43"/>
      <c r="W42" s="43"/>
      <c r="X42" s="43"/>
      <c r="Y42" s="43"/>
      <c r="Z42" s="43"/>
      <c r="AA42" s="43"/>
    </row>
    <row r="43" spans="1:27">
      <c r="A43" t="s">
        <v>213</v>
      </c>
      <c r="B43" s="58">
        <f>+sgbelvar!B29/sgbelvar!B22</f>
        <v>0.86866812753606715</v>
      </c>
      <c r="C43" s="59">
        <v>0.82520000000000004</v>
      </c>
      <c r="D43" s="59"/>
      <c r="E43" s="364">
        <v>0</v>
      </c>
      <c r="F43" s="59">
        <v>0.87790000000000001</v>
      </c>
      <c r="G43" s="59"/>
      <c r="H43" s="364">
        <v>0</v>
      </c>
      <c r="I43" s="59">
        <v>0.86409999999999998</v>
      </c>
      <c r="J43" s="59"/>
      <c r="K43" s="364">
        <v>0</v>
      </c>
      <c r="L43" s="59">
        <v>0.83589999999999998</v>
      </c>
      <c r="M43" s="59"/>
      <c r="N43" s="59">
        <f>+B43</f>
        <v>0.86866812753606715</v>
      </c>
      <c r="O43" s="59">
        <f>+C43</f>
        <v>0.82520000000000004</v>
      </c>
      <c r="P43" s="59"/>
      <c r="Q43" s="59">
        <f>+sgbelvar!J29/sgbelvar!J22</f>
        <v>0.83591205291687343</v>
      </c>
      <c r="R43" s="59">
        <v>0.79569999999999996</v>
      </c>
      <c r="S43" s="59">
        <v>0.80520000000000003</v>
      </c>
      <c r="T43" s="58">
        <v>0.79600000000000004</v>
      </c>
      <c r="U43" s="43"/>
      <c r="V43" s="43"/>
      <c r="W43" s="43"/>
      <c r="X43" s="43"/>
      <c r="Y43" s="43"/>
      <c r="Z43" s="43"/>
      <c r="AA43" s="43"/>
    </row>
    <row r="44" spans="1:27">
      <c r="A44" t="s">
        <v>0</v>
      </c>
      <c r="B44" s="57"/>
      <c r="C44" s="59"/>
      <c r="D44" s="59"/>
      <c r="E44" s="57"/>
      <c r="F44" s="59"/>
      <c r="G44" s="59"/>
      <c r="H44" s="57"/>
      <c r="I44" s="59"/>
      <c r="J44" s="59"/>
      <c r="K44" s="57"/>
      <c r="L44" s="59"/>
      <c r="M44" s="59"/>
      <c r="N44" s="59"/>
      <c r="O44" s="59"/>
      <c r="P44" s="59"/>
      <c r="Q44" s="59"/>
      <c r="R44" s="59"/>
      <c r="S44" s="59"/>
      <c r="T44" s="59"/>
      <c r="U44" s="43"/>
      <c r="V44" s="43"/>
      <c r="W44" s="43"/>
      <c r="X44" s="43"/>
      <c r="Y44" s="43"/>
      <c r="Z44" s="43"/>
      <c r="AA44" s="43"/>
    </row>
    <row r="45" spans="1:27">
      <c r="A45" s="2" t="s">
        <v>214</v>
      </c>
      <c r="B45" s="57"/>
      <c r="C45" s="59"/>
      <c r="D45" s="59"/>
      <c r="E45" s="57"/>
      <c r="F45" s="59"/>
      <c r="G45" s="59"/>
      <c r="H45" s="57"/>
      <c r="I45" s="59"/>
      <c r="J45" s="59"/>
      <c r="K45" s="57"/>
      <c r="L45" s="59"/>
      <c r="M45" s="59"/>
      <c r="N45" s="59"/>
      <c r="O45" s="59"/>
      <c r="P45" s="59"/>
      <c r="Q45" s="59"/>
      <c r="R45" s="59"/>
      <c r="S45" s="59"/>
      <c r="T45" s="59"/>
      <c r="U45" s="43"/>
      <c r="V45" s="43"/>
      <c r="W45" s="43"/>
      <c r="X45" s="43"/>
      <c r="Y45" s="43"/>
      <c r="Z45" s="43"/>
      <c r="AA45" s="43"/>
    </row>
    <row r="46" spans="1:27">
      <c r="A46" s="2"/>
      <c r="B46" s="57"/>
      <c r="C46" s="59"/>
      <c r="D46" s="59"/>
      <c r="E46" s="57"/>
      <c r="F46" s="59"/>
      <c r="G46" s="59"/>
      <c r="H46" s="57"/>
      <c r="I46" s="59"/>
      <c r="J46" s="59"/>
      <c r="K46" s="57"/>
      <c r="L46" s="59"/>
      <c r="M46" s="59"/>
      <c r="N46" s="59"/>
      <c r="O46" s="59"/>
      <c r="P46" s="59"/>
      <c r="Q46" s="59"/>
      <c r="R46" s="59"/>
      <c r="S46" s="59"/>
      <c r="T46" s="59"/>
      <c r="U46" s="43"/>
      <c r="V46" s="43"/>
      <c r="W46" s="43"/>
      <c r="X46" s="43"/>
      <c r="Y46" s="43"/>
      <c r="Z46" s="43"/>
      <c r="AA46" s="43"/>
    </row>
    <row r="47" spans="1:27">
      <c r="A47" t="s">
        <v>215</v>
      </c>
      <c r="B47" s="57"/>
      <c r="C47" s="59"/>
      <c r="D47" s="59"/>
      <c r="E47" s="57"/>
      <c r="F47" s="59"/>
      <c r="G47" s="59"/>
      <c r="H47" s="57"/>
      <c r="I47" s="59"/>
      <c r="J47" s="59"/>
      <c r="K47" s="57"/>
      <c r="L47" s="59"/>
      <c r="M47" s="59"/>
      <c r="N47" s="59"/>
      <c r="O47" s="59"/>
      <c r="P47" s="59"/>
      <c r="Q47" s="59"/>
      <c r="R47" s="59"/>
      <c r="S47" s="59"/>
      <c r="T47" s="59"/>
      <c r="U47" s="43"/>
      <c r="V47" s="43"/>
      <c r="W47" s="43"/>
      <c r="X47" s="43"/>
      <c r="Y47" s="43"/>
      <c r="Z47" s="43"/>
      <c r="AA47" s="43"/>
    </row>
    <row r="48" spans="1:27">
      <c r="A48" t="s">
        <v>216</v>
      </c>
      <c r="B48" s="59">
        <f>+sgbelvar!B62/sgbelvar!B60</f>
        <v>9.9104718199610836E-2</v>
      </c>
      <c r="C48" s="59">
        <v>6.9599999999999995E-2</v>
      </c>
      <c r="D48" s="59"/>
      <c r="E48" s="57">
        <v>0</v>
      </c>
      <c r="F48" s="59">
        <v>6.9599999999999995E-2</v>
      </c>
      <c r="G48" s="59"/>
      <c r="H48" s="364">
        <v>0</v>
      </c>
      <c r="I48" s="59">
        <v>9.6199999999999994E-2</v>
      </c>
      <c r="J48" s="59"/>
      <c r="K48" s="57">
        <v>0</v>
      </c>
      <c r="L48" s="59">
        <v>9.9199999999999997E-2</v>
      </c>
      <c r="M48" s="58" t="s">
        <v>0</v>
      </c>
      <c r="N48" s="59">
        <f>+B48</f>
        <v>9.9104718199610836E-2</v>
      </c>
      <c r="O48" s="59">
        <f>+C48</f>
        <v>6.9599999999999995E-2</v>
      </c>
      <c r="P48" s="59"/>
      <c r="Q48" s="59">
        <f>+sgbelvar!J62/sgbelvar!J60</f>
        <v>9.9239285120332768E-2</v>
      </c>
      <c r="R48" s="59">
        <v>3.4599999999999999E-2</v>
      </c>
      <c r="S48" s="59">
        <v>1.8200000000000001E-2</v>
      </c>
      <c r="T48" s="57">
        <v>0</v>
      </c>
      <c r="U48" s="43"/>
      <c r="V48" s="43"/>
      <c r="W48" s="43"/>
      <c r="X48" s="43"/>
      <c r="Y48" s="43"/>
      <c r="Z48" s="43"/>
      <c r="AA48" s="43"/>
    </row>
    <row r="49" spans="1:27">
      <c r="B49" s="57"/>
      <c r="C49" s="59"/>
      <c r="D49" s="59"/>
      <c r="E49" s="57"/>
      <c r="F49" s="59"/>
      <c r="G49" s="59"/>
      <c r="H49" s="57"/>
      <c r="I49" s="59"/>
      <c r="J49" s="59"/>
      <c r="K49" s="57"/>
      <c r="L49" s="59"/>
      <c r="M49" s="59"/>
      <c r="N49" s="59"/>
      <c r="O49" s="59"/>
      <c r="P49" s="59"/>
      <c r="Q49" s="59"/>
      <c r="R49" s="59"/>
      <c r="S49" s="59"/>
      <c r="T49" s="57"/>
      <c r="U49" s="43"/>
      <c r="V49" s="43"/>
      <c r="W49" s="43"/>
      <c r="X49" s="43"/>
      <c r="Y49" s="43"/>
      <c r="Z49" s="43"/>
      <c r="AA49" s="43"/>
    </row>
    <row r="50" spans="1:27">
      <c r="A50" t="s">
        <v>217</v>
      </c>
      <c r="B50" s="57"/>
      <c r="C50" s="59"/>
      <c r="D50" s="59"/>
      <c r="E50" s="57"/>
      <c r="F50" s="59"/>
      <c r="G50" s="59"/>
      <c r="H50" s="57"/>
      <c r="I50" s="59"/>
      <c r="J50" s="59"/>
      <c r="K50" s="57"/>
      <c r="M50" s="59"/>
      <c r="N50" s="59"/>
      <c r="O50" s="59"/>
      <c r="P50" s="59"/>
      <c r="Q50" s="59"/>
      <c r="R50" s="59"/>
      <c r="S50" s="59"/>
      <c r="T50" s="57"/>
      <c r="U50" s="43"/>
      <c r="V50" s="43"/>
      <c r="W50" s="43"/>
      <c r="X50" s="43"/>
      <c r="Y50" s="43"/>
      <c r="Z50" s="43"/>
      <c r="AA50" s="43"/>
    </row>
    <row r="51" spans="1:27">
      <c r="A51" t="s">
        <v>218</v>
      </c>
      <c r="B51" s="59">
        <f>+sgbelvar!B61/sgbelvar!B62</f>
        <v>0.33503712164477439</v>
      </c>
      <c r="C51" s="59">
        <v>0.2437</v>
      </c>
      <c r="D51" s="59"/>
      <c r="E51" s="57">
        <v>0</v>
      </c>
      <c r="F51" s="59">
        <v>0.252</v>
      </c>
      <c r="G51" s="59"/>
      <c r="H51" s="364">
        <v>0</v>
      </c>
      <c r="I51" s="59">
        <v>0.2268</v>
      </c>
      <c r="J51" s="59"/>
      <c r="K51" s="57">
        <v>0</v>
      </c>
      <c r="L51" s="59">
        <v>0.26629999999999998</v>
      </c>
      <c r="M51" s="59"/>
      <c r="N51" s="59">
        <f>+B51</f>
        <v>0.33503712164477439</v>
      </c>
      <c r="O51" s="59">
        <f>+C51</f>
        <v>0.2437</v>
      </c>
      <c r="P51" s="59"/>
      <c r="Q51" s="59">
        <f>+sgbelvar!J61/sgbelvar!J62</f>
        <v>0.26631049432166254</v>
      </c>
      <c r="R51" s="59">
        <v>0.496</v>
      </c>
      <c r="S51" s="59">
        <v>0.81869999999999998</v>
      </c>
      <c r="T51" s="57">
        <v>0</v>
      </c>
      <c r="U51" s="43"/>
      <c r="V51" s="43"/>
      <c r="W51" s="43"/>
      <c r="X51" s="43"/>
      <c r="Y51" s="43"/>
      <c r="Z51" s="43"/>
      <c r="AA51" s="43"/>
    </row>
    <row r="52" spans="1:27">
      <c r="B52" s="57"/>
      <c r="C52" s="59"/>
      <c r="D52" s="59"/>
      <c r="E52" s="57"/>
      <c r="F52" s="59"/>
      <c r="G52" s="59"/>
      <c r="H52" s="57"/>
      <c r="I52" s="59"/>
      <c r="J52" s="59"/>
      <c r="K52" s="57"/>
      <c r="L52" s="59"/>
      <c r="M52" s="59"/>
      <c r="N52" s="59"/>
      <c r="O52" s="59"/>
      <c r="P52" s="59"/>
      <c r="Q52" s="59"/>
      <c r="R52" s="59"/>
      <c r="S52" s="59"/>
      <c r="T52" s="59"/>
      <c r="U52" s="43"/>
      <c r="V52" s="43"/>
      <c r="W52" s="43"/>
      <c r="X52" s="43"/>
      <c r="Y52" s="43"/>
      <c r="Z52" s="43"/>
      <c r="AA52" s="43"/>
    </row>
    <row r="53" spans="1:27">
      <c r="A53" t="s">
        <v>219</v>
      </c>
      <c r="B53" s="57"/>
      <c r="C53" s="59"/>
      <c r="D53" s="59"/>
      <c r="E53" s="57"/>
      <c r="F53" s="59"/>
      <c r="G53" s="59"/>
      <c r="H53" s="57"/>
      <c r="I53" s="59"/>
      <c r="J53" s="59"/>
      <c r="K53" s="57"/>
      <c r="L53" s="364" t="s">
        <v>0</v>
      </c>
      <c r="M53" s="59"/>
      <c r="N53" s="1069"/>
      <c r="O53" s="59"/>
      <c r="P53" s="59"/>
      <c r="Q53" s="59"/>
      <c r="R53" s="59"/>
      <c r="S53" s="59"/>
      <c r="T53" s="59"/>
      <c r="U53" s="43"/>
      <c r="V53" s="43"/>
      <c r="W53" s="43"/>
      <c r="X53" s="43"/>
      <c r="Y53" s="43"/>
      <c r="Z53" s="43"/>
      <c r="AA53" s="43"/>
    </row>
    <row r="54" spans="1:27">
      <c r="A54" t="s">
        <v>220</v>
      </c>
      <c r="B54" s="59">
        <f>+(sgbelvar!B62-sgbelvar!B61)/sgbelvar!B51</f>
        <v>0.53653715001935387</v>
      </c>
      <c r="C54" s="59">
        <v>0.54759999999999998</v>
      </c>
      <c r="D54" s="59"/>
      <c r="E54" s="57">
        <v>0</v>
      </c>
      <c r="F54" s="59">
        <v>0.53839999999999999</v>
      </c>
      <c r="G54" s="59"/>
      <c r="H54" s="364">
        <v>0</v>
      </c>
      <c r="I54" s="59">
        <v>0.71799999999999997</v>
      </c>
      <c r="J54" s="59"/>
      <c r="K54" s="57">
        <v>0</v>
      </c>
      <c r="L54" s="59">
        <v>0.61919999999999997</v>
      </c>
      <c r="M54" s="59"/>
      <c r="N54" s="59">
        <f>+B54</f>
        <v>0.53653715001935387</v>
      </c>
      <c r="O54" s="59">
        <f>+C54</f>
        <v>0.54759999999999998</v>
      </c>
      <c r="P54" s="59"/>
      <c r="Q54" s="59">
        <f>+(sgbelvar!J62-sgbelvar!J61)/sgbelvar!J51</f>
        <v>0.61921522423230069</v>
      </c>
      <c r="R54" s="59">
        <v>0.18</v>
      </c>
      <c r="S54" s="59">
        <v>3.6299999999999999E-2</v>
      </c>
      <c r="T54" s="59">
        <v>-0.1827</v>
      </c>
      <c r="U54" s="43"/>
      <c r="V54" s="43"/>
      <c r="W54" s="43"/>
      <c r="X54" s="43"/>
      <c r="Y54" s="43"/>
      <c r="Z54" s="43"/>
      <c r="AA54" s="43"/>
    </row>
    <row r="55" spans="1:27">
      <c r="A55" t="s">
        <v>0</v>
      </c>
      <c r="B55" s="57"/>
      <c r="C55" s="59"/>
      <c r="D55" s="59"/>
      <c r="E55" s="57"/>
      <c r="F55" s="59"/>
      <c r="G55" s="59"/>
      <c r="H55" s="57"/>
      <c r="I55" s="59"/>
      <c r="J55" s="59"/>
      <c r="K55" s="57"/>
      <c r="L55" s="59"/>
      <c r="M55" s="59"/>
      <c r="N55" s="59"/>
      <c r="O55" s="59"/>
      <c r="P55" s="59"/>
      <c r="Q55" s="59"/>
      <c r="R55" s="59"/>
      <c r="S55" s="59"/>
      <c r="T55" s="59"/>
      <c r="U55" s="43"/>
      <c r="V55" s="43"/>
      <c r="W55" s="43"/>
      <c r="X55" s="43"/>
      <c r="Y55" s="43"/>
      <c r="Z55" s="43"/>
      <c r="AA55" s="43"/>
    </row>
    <row r="56" spans="1:27">
      <c r="A56" s="2" t="s">
        <v>221</v>
      </c>
      <c r="B56" s="57"/>
      <c r="C56" s="59"/>
      <c r="D56" s="59"/>
      <c r="E56" s="57"/>
      <c r="F56" s="59"/>
      <c r="G56" s="59"/>
      <c r="H56" s="57"/>
      <c r="I56" s="59"/>
      <c r="J56" s="59"/>
      <c r="K56" s="57"/>
      <c r="L56" s="59"/>
      <c r="M56" s="59"/>
      <c r="N56" s="59"/>
      <c r="O56" s="59"/>
      <c r="P56" s="59"/>
      <c r="Q56" s="59"/>
      <c r="R56" s="59"/>
      <c r="S56" s="59"/>
      <c r="T56" s="59"/>
      <c r="U56" s="43"/>
      <c r="V56" s="43"/>
      <c r="W56" s="43"/>
      <c r="X56" s="43"/>
      <c r="Y56" s="43"/>
      <c r="Z56" s="43"/>
      <c r="AA56" s="43"/>
    </row>
    <row r="57" spans="1:27">
      <c r="A57" s="2"/>
      <c r="B57" s="57"/>
      <c r="C57" s="59"/>
      <c r="D57" s="59"/>
      <c r="E57" s="57"/>
      <c r="F57" s="59"/>
      <c r="G57" s="59"/>
      <c r="H57" s="57"/>
      <c r="I57" s="59"/>
      <c r="J57" s="59"/>
      <c r="K57" s="57"/>
      <c r="L57" s="59"/>
      <c r="M57" s="59"/>
      <c r="N57" s="59"/>
      <c r="O57" s="59"/>
      <c r="P57" s="59"/>
      <c r="Q57" s="59"/>
      <c r="R57" s="59"/>
      <c r="S57" s="59"/>
      <c r="T57" s="59"/>
      <c r="U57" s="43"/>
      <c r="V57" s="43"/>
      <c r="W57" s="43"/>
      <c r="X57" s="43"/>
      <c r="Y57" s="43"/>
      <c r="Z57" s="43"/>
      <c r="AA57" s="43"/>
    </row>
    <row r="58" spans="1:27">
      <c r="A58" t="s">
        <v>222</v>
      </c>
      <c r="B58" s="59">
        <f>+('SGBELRÉSULT       '!B41/((sgbelvar!B22+sgbelvar!J22)/2)*4)</f>
        <v>2.9441296501959334E-2</v>
      </c>
      <c r="C58" s="59">
        <v>1.06E-2</v>
      </c>
      <c r="D58" s="59"/>
      <c r="E58" s="57">
        <v>0</v>
      </c>
      <c r="F58" s="59">
        <v>2.58E-2</v>
      </c>
      <c r="G58" s="59"/>
      <c r="H58" s="364">
        <v>0</v>
      </c>
      <c r="I58" s="59">
        <v>2.5100000000000001E-2</v>
      </c>
      <c r="J58" s="59"/>
      <c r="K58" s="57">
        <v>0</v>
      </c>
      <c r="L58" s="59">
        <v>4.07E-2</v>
      </c>
      <c r="M58" s="59"/>
      <c r="N58" s="59">
        <f>+'sysratfinclé '!M37</f>
        <v>2.9441296501959334E-2</v>
      </c>
      <c r="O58" s="59">
        <f>+'sysratfinclé '!M38</f>
        <v>1.06E-2</v>
      </c>
      <c r="P58" s="59"/>
      <c r="Q58" s="59">
        <f>+'SGBELVARAN         '!F43/((sgbelvar!J22+sgbelvar!L22)/2)</f>
        <v>2.6479855887150735E-2</v>
      </c>
      <c r="R58" s="59">
        <v>2.3599999999999999E-2</v>
      </c>
      <c r="S58" s="59">
        <v>2.8000000000000001E-2</v>
      </c>
      <c r="T58" s="59">
        <v>1.5900000000000001E-2</v>
      </c>
      <c r="U58" s="43"/>
      <c r="V58" s="43"/>
      <c r="W58" s="43"/>
      <c r="X58" s="43"/>
      <c r="Y58" s="43"/>
      <c r="Z58" s="43"/>
      <c r="AA58" s="43"/>
    </row>
    <row r="59" spans="1:27" ht="7.15" customHeight="1">
      <c r="B59" s="57"/>
      <c r="C59" s="59"/>
      <c r="D59" s="59"/>
      <c r="E59" s="57"/>
      <c r="F59" s="59"/>
      <c r="G59" s="59"/>
      <c r="H59" s="57"/>
      <c r="I59" s="59"/>
      <c r="J59" s="59"/>
      <c r="K59" s="57"/>
      <c r="L59" s="59"/>
      <c r="M59" s="59"/>
      <c r="N59" s="59"/>
      <c r="O59" s="59"/>
      <c r="P59" s="59"/>
      <c r="Q59" s="59"/>
      <c r="R59" s="59"/>
      <c r="S59" s="59"/>
      <c r="T59" s="59"/>
      <c r="U59" s="43"/>
      <c r="V59" s="43"/>
      <c r="W59" s="43"/>
      <c r="X59" s="43"/>
      <c r="Y59" s="43"/>
      <c r="Z59" s="43"/>
      <c r="AA59" s="43"/>
    </row>
    <row r="60" spans="1:27">
      <c r="A60" t="s">
        <v>547</v>
      </c>
      <c r="B60" s="59">
        <f>+('SGBELRÉSULT       '!B41/((sgbelvar!J51+sgbelvar!B51)/2)*4)</f>
        <v>0.36756782609735406</v>
      </c>
      <c r="C60" s="59">
        <v>0.16700000000000001</v>
      </c>
      <c r="D60" s="59"/>
      <c r="E60" s="57">
        <v>0</v>
      </c>
      <c r="F60" s="58">
        <v>0.40539999999999998</v>
      </c>
      <c r="G60" s="59"/>
      <c r="H60" s="364">
        <v>0</v>
      </c>
      <c r="I60" s="59">
        <v>0.36409999999999998</v>
      </c>
      <c r="J60" s="59"/>
      <c r="K60" s="57">
        <v>0</v>
      </c>
      <c r="L60" s="59">
        <v>0.54149999999999998</v>
      </c>
      <c r="M60" s="59"/>
      <c r="N60" s="59">
        <f>+'sysratfinclé '!M43</f>
        <v>0.36756782609735406</v>
      </c>
      <c r="O60" s="59">
        <f>+'sysratfinclé '!M44</f>
        <v>0.16700000000000001</v>
      </c>
      <c r="P60" s="59"/>
      <c r="Q60" s="59">
        <f>+'SGBELVARAN         '!F43/((sgbelvar!J51+sgbelvar!L51)/2)</f>
        <v>0.36268003834694817</v>
      </c>
      <c r="R60" s="59">
        <v>0.37</v>
      </c>
      <c r="S60" s="59">
        <v>0.48880000000000001</v>
      </c>
      <c r="T60" s="59">
        <v>0.29210000000000003</v>
      </c>
      <c r="U60" s="43"/>
      <c r="V60" s="43"/>
      <c r="W60" s="43"/>
      <c r="X60" s="43"/>
      <c r="Y60" s="43"/>
      <c r="Z60" s="43"/>
      <c r="AA60" s="43"/>
    </row>
    <row r="61" spans="1:27" ht="7.15" customHeight="1">
      <c r="B61" s="57"/>
      <c r="C61" s="59"/>
      <c r="D61" s="59"/>
      <c r="E61" s="57"/>
      <c r="F61" s="59"/>
      <c r="G61" s="59"/>
      <c r="H61" s="57"/>
      <c r="I61" s="59"/>
      <c r="J61" s="59"/>
      <c r="K61" s="57"/>
      <c r="L61" s="59"/>
      <c r="M61" s="59"/>
      <c r="N61" s="59"/>
      <c r="O61" s="59"/>
      <c r="P61" s="59"/>
      <c r="Q61" s="59"/>
      <c r="R61" s="59"/>
      <c r="S61" s="59"/>
      <c r="T61" s="59"/>
      <c r="U61" s="43"/>
      <c r="V61" s="43"/>
      <c r="W61" s="43"/>
      <c r="X61" s="43"/>
      <c r="Y61" s="43"/>
      <c r="Z61" s="43"/>
      <c r="AA61" s="43"/>
    </row>
    <row r="62" spans="1:27">
      <c r="A62" t="s">
        <v>201</v>
      </c>
      <c r="B62" s="57"/>
      <c r="C62" s="59"/>
      <c r="D62" s="59"/>
      <c r="E62" s="57"/>
      <c r="F62" s="59"/>
      <c r="G62" s="59"/>
      <c r="H62" s="57"/>
      <c r="I62" s="59"/>
      <c r="J62" s="59"/>
      <c r="K62" s="57"/>
      <c r="L62" s="59"/>
      <c r="M62" s="59"/>
      <c r="N62" s="59"/>
      <c r="O62" s="59"/>
      <c r="P62" s="59"/>
      <c r="Q62" s="58" t="s">
        <v>0</v>
      </c>
      <c r="R62" s="58" t="s">
        <v>0</v>
      </c>
      <c r="S62" s="59"/>
      <c r="T62" s="59"/>
      <c r="U62" s="43"/>
      <c r="V62" s="43"/>
      <c r="W62" s="43"/>
      <c r="X62" s="43"/>
      <c r="Y62" s="43"/>
      <c r="Z62" s="43"/>
      <c r="AA62" s="43"/>
    </row>
    <row r="63" spans="1:27">
      <c r="A63" t="s">
        <v>225</v>
      </c>
      <c r="B63" s="59">
        <f>+'SGBELRÉSULT       '!B15/'SGBELRÉSULT       '!B13</f>
        <v>0.69417739663396194</v>
      </c>
      <c r="C63" s="59">
        <v>0.40739999999999998</v>
      </c>
      <c r="D63" s="59"/>
      <c r="E63" s="57">
        <v>0</v>
      </c>
      <c r="F63" s="59">
        <v>0.59289999999999998</v>
      </c>
      <c r="G63" s="59"/>
      <c r="H63" s="364">
        <v>0</v>
      </c>
      <c r="I63" s="59">
        <v>0.68910000000000005</v>
      </c>
      <c r="J63" s="59"/>
      <c r="K63" s="57">
        <v>0</v>
      </c>
      <c r="L63" s="59">
        <v>0.74390000000000001</v>
      </c>
      <c r="M63" s="59"/>
      <c r="N63" s="59">
        <f>+'sysratfinclé '!M50</f>
        <v>0.69417739663396194</v>
      </c>
      <c r="O63" s="59">
        <f>+'sysratfinclé '!M51</f>
        <v>0.40735566188197764</v>
      </c>
      <c r="P63" s="59"/>
      <c r="Q63" s="59">
        <f>+'SGBELVARAN         '!F17/'SGBELVARAN         '!F15</f>
        <v>0.6120668698692896</v>
      </c>
      <c r="R63" s="59">
        <v>0.4864</v>
      </c>
      <c r="S63" s="59">
        <v>0.50390000000000001</v>
      </c>
      <c r="T63" s="59">
        <v>0.47989999999999999</v>
      </c>
      <c r="U63" s="43"/>
      <c r="V63" s="43"/>
      <c r="W63" s="43"/>
      <c r="X63" s="43"/>
      <c r="Y63" s="43"/>
      <c r="Z63" s="43"/>
      <c r="AA63" s="43"/>
    </row>
    <row r="64" spans="1:27" ht="7.15" customHeight="1">
      <c r="B64" s="57"/>
      <c r="C64" s="59"/>
      <c r="D64" s="59"/>
      <c r="E64" s="57"/>
      <c r="F64" s="59"/>
      <c r="G64" s="59"/>
      <c r="H64" s="57"/>
      <c r="I64" s="59"/>
      <c r="J64" s="59"/>
      <c r="K64" s="57"/>
      <c r="L64" s="59"/>
      <c r="M64" s="59"/>
      <c r="N64" s="59"/>
      <c r="O64" s="59"/>
      <c r="P64" s="59"/>
      <c r="Q64" s="59"/>
      <c r="R64" s="59"/>
      <c r="S64" s="59"/>
      <c r="T64" s="59"/>
      <c r="U64" s="43"/>
      <c r="V64" s="43"/>
      <c r="W64" s="43"/>
      <c r="X64" s="43"/>
      <c r="Y64" s="43"/>
      <c r="Z64" s="43"/>
      <c r="AA64" s="43"/>
    </row>
    <row r="65" spans="1:20">
      <c r="A65" t="s">
        <v>226</v>
      </c>
      <c r="B65" s="59">
        <f>+('SGBELRÉSULT       '!B10/((sgbelvar!B60+sgbelvar!J60)/2)*4)</f>
        <v>0.16793503055273862</v>
      </c>
      <c r="C65" s="56">
        <v>0.17460000000000001</v>
      </c>
      <c r="D65" s="56"/>
      <c r="E65" s="57">
        <v>0</v>
      </c>
      <c r="F65" s="56">
        <v>0.17530000000000001</v>
      </c>
      <c r="G65" s="56"/>
      <c r="H65" s="364">
        <v>0</v>
      </c>
      <c r="I65" s="56">
        <v>0.15620000000000001</v>
      </c>
      <c r="J65" s="56"/>
      <c r="K65" s="57">
        <v>0</v>
      </c>
      <c r="L65" s="56">
        <v>0.20119999999999999</v>
      </c>
      <c r="M65" s="56"/>
      <c r="N65" s="59">
        <f>+'sysratfinclé '!M56</f>
        <v>0.16793503055273862</v>
      </c>
      <c r="O65" s="59">
        <f>+'sysratfinclé '!M57</f>
        <v>0.188</v>
      </c>
      <c r="P65" s="56"/>
      <c r="Q65" s="56">
        <f>+'SGBELVARAN         '!F12/((sgbelvar!J60+sgbelvar!L60)/2)</f>
        <v>0.18061245304055171</v>
      </c>
      <c r="R65" s="56">
        <v>0.1888</v>
      </c>
      <c r="S65" s="56">
        <v>0.18049999999999999</v>
      </c>
      <c r="T65" s="56">
        <v>0.18010000000000001</v>
      </c>
    </row>
    <row r="66" spans="1:20" ht="7.15" customHeight="1">
      <c r="B66" s="9"/>
      <c r="C66" s="56"/>
      <c r="D66" s="56"/>
      <c r="E66" s="49"/>
      <c r="F66" s="56"/>
      <c r="G66" s="56"/>
      <c r="H66" s="49"/>
      <c r="I66" s="56"/>
      <c r="J66" s="56"/>
      <c r="K66" s="49"/>
      <c r="L66" s="56"/>
      <c r="M66" s="56"/>
      <c r="N66" s="56"/>
      <c r="O66" s="56"/>
      <c r="P66" s="56"/>
      <c r="Q66" s="56"/>
      <c r="R66" s="56"/>
      <c r="S66" s="56"/>
      <c r="T66" s="56"/>
    </row>
    <row r="67" spans="1:20">
      <c r="A67" t="s">
        <v>227</v>
      </c>
      <c r="B67" s="59">
        <f>+('SGBELRÉSULT       '!B14/((sgbelvar!J29+sgbelvar!B29)/2)*4)</f>
        <v>4.4476068156712595E-2</v>
      </c>
      <c r="C67" s="56">
        <v>9.5600000000000004E-2</v>
      </c>
      <c r="D67" s="56"/>
      <c r="E67" s="57">
        <v>0</v>
      </c>
      <c r="F67" s="56">
        <v>6.0199999999999997E-2</v>
      </c>
      <c r="G67" s="56"/>
      <c r="H67" s="364">
        <v>0</v>
      </c>
      <c r="I67" s="56">
        <v>4.3700000000000003E-2</v>
      </c>
      <c r="J67" s="56"/>
      <c r="K67" s="57">
        <v>0</v>
      </c>
      <c r="L67" s="56">
        <v>4.3099999999999999E-2</v>
      </c>
      <c r="M67" s="56"/>
      <c r="N67" s="59">
        <f>+'sysratfinclé '!M62</f>
        <v>4.4476068156712595E-2</v>
      </c>
      <c r="O67" s="59">
        <f>+'sysratfinclé '!M63</f>
        <v>9.5600000000000004E-2</v>
      </c>
      <c r="P67" s="56"/>
      <c r="Q67" s="56">
        <f>+'SGBELVARAN         '!F16/((sgbelvar!J29+sgbelvar!L29)/2)</f>
        <v>6.3842604358497826E-2</v>
      </c>
      <c r="R67" s="56">
        <v>9.5799999999999996E-2</v>
      </c>
      <c r="S67" s="56">
        <v>8.5800000000000001E-2</v>
      </c>
      <c r="T67" s="56">
        <v>7.3400000000000007E-2</v>
      </c>
    </row>
    <row r="68" spans="1:20" ht="6" customHeight="1">
      <c r="B68" s="9"/>
      <c r="C68" s="56"/>
      <c r="D68" s="56"/>
      <c r="E68" s="49"/>
      <c r="F68" s="56"/>
      <c r="G68" s="56"/>
      <c r="H68" s="49"/>
      <c r="I68" s="56"/>
      <c r="J68" s="56"/>
      <c r="K68" s="49"/>
      <c r="L68" s="56"/>
      <c r="M68" s="56"/>
      <c r="N68" s="56"/>
      <c r="O68" s="56"/>
      <c r="P68" s="56"/>
      <c r="Q68" s="56"/>
      <c r="R68" s="56"/>
      <c r="S68" s="56"/>
      <c r="T68" s="56"/>
    </row>
    <row r="69" spans="1:20">
      <c r="A69" t="s">
        <v>204</v>
      </c>
      <c r="B69" s="9"/>
      <c r="C69" s="56"/>
      <c r="D69" s="56"/>
      <c r="E69" s="49"/>
      <c r="F69" s="56"/>
      <c r="G69" s="56"/>
      <c r="H69" s="49"/>
      <c r="I69" s="56"/>
      <c r="J69" s="56"/>
      <c r="K69" s="49"/>
      <c r="L69" s="56"/>
      <c r="M69" s="56"/>
      <c r="N69" s="56"/>
      <c r="O69" s="56"/>
      <c r="P69" s="56"/>
      <c r="Q69" s="56"/>
      <c r="R69" s="56"/>
      <c r="S69" s="56"/>
      <c r="T69" s="56"/>
    </row>
    <row r="70" spans="1:20">
      <c r="A70" t="s">
        <v>228</v>
      </c>
      <c r="B70" s="59">
        <f>+'SGBELRÉSULT       '!B35/'SGBELRÉSULT       '!B23</f>
        <v>0.5056658461628093</v>
      </c>
      <c r="C70" s="56">
        <v>0.74360000000000004</v>
      </c>
      <c r="D70" s="56"/>
      <c r="E70" s="57">
        <v>0</v>
      </c>
      <c r="F70" s="56">
        <v>0.54469999999999996</v>
      </c>
      <c r="G70" s="56"/>
      <c r="H70" s="364">
        <v>0</v>
      </c>
      <c r="I70" s="56">
        <v>0.47520000000000001</v>
      </c>
      <c r="J70" s="56"/>
      <c r="K70" s="57">
        <v>0</v>
      </c>
      <c r="L70" s="56">
        <v>0.40739999999999998</v>
      </c>
      <c r="M70" s="56"/>
      <c r="N70" s="59">
        <f>+'sysratfinclé '!M70</f>
        <v>0.5056658461628093</v>
      </c>
      <c r="O70" s="59">
        <f>+'sysratfinclé '!M71</f>
        <v>0.74362790464994122</v>
      </c>
      <c r="P70" s="56"/>
      <c r="Q70" s="56">
        <f>+'SGBELVARAN         '!F37/'SGBELVARAN         '!F25</f>
        <v>0.51604142541895159</v>
      </c>
      <c r="R70" s="56">
        <v>0.60660000000000003</v>
      </c>
      <c r="S70" s="56">
        <v>0.64349999999999996</v>
      </c>
      <c r="T70" s="56">
        <v>0.75960000000000005</v>
      </c>
    </row>
    <row r="71" spans="1:20">
      <c r="A71" t="s">
        <v>452</v>
      </c>
      <c r="B71" s="9"/>
      <c r="C71" s="9"/>
      <c r="D71" s="9"/>
      <c r="E71" s="49"/>
      <c r="F71" s="9"/>
      <c r="G71" s="9"/>
      <c r="H71" s="49"/>
      <c r="I71" s="9"/>
      <c r="J71" s="9"/>
      <c r="K71" s="49"/>
      <c r="L71" s="9"/>
      <c r="M71" s="9"/>
      <c r="N71" s="9"/>
      <c r="O71" s="9"/>
      <c r="P71" s="9"/>
      <c r="Q71" s="9"/>
      <c r="R71" s="9"/>
      <c r="S71" s="9"/>
      <c r="T71" s="9"/>
    </row>
    <row r="72" spans="1:20">
      <c r="B72" s="9"/>
      <c r="C72" s="9"/>
      <c r="D72" s="9"/>
      <c r="E72" s="49"/>
      <c r="F72" s="9"/>
      <c r="G72" s="9"/>
      <c r="H72" s="49"/>
      <c r="I72" s="9"/>
      <c r="J72" s="9"/>
      <c r="K72" s="49"/>
      <c r="L72" s="9"/>
      <c r="M72" s="9"/>
      <c r="N72" s="9"/>
      <c r="O72" s="9"/>
      <c r="P72" s="9"/>
      <c r="Q72" s="9"/>
      <c r="R72" s="9"/>
      <c r="S72" s="9"/>
      <c r="T72" s="9"/>
    </row>
    <row r="73" spans="1:20">
      <c r="A73" t="s">
        <v>453</v>
      </c>
      <c r="B73" s="49">
        <f>+('SGBELRÉSULT       '!B23/((48+50)/2)*4)</f>
        <v>1120.9306122448982</v>
      </c>
      <c r="C73" s="49">
        <v>710.74</v>
      </c>
      <c r="D73" s="9"/>
      <c r="E73" s="49">
        <v>0</v>
      </c>
      <c r="F73" s="49">
        <v>921.92</v>
      </c>
      <c r="G73" s="9"/>
      <c r="H73" s="364">
        <v>0</v>
      </c>
      <c r="I73" s="49">
        <v>940.53</v>
      </c>
      <c r="J73" s="9"/>
      <c r="K73" s="49">
        <v>0</v>
      </c>
      <c r="L73" s="49">
        <v>1262.18</v>
      </c>
      <c r="M73" s="9"/>
      <c r="N73" s="947">
        <f>+'sysratfinclé '!M76</f>
        <v>1120.9306122448982</v>
      </c>
      <c r="O73" s="947">
        <f>+'sysratfinclé '!M77</f>
        <v>710.74</v>
      </c>
      <c r="P73" s="9"/>
      <c r="Q73" s="1100">
        <f>+'SGBELVARAN         '!F25/((1+1)/2)</f>
        <v>45769</v>
      </c>
      <c r="R73" s="49">
        <v>791.24</v>
      </c>
      <c r="S73" s="49">
        <v>683.32</v>
      </c>
      <c r="T73" s="49">
        <v>603.03</v>
      </c>
    </row>
    <row r="74" spans="1:20" ht="16.5" thickBot="1">
      <c r="B74" s="19"/>
      <c r="C74" s="19"/>
      <c r="D74" s="19"/>
      <c r="E74" s="19"/>
      <c r="F74" s="19"/>
      <c r="G74" s="19"/>
      <c r="H74" s="19"/>
      <c r="I74" s="19"/>
      <c r="J74" s="19"/>
      <c r="K74" s="19"/>
      <c r="L74" s="19"/>
      <c r="M74" s="19"/>
      <c r="N74" s="19"/>
      <c r="O74" s="19"/>
      <c r="P74" s="19"/>
      <c r="Q74" s="19"/>
      <c r="R74" s="19"/>
      <c r="S74" s="19"/>
      <c r="T74" s="19"/>
    </row>
  </sheetData>
  <pageMargins left="0.2" right="0.2" top="0.5" bottom="0.48" header="0.32" footer="0.27"/>
  <pageSetup scale="44"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69"/>
  <sheetViews>
    <sheetView workbookViewId="0"/>
  </sheetViews>
  <sheetFormatPr defaultRowHeight="15.75"/>
  <cols>
    <col min="1" max="1" width="33.25" customWidth="1"/>
    <col min="2" max="2" width="18.12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11.2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8" width="15.75" style="12" customWidth="1"/>
    <col min="19" max="21" width="15.75" customWidth="1"/>
    <col min="22" max="256" width="11" customWidth="1"/>
  </cols>
  <sheetData>
    <row r="1" spans="1:21">
      <c r="A1" s="114" t="s">
        <v>650</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5" spans="1:21">
      <c r="A5" s="114"/>
      <c r="B5" s="37"/>
      <c r="C5" s="38"/>
      <c r="D5" s="37"/>
      <c r="E5" s="38"/>
      <c r="F5" s="37"/>
      <c r="G5" s="38"/>
      <c r="H5" s="37"/>
      <c r="I5" s="38"/>
      <c r="J5" s="37"/>
      <c r="K5" s="38"/>
      <c r="L5" s="37"/>
      <c r="M5" s="38"/>
      <c r="N5" s="37"/>
      <c r="O5" s="38"/>
      <c r="P5" s="37"/>
    </row>
    <row r="6" spans="1:21" ht="16.5" thickBot="1">
      <c r="B6" s="238" t="s">
        <v>0</v>
      </c>
      <c r="C6" s="215"/>
      <c r="D6" s="216"/>
      <c r="E6" s="215"/>
      <c r="F6" s="216"/>
      <c r="G6" s="215"/>
      <c r="H6" s="216"/>
      <c r="I6" s="67" t="s">
        <v>166</v>
      </c>
      <c r="J6" s="123" t="s">
        <v>167</v>
      </c>
      <c r="K6" s="38"/>
      <c r="L6" s="37"/>
      <c r="M6" s="38"/>
      <c r="N6" s="37"/>
      <c r="O6" s="38"/>
      <c r="P6" s="37"/>
    </row>
    <row r="7" spans="1:21" s="2" customFormat="1" ht="16.5" thickBot="1">
      <c r="B7" s="223" t="s">
        <v>168</v>
      </c>
      <c r="C7" s="224" t="s">
        <v>169</v>
      </c>
      <c r="D7" s="225" t="s">
        <v>170</v>
      </c>
      <c r="E7" s="224" t="s">
        <v>169</v>
      </c>
      <c r="F7" s="225" t="s">
        <v>171</v>
      </c>
      <c r="G7" s="224" t="s">
        <v>169</v>
      </c>
      <c r="H7" s="225" t="s">
        <v>172</v>
      </c>
      <c r="I7" s="445" t="s">
        <v>173</v>
      </c>
      <c r="J7" s="228" t="s">
        <v>174</v>
      </c>
      <c r="K7" s="227" t="s">
        <v>169</v>
      </c>
      <c r="L7" s="228" t="s">
        <v>175</v>
      </c>
      <c r="M7" s="227" t="s">
        <v>169</v>
      </c>
      <c r="N7" s="228" t="s">
        <v>176</v>
      </c>
      <c r="O7" s="227" t="s">
        <v>169</v>
      </c>
      <c r="P7" s="228" t="s">
        <v>177</v>
      </c>
      <c r="Q7" s="80"/>
      <c r="R7" s="80"/>
      <c r="S7" s="18"/>
      <c r="T7" s="18"/>
      <c r="U7" s="18"/>
    </row>
    <row r="8" spans="1:21">
      <c r="A8" s="87" t="s">
        <v>243</v>
      </c>
      <c r="B8" s="125"/>
      <c r="C8" s="124"/>
      <c r="D8" s="219"/>
      <c r="E8" s="124"/>
      <c r="F8" s="219"/>
      <c r="G8" s="124"/>
      <c r="H8" s="219"/>
      <c r="I8" s="386"/>
      <c r="J8" s="219"/>
      <c r="K8" s="124"/>
      <c r="L8" s="219"/>
      <c r="M8" s="124"/>
      <c r="N8" s="219"/>
      <c r="O8" s="124"/>
      <c r="P8" s="219"/>
      <c r="Q8" s="14"/>
      <c r="R8" s="14"/>
      <c r="S8" s="9"/>
      <c r="T8" s="9"/>
      <c r="U8" s="9"/>
    </row>
    <row r="9" spans="1:21">
      <c r="A9" s="1" t="s">
        <v>264</v>
      </c>
      <c r="B9"/>
    </row>
    <row r="10" spans="1:21">
      <c r="A10" s="1" t="s">
        <v>265</v>
      </c>
      <c r="B10" s="12">
        <v>12208.8</v>
      </c>
      <c r="C10" s="44">
        <v>0</v>
      </c>
      <c r="D10" s="12">
        <v>0</v>
      </c>
      <c r="E10" s="44">
        <v>0</v>
      </c>
      <c r="F10" s="12">
        <v>0</v>
      </c>
      <c r="G10" s="44">
        <v>0</v>
      </c>
      <c r="H10" s="12">
        <v>0</v>
      </c>
      <c r="I10" s="47">
        <f>+(B10-J10)/ABS(J10)</f>
        <v>-0.13943751321632486</v>
      </c>
      <c r="J10" s="12">
        <v>14187</v>
      </c>
      <c r="K10" s="47">
        <f t="shared" ref="K10:K15" si="0">+(J10-L10)/ABS(L10)</f>
        <v>-0.27637283605537255</v>
      </c>
      <c r="L10" s="12">
        <v>19605.400000000001</v>
      </c>
      <c r="M10" s="47">
        <f t="shared" ref="M10:M15" si="1">+(L10-N10)/ABS(N10)</f>
        <v>1.053523546170605</v>
      </c>
      <c r="N10" s="12">
        <v>9547.2000000000007</v>
      </c>
      <c r="O10" s="47">
        <f t="shared" ref="O10:O15" si="2">+(N10-P10)/ABS(P10)</f>
        <v>1.2886416034713251</v>
      </c>
      <c r="P10" s="12">
        <f>4171557.48/1000</f>
        <v>4171.5574800000004</v>
      </c>
    </row>
    <row r="11" spans="1:21">
      <c r="A11" s="1" t="s">
        <v>266</v>
      </c>
      <c r="B11" s="12">
        <v>66232.7</v>
      </c>
      <c r="C11" s="44">
        <v>0</v>
      </c>
      <c r="D11" s="12">
        <v>0</v>
      </c>
      <c r="E11" s="44">
        <v>0</v>
      </c>
      <c r="F11" s="12">
        <v>0</v>
      </c>
      <c r="G11" s="44">
        <v>0</v>
      </c>
      <c r="H11" s="12">
        <v>0</v>
      </c>
      <c r="I11" s="47">
        <f>+(B11-J11)/ABS(J11)</f>
        <v>2.490274420720661E-2</v>
      </c>
      <c r="J11" s="12">
        <v>64623.4</v>
      </c>
      <c r="K11" s="47">
        <f t="shared" si="0"/>
        <v>0.22984432687549958</v>
      </c>
      <c r="L11" s="12">
        <v>52546</v>
      </c>
      <c r="M11" s="47">
        <f t="shared" si="1"/>
        <v>0.30539987280387937</v>
      </c>
      <c r="N11" s="12">
        <v>40252.800000000003</v>
      </c>
      <c r="O11" s="47">
        <f t="shared" si="2"/>
        <v>-6.796598557553836E-2</v>
      </c>
      <c r="P11" s="12">
        <f>43188123.37/1000</f>
        <v>43188.123369999994</v>
      </c>
    </row>
    <row r="12" spans="1:21">
      <c r="A12" s="1" t="s">
        <v>267</v>
      </c>
      <c r="B12" s="12">
        <v>5174.1000000000004</v>
      </c>
      <c r="C12" s="44">
        <v>0</v>
      </c>
      <c r="D12" s="12">
        <f>+D76</f>
        <v>0</v>
      </c>
      <c r="E12" s="44">
        <v>0</v>
      </c>
      <c r="F12" s="12">
        <f>+F76</f>
        <v>0</v>
      </c>
      <c r="G12" s="44">
        <v>0</v>
      </c>
      <c r="H12" s="12">
        <f>+H76</f>
        <v>0</v>
      </c>
      <c r="I12" s="44">
        <v>0</v>
      </c>
      <c r="J12" s="12">
        <f>+J76</f>
        <v>0</v>
      </c>
      <c r="K12" s="44">
        <v>0</v>
      </c>
      <c r="L12" s="12">
        <f>+L76</f>
        <v>0</v>
      </c>
      <c r="M12" s="44">
        <v>0</v>
      </c>
      <c r="N12" s="12">
        <v>12195.5</v>
      </c>
      <c r="O12" s="47">
        <f t="shared" si="2"/>
        <v>-0.2800413856923461</v>
      </c>
      <c r="P12" s="12">
        <f>16939168.11/1000</f>
        <v>16939.168109999999</v>
      </c>
    </row>
    <row r="13" spans="1:21">
      <c r="A13" s="1" t="s">
        <v>268</v>
      </c>
      <c r="B13" s="12">
        <v>5137.7</v>
      </c>
      <c r="C13" s="44">
        <v>0</v>
      </c>
      <c r="D13" s="12">
        <v>0</v>
      </c>
      <c r="E13" s="44">
        <v>0</v>
      </c>
      <c r="F13" s="12">
        <v>0</v>
      </c>
      <c r="G13" s="44">
        <v>0</v>
      </c>
      <c r="H13" s="12">
        <v>0</v>
      </c>
      <c r="I13" s="47">
        <f>+(B13-J13)/ABS(J13)</f>
        <v>6.1090355610903551</v>
      </c>
      <c r="J13" s="12">
        <v>722.7</v>
      </c>
      <c r="K13" s="47">
        <f t="shared" si="0"/>
        <v>-2.9542097488921712E-2</v>
      </c>
      <c r="L13" s="12">
        <v>744.7</v>
      </c>
      <c r="M13" s="47">
        <f t="shared" si="1"/>
        <v>-0.34960698689956327</v>
      </c>
      <c r="N13" s="12">
        <v>1145</v>
      </c>
      <c r="O13" s="47">
        <f t="shared" si="2"/>
        <v>10.791657376660035</v>
      </c>
      <c r="P13" s="12">
        <f>97102.55/1000</f>
        <v>97.102550000000008</v>
      </c>
    </row>
    <row r="14" spans="1:21">
      <c r="A14" s="1" t="s">
        <v>269</v>
      </c>
      <c r="B14" s="221">
        <v>4894.6000000000004</v>
      </c>
      <c r="C14" s="44">
        <v>0</v>
      </c>
      <c r="D14" s="221">
        <v>0</v>
      </c>
      <c r="E14" s="44">
        <v>0</v>
      </c>
      <c r="F14" s="221">
        <v>0</v>
      </c>
      <c r="G14" s="44">
        <v>0</v>
      </c>
      <c r="H14" s="221">
        <v>0</v>
      </c>
      <c r="I14" s="47">
        <f>+(B14-J14)/ABS(J14)</f>
        <v>0.12825595869254541</v>
      </c>
      <c r="J14" s="221">
        <v>4338.2</v>
      </c>
      <c r="K14" s="47">
        <f t="shared" si="0"/>
        <v>0.29851237690442683</v>
      </c>
      <c r="L14" s="221">
        <v>3340.9</v>
      </c>
      <c r="M14" s="47">
        <f t="shared" si="1"/>
        <v>1.7796821698976619</v>
      </c>
      <c r="N14" s="221">
        <v>1201.9000000000001</v>
      </c>
      <c r="O14" s="47">
        <f t="shared" si="2"/>
        <v>-0.89566623975417026</v>
      </c>
      <c r="P14" s="221">
        <f>11519761.17/1000</f>
        <v>11519.76117</v>
      </c>
    </row>
    <row r="15" spans="1:21" ht="15.6" customHeight="1">
      <c r="A15" s="1"/>
      <c r="B15" s="12">
        <f>SUM(B10:B14)</f>
        <v>93647.900000000009</v>
      </c>
      <c r="C15" s="44">
        <v>0</v>
      </c>
      <c r="D15" s="12">
        <f>SUM(D10:D14)</f>
        <v>0</v>
      </c>
      <c r="E15" s="44">
        <v>0</v>
      </c>
      <c r="F15" s="12">
        <f>SUM(F10:F14)</f>
        <v>0</v>
      </c>
      <c r="G15" s="44">
        <v>0</v>
      </c>
      <c r="H15" s="12">
        <f>SUM(H10:H14)</f>
        <v>0</v>
      </c>
      <c r="I15" s="47">
        <f>+(B15-J15)/ABS(J15)</f>
        <v>0.11656669206272016</v>
      </c>
      <c r="J15" s="12">
        <f>SUM(J10:J14)</f>
        <v>83871.299999999988</v>
      </c>
      <c r="K15" s="47">
        <f t="shared" si="0"/>
        <v>0.10013904009863983</v>
      </c>
      <c r="L15" s="12">
        <f>SUM(L10:L14)</f>
        <v>76236.999999999985</v>
      </c>
      <c r="M15" s="47">
        <f t="shared" si="1"/>
        <v>0.1848641020540108</v>
      </c>
      <c r="N15" s="12">
        <f>SUM(N10:N14)</f>
        <v>64342.400000000001</v>
      </c>
      <c r="O15" s="47">
        <f t="shared" si="2"/>
        <v>-0.15244950315863906</v>
      </c>
      <c r="P15" s="12">
        <f>SUM(P10:P14)</f>
        <v>75915.712679999997</v>
      </c>
    </row>
    <row r="16" spans="1:21" ht="7.9" customHeight="1">
      <c r="A16" s="1"/>
      <c r="C16" s="44" t="s">
        <v>0</v>
      </c>
      <c r="E16" s="44" t="s">
        <v>0</v>
      </c>
      <c r="G16" s="44" t="s">
        <v>0</v>
      </c>
      <c r="I16" s="47" t="s">
        <v>0</v>
      </c>
      <c r="K16" s="47" t="s">
        <v>0</v>
      </c>
      <c r="M16" s="47" t="s">
        <v>0</v>
      </c>
      <c r="O16" s="47" t="s">
        <v>0</v>
      </c>
    </row>
    <row r="17" spans="1:16" ht="15.6" customHeight="1">
      <c r="A17" s="1" t="s">
        <v>270</v>
      </c>
      <c r="B17" s="12">
        <v>46000</v>
      </c>
      <c r="C17" s="44">
        <v>0</v>
      </c>
      <c r="D17" s="12">
        <v>0</v>
      </c>
      <c r="E17" s="44">
        <v>0</v>
      </c>
      <c r="F17" s="12">
        <v>0</v>
      </c>
      <c r="G17" s="44">
        <v>0</v>
      </c>
      <c r="H17" s="12">
        <v>0</v>
      </c>
      <c r="I17" s="47">
        <f t="shared" ref="I17:I22" si="3">+(B17-J17)/ABS(J17)</f>
        <v>0.31428571428571428</v>
      </c>
      <c r="J17" s="12">
        <v>35000</v>
      </c>
      <c r="K17" s="47">
        <f t="shared" ref="K17:K22" si="4">+(J17-L17)/ABS(L17)</f>
        <v>0.25</v>
      </c>
      <c r="L17" s="12">
        <v>28000</v>
      </c>
      <c r="M17" s="44">
        <v>0</v>
      </c>
      <c r="N17" s="12">
        <v>37000</v>
      </c>
      <c r="O17" s="44">
        <v>0</v>
      </c>
      <c r="P17" s="12">
        <v>0</v>
      </c>
    </row>
    <row r="18" spans="1:16">
      <c r="A18" s="1" t="s">
        <v>271</v>
      </c>
      <c r="B18" s="12">
        <v>18945.3</v>
      </c>
      <c r="C18" s="44">
        <v>0</v>
      </c>
      <c r="D18" s="12">
        <v>0</v>
      </c>
      <c r="E18" s="44">
        <v>0</v>
      </c>
      <c r="F18" s="12">
        <v>0</v>
      </c>
      <c r="G18" s="44">
        <v>0</v>
      </c>
      <c r="H18" s="12">
        <v>0</v>
      </c>
      <c r="I18" s="47">
        <f t="shared" si="3"/>
        <v>-0.18673294613076458</v>
      </c>
      <c r="J18" s="12">
        <v>23295.3</v>
      </c>
      <c r="K18" s="47">
        <f t="shared" si="4"/>
        <v>0.27190381811927733</v>
      </c>
      <c r="L18" s="12">
        <f>5292.9+13022.4</f>
        <v>18315.3</v>
      </c>
      <c r="M18" s="47">
        <f>+(L18-N18)/ABS(N18)</f>
        <v>6.2106770602651542</v>
      </c>
      <c r="N18" s="12">
        <f>2540025/1000</f>
        <v>2540.0250000000001</v>
      </c>
      <c r="O18" s="47">
        <f>+(N18-P18)/ABS(P18)</f>
        <v>0</v>
      </c>
      <c r="P18" s="12">
        <f>2540025/1000</f>
        <v>2540.0250000000001</v>
      </c>
    </row>
    <row r="19" spans="1:16">
      <c r="A19" s="1" t="s">
        <v>272</v>
      </c>
      <c r="B19" s="12">
        <v>341630.7</v>
      </c>
      <c r="C19" s="44">
        <v>0</v>
      </c>
      <c r="D19" s="12">
        <v>0</v>
      </c>
      <c r="E19" s="44">
        <v>0</v>
      </c>
      <c r="F19" s="12">
        <v>0</v>
      </c>
      <c r="G19" s="44">
        <v>0</v>
      </c>
      <c r="H19" s="12">
        <v>0</v>
      </c>
      <c r="I19" s="47">
        <f t="shared" si="3"/>
        <v>2.5621111486044245E-2</v>
      </c>
      <c r="J19" s="12">
        <v>333096.40000000002</v>
      </c>
      <c r="K19" s="47">
        <f t="shared" si="4"/>
        <v>0.11482485413575724</v>
      </c>
      <c r="L19" s="12">
        <v>298788.09999999998</v>
      </c>
      <c r="M19" s="47">
        <f>+(L19-N19)/ABS(N19)</f>
        <v>0.1933766555365615</v>
      </c>
      <c r="N19" s="12">
        <v>250372</v>
      </c>
      <c r="O19" s="47">
        <f>+(N19-P19)/ABS(P19)</f>
        <v>0.16066538063197602</v>
      </c>
      <c r="P19" s="12">
        <f>215714196.51/1000</f>
        <v>215714.19650999998</v>
      </c>
    </row>
    <row r="20" spans="1:16">
      <c r="A20" s="1" t="s">
        <v>273</v>
      </c>
      <c r="B20" s="12">
        <v>26211.7</v>
      </c>
      <c r="C20" s="44">
        <v>0</v>
      </c>
      <c r="D20" s="12">
        <v>0</v>
      </c>
      <c r="E20" s="44">
        <v>0</v>
      </c>
      <c r="F20" s="12">
        <v>0</v>
      </c>
      <c r="G20" s="44">
        <v>0</v>
      </c>
      <c r="H20" s="12">
        <v>0</v>
      </c>
      <c r="I20" s="47">
        <f t="shared" si="3"/>
        <v>-3.2854084515610564E-3</v>
      </c>
      <c r="J20" s="12">
        <v>26298.1</v>
      </c>
      <c r="K20" s="47">
        <f t="shared" si="4"/>
        <v>0.61804589921860575</v>
      </c>
      <c r="L20" s="12">
        <v>16253</v>
      </c>
      <c r="M20" s="47">
        <f>+(L20-N20)/ABS(N20)</f>
        <v>-5.8637506226325561E-2</v>
      </c>
      <c r="N20" s="12">
        <v>17265.400000000001</v>
      </c>
      <c r="O20" s="47">
        <f>+(N20-P20)/ABS(P20)</f>
        <v>0.11932979230454957</v>
      </c>
      <c r="P20" s="12">
        <f>15424765.89/1000</f>
        <v>15424.765890000001</v>
      </c>
    </row>
    <row r="21" spans="1:16" ht="16.5" thickBot="1">
      <c r="A21" s="1" t="s">
        <v>274</v>
      </c>
      <c r="B21" s="99">
        <v>8497</v>
      </c>
      <c r="C21" s="44">
        <v>0</v>
      </c>
      <c r="D21" s="99">
        <v>0</v>
      </c>
      <c r="E21" s="44">
        <v>0</v>
      </c>
      <c r="F21" s="99">
        <v>0</v>
      </c>
      <c r="G21" s="44">
        <v>0</v>
      </c>
      <c r="H21" s="99">
        <v>0</v>
      </c>
      <c r="I21" s="47">
        <f t="shared" si="3"/>
        <v>0.11143085113340566</v>
      </c>
      <c r="J21" s="99">
        <v>7645.1</v>
      </c>
      <c r="K21" s="47">
        <f t="shared" si="4"/>
        <v>1.0775292188904754E-2</v>
      </c>
      <c r="L21" s="99">
        <v>7563.6</v>
      </c>
      <c r="M21" s="47">
        <f>+(L21-N21)/ABS(N21)</f>
        <v>0.36330209084354731</v>
      </c>
      <c r="N21" s="99">
        <v>5548</v>
      </c>
      <c r="O21" s="47">
        <f>+(N21-P21)/ABS(P21)</f>
        <v>9.4995903850849106E-2</v>
      </c>
      <c r="P21" s="99">
        <f>5066685.62/1000</f>
        <v>5066.6856200000002</v>
      </c>
    </row>
    <row r="22" spans="1:16">
      <c r="A22" s="1" t="s">
        <v>275</v>
      </c>
      <c r="B22" s="4">
        <f>SUM(B15:B21)</f>
        <v>534932.6</v>
      </c>
      <c r="C22" s="44">
        <v>0</v>
      </c>
      <c r="D22" s="4">
        <f>SUM(D15:D21)</f>
        <v>0</v>
      </c>
      <c r="E22" s="44">
        <v>0</v>
      </c>
      <c r="F22" s="4">
        <f>SUM(F15:F21)</f>
        <v>0</v>
      </c>
      <c r="G22" s="44">
        <v>0</v>
      </c>
      <c r="H22" s="4">
        <f>SUM(H15:H21)</f>
        <v>0</v>
      </c>
      <c r="I22" s="47">
        <f t="shared" si="3"/>
        <v>5.0522558444889371E-2</v>
      </c>
      <c r="J22" s="4">
        <f>SUM(J15:J21)</f>
        <v>509206.19999999995</v>
      </c>
      <c r="K22" s="47">
        <f t="shared" si="4"/>
        <v>0.14388002435095937</v>
      </c>
      <c r="L22" s="4">
        <f>SUM(L15:L21)</f>
        <v>445156.99999999994</v>
      </c>
      <c r="M22" s="47">
        <f>+(L22-N22)/ABS(N22)</f>
        <v>0.18057540443818013</v>
      </c>
      <c r="N22" s="4">
        <f>SUM(N15:N21)</f>
        <v>377067.82500000001</v>
      </c>
      <c r="O22" s="47">
        <f>+(N22-P22)/ABS(P22)</f>
        <v>0.19832887712348271</v>
      </c>
      <c r="P22" s="4">
        <f>SUM(P15:P21)</f>
        <v>314661.38569999993</v>
      </c>
    </row>
    <row r="23" spans="1:16" ht="7.9" customHeight="1">
      <c r="A23" s="1"/>
      <c r="C23" s="44" t="s">
        <v>0</v>
      </c>
      <c r="E23" s="44" t="s">
        <v>0</v>
      </c>
      <c r="G23" s="44" t="s">
        <v>0</v>
      </c>
      <c r="I23" s="47" t="s">
        <v>0</v>
      </c>
      <c r="K23" s="47" t="s">
        <v>0</v>
      </c>
      <c r="M23" s="47" t="s">
        <v>0</v>
      </c>
      <c r="O23" s="47" t="s">
        <v>0</v>
      </c>
    </row>
    <row r="24" spans="1:16">
      <c r="A24" s="87" t="s">
        <v>276</v>
      </c>
      <c r="C24" s="44" t="s">
        <v>0</v>
      </c>
      <c r="E24" s="44" t="s">
        <v>0</v>
      </c>
      <c r="G24" s="44" t="s">
        <v>0</v>
      </c>
      <c r="I24" s="47" t="s">
        <v>0</v>
      </c>
      <c r="K24" s="47" t="s">
        <v>0</v>
      </c>
      <c r="M24" s="47" t="s">
        <v>0</v>
      </c>
      <c r="O24" s="47" t="s">
        <v>0</v>
      </c>
    </row>
    <row r="25" spans="1:16">
      <c r="A25" s="1" t="s">
        <v>277</v>
      </c>
      <c r="C25" s="44" t="s">
        <v>0</v>
      </c>
      <c r="E25" s="44" t="s">
        <v>0</v>
      </c>
      <c r="G25" s="44" t="s">
        <v>0</v>
      </c>
      <c r="I25" s="47" t="s">
        <v>0</v>
      </c>
      <c r="K25" s="47" t="s">
        <v>0</v>
      </c>
      <c r="M25" s="47" t="s">
        <v>0</v>
      </c>
      <c r="O25" s="47" t="s">
        <v>0</v>
      </c>
    </row>
    <row r="26" spans="1:16">
      <c r="A26" s="1" t="s">
        <v>278</v>
      </c>
      <c r="B26" s="12">
        <v>73794.8</v>
      </c>
      <c r="C26" s="44">
        <v>0</v>
      </c>
      <c r="D26" s="12">
        <v>0</v>
      </c>
      <c r="E26" s="44">
        <v>0</v>
      </c>
      <c r="F26" s="12">
        <v>0</v>
      </c>
      <c r="G26" s="44">
        <v>0</v>
      </c>
      <c r="H26" s="12">
        <v>0</v>
      </c>
      <c r="I26" s="47">
        <f>+(B26-J26)/ABS(J26)</f>
        <v>9.1534098052702073E-2</v>
      </c>
      <c r="J26" s="12">
        <v>67606.5</v>
      </c>
      <c r="K26" s="47">
        <f>+(J26-L26)/ABS(L26)</f>
        <v>0.23488732736528514</v>
      </c>
      <c r="L26" s="12">
        <v>54747.1</v>
      </c>
      <c r="M26" s="44">
        <v>0</v>
      </c>
      <c r="N26" s="12">
        <v>3016.3</v>
      </c>
      <c r="O26" s="44">
        <v>0</v>
      </c>
      <c r="P26" s="12">
        <f>2115873.75/1000</f>
        <v>2115.8737500000002</v>
      </c>
    </row>
    <row r="27" spans="1:16">
      <c r="A27" s="1" t="s">
        <v>279</v>
      </c>
      <c r="B27" s="12">
        <v>183096.8</v>
      </c>
      <c r="C27" s="44">
        <v>0</v>
      </c>
      <c r="D27" s="12">
        <v>0</v>
      </c>
      <c r="E27" s="44">
        <v>0</v>
      </c>
      <c r="F27" s="12">
        <v>0</v>
      </c>
      <c r="G27" s="44">
        <v>0</v>
      </c>
      <c r="H27" s="12">
        <v>0</v>
      </c>
      <c r="I27" s="47">
        <f>+(B27-J27)/ABS(J27)</f>
        <v>-2.3779463074652587E-2</v>
      </c>
      <c r="J27" s="12">
        <v>187556.8</v>
      </c>
      <c r="K27" s="47">
        <f>+(J27-L27)/ABS(L27)</f>
        <v>0.14073640669199652</v>
      </c>
      <c r="L27" s="12">
        <v>164417.29999999999</v>
      </c>
      <c r="M27" s="47">
        <f>+(L27-N27)/ABS(N27)</f>
        <v>-0.18139624965583925</v>
      </c>
      <c r="N27" s="12">
        <v>200850.9</v>
      </c>
      <c r="O27" s="47">
        <f>+(N27-P27)/ABS(P27)</f>
        <v>0.14245708193059692</v>
      </c>
      <c r="P27" s="12">
        <f>175806079/1000</f>
        <v>175806.079</v>
      </c>
    </row>
    <row r="28" spans="1:16">
      <c r="A28" s="1" t="s">
        <v>280</v>
      </c>
      <c r="B28" s="221">
        <v>207787.3</v>
      </c>
      <c r="C28" s="44">
        <v>0</v>
      </c>
      <c r="D28" s="221">
        <v>0</v>
      </c>
      <c r="E28" s="44">
        <v>0</v>
      </c>
      <c r="F28" s="221">
        <v>0</v>
      </c>
      <c r="G28" s="44">
        <v>0</v>
      </c>
      <c r="H28" s="221">
        <v>0</v>
      </c>
      <c r="I28" s="47">
        <f>+(B28-J28)/ABS(J28)</f>
        <v>0.21877747622564131</v>
      </c>
      <c r="J28" s="221">
        <v>170488.3</v>
      </c>
      <c r="K28" s="47">
        <f>+(J28-L28)/ABS(L28)</f>
        <v>0.26233209090599441</v>
      </c>
      <c r="L28" s="221">
        <v>135058.20000000001</v>
      </c>
      <c r="M28" s="47">
        <f>+(L28-N28)/ABS(N28)</f>
        <v>0.35394519987649325</v>
      </c>
      <c r="N28" s="221">
        <v>99751.6</v>
      </c>
      <c r="O28" s="47">
        <f>+(N28-P28)/ABS(P28)</f>
        <v>0.37486922786182902</v>
      </c>
      <c r="P28" s="221">
        <f>72553518.53/1000</f>
        <v>72553.518530000001</v>
      </c>
    </row>
    <row r="29" spans="1:16">
      <c r="A29" s="1"/>
      <c r="B29" s="12">
        <f>SUM(B26:B28)</f>
        <v>464678.89999999997</v>
      </c>
      <c r="C29" s="44">
        <v>0</v>
      </c>
      <c r="D29" s="12">
        <f>SUM(D26:D28)</f>
        <v>0</v>
      </c>
      <c r="E29" s="44">
        <v>0</v>
      </c>
      <c r="F29" s="12">
        <f>SUM(F26:F28)</f>
        <v>0</v>
      </c>
      <c r="G29" s="44">
        <v>0</v>
      </c>
      <c r="H29" s="12">
        <f>SUM(H26:H28)</f>
        <v>0</v>
      </c>
      <c r="I29" s="47">
        <f>+(B29-J29)/ABS(J29)</f>
        <v>9.1688366729973506E-2</v>
      </c>
      <c r="J29" s="12">
        <f>SUM(J26:J28)</f>
        <v>425651.6</v>
      </c>
      <c r="K29" s="47">
        <f>+(J29-L29)/ABS(L29)</f>
        <v>0.2016500358813921</v>
      </c>
      <c r="L29" s="12">
        <f>SUM(L26:L28)</f>
        <v>354222.6</v>
      </c>
      <c r="M29" s="47">
        <f>+(L29-N29)/ABS(N29)</f>
        <v>0.1666688624024599</v>
      </c>
      <c r="N29" s="12">
        <f>SUM(N26:N28)</f>
        <v>303618.8</v>
      </c>
      <c r="O29" s="47">
        <f>+(N29-P29)/ABS(P29)</f>
        <v>0.2121697923090938</v>
      </c>
      <c r="P29" s="12">
        <f>SUM(P26:P28)</f>
        <v>250475.47128</v>
      </c>
    </row>
    <row r="30" spans="1:16" ht="7.9" customHeight="1">
      <c r="A30" s="1"/>
      <c r="C30" s="44" t="s">
        <v>0</v>
      </c>
      <c r="E30" s="44" t="s">
        <v>0</v>
      </c>
      <c r="G30" s="44" t="s">
        <v>0</v>
      </c>
      <c r="I30" s="47" t="s">
        <v>0</v>
      </c>
      <c r="K30" s="47" t="s">
        <v>0</v>
      </c>
      <c r="M30" s="47" t="s">
        <v>0</v>
      </c>
      <c r="O30" s="47" t="s">
        <v>0</v>
      </c>
    </row>
    <row r="31" spans="1:16">
      <c r="A31" s="1" t="s">
        <v>281</v>
      </c>
      <c r="C31" s="44" t="s">
        <v>0</v>
      </c>
      <c r="E31" s="44" t="s">
        <v>0</v>
      </c>
      <c r="G31" s="44" t="s">
        <v>0</v>
      </c>
      <c r="I31" s="44" t="s">
        <v>0</v>
      </c>
      <c r="K31" s="47" t="s">
        <v>0</v>
      </c>
      <c r="M31" s="47" t="s">
        <v>0</v>
      </c>
      <c r="O31" s="47" t="s">
        <v>0</v>
      </c>
    </row>
    <row r="32" spans="1:16">
      <c r="A32" s="1" t="s">
        <v>282</v>
      </c>
      <c r="B32" s="12">
        <f>+B138</f>
        <v>0</v>
      </c>
      <c r="C32" s="44">
        <v>0</v>
      </c>
      <c r="D32" s="12">
        <f>+D138</f>
        <v>0</v>
      </c>
      <c r="E32" s="44">
        <v>0</v>
      </c>
      <c r="F32" s="12">
        <f>+F138</f>
        <v>0</v>
      </c>
      <c r="G32" s="44">
        <v>0</v>
      </c>
      <c r="H32" s="12">
        <v>0</v>
      </c>
      <c r="I32" s="44">
        <v>0</v>
      </c>
      <c r="J32" s="12">
        <v>0</v>
      </c>
      <c r="K32" s="44">
        <v>0</v>
      </c>
      <c r="L32" s="12">
        <v>6153</v>
      </c>
      <c r="M32" s="44">
        <v>0</v>
      </c>
      <c r="N32" s="12">
        <v>0</v>
      </c>
      <c r="O32" s="44">
        <v>0</v>
      </c>
      <c r="P32" s="12">
        <v>0</v>
      </c>
    </row>
    <row r="33" spans="1:21">
      <c r="A33" s="1" t="s">
        <v>283</v>
      </c>
      <c r="B33" s="12">
        <f>+B139</f>
        <v>0</v>
      </c>
      <c r="C33" s="44">
        <v>0</v>
      </c>
      <c r="D33" s="12">
        <f>+D139</f>
        <v>0</v>
      </c>
      <c r="E33" s="44">
        <v>0</v>
      </c>
      <c r="F33" s="12">
        <f>+F139</f>
        <v>0</v>
      </c>
      <c r="G33" s="44">
        <v>0</v>
      </c>
      <c r="H33" s="12">
        <f>+H139</f>
        <v>0</v>
      </c>
      <c r="I33" s="44">
        <v>0</v>
      </c>
      <c r="J33" s="12">
        <f>+J139</f>
        <v>0</v>
      </c>
      <c r="K33" s="44">
        <v>0</v>
      </c>
      <c r="L33" s="12">
        <f>+L139</f>
        <v>0</v>
      </c>
      <c r="M33" s="44">
        <v>0</v>
      </c>
      <c r="N33" s="12">
        <v>0</v>
      </c>
      <c r="O33" s="44">
        <v>0</v>
      </c>
      <c r="P33" s="12">
        <v>0</v>
      </c>
    </row>
    <row r="34" spans="1:21" ht="18">
      <c r="A34" s="1" t="s">
        <v>284</v>
      </c>
      <c r="B34" s="221">
        <v>9067.7000000000007</v>
      </c>
      <c r="C34" s="44">
        <v>0</v>
      </c>
      <c r="D34" s="221">
        <v>0</v>
      </c>
      <c r="E34" s="44">
        <v>0</v>
      </c>
      <c r="F34" s="221">
        <v>0</v>
      </c>
      <c r="G34" s="44">
        <v>0</v>
      </c>
      <c r="H34" s="221">
        <v>0</v>
      </c>
      <c r="I34" s="47">
        <f>+(B34-J34)/ABS(J34)</f>
        <v>-0.64292521185773244</v>
      </c>
      <c r="J34" s="221">
        <v>25394.400000000001</v>
      </c>
      <c r="K34" s="44">
        <v>0</v>
      </c>
      <c r="L34" s="221">
        <f>14072.4-6153</f>
        <v>7919.4</v>
      </c>
      <c r="M34" s="47" t="e">
        <f>+(L34-N34)/ABS(N34)</f>
        <v>#DIV/0!</v>
      </c>
      <c r="N34" s="221">
        <v>0</v>
      </c>
      <c r="O34" s="47">
        <f>+(N34-P34)/ABS(P34)</f>
        <v>-1</v>
      </c>
      <c r="P34" s="221">
        <f>40000000/1000</f>
        <v>40000</v>
      </c>
      <c r="Q34" s="6"/>
      <c r="R34" s="6"/>
      <c r="S34" s="7"/>
      <c r="T34" s="7"/>
      <c r="U34" s="7"/>
    </row>
    <row r="35" spans="1:21">
      <c r="A35" s="1"/>
      <c r="B35" s="12">
        <f>SUM(B32:B34)</f>
        <v>9067.7000000000007</v>
      </c>
      <c r="C35" s="44">
        <v>0</v>
      </c>
      <c r="D35" s="12">
        <f>SUM(D32:D34)</f>
        <v>0</v>
      </c>
      <c r="E35" s="44">
        <v>0</v>
      </c>
      <c r="F35" s="12">
        <f>SUM(F32:F34)</f>
        <v>0</v>
      </c>
      <c r="G35" s="44">
        <v>0</v>
      </c>
      <c r="H35" s="12">
        <f>SUM(H32:H34)</f>
        <v>0</v>
      </c>
      <c r="I35" s="47">
        <f>+(B35-J35)/ABS(J35)</f>
        <v>-0.64292521185773244</v>
      </c>
      <c r="J35" s="12">
        <f>SUM(J32:J34)</f>
        <v>25394.400000000001</v>
      </c>
      <c r="K35" s="44">
        <v>0</v>
      </c>
      <c r="L35" s="12">
        <f>SUM(L32:L34)</f>
        <v>14072.4</v>
      </c>
      <c r="M35" s="47" t="e">
        <f>+(L35-N35)/ABS(N35)</f>
        <v>#DIV/0!</v>
      </c>
      <c r="N35" s="12">
        <f>SUM(N32:N34)</f>
        <v>0</v>
      </c>
      <c r="O35" s="47">
        <f>+(N35-P35)/ABS(P35)</f>
        <v>-1</v>
      </c>
      <c r="P35" s="12">
        <f>SUM(P32:P34)</f>
        <v>40000</v>
      </c>
    </row>
    <row r="36" spans="1:21" ht="7.15" customHeight="1">
      <c r="A36" s="1"/>
      <c r="C36" s="44" t="s">
        <v>0</v>
      </c>
      <c r="E36" s="44" t="s">
        <v>0</v>
      </c>
      <c r="G36" s="44" t="s">
        <v>0</v>
      </c>
      <c r="I36" s="47" t="s">
        <v>0</v>
      </c>
      <c r="K36" s="47" t="s">
        <v>0</v>
      </c>
      <c r="M36" s="47" t="s">
        <v>0</v>
      </c>
      <c r="O36" s="47" t="s">
        <v>0</v>
      </c>
    </row>
    <row r="37" spans="1:21">
      <c r="A37" s="1" t="s">
        <v>285</v>
      </c>
      <c r="C37" s="44" t="s">
        <v>0</v>
      </c>
      <c r="E37" s="44" t="s">
        <v>0</v>
      </c>
      <c r="G37" s="44" t="s">
        <v>0</v>
      </c>
      <c r="I37" s="47" t="s">
        <v>0</v>
      </c>
      <c r="K37" s="47" t="s">
        <v>0</v>
      </c>
      <c r="M37" s="47" t="s">
        <v>0</v>
      </c>
      <c r="O37" s="47" t="s">
        <v>0</v>
      </c>
    </row>
    <row r="38" spans="1:21">
      <c r="A38" s="1" t="s">
        <v>282</v>
      </c>
      <c r="B38" s="12">
        <f>+B145</f>
        <v>0</v>
      </c>
      <c r="C38" s="44">
        <v>0</v>
      </c>
      <c r="D38" s="12">
        <f>+D145</f>
        <v>0</v>
      </c>
      <c r="E38" s="44">
        <v>0</v>
      </c>
      <c r="F38" s="12">
        <f>+F145</f>
        <v>0</v>
      </c>
      <c r="G38" s="44">
        <v>0</v>
      </c>
      <c r="H38" s="12">
        <f>+H145</f>
        <v>0</v>
      </c>
      <c r="I38" s="44">
        <v>0</v>
      </c>
      <c r="J38" s="12">
        <f>+J145</f>
        <v>0</v>
      </c>
      <c r="K38" s="44">
        <v>0</v>
      </c>
      <c r="L38" s="12">
        <f>+L145</f>
        <v>0</v>
      </c>
      <c r="M38" s="44">
        <v>0</v>
      </c>
      <c r="N38" s="12">
        <v>0</v>
      </c>
      <c r="O38" s="44">
        <v>0</v>
      </c>
      <c r="P38" s="12">
        <v>0</v>
      </c>
    </row>
    <row r="39" spans="1:21">
      <c r="A39" s="1" t="s">
        <v>286</v>
      </c>
      <c r="B39" s="12">
        <f>+B146</f>
        <v>0</v>
      </c>
      <c r="C39" s="44">
        <v>0</v>
      </c>
      <c r="D39" s="12">
        <f>+D146</f>
        <v>0</v>
      </c>
      <c r="E39" s="44">
        <v>0</v>
      </c>
      <c r="F39" s="12">
        <f>+F146</f>
        <v>0</v>
      </c>
      <c r="G39" s="44">
        <v>0</v>
      </c>
      <c r="H39" s="12">
        <f>+H146</f>
        <v>0</v>
      </c>
      <c r="I39" s="44">
        <v>0</v>
      </c>
      <c r="J39" s="12">
        <f>+J146</f>
        <v>0</v>
      </c>
      <c r="K39" s="44">
        <v>0</v>
      </c>
      <c r="L39" s="12">
        <f>+L146</f>
        <v>0</v>
      </c>
      <c r="M39" s="44">
        <v>0</v>
      </c>
      <c r="N39" s="12">
        <v>0</v>
      </c>
      <c r="O39" s="44">
        <v>0</v>
      </c>
      <c r="P39" s="12">
        <v>0</v>
      </c>
    </row>
    <row r="40" spans="1:21">
      <c r="A40" s="1" t="s">
        <v>284</v>
      </c>
      <c r="B40" s="221">
        <v>16249</v>
      </c>
      <c r="C40" s="44">
        <v>0</v>
      </c>
      <c r="D40" s="221">
        <v>0</v>
      </c>
      <c r="E40" s="44">
        <v>0</v>
      </c>
      <c r="F40" s="221">
        <v>0</v>
      </c>
      <c r="G40" s="44">
        <v>0</v>
      </c>
      <c r="H40" s="221">
        <v>0</v>
      </c>
      <c r="I40" s="47">
        <f>+(B40-J40)/ABS(J40)</f>
        <v>-5.9332287439431822E-2</v>
      </c>
      <c r="J40" s="221">
        <v>17273.900000000001</v>
      </c>
      <c r="K40" s="47">
        <f>+(J40-L40)/ABS(L40)</f>
        <v>-0.62728873315410405</v>
      </c>
      <c r="L40" s="221">
        <v>46346.6</v>
      </c>
      <c r="M40" s="44">
        <v>0</v>
      </c>
      <c r="N40" s="221">
        <v>42625</v>
      </c>
      <c r="O40" s="44">
        <v>0</v>
      </c>
      <c r="P40" s="221">
        <v>0</v>
      </c>
    </row>
    <row r="41" spans="1:21">
      <c r="A41" s="1"/>
      <c r="B41" s="12">
        <f>SUM(B38:B40)</f>
        <v>16249</v>
      </c>
      <c r="C41" s="44">
        <v>0</v>
      </c>
      <c r="D41" s="12">
        <f>SUM(D38:D40)</f>
        <v>0</v>
      </c>
      <c r="E41" s="44">
        <v>0</v>
      </c>
      <c r="F41" s="12">
        <f>SUM(F38:F40)</f>
        <v>0</v>
      </c>
      <c r="G41" s="44">
        <v>0</v>
      </c>
      <c r="H41" s="12">
        <f>SUM(H38:H40)</f>
        <v>0</v>
      </c>
      <c r="I41" s="47">
        <f>+(B41-J41)/ABS(J41)</f>
        <v>-5.9332287439431822E-2</v>
      </c>
      <c r="J41" s="12">
        <f>SUM(J38:J40)</f>
        <v>17273.900000000001</v>
      </c>
      <c r="K41" s="47">
        <f>+(J41-L41)/ABS(L41)</f>
        <v>-0.62728873315410405</v>
      </c>
      <c r="L41" s="12">
        <f>SUM(L38:L40)</f>
        <v>46346.6</v>
      </c>
      <c r="M41" s="44">
        <v>0</v>
      </c>
      <c r="N41" s="12">
        <f>SUM(N38:N40)</f>
        <v>42625</v>
      </c>
      <c r="O41" s="44">
        <v>0</v>
      </c>
      <c r="P41" s="12">
        <f>SUM(P38:P40)</f>
        <v>0</v>
      </c>
    </row>
    <row r="42" spans="1:21" ht="8.4499999999999993" customHeight="1">
      <c r="A42" s="1"/>
      <c r="C42" s="44" t="s">
        <v>0</v>
      </c>
      <c r="E42" s="44" t="s">
        <v>0</v>
      </c>
      <c r="G42" s="44" t="s">
        <v>0</v>
      </c>
      <c r="I42" s="47" t="s">
        <v>0</v>
      </c>
      <c r="K42" s="47" t="s">
        <v>0</v>
      </c>
      <c r="M42" s="47" t="s">
        <v>0</v>
      </c>
      <c r="O42" s="47" t="s">
        <v>0</v>
      </c>
    </row>
    <row r="43" spans="1:21" ht="18">
      <c r="A43" s="1" t="s">
        <v>287</v>
      </c>
      <c r="B43" s="221">
        <v>1534.6</v>
      </c>
      <c r="C43" s="44">
        <v>0</v>
      </c>
      <c r="D43" s="221">
        <v>0</v>
      </c>
      <c r="E43" s="44">
        <v>0</v>
      </c>
      <c r="F43" s="221">
        <v>0</v>
      </c>
      <c r="G43" s="44">
        <v>0</v>
      </c>
      <c r="H43" s="221">
        <v>0</v>
      </c>
      <c r="I43" s="47">
        <f>+(B43-J43)/ABS(J43)</f>
        <v>1.3403995729754459</v>
      </c>
      <c r="J43" s="221">
        <v>655.7</v>
      </c>
      <c r="K43" s="47">
        <f>+(J43-L43)/ABS(L43)</f>
        <v>-0.38512753188297078</v>
      </c>
      <c r="L43" s="221">
        <v>1066.4000000000001</v>
      </c>
      <c r="M43" s="47">
        <f>+(L43-N43)/ABS(N43)</f>
        <v>-0.86240532624543564</v>
      </c>
      <c r="N43" s="221">
        <v>7750.3</v>
      </c>
      <c r="O43" s="47">
        <f>+(N43-P43)/ABS(P43)</f>
        <v>1.7772403616380217E-2</v>
      </c>
      <c r="P43" s="221">
        <f>7614963.79/1000</f>
        <v>7614.9637899999998</v>
      </c>
      <c r="Q43" s="6"/>
      <c r="R43" s="6"/>
    </row>
    <row r="44" spans="1:21">
      <c r="A44" s="1"/>
      <c r="B44" s="12">
        <f>+B29+B35+B41+B43</f>
        <v>491530.19999999995</v>
      </c>
      <c r="C44" s="44">
        <v>0</v>
      </c>
      <c r="D44" s="12">
        <f>+D29+D35+D41+D43</f>
        <v>0</v>
      </c>
      <c r="E44" s="44">
        <v>0</v>
      </c>
      <c r="F44" s="12">
        <f>+F29+F35+F41+F43</f>
        <v>0</v>
      </c>
      <c r="G44" s="44">
        <v>0</v>
      </c>
      <c r="H44" s="12">
        <f>+H29+H35+H41+H43</f>
        <v>0</v>
      </c>
      <c r="I44" s="47">
        <f>+(B44-J44)/ABS(J44)</f>
        <v>4.8093333640385379E-2</v>
      </c>
      <c r="J44" s="12">
        <f>+J29+J35+J41+J43</f>
        <v>468975.60000000003</v>
      </c>
      <c r="K44" s="47">
        <f>+(J44-L44)/ABS(L44)</f>
        <v>0.12813705774245393</v>
      </c>
      <c r="L44" s="12">
        <f>+L29+L35+L41+L43</f>
        <v>415708</v>
      </c>
      <c r="M44" s="47">
        <f>+(L44-N44)/ABS(N44)</f>
        <v>0.1743359564467318</v>
      </c>
      <c r="N44" s="12">
        <f>+N29+N35+N41+N43</f>
        <v>353994.1</v>
      </c>
      <c r="O44" s="47">
        <f>+(N44-P44)/ABS(P44)</f>
        <v>0.18753927785999647</v>
      </c>
      <c r="P44" s="12">
        <f>+P29+P35+P41+P43</f>
        <v>298090.43507000001</v>
      </c>
    </row>
    <row r="45" spans="1:21" ht="8.4499999999999993" customHeight="1">
      <c r="A45" s="1"/>
      <c r="C45" s="44" t="s">
        <v>0</v>
      </c>
      <c r="E45" s="44" t="s">
        <v>0</v>
      </c>
      <c r="G45" s="44" t="s">
        <v>0</v>
      </c>
      <c r="I45" s="47" t="s">
        <v>0</v>
      </c>
      <c r="K45" s="47" t="s">
        <v>0</v>
      </c>
      <c r="M45" s="47" t="s">
        <v>0</v>
      </c>
      <c r="O45" s="47" t="s">
        <v>0</v>
      </c>
    </row>
    <row r="46" spans="1:21">
      <c r="A46" s="87" t="s">
        <v>288</v>
      </c>
      <c r="C46" s="44" t="s">
        <v>0</v>
      </c>
      <c r="E46" s="44" t="s">
        <v>0</v>
      </c>
      <c r="G46" s="44" t="s">
        <v>0</v>
      </c>
      <c r="I46" s="47" t="s">
        <v>0</v>
      </c>
      <c r="K46" s="47" t="s">
        <v>0</v>
      </c>
      <c r="M46" s="47" t="s">
        <v>0</v>
      </c>
      <c r="O46" s="47" t="s">
        <v>0</v>
      </c>
    </row>
    <row r="47" spans="1:21">
      <c r="A47" s="1" t="s">
        <v>289</v>
      </c>
      <c r="B47" s="12">
        <v>20000</v>
      </c>
      <c r="C47" s="44">
        <v>0</v>
      </c>
      <c r="D47" s="12">
        <v>0</v>
      </c>
      <c r="E47" s="44">
        <v>0</v>
      </c>
      <c r="F47" s="12">
        <v>0</v>
      </c>
      <c r="G47" s="44">
        <v>0</v>
      </c>
      <c r="H47" s="12">
        <v>0</v>
      </c>
      <c r="I47" s="47">
        <f>+(B47-J47)/ABS(J47)</f>
        <v>0</v>
      </c>
      <c r="J47" s="12">
        <v>20000</v>
      </c>
      <c r="K47" s="47">
        <f>+(J47-L47)/ABS(L47)</f>
        <v>1.6666666666666667</v>
      </c>
      <c r="L47" s="12">
        <v>7500</v>
      </c>
      <c r="M47" s="47">
        <f>+(L47-N47)/ABS(N47)</f>
        <v>0</v>
      </c>
      <c r="N47" s="12">
        <f>7500000/1000</f>
        <v>7500</v>
      </c>
      <c r="O47" s="47">
        <f>+(N47-P47)/ABS(P47)</f>
        <v>0</v>
      </c>
      <c r="P47" s="12">
        <f>7500000/1000</f>
        <v>7500</v>
      </c>
    </row>
    <row r="48" spans="1:21">
      <c r="A48" s="1" t="s">
        <v>290</v>
      </c>
      <c r="B48" s="12">
        <v>3724.3</v>
      </c>
      <c r="C48" s="44">
        <v>0</v>
      </c>
      <c r="D48" s="12">
        <v>0</v>
      </c>
      <c r="E48" s="44">
        <v>0</v>
      </c>
      <c r="F48" s="12">
        <v>0</v>
      </c>
      <c r="G48" s="44">
        <v>0</v>
      </c>
      <c r="H48" s="12">
        <v>0</v>
      </c>
      <c r="I48" s="47">
        <f>+(B48-J48)/ABS(J48)</f>
        <v>0.86784693314609562</v>
      </c>
      <c r="J48" s="12">
        <v>1993.9</v>
      </c>
      <c r="K48" s="47">
        <f>+(J48-L48)/ABS(L48)</f>
        <v>-7.2259445375023143E-2</v>
      </c>
      <c r="L48" s="12">
        <v>2149.1999999999998</v>
      </c>
      <c r="M48" s="47">
        <f>+(L48-N48)/ABS(N48)</f>
        <v>0.76583682524032537</v>
      </c>
      <c r="N48" s="12">
        <v>1217.0999999999999</v>
      </c>
      <c r="O48" s="47">
        <f>+(N48-P48)/ABS(P48)</f>
        <v>0.59287435099302366</v>
      </c>
      <c r="P48" s="12">
        <f>764090.4/1000</f>
        <v>764.09040000000005</v>
      </c>
    </row>
    <row r="49" spans="1:21">
      <c r="A49" s="1" t="s">
        <v>302</v>
      </c>
      <c r="B49" s="12">
        <f>+B160</f>
        <v>0</v>
      </c>
      <c r="C49" s="44">
        <v>0</v>
      </c>
      <c r="D49" s="12">
        <f>+D160</f>
        <v>0</v>
      </c>
      <c r="E49" s="44">
        <v>0</v>
      </c>
      <c r="F49" s="12">
        <v>0</v>
      </c>
      <c r="G49" s="44">
        <v>0</v>
      </c>
      <c r="H49" s="12">
        <f>+H160</f>
        <v>0</v>
      </c>
      <c r="I49" s="44">
        <v>0</v>
      </c>
      <c r="J49" s="12">
        <f>+J160</f>
        <v>0</v>
      </c>
      <c r="K49" s="44">
        <v>0</v>
      </c>
      <c r="L49" s="12">
        <f>+L160</f>
        <v>0</v>
      </c>
      <c r="M49" s="44">
        <v>0</v>
      </c>
      <c r="N49" s="12">
        <v>0</v>
      </c>
      <c r="O49" s="44">
        <v>0</v>
      </c>
      <c r="P49" s="12">
        <v>0</v>
      </c>
    </row>
    <row r="50" spans="1:21" ht="18">
      <c r="A50" s="1" t="s">
        <v>292</v>
      </c>
      <c r="B50" s="221">
        <v>19678.099999999999</v>
      </c>
      <c r="C50" s="44">
        <v>0</v>
      </c>
      <c r="D50" s="221">
        <v>0</v>
      </c>
      <c r="E50" s="44">
        <v>0</v>
      </c>
      <c r="F50" s="221">
        <v>0</v>
      </c>
      <c r="G50" s="44">
        <v>0</v>
      </c>
      <c r="H50" s="221">
        <v>0</v>
      </c>
      <c r="I50" s="47">
        <f>+(B50-J50)/ABS(J50)</f>
        <v>7.9038422521618371E-2</v>
      </c>
      <c r="J50" s="221">
        <v>18236.7</v>
      </c>
      <c r="K50" s="47">
        <f>+(J50-L50)/ABS(L50)</f>
        <v>-7.8945241871130112E-2</v>
      </c>
      <c r="L50" s="221">
        <f>12832.7+8767.1-1800</f>
        <v>19799.800000000003</v>
      </c>
      <c r="M50" s="47">
        <f>+(L50-N50)/ABS(N50)</f>
        <v>0.37914269395260736</v>
      </c>
      <c r="N50" s="221">
        <v>14356.6</v>
      </c>
      <c r="O50" s="47">
        <f>+(N50-P50)/ABS(P50)</f>
        <v>0.7282823596997009</v>
      </c>
      <c r="P50" s="221">
        <f>8306860.23/1000</f>
        <v>8306.8602300000002</v>
      </c>
      <c r="Q50" s="6"/>
      <c r="R50" s="6"/>
      <c r="S50" s="7"/>
      <c r="T50" s="7"/>
      <c r="U50" s="7"/>
    </row>
    <row r="51" spans="1:21" ht="16.5" thickBot="1">
      <c r="A51" s="1" t="s">
        <v>275</v>
      </c>
      <c r="B51" s="76">
        <f>SUM(B47:B50)</f>
        <v>43402.399999999994</v>
      </c>
      <c r="C51" s="44">
        <v>0</v>
      </c>
      <c r="D51" s="76">
        <f>SUM(D47:D50)</f>
        <v>0</v>
      </c>
      <c r="E51" s="44">
        <v>0</v>
      </c>
      <c r="F51" s="76">
        <f>SUM(F47:F50)</f>
        <v>0</v>
      </c>
      <c r="G51" s="44">
        <v>0</v>
      </c>
      <c r="H51" s="76">
        <f>SUM(H47:H50)</f>
        <v>0</v>
      </c>
      <c r="I51" s="47">
        <f>+(B51-J51)/ABS(J51)</f>
        <v>7.8840484606244696E-2</v>
      </c>
      <c r="J51" s="76">
        <f>SUM(J47:J50)</f>
        <v>40230.600000000006</v>
      </c>
      <c r="K51" s="47">
        <f>+(J51-L51)/ABS(L51)</f>
        <v>0.36611090359604742</v>
      </c>
      <c r="L51" s="76">
        <f>SUM(L47:L50)</f>
        <v>29449.000000000004</v>
      </c>
      <c r="M51" s="47">
        <f>+(L51-N51)/ABS(N51)</f>
        <v>0.27630159012208716</v>
      </c>
      <c r="N51" s="76">
        <f>SUM(N47:N50)</f>
        <v>23073.7</v>
      </c>
      <c r="O51" s="47">
        <f>+(N51-P51)/ABS(P51)</f>
        <v>0.39241860742904172</v>
      </c>
      <c r="P51" s="76">
        <f>SUM(P47:P50)</f>
        <v>16570.950629999999</v>
      </c>
    </row>
    <row r="52" spans="1:21">
      <c r="A52" s="1" t="s">
        <v>0</v>
      </c>
      <c r="B52" s="4">
        <f>+B29+B35+B41+B43+B51</f>
        <v>534932.6</v>
      </c>
      <c r="C52" s="44">
        <v>0</v>
      </c>
      <c r="D52" s="4">
        <f>+D29+D35+D41+D43+D51</f>
        <v>0</v>
      </c>
      <c r="E52" s="44">
        <v>0</v>
      </c>
      <c r="F52" s="4">
        <f>+F29+F35+F41+F43+F51</f>
        <v>0</v>
      </c>
      <c r="G52" s="44">
        <v>0</v>
      </c>
      <c r="H52" s="4">
        <f>+H29+H35+H41+H43+H51</f>
        <v>0</v>
      </c>
      <c r="I52" s="47">
        <f>+(B52-J52)/ABS(J52)</f>
        <v>5.0522558444889128E-2</v>
      </c>
      <c r="J52" s="4">
        <f>+J29+J35+J41+J43+J51</f>
        <v>509206.20000000007</v>
      </c>
      <c r="K52" s="47">
        <f>+(J52-L52)/ABS(L52)</f>
        <v>0.14388002435095948</v>
      </c>
      <c r="L52" s="4">
        <f>+L29+L35+L41+L43+L51</f>
        <v>445157</v>
      </c>
      <c r="M52" s="47">
        <f>+(L52-N52)/ABS(N52)</f>
        <v>0.18057548271159726</v>
      </c>
      <c r="N52" s="4">
        <f>+N29+N35+N41+N43+N51</f>
        <v>377067.8</v>
      </c>
      <c r="O52" s="47">
        <f>+(N52-P52)/ABS(P52)</f>
        <v>0.19832879767299647</v>
      </c>
      <c r="P52" s="4">
        <f>+P29+P35+P41+P43+P51</f>
        <v>314661.38569999998</v>
      </c>
    </row>
    <row r="55" spans="1:21">
      <c r="A55" s="185" t="s">
        <v>293</v>
      </c>
    </row>
    <row r="56" spans="1:21">
      <c r="A56" t="s">
        <v>294</v>
      </c>
      <c r="B56" s="12">
        <v>0</v>
      </c>
      <c r="D56" s="43">
        <v>0</v>
      </c>
      <c r="E56" s="43"/>
      <c r="F56" s="43">
        <v>0</v>
      </c>
      <c r="G56" s="43"/>
      <c r="H56" s="43">
        <v>0</v>
      </c>
      <c r="I56" s="43"/>
      <c r="J56" s="43">
        <v>0</v>
      </c>
      <c r="K56" s="12"/>
      <c r="L56" s="43">
        <v>0</v>
      </c>
      <c r="M56" s="12"/>
      <c r="N56" s="12">
        <v>0</v>
      </c>
      <c r="O56" s="12"/>
      <c r="P56" s="12">
        <v>0</v>
      </c>
    </row>
    <row r="57" spans="1:21">
      <c r="A57" t="s">
        <v>295</v>
      </c>
      <c r="B57" s="12">
        <v>0</v>
      </c>
      <c r="D57" s="43">
        <v>0</v>
      </c>
      <c r="E57" s="43"/>
      <c r="F57" s="43">
        <v>0</v>
      </c>
      <c r="G57" s="43"/>
      <c r="H57" s="43">
        <v>0</v>
      </c>
      <c r="I57" s="43"/>
      <c r="J57" s="43">
        <v>0</v>
      </c>
      <c r="K57" s="12"/>
      <c r="L57" s="43">
        <v>0</v>
      </c>
      <c r="M57" s="12"/>
      <c r="N57" s="12">
        <v>0</v>
      </c>
      <c r="O57" s="12"/>
      <c r="P57" s="12">
        <v>0</v>
      </c>
    </row>
    <row r="58" spans="1:21">
      <c r="A58" t="s">
        <v>284</v>
      </c>
      <c r="B58" s="12">
        <v>79428.600000000006</v>
      </c>
      <c r="D58" s="12">
        <v>0</v>
      </c>
      <c r="E58" s="43"/>
      <c r="F58" s="12">
        <v>0</v>
      </c>
      <c r="G58" s="43"/>
      <c r="H58" s="12">
        <v>0</v>
      </c>
      <c r="I58" s="43"/>
      <c r="J58" s="12">
        <v>79528</v>
      </c>
      <c r="K58" s="12"/>
      <c r="L58" s="12">
        <v>56419.7</v>
      </c>
      <c r="M58" s="12"/>
      <c r="N58" s="12">
        <v>0</v>
      </c>
      <c r="O58" s="12"/>
      <c r="P58" s="12">
        <v>0</v>
      </c>
    </row>
    <row r="59" spans="1:21">
      <c r="D59" s="43"/>
      <c r="E59" s="43"/>
      <c r="F59" s="43"/>
      <c r="G59" s="43"/>
      <c r="H59" s="43"/>
      <c r="I59" s="43"/>
      <c r="J59" s="43"/>
      <c r="K59" s="12"/>
      <c r="L59" s="43"/>
      <c r="M59" s="12"/>
      <c r="O59" s="12"/>
    </row>
    <row r="60" spans="1:21" ht="18.75">
      <c r="A60" s="122" t="s">
        <v>303</v>
      </c>
      <c r="B60" s="12">
        <v>353363.6</v>
      </c>
      <c r="D60" s="12">
        <v>0</v>
      </c>
      <c r="E60" s="43"/>
      <c r="F60" s="12">
        <v>0</v>
      </c>
      <c r="G60" s="43"/>
      <c r="H60" s="12">
        <v>0</v>
      </c>
      <c r="I60" s="43"/>
      <c r="J60" s="12">
        <v>342138.7</v>
      </c>
      <c r="K60" s="12"/>
      <c r="L60" s="12">
        <v>304003.90000000002</v>
      </c>
      <c r="M60" s="12"/>
      <c r="N60" s="12">
        <v>254159</v>
      </c>
      <c r="O60" s="12"/>
      <c r="P60" s="12">
        <f>218741643.32/1000</f>
        <v>218741.64332</v>
      </c>
    </row>
    <row r="61" spans="1:21">
      <c r="A61" t="s">
        <v>217</v>
      </c>
      <c r="B61" s="12">
        <v>11733</v>
      </c>
      <c r="D61" s="12">
        <v>0</v>
      </c>
      <c r="E61" s="43"/>
      <c r="F61" s="12">
        <v>0</v>
      </c>
      <c r="G61" s="43"/>
      <c r="H61" s="12">
        <v>0</v>
      </c>
      <c r="I61" s="43"/>
      <c r="J61" s="12">
        <v>9042.2000000000007</v>
      </c>
      <c r="K61" s="12"/>
      <c r="L61" s="12">
        <v>5215.8</v>
      </c>
      <c r="M61" s="12"/>
      <c r="N61" s="12">
        <v>3787</v>
      </c>
      <c r="O61" s="12"/>
      <c r="P61" s="12">
        <f>3027446.8/1000</f>
        <v>3027.4467999999997</v>
      </c>
    </row>
    <row r="62" spans="1:21">
      <c r="A62" t="s">
        <v>297</v>
      </c>
      <c r="B62" s="12">
        <v>35020</v>
      </c>
      <c r="D62" s="12">
        <v>0</v>
      </c>
      <c r="E62" s="43"/>
      <c r="F62" s="12">
        <v>0</v>
      </c>
      <c r="G62" s="43"/>
      <c r="H62" s="12">
        <v>0</v>
      </c>
      <c r="I62" s="43"/>
      <c r="J62" s="12">
        <v>33953.599999999999</v>
      </c>
      <c r="K62" s="12"/>
      <c r="L62" s="12">
        <f>7708.6+2477.5+329.8</f>
        <v>10515.9</v>
      </c>
      <c r="M62" s="12"/>
      <c r="N62" s="12">
        <v>4625.7</v>
      </c>
      <c r="O62" s="12"/>
      <c r="P62" s="12">
        <v>0</v>
      </c>
    </row>
    <row r="67" spans="1:15">
      <c r="B67" s="17" t="s">
        <v>548</v>
      </c>
      <c r="D67" s="17" t="s">
        <v>549</v>
      </c>
      <c r="F67" s="17" t="s">
        <v>138</v>
      </c>
      <c r="H67" s="17" t="s">
        <v>528</v>
      </c>
    </row>
    <row r="69" spans="1:15">
      <c r="A69" t="s">
        <v>414</v>
      </c>
      <c r="B69" s="4">
        <f t="shared" ref="B69:M69" si="5">SUM(B70:B78)</f>
        <v>119688.26105</v>
      </c>
      <c r="C69" s="11" t="s">
        <v>0</v>
      </c>
      <c r="D69" s="4">
        <f t="shared" si="5"/>
        <v>0</v>
      </c>
      <c r="E69" s="11" t="s">
        <v>0</v>
      </c>
      <c r="F69" s="4">
        <f t="shared" si="5"/>
        <v>0</v>
      </c>
      <c r="G69" s="11">
        <f t="shared" si="5"/>
        <v>0</v>
      </c>
      <c r="H69" s="4">
        <f t="shared" si="5"/>
        <v>0</v>
      </c>
      <c r="I69" s="11">
        <f t="shared" si="5"/>
        <v>0</v>
      </c>
      <c r="J69" s="4">
        <f t="shared" si="5"/>
        <v>0</v>
      </c>
      <c r="K69" s="11">
        <f t="shared" si="5"/>
        <v>0</v>
      </c>
      <c r="L69" s="4">
        <f t="shared" si="5"/>
        <v>0</v>
      </c>
      <c r="M69" s="11">
        <f t="shared" si="5"/>
        <v>0</v>
      </c>
      <c r="O69" s="11">
        <f>SUM(O70:O78)</f>
        <v>0</v>
      </c>
    </row>
    <row r="70" spans="1:15">
      <c r="A70" t="s">
        <v>461</v>
      </c>
      <c r="B70" s="12">
        <f>4328911.64/1000</f>
        <v>4328.9116399999994</v>
      </c>
      <c r="D70" s="12">
        <v>0</v>
      </c>
      <c r="F70" s="12">
        <v>0</v>
      </c>
      <c r="H70" s="12">
        <v>0</v>
      </c>
    </row>
    <row r="71" spans="1:15">
      <c r="A71" t="s">
        <v>462</v>
      </c>
      <c r="B71" s="12">
        <f>8636891.2/1000</f>
        <v>8636.8912</v>
      </c>
      <c r="D71" s="12">
        <v>0</v>
      </c>
      <c r="F71" s="12">
        <v>0</v>
      </c>
      <c r="H71" s="12">
        <v>0</v>
      </c>
    </row>
    <row r="72" spans="1:15">
      <c r="A72" t="s">
        <v>463</v>
      </c>
      <c r="B72" s="12">
        <f>3094422.59/1000</f>
        <v>3094.4225899999997</v>
      </c>
      <c r="D72" s="12">
        <v>0</v>
      </c>
      <c r="F72" s="12">
        <v>0</v>
      </c>
      <c r="H72" s="12">
        <v>0</v>
      </c>
    </row>
    <row r="73" spans="1:15">
      <c r="A73" t="s">
        <v>464</v>
      </c>
      <c r="B73" s="12">
        <f>52935157.82/1000</f>
        <v>52935.15782</v>
      </c>
      <c r="D73" s="12">
        <v>0</v>
      </c>
      <c r="F73" s="12">
        <v>0</v>
      </c>
      <c r="H73" s="12">
        <v>0</v>
      </c>
    </row>
    <row r="74" spans="1:15">
      <c r="A74" t="s">
        <v>465</v>
      </c>
      <c r="B74" s="12">
        <f>37000000/1000</f>
        <v>37000</v>
      </c>
      <c r="D74" s="12">
        <v>0</v>
      </c>
      <c r="F74" s="12">
        <v>0</v>
      </c>
      <c r="H74" s="12">
        <v>0</v>
      </c>
    </row>
    <row r="75" spans="1:15">
      <c r="A75" t="s">
        <v>466</v>
      </c>
      <c r="B75" s="12">
        <f>1032682.22/1000</f>
        <v>1032.6822199999999</v>
      </c>
      <c r="D75" s="12">
        <v>0</v>
      </c>
      <c r="F75" s="12">
        <v>0</v>
      </c>
      <c r="H75" s="12">
        <v>0</v>
      </c>
    </row>
    <row r="76" spans="1:15">
      <c r="A76" t="s">
        <v>467</v>
      </c>
      <c r="B76" s="12">
        <f>12660195.58/1000</f>
        <v>12660.19558</v>
      </c>
      <c r="D76" s="12">
        <v>0</v>
      </c>
      <c r="F76" s="12">
        <v>0</v>
      </c>
      <c r="H76" s="12">
        <v>0</v>
      </c>
    </row>
    <row r="77" spans="1:15">
      <c r="A77" t="s">
        <v>468</v>
      </c>
      <c r="B77" s="12">
        <v>0</v>
      </c>
      <c r="D77" s="12">
        <v>0</v>
      </c>
      <c r="F77" s="12">
        <v>0</v>
      </c>
      <c r="H77" s="12">
        <v>0</v>
      </c>
    </row>
    <row r="78" spans="1:15">
      <c r="A78" t="s">
        <v>469</v>
      </c>
      <c r="B78" s="12">
        <v>0</v>
      </c>
      <c r="D78" s="12">
        <v>0</v>
      </c>
      <c r="F78" s="12">
        <v>0</v>
      </c>
      <c r="H78" s="12">
        <v>0</v>
      </c>
    </row>
    <row r="80" spans="1:15">
      <c r="A80" t="s">
        <v>470</v>
      </c>
      <c r="B80" s="4">
        <f t="shared" ref="B80:M80" si="6">SUM(B81:B82)</f>
        <v>5292.933</v>
      </c>
      <c r="C80" s="11" t="s">
        <v>0</v>
      </c>
      <c r="D80" s="4">
        <f t="shared" si="6"/>
        <v>0</v>
      </c>
      <c r="E80" s="11" t="s">
        <v>0</v>
      </c>
      <c r="F80" s="4">
        <f t="shared" si="6"/>
        <v>0</v>
      </c>
      <c r="G80" s="11">
        <f t="shared" si="6"/>
        <v>0</v>
      </c>
      <c r="H80" s="4">
        <f t="shared" si="6"/>
        <v>0</v>
      </c>
      <c r="I80" s="11">
        <f t="shared" si="6"/>
        <v>0</v>
      </c>
      <c r="J80" s="4">
        <f t="shared" si="6"/>
        <v>0</v>
      </c>
      <c r="K80" s="11">
        <f t="shared" si="6"/>
        <v>0</v>
      </c>
      <c r="L80" s="4">
        <f t="shared" si="6"/>
        <v>0</v>
      </c>
      <c r="M80" s="11">
        <f t="shared" si="6"/>
        <v>0</v>
      </c>
      <c r="O80" s="11">
        <f>SUM(O81:O82)</f>
        <v>0</v>
      </c>
    </row>
    <row r="81" spans="1:15">
      <c r="A81" t="s">
        <v>471</v>
      </c>
      <c r="B81" s="12">
        <f>5292933/1000</f>
        <v>5292.933</v>
      </c>
      <c r="D81" s="12">
        <v>0</v>
      </c>
      <c r="F81" s="12">
        <v>0</v>
      </c>
      <c r="H81" s="12">
        <v>0</v>
      </c>
    </row>
    <row r="82" spans="1:15">
      <c r="A82" t="s">
        <v>472</v>
      </c>
      <c r="B82" s="12">
        <v>0</v>
      </c>
      <c r="D82" s="12">
        <v>0</v>
      </c>
      <c r="F82" s="12">
        <v>0</v>
      </c>
      <c r="H82" s="12">
        <v>0</v>
      </c>
    </row>
    <row r="84" spans="1:15">
      <c r="A84" t="s">
        <v>473</v>
      </c>
      <c r="B84" s="4">
        <f t="shared" ref="B84:M84" si="7">SUM(B85:B94)</f>
        <v>268293.26959000004</v>
      </c>
      <c r="C84" s="11" t="s">
        <v>0</v>
      </c>
      <c r="D84" s="4">
        <f t="shared" si="7"/>
        <v>0</v>
      </c>
      <c r="E84" s="11" t="s">
        <v>0</v>
      </c>
      <c r="F84" s="4">
        <f t="shared" si="7"/>
        <v>0</v>
      </c>
      <c r="G84" s="11">
        <f t="shared" si="7"/>
        <v>0</v>
      </c>
      <c r="H84" s="4">
        <f t="shared" si="7"/>
        <v>0</v>
      </c>
      <c r="I84" s="11">
        <f t="shared" si="7"/>
        <v>0</v>
      </c>
      <c r="J84" s="4">
        <f t="shared" si="7"/>
        <v>0</v>
      </c>
      <c r="K84" s="11">
        <f t="shared" si="7"/>
        <v>0</v>
      </c>
      <c r="L84" s="4">
        <f t="shared" si="7"/>
        <v>0</v>
      </c>
      <c r="M84" s="11">
        <f t="shared" si="7"/>
        <v>0</v>
      </c>
      <c r="O84" s="11">
        <f>SUM(O85:O94)</f>
        <v>0</v>
      </c>
    </row>
    <row r="85" spans="1:15">
      <c r="A85" t="s">
        <v>474</v>
      </c>
      <c r="B85" s="12">
        <v>0</v>
      </c>
      <c r="D85" s="12">
        <v>0</v>
      </c>
      <c r="F85" s="12">
        <v>0</v>
      </c>
      <c r="H85" s="12">
        <v>0</v>
      </c>
    </row>
    <row r="86" spans="1:15">
      <c r="A86" t="s">
        <v>475</v>
      </c>
      <c r="B86" s="12">
        <f>268139295.37/1000</f>
        <v>268139.29537000001</v>
      </c>
      <c r="D86" s="12">
        <v>0</v>
      </c>
      <c r="F86" s="12">
        <v>0</v>
      </c>
      <c r="H86" s="12">
        <v>0</v>
      </c>
    </row>
    <row r="87" spans="1:15">
      <c r="A87" t="s">
        <v>477</v>
      </c>
      <c r="B87" s="12">
        <v>0</v>
      </c>
      <c r="D87" s="12">
        <v>0</v>
      </c>
      <c r="F87" s="12">
        <v>0</v>
      </c>
      <c r="H87" s="12">
        <v>0</v>
      </c>
    </row>
    <row r="88" spans="1:15">
      <c r="A88" t="s">
        <v>478</v>
      </c>
      <c r="B88" s="12">
        <v>0</v>
      </c>
      <c r="D88" s="12">
        <v>0</v>
      </c>
      <c r="F88" s="12">
        <v>0</v>
      </c>
      <c r="H88" s="12">
        <v>0</v>
      </c>
    </row>
    <row r="89" spans="1:15">
      <c r="A89" t="s">
        <v>479</v>
      </c>
      <c r="B89" s="12">
        <v>0</v>
      </c>
      <c r="D89" s="12">
        <v>0</v>
      </c>
      <c r="F89" s="12">
        <v>0</v>
      </c>
      <c r="H89" s="12">
        <v>0</v>
      </c>
    </row>
    <row r="90" spans="1:15">
      <c r="A90" t="s">
        <v>480</v>
      </c>
      <c r="B90" s="12">
        <v>0</v>
      </c>
      <c r="D90" s="12">
        <v>0</v>
      </c>
      <c r="F90" s="12">
        <v>0</v>
      </c>
      <c r="H90" s="12">
        <v>0</v>
      </c>
    </row>
    <row r="91" spans="1:15">
      <c r="A91" t="s">
        <v>481</v>
      </c>
      <c r="B91" s="12">
        <v>0</v>
      </c>
      <c r="D91" s="12">
        <v>0</v>
      </c>
      <c r="F91" s="12">
        <v>0</v>
      </c>
      <c r="H91" s="12">
        <v>0</v>
      </c>
    </row>
    <row r="92" spans="1:15">
      <c r="A92" t="s">
        <v>482</v>
      </c>
      <c r="B92" s="12">
        <v>0</v>
      </c>
      <c r="D92" s="12">
        <v>0</v>
      </c>
      <c r="F92" s="12">
        <v>0</v>
      </c>
      <c r="H92" s="12">
        <v>0</v>
      </c>
    </row>
    <row r="93" spans="1:15">
      <c r="A93" t="s">
        <v>483</v>
      </c>
      <c r="B93" s="12">
        <f>4737999.03/1000</f>
        <v>4737.9990299999999</v>
      </c>
      <c r="D93" s="12">
        <v>0</v>
      </c>
      <c r="F93" s="12">
        <v>0</v>
      </c>
      <c r="H93" s="12">
        <v>0</v>
      </c>
    </row>
    <row r="94" spans="1:15">
      <c r="A94" t="s">
        <v>484</v>
      </c>
      <c r="B94" s="12">
        <f>-4584024.81/1000</f>
        <v>-4584.0248099999999</v>
      </c>
      <c r="D94" s="12">
        <v>0</v>
      </c>
      <c r="F94" s="12">
        <v>0</v>
      </c>
      <c r="H94" s="12">
        <v>0</v>
      </c>
    </row>
    <row r="96" spans="1:15">
      <c r="A96" t="s">
        <v>485</v>
      </c>
      <c r="B96" s="4">
        <f t="shared" ref="B96:M96" si="8">SUM(B97:B100)</f>
        <v>0</v>
      </c>
      <c r="C96" s="11" t="s">
        <v>0</v>
      </c>
      <c r="D96" s="4">
        <f t="shared" si="8"/>
        <v>0</v>
      </c>
      <c r="E96" s="11" t="s">
        <v>0</v>
      </c>
      <c r="F96" s="4">
        <f t="shared" si="8"/>
        <v>0</v>
      </c>
      <c r="G96" s="11">
        <f t="shared" si="8"/>
        <v>0</v>
      </c>
      <c r="H96" s="4">
        <f t="shared" si="8"/>
        <v>0</v>
      </c>
      <c r="I96" s="11">
        <f t="shared" si="8"/>
        <v>0</v>
      </c>
      <c r="J96" s="4">
        <f t="shared" si="8"/>
        <v>0</v>
      </c>
      <c r="K96" s="11">
        <f t="shared" si="8"/>
        <v>0</v>
      </c>
      <c r="L96" s="4">
        <f t="shared" si="8"/>
        <v>0</v>
      </c>
      <c r="M96" s="11">
        <f t="shared" si="8"/>
        <v>0</v>
      </c>
      <c r="O96" s="11">
        <f>SUM(O97:O100)</f>
        <v>0</v>
      </c>
    </row>
    <row r="97" spans="1:15">
      <c r="A97" t="s">
        <v>486</v>
      </c>
      <c r="B97" s="12">
        <v>0</v>
      </c>
      <c r="D97" s="12">
        <v>0</v>
      </c>
      <c r="F97" s="12">
        <v>0</v>
      </c>
      <c r="H97" s="12">
        <v>0</v>
      </c>
    </row>
    <row r="98" spans="1:15">
      <c r="A98" t="s">
        <v>487</v>
      </c>
      <c r="B98" s="12">
        <v>0</v>
      </c>
      <c r="D98" s="12">
        <v>0</v>
      </c>
      <c r="F98" s="12">
        <v>0</v>
      </c>
      <c r="H98" s="12">
        <v>0</v>
      </c>
    </row>
    <row r="99" spans="1:15">
      <c r="A99" t="s">
        <v>488</v>
      </c>
      <c r="B99" s="12">
        <v>0</v>
      </c>
      <c r="D99" s="12">
        <v>0</v>
      </c>
      <c r="F99" s="12">
        <v>0</v>
      </c>
      <c r="H99" s="12">
        <v>0</v>
      </c>
    </row>
    <row r="100" spans="1:15">
      <c r="A100" t="s">
        <v>489</v>
      </c>
      <c r="B100" s="12">
        <v>0</v>
      </c>
      <c r="D100" s="12">
        <v>0</v>
      </c>
      <c r="F100" s="12">
        <v>0</v>
      </c>
      <c r="H100" s="12">
        <v>0</v>
      </c>
    </row>
    <row r="102" spans="1:15">
      <c r="A102" t="s">
        <v>490</v>
      </c>
      <c r="B102" s="4">
        <v>0</v>
      </c>
      <c r="C102" s="11" t="s">
        <v>0</v>
      </c>
      <c r="D102" s="4">
        <v>0</v>
      </c>
      <c r="E102" s="11" t="s">
        <v>0</v>
      </c>
      <c r="F102" s="4">
        <v>0</v>
      </c>
      <c r="G102" s="11">
        <v>0</v>
      </c>
      <c r="H102" s="4">
        <v>0</v>
      </c>
      <c r="I102" s="11">
        <v>0</v>
      </c>
      <c r="J102" s="4">
        <v>0</v>
      </c>
      <c r="K102" s="11">
        <v>0</v>
      </c>
      <c r="L102" s="4">
        <v>0</v>
      </c>
      <c r="M102" s="11">
        <v>0</v>
      </c>
      <c r="N102" s="12">
        <v>0</v>
      </c>
      <c r="O102" s="11">
        <v>0</v>
      </c>
    </row>
    <row r="103" spans="1:15">
      <c r="B103" s="16" t="s">
        <v>0</v>
      </c>
      <c r="D103" s="16" t="s">
        <v>0</v>
      </c>
      <c r="F103" s="16" t="s">
        <v>0</v>
      </c>
      <c r="H103" s="16" t="s">
        <v>0</v>
      </c>
    </row>
    <row r="104" spans="1:15">
      <c r="A104" t="s">
        <v>491</v>
      </c>
      <c r="B104" s="4">
        <v>0</v>
      </c>
      <c r="D104" s="4">
        <v>0</v>
      </c>
      <c r="F104" s="4">
        <v>0</v>
      </c>
      <c r="H104" s="4">
        <v>0</v>
      </c>
    </row>
    <row r="106" spans="1:15">
      <c r="A106" t="s">
        <v>492</v>
      </c>
      <c r="B106" s="4">
        <f t="shared" ref="B106:M106" si="9">SUM(B107:B110)</f>
        <v>17034.10455</v>
      </c>
      <c r="C106" s="11" t="s">
        <v>0</v>
      </c>
      <c r="D106" s="4">
        <f t="shared" si="9"/>
        <v>0</v>
      </c>
      <c r="E106" s="11" t="s">
        <v>0</v>
      </c>
      <c r="F106" s="4">
        <f t="shared" si="9"/>
        <v>0</v>
      </c>
      <c r="G106" s="11">
        <f t="shared" si="9"/>
        <v>0</v>
      </c>
      <c r="H106" s="4">
        <f t="shared" si="9"/>
        <v>0</v>
      </c>
      <c r="I106" s="11">
        <f t="shared" si="9"/>
        <v>0</v>
      </c>
      <c r="J106" s="4">
        <f t="shared" si="9"/>
        <v>0</v>
      </c>
      <c r="K106" s="11">
        <f t="shared" si="9"/>
        <v>0</v>
      </c>
      <c r="L106" s="4">
        <f t="shared" si="9"/>
        <v>0</v>
      </c>
      <c r="M106" s="11">
        <f t="shared" si="9"/>
        <v>0</v>
      </c>
      <c r="O106" s="11">
        <f>SUM(O107:O110)</f>
        <v>0</v>
      </c>
    </row>
    <row r="107" spans="1:15">
      <c r="A107" t="s">
        <v>493</v>
      </c>
      <c r="B107" s="12">
        <f>28389575.66/1000</f>
        <v>28389.575659999999</v>
      </c>
      <c r="D107" s="12">
        <v>0</v>
      </c>
      <c r="F107" s="12">
        <v>0</v>
      </c>
      <c r="H107" s="12">
        <v>0</v>
      </c>
    </row>
    <row r="108" spans="1:15">
      <c r="A108" t="s">
        <v>494</v>
      </c>
      <c r="B108" s="12">
        <v>0</v>
      </c>
      <c r="D108" s="12">
        <v>0</v>
      </c>
      <c r="F108" s="12">
        <v>0</v>
      </c>
      <c r="H108" s="12">
        <v>0</v>
      </c>
    </row>
    <row r="109" spans="1:15">
      <c r="A109" t="s">
        <v>495</v>
      </c>
      <c r="B109" s="12">
        <f>-11355471.11/1000</f>
        <v>-11355.471109999999</v>
      </c>
      <c r="D109" s="12">
        <v>0</v>
      </c>
      <c r="F109" s="12">
        <v>0</v>
      </c>
      <c r="H109" s="12">
        <v>0</v>
      </c>
    </row>
    <row r="110" spans="1:15">
      <c r="A110" t="s">
        <v>496</v>
      </c>
      <c r="B110" s="12">
        <v>0</v>
      </c>
      <c r="D110" s="12">
        <v>0</v>
      </c>
      <c r="F110" s="12">
        <v>0</v>
      </c>
      <c r="H110" s="12">
        <v>0</v>
      </c>
    </row>
    <row r="112" spans="1:15">
      <c r="A112" t="s">
        <v>497</v>
      </c>
      <c r="B112" s="12">
        <f>6225749.61/1000</f>
        <v>6225.7496100000008</v>
      </c>
      <c r="D112" s="12">
        <v>0</v>
      </c>
      <c r="F112" s="12">
        <v>0</v>
      </c>
      <c r="H112" s="12">
        <v>0</v>
      </c>
    </row>
    <row r="114" spans="1:15">
      <c r="A114" s="2" t="s">
        <v>498</v>
      </c>
      <c r="B114" s="4">
        <f t="shared" ref="B114:M114" si="10">+B69+B80+B84+B96+B102+B104+B106+B112</f>
        <v>416534.31780000002</v>
      </c>
      <c r="C114" s="11" t="s">
        <v>0</v>
      </c>
      <c r="D114" s="4">
        <f t="shared" si="10"/>
        <v>0</v>
      </c>
      <c r="E114" s="11" t="s">
        <v>0</v>
      </c>
      <c r="F114" s="4">
        <f t="shared" si="10"/>
        <v>0</v>
      </c>
      <c r="G114" s="11">
        <f t="shared" si="10"/>
        <v>0</v>
      </c>
      <c r="H114" s="4">
        <f t="shared" si="10"/>
        <v>0</v>
      </c>
      <c r="I114" s="11">
        <f t="shared" si="10"/>
        <v>0</v>
      </c>
      <c r="J114" s="4">
        <f t="shared" si="10"/>
        <v>0</v>
      </c>
      <c r="K114" s="11">
        <f t="shared" si="10"/>
        <v>0</v>
      </c>
      <c r="L114" s="4">
        <f t="shared" si="10"/>
        <v>0</v>
      </c>
      <c r="M114" s="11">
        <f t="shared" si="10"/>
        <v>0</v>
      </c>
      <c r="O114" s="11">
        <f>+O69+O80+O84+O96+O102+O104+O106+O112</f>
        <v>0</v>
      </c>
    </row>
    <row r="117" spans="1:15">
      <c r="A117" t="s">
        <v>276</v>
      </c>
    </row>
    <row r="119" spans="1:15">
      <c r="A119" t="s">
        <v>499</v>
      </c>
      <c r="B119" s="4">
        <f>SUM(B120:B121)</f>
        <v>4729.4172400000007</v>
      </c>
      <c r="C119" s="11"/>
      <c r="D119" s="4">
        <f>SUM(D120:D121)</f>
        <v>0</v>
      </c>
      <c r="E119" s="11"/>
      <c r="F119" s="4">
        <f>SUM(F120:F121)</f>
        <v>0</v>
      </c>
      <c r="G119" s="11"/>
      <c r="H119" s="4">
        <f>SUM(H120:H121)</f>
        <v>0</v>
      </c>
      <c r="I119" s="11"/>
      <c r="J119" s="4"/>
      <c r="K119" s="11"/>
      <c r="L119" s="4"/>
      <c r="M119" s="11"/>
      <c r="O119" s="11"/>
    </row>
    <row r="120" spans="1:15">
      <c r="A120" t="s">
        <v>500</v>
      </c>
      <c r="B120" s="12">
        <f>+(3835605.17+893812.07)/1000</f>
        <v>4729.4172400000007</v>
      </c>
      <c r="D120" s="12">
        <v>0</v>
      </c>
      <c r="F120" s="12">
        <v>0</v>
      </c>
      <c r="H120" s="12">
        <v>0</v>
      </c>
    </row>
    <row r="121" spans="1:15">
      <c r="A121" t="s">
        <v>501</v>
      </c>
      <c r="B121" s="12">
        <v>0</v>
      </c>
      <c r="D121" s="12">
        <v>0</v>
      </c>
      <c r="F121" s="12">
        <v>0</v>
      </c>
      <c r="H121" s="12">
        <v>0</v>
      </c>
    </row>
    <row r="122" spans="1:15">
      <c r="A122" t="s">
        <v>0</v>
      </c>
    </row>
    <row r="123" spans="1:15">
      <c r="A123" t="s">
        <v>502</v>
      </c>
      <c r="B123" s="4">
        <f>+(194590019.85+20911138.55)/1000</f>
        <v>215501.15840000001</v>
      </c>
      <c r="C123" s="11"/>
      <c r="D123" s="4">
        <v>0</v>
      </c>
      <c r="E123" s="11"/>
      <c r="F123" s="4">
        <v>0</v>
      </c>
      <c r="G123" s="11"/>
      <c r="H123" s="4">
        <v>0</v>
      </c>
      <c r="I123" s="11"/>
      <c r="J123" s="4"/>
      <c r="K123" s="11"/>
      <c r="L123" s="4"/>
      <c r="M123" s="11"/>
      <c r="O123" s="11"/>
    </row>
    <row r="125" spans="1:15">
      <c r="A125" t="s">
        <v>503</v>
      </c>
      <c r="B125" s="4">
        <f>+(78332230.37+26509955.65)/1000</f>
        <v>104842.18602000001</v>
      </c>
      <c r="C125" s="11"/>
      <c r="D125" s="4">
        <v>0</v>
      </c>
      <c r="E125" s="11"/>
      <c r="F125" s="4">
        <v>0</v>
      </c>
      <c r="G125" s="11"/>
      <c r="H125" s="4">
        <v>0</v>
      </c>
      <c r="I125" s="11"/>
      <c r="J125" s="4"/>
      <c r="K125" s="11"/>
      <c r="L125" s="4"/>
      <c r="M125" s="11"/>
      <c r="O125" s="11"/>
    </row>
    <row r="127" spans="1:15">
      <c r="A127" t="s">
        <v>504</v>
      </c>
      <c r="B127" s="4">
        <f>SUM(B128:B140)</f>
        <v>0</v>
      </c>
      <c r="C127" s="11"/>
      <c r="D127" s="4">
        <f>SUM(D128:D140)</f>
        <v>0</v>
      </c>
      <c r="E127" s="11"/>
      <c r="F127" s="4">
        <f>SUM(F128:F140)</f>
        <v>0</v>
      </c>
      <c r="G127" s="11"/>
      <c r="H127" s="4">
        <f>SUM(H128:H140)</f>
        <v>0</v>
      </c>
      <c r="I127" s="11"/>
      <c r="J127" s="4"/>
      <c r="K127" s="11"/>
      <c r="L127" s="4"/>
      <c r="M127" s="11"/>
      <c r="O127" s="11"/>
    </row>
    <row r="128" spans="1:15">
      <c r="A128" t="s">
        <v>505</v>
      </c>
      <c r="B128" s="12">
        <v>0</v>
      </c>
      <c r="D128" s="12">
        <v>0</v>
      </c>
      <c r="F128" s="12">
        <v>0</v>
      </c>
      <c r="H128" s="12">
        <v>0</v>
      </c>
    </row>
    <row r="129" spans="1:15">
      <c r="A129" t="s">
        <v>506</v>
      </c>
      <c r="B129" s="12">
        <v>0</v>
      </c>
      <c r="D129" s="12">
        <v>0</v>
      </c>
      <c r="F129" s="12">
        <v>0</v>
      </c>
      <c r="H129" s="12">
        <v>0</v>
      </c>
    </row>
    <row r="130" spans="1:15">
      <c r="A130" t="s">
        <v>507</v>
      </c>
      <c r="B130" s="12">
        <v>0</v>
      </c>
      <c r="D130" s="12">
        <v>0</v>
      </c>
      <c r="F130" s="12">
        <v>0</v>
      </c>
      <c r="H130" s="12">
        <v>0</v>
      </c>
    </row>
    <row r="131" spans="1:15">
      <c r="A131" t="s">
        <v>508</v>
      </c>
      <c r="B131" s="12">
        <v>0</v>
      </c>
      <c r="D131" s="12">
        <v>0</v>
      </c>
      <c r="F131" s="12">
        <v>0</v>
      </c>
      <c r="H131" s="12">
        <v>0</v>
      </c>
    </row>
    <row r="132" spans="1:15">
      <c r="A132" t="s">
        <v>509</v>
      </c>
      <c r="B132" s="12">
        <v>0</v>
      </c>
      <c r="D132" s="12">
        <v>0</v>
      </c>
      <c r="F132" s="12">
        <v>0</v>
      </c>
      <c r="H132" s="12">
        <v>0</v>
      </c>
    </row>
    <row r="133" spans="1:15">
      <c r="A133" t="s">
        <v>510</v>
      </c>
      <c r="B133" s="12">
        <v>0</v>
      </c>
      <c r="D133" s="12">
        <v>0</v>
      </c>
      <c r="F133" s="12">
        <v>0</v>
      </c>
      <c r="H133" s="12">
        <v>0</v>
      </c>
    </row>
    <row r="134" spans="1:15">
      <c r="A134" t="s">
        <v>511</v>
      </c>
      <c r="B134" s="12">
        <v>0</v>
      </c>
      <c r="D134" s="12">
        <v>0</v>
      </c>
      <c r="F134" s="12">
        <v>0</v>
      </c>
      <c r="H134" s="12">
        <v>0</v>
      </c>
    </row>
    <row r="135" spans="1:15">
      <c r="A135" t="s">
        <v>512</v>
      </c>
      <c r="B135" s="12">
        <v>0</v>
      </c>
      <c r="D135" s="12">
        <v>0</v>
      </c>
      <c r="F135" s="12">
        <v>0</v>
      </c>
      <c r="H135" s="12">
        <v>0</v>
      </c>
    </row>
    <row r="136" spans="1:15">
      <c r="A136" t="s">
        <v>513</v>
      </c>
      <c r="B136" s="12">
        <v>0</v>
      </c>
      <c r="D136" s="12">
        <v>0</v>
      </c>
      <c r="F136" s="12">
        <v>0</v>
      </c>
      <c r="H136" s="12">
        <v>0</v>
      </c>
    </row>
    <row r="137" spans="1:15">
      <c r="A137" t="s">
        <v>514</v>
      </c>
      <c r="B137" s="12">
        <v>0</v>
      </c>
      <c r="D137" s="12">
        <v>0</v>
      </c>
      <c r="F137" s="12">
        <v>0</v>
      </c>
      <c r="H137" s="12">
        <v>0</v>
      </c>
    </row>
    <row r="138" spans="1:15">
      <c r="A138" t="s">
        <v>515</v>
      </c>
      <c r="B138" s="12">
        <v>0</v>
      </c>
      <c r="D138" s="12">
        <v>0</v>
      </c>
      <c r="F138" s="12">
        <v>0</v>
      </c>
      <c r="H138" s="12">
        <v>0</v>
      </c>
    </row>
    <row r="139" spans="1:15">
      <c r="A139" t="s">
        <v>516</v>
      </c>
      <c r="B139" s="12">
        <v>0</v>
      </c>
      <c r="D139" s="12">
        <v>0</v>
      </c>
      <c r="F139" s="12">
        <v>0</v>
      </c>
      <c r="H139" s="12">
        <v>0</v>
      </c>
    </row>
    <row r="140" spans="1:15">
      <c r="A140" t="s">
        <v>273</v>
      </c>
      <c r="B140" s="12">
        <v>0</v>
      </c>
      <c r="D140" s="12">
        <v>0</v>
      </c>
      <c r="F140" s="12">
        <v>0</v>
      </c>
      <c r="H140" s="12">
        <v>0</v>
      </c>
    </row>
    <row r="142" spans="1:15">
      <c r="A142" t="s">
        <v>517</v>
      </c>
      <c r="B142" s="4">
        <f>SUM(B143:B149)</f>
        <v>54745.168720000001</v>
      </c>
      <c r="C142" s="11"/>
      <c r="D142" s="4">
        <f>SUM(D143:D149)</f>
        <v>0</v>
      </c>
      <c r="E142" s="11"/>
      <c r="F142" s="4">
        <f>SUM(F143:F149)</f>
        <v>0</v>
      </c>
      <c r="G142" s="11"/>
      <c r="H142" s="4">
        <f>SUM(H143:H149)</f>
        <v>0</v>
      </c>
      <c r="I142" s="11"/>
      <c r="J142" s="4"/>
      <c r="K142" s="11"/>
      <c r="L142" s="4"/>
      <c r="M142" s="11"/>
      <c r="O142" s="11"/>
    </row>
    <row r="143" spans="1:15">
      <c r="A143" t="s">
        <v>518</v>
      </c>
      <c r="B143" s="12">
        <v>0</v>
      </c>
      <c r="D143" s="12">
        <v>0</v>
      </c>
      <c r="F143" s="12">
        <v>0</v>
      </c>
      <c r="H143" s="12">
        <v>0</v>
      </c>
    </row>
    <row r="144" spans="1:15">
      <c r="A144" t="s">
        <v>519</v>
      </c>
      <c r="B144" s="12">
        <v>0</v>
      </c>
      <c r="D144" s="12">
        <v>0</v>
      </c>
      <c r="F144" s="12">
        <v>0</v>
      </c>
      <c r="H144" s="12">
        <v>0</v>
      </c>
    </row>
    <row r="145" spans="1:15">
      <c r="A145" t="s">
        <v>520</v>
      </c>
      <c r="B145" s="12">
        <v>0</v>
      </c>
      <c r="D145" s="12">
        <v>0</v>
      </c>
      <c r="F145" s="12">
        <v>0</v>
      </c>
      <c r="H145" s="12">
        <v>0</v>
      </c>
    </row>
    <row r="146" spans="1:15">
      <c r="A146" t="s">
        <v>521</v>
      </c>
      <c r="B146" s="12">
        <v>0</v>
      </c>
      <c r="D146" s="12">
        <v>0</v>
      </c>
      <c r="F146" s="12">
        <v>0</v>
      </c>
      <c r="H146" s="12">
        <v>0</v>
      </c>
    </row>
    <row r="147" spans="1:15">
      <c r="A147" t="s">
        <v>522</v>
      </c>
      <c r="B147" s="16">
        <v>0</v>
      </c>
      <c r="D147" s="16">
        <v>0</v>
      </c>
      <c r="F147" s="16">
        <v>0</v>
      </c>
      <c r="H147" s="16">
        <v>0</v>
      </c>
    </row>
    <row r="148" spans="1:15">
      <c r="A148" t="s">
        <v>523</v>
      </c>
      <c r="B148" s="12">
        <f>54745168.72/1000</f>
        <v>54745.168720000001</v>
      </c>
      <c r="D148" s="12">
        <v>0</v>
      </c>
      <c r="F148" s="12">
        <v>0</v>
      </c>
      <c r="H148" s="12">
        <v>0</v>
      </c>
    </row>
    <row r="149" spans="1:15">
      <c r="A149" t="s">
        <v>524</v>
      </c>
      <c r="B149" s="12">
        <v>0</v>
      </c>
      <c r="D149" s="12">
        <v>0</v>
      </c>
      <c r="F149" s="12">
        <v>0</v>
      </c>
      <c r="H149" s="12">
        <v>0</v>
      </c>
    </row>
    <row r="151" spans="1:15">
      <c r="A151" t="s">
        <v>525</v>
      </c>
      <c r="B151" s="4">
        <v>0</v>
      </c>
      <c r="C151" s="11"/>
      <c r="D151" s="4">
        <v>0</v>
      </c>
      <c r="E151" s="11"/>
      <c r="F151" s="4">
        <v>0</v>
      </c>
      <c r="G151" s="11"/>
      <c r="H151" s="4">
        <v>0</v>
      </c>
      <c r="I151" s="11"/>
      <c r="J151" s="4"/>
      <c r="K151" s="11"/>
      <c r="L151" s="4"/>
      <c r="M151" s="11"/>
      <c r="O151" s="11"/>
    </row>
    <row r="153" spans="1:15">
      <c r="A153" t="s">
        <v>374</v>
      </c>
      <c r="B153" s="4">
        <f>13227257.39/1000</f>
        <v>13227.257390000001</v>
      </c>
      <c r="C153" s="11"/>
      <c r="D153" s="4">
        <v>0</v>
      </c>
      <c r="E153" s="11"/>
      <c r="F153" s="4">
        <v>0</v>
      </c>
      <c r="G153" s="11"/>
      <c r="H153" s="4">
        <v>0</v>
      </c>
      <c r="I153" s="11"/>
      <c r="J153" s="4"/>
      <c r="K153" s="11"/>
      <c r="L153" s="4"/>
      <c r="M153" s="11"/>
      <c r="O153" s="11"/>
    </row>
    <row r="155" spans="1:15">
      <c r="A155" t="s">
        <v>375</v>
      </c>
      <c r="B155" s="4">
        <v>0</v>
      </c>
      <c r="C155" s="11"/>
      <c r="D155" s="4">
        <v>0</v>
      </c>
      <c r="E155" s="11"/>
      <c r="F155" s="4">
        <v>0</v>
      </c>
      <c r="G155" s="11"/>
      <c r="H155" s="4">
        <v>0</v>
      </c>
      <c r="I155" s="11"/>
      <c r="J155" s="4"/>
      <c r="K155" s="11"/>
      <c r="L155" s="4"/>
      <c r="M155" s="11"/>
      <c r="O155" s="11"/>
    </row>
    <row r="157" spans="1:15">
      <c r="A157" t="s">
        <v>376</v>
      </c>
      <c r="B157" s="4">
        <f>+B161+B162+B163</f>
        <v>21339.915779999999</v>
      </c>
      <c r="C157" s="11"/>
      <c r="D157" s="4">
        <f>+D161+D162+D163</f>
        <v>0</v>
      </c>
      <c r="E157" s="11"/>
      <c r="F157" s="4">
        <f>+F161+F162+F163</f>
        <v>0</v>
      </c>
      <c r="G157" s="11"/>
      <c r="H157" s="4">
        <f>+H161+H162+H163</f>
        <v>0</v>
      </c>
      <c r="I157" s="11"/>
      <c r="J157" s="4"/>
      <c r="K157" s="11"/>
      <c r="L157" s="4"/>
      <c r="M157" s="11"/>
      <c r="O157" s="11"/>
    </row>
    <row r="158" spans="1:15">
      <c r="A158" t="s">
        <v>377</v>
      </c>
      <c r="B158" s="12">
        <f>7500000/1000</f>
        <v>7500</v>
      </c>
      <c r="D158" s="12">
        <v>0</v>
      </c>
      <c r="F158" s="12">
        <v>0</v>
      </c>
      <c r="H158" s="12">
        <v>0</v>
      </c>
    </row>
    <row r="159" spans="1:15">
      <c r="A159" t="s">
        <v>378</v>
      </c>
      <c r="B159" s="12">
        <v>0</v>
      </c>
      <c r="D159" s="12">
        <v>0</v>
      </c>
      <c r="F159" s="12">
        <v>0</v>
      </c>
      <c r="H159" s="12">
        <v>0</v>
      </c>
    </row>
    <row r="160" spans="1:15">
      <c r="A160" t="s">
        <v>302</v>
      </c>
      <c r="B160" s="12">
        <v>0</v>
      </c>
      <c r="D160" s="12">
        <v>0</v>
      </c>
      <c r="F160" s="12">
        <v>0</v>
      </c>
      <c r="H160" s="12">
        <v>0</v>
      </c>
    </row>
    <row r="161" spans="1:15">
      <c r="A161" t="s">
        <v>289</v>
      </c>
      <c r="B161" s="4">
        <f>+B158+B159</f>
        <v>7500</v>
      </c>
      <c r="D161" s="4">
        <f>+D158+D159</f>
        <v>0</v>
      </c>
      <c r="F161" s="4">
        <f>+F158+F159</f>
        <v>0</v>
      </c>
      <c r="H161" s="4">
        <f>+H158+H159</f>
        <v>0</v>
      </c>
    </row>
    <row r="162" spans="1:15">
      <c r="A162" t="s">
        <v>379</v>
      </c>
      <c r="B162" s="12">
        <f>11032671.01/1000</f>
        <v>11032.67101</v>
      </c>
      <c r="D162" s="12">
        <v>0</v>
      </c>
      <c r="F162" s="12">
        <v>0</v>
      </c>
      <c r="H162" s="12">
        <v>0</v>
      </c>
    </row>
    <row r="163" spans="1:15">
      <c r="A163" t="s">
        <v>380</v>
      </c>
      <c r="B163" s="12">
        <f>2807244.77/1000</f>
        <v>2807.2447700000002</v>
      </c>
      <c r="D163" s="12">
        <v>0</v>
      </c>
      <c r="F163" s="12">
        <v>0</v>
      </c>
      <c r="H163" s="12">
        <v>0</v>
      </c>
    </row>
    <row r="165" spans="1:15">
      <c r="A165" t="s">
        <v>381</v>
      </c>
      <c r="B165" s="4">
        <f>SUM(B166:B167)</f>
        <v>2149.2154</v>
      </c>
      <c r="C165" s="11"/>
      <c r="D165" s="4">
        <f>SUM(D166:D167)</f>
        <v>0</v>
      </c>
      <c r="E165" s="11"/>
      <c r="F165" s="4">
        <f>SUM(F166:F167)</f>
        <v>0</v>
      </c>
      <c r="G165" s="11"/>
      <c r="H165" s="4">
        <f>SUM(H166:H167)</f>
        <v>0</v>
      </c>
      <c r="I165" s="11"/>
      <c r="J165" s="4"/>
      <c r="K165" s="11"/>
      <c r="L165" s="4"/>
      <c r="M165" s="11"/>
      <c r="O165" s="11"/>
    </row>
    <row r="166" spans="1:15">
      <c r="A166" t="s">
        <v>382</v>
      </c>
      <c r="B166" s="12">
        <f>2149215.4/1000</f>
        <v>2149.2154</v>
      </c>
      <c r="D166" s="12">
        <v>0</v>
      </c>
      <c r="F166" s="12">
        <v>0</v>
      </c>
      <c r="H166" s="12">
        <v>0</v>
      </c>
    </row>
    <row r="167" spans="1:15">
      <c r="A167" t="s">
        <v>383</v>
      </c>
      <c r="B167" s="12">
        <v>0</v>
      </c>
      <c r="D167" s="12">
        <v>0</v>
      </c>
      <c r="F167" s="12">
        <v>0</v>
      </c>
      <c r="H167" s="12">
        <v>0</v>
      </c>
    </row>
    <row r="169" spans="1:15">
      <c r="A169" t="s">
        <v>384</v>
      </c>
      <c r="B169" s="4">
        <f t="shared" ref="B169:M169" si="11">+B119+B123+B125+B127+B142+B151+B153+B155+B157+B165</f>
        <v>416534.31894999999</v>
      </c>
      <c r="C169" s="11" t="s">
        <v>0</v>
      </c>
      <c r="D169" s="4">
        <f t="shared" si="11"/>
        <v>0</v>
      </c>
      <c r="E169" s="11" t="s">
        <v>0</v>
      </c>
      <c r="F169" s="4">
        <f t="shared" si="11"/>
        <v>0</v>
      </c>
      <c r="G169" s="11">
        <f t="shared" si="11"/>
        <v>0</v>
      </c>
      <c r="H169" s="4">
        <f t="shared" si="11"/>
        <v>0</v>
      </c>
      <c r="I169" s="11">
        <f t="shared" si="11"/>
        <v>0</v>
      </c>
      <c r="J169" s="4">
        <f t="shared" si="11"/>
        <v>0</v>
      </c>
      <c r="K169" s="11">
        <f t="shared" si="11"/>
        <v>0</v>
      </c>
      <c r="L169" s="4">
        <f t="shared" si="11"/>
        <v>0</v>
      </c>
      <c r="M169" s="11">
        <f t="shared" si="11"/>
        <v>0</v>
      </c>
      <c r="O169" s="11">
        <f>+O119+O123+O125+O127+O142+O151+O153+O155+O157+O165</f>
        <v>0</v>
      </c>
    </row>
  </sheetData>
  <pageMargins left="0.2" right="0.2" top="0.45" bottom="0.59" header="0.34" footer="0.3"/>
  <pageSetup scale="54" orientation="landscape" r:id="rId1"/>
  <headerFooter alignWithMargins="0">
    <oddFooter>&amp;R&amp;P</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5"/>
  <sheetViews>
    <sheetView workbookViewId="0"/>
  </sheetViews>
  <sheetFormatPr defaultRowHeight="15.75"/>
  <cols>
    <col min="1" max="1" width="33.25" customWidth="1"/>
    <col min="2" max="2" width="17.62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10.125" style="13" customWidth="1"/>
    <col min="18" max="18" width="15.75" style="12" customWidth="1"/>
    <col min="19" max="21" width="15.75" customWidth="1"/>
    <col min="22" max="256" width="11" customWidth="1"/>
  </cols>
  <sheetData>
    <row r="1" spans="1:21">
      <c r="A1" s="114" t="s">
        <v>650</v>
      </c>
      <c r="B1" s="37"/>
      <c r="C1" s="38"/>
      <c r="D1" s="37"/>
      <c r="E1" s="38"/>
      <c r="F1" s="37"/>
      <c r="G1" s="38"/>
      <c r="H1" s="37"/>
      <c r="I1" s="38"/>
      <c r="J1" s="37"/>
      <c r="K1" s="38"/>
      <c r="L1" s="37"/>
      <c r="M1" s="38"/>
      <c r="N1" s="37"/>
      <c r="O1" s="38"/>
      <c r="P1" s="37"/>
      <c r="Q1" s="38"/>
    </row>
    <row r="2" spans="1:21">
      <c r="A2" s="114" t="s">
        <v>305</v>
      </c>
      <c r="B2" s="37"/>
      <c r="C2" s="38"/>
      <c r="D2" s="37"/>
      <c r="E2" s="38"/>
      <c r="F2" s="37"/>
      <c r="G2" s="38"/>
      <c r="H2" s="37"/>
      <c r="I2" s="38"/>
      <c r="J2" s="37"/>
      <c r="K2" s="38"/>
      <c r="L2" s="37"/>
      <c r="M2" s="38"/>
      <c r="N2" s="37"/>
      <c r="O2" s="38"/>
      <c r="P2" s="37"/>
      <c r="Q2" s="38"/>
    </row>
    <row r="3" spans="1:21">
      <c r="A3" s="114" t="s">
        <v>526</v>
      </c>
      <c r="B3" s="37"/>
      <c r="C3" s="38"/>
      <c r="D3" s="37"/>
      <c r="E3" s="38"/>
      <c r="F3" s="37"/>
      <c r="G3" s="38"/>
      <c r="H3" s="37"/>
      <c r="I3" s="38"/>
      <c r="J3" s="37"/>
      <c r="K3" s="38"/>
      <c r="L3" s="37"/>
      <c r="M3" s="38"/>
      <c r="N3" s="37"/>
      <c r="O3" s="38"/>
      <c r="P3" s="37"/>
      <c r="Q3" s="38"/>
    </row>
    <row r="4" spans="1:21">
      <c r="A4" s="114" t="s">
        <v>179</v>
      </c>
      <c r="B4" s="37"/>
      <c r="C4" s="38"/>
      <c r="D4" s="37"/>
      <c r="E4" s="38"/>
      <c r="F4" s="37"/>
      <c r="G4" s="38"/>
      <c r="H4" s="37"/>
      <c r="I4" s="38"/>
      <c r="J4" s="37"/>
      <c r="K4" s="38"/>
      <c r="L4" s="37"/>
      <c r="M4" s="38"/>
      <c r="N4" s="37"/>
      <c r="O4" s="38"/>
      <c r="P4" s="37"/>
      <c r="Q4" s="38"/>
    </row>
    <row r="5" spans="1:21">
      <c r="A5" s="114"/>
      <c r="B5" s="37"/>
      <c r="C5" s="38"/>
      <c r="D5" s="37"/>
      <c r="E5" s="38"/>
      <c r="F5" s="37"/>
      <c r="G5" s="38"/>
      <c r="H5" s="37"/>
      <c r="I5" s="38"/>
      <c r="J5" s="37"/>
      <c r="K5" s="38"/>
      <c r="L5" s="37"/>
      <c r="M5" s="38"/>
      <c r="N5" s="37"/>
      <c r="O5" s="38"/>
      <c r="P5" s="37"/>
      <c r="Q5" s="38"/>
    </row>
    <row r="6" spans="1:21" ht="16.5" thickBot="1">
      <c r="B6" s="238" t="s">
        <v>0</v>
      </c>
      <c r="C6" s="215"/>
      <c r="D6" s="216"/>
      <c r="E6" s="215"/>
      <c r="F6" s="216"/>
      <c r="G6" s="215"/>
      <c r="H6" s="216"/>
      <c r="J6" s="123" t="s">
        <v>167</v>
      </c>
      <c r="K6" s="38"/>
      <c r="L6" s="37"/>
      <c r="M6" s="38"/>
      <c r="N6" s="37"/>
      <c r="O6" s="38"/>
      <c r="P6" s="37"/>
      <c r="Q6" s="38"/>
    </row>
    <row r="7" spans="1:21" s="2" customFormat="1" ht="16.5" thickBot="1">
      <c r="B7" s="223" t="s">
        <v>168</v>
      </c>
      <c r="C7" s="224" t="s">
        <v>301</v>
      </c>
      <c r="D7" s="225" t="s">
        <v>170</v>
      </c>
      <c r="E7" s="224" t="s">
        <v>301</v>
      </c>
      <c r="F7" s="225" t="s">
        <v>171</v>
      </c>
      <c r="G7" s="224" t="s">
        <v>301</v>
      </c>
      <c r="H7" s="225" t="s">
        <v>172</v>
      </c>
      <c r="I7" s="224" t="s">
        <v>301</v>
      </c>
      <c r="J7" s="228" t="s">
        <v>174</v>
      </c>
      <c r="K7" s="227" t="s">
        <v>301</v>
      </c>
      <c r="L7" s="228" t="s">
        <v>175</v>
      </c>
      <c r="M7" s="227" t="s">
        <v>301</v>
      </c>
      <c r="N7" s="228" t="s">
        <v>176</v>
      </c>
      <c r="O7" s="227" t="s">
        <v>301</v>
      </c>
      <c r="P7" s="228" t="s">
        <v>177</v>
      </c>
      <c r="Q7" s="227" t="s">
        <v>301</v>
      </c>
      <c r="R7" s="80"/>
      <c r="S7" s="18"/>
      <c r="T7" s="18"/>
      <c r="U7" s="18"/>
    </row>
    <row r="8" spans="1:21">
      <c r="A8" s="87" t="s">
        <v>243</v>
      </c>
      <c r="B8" s="125"/>
      <c r="C8" s="124"/>
      <c r="D8" s="219"/>
      <c r="E8" s="124"/>
      <c r="F8" s="219"/>
      <c r="G8" s="124"/>
      <c r="H8" s="219"/>
      <c r="I8" s="124"/>
      <c r="J8" s="219"/>
      <c r="K8" s="124"/>
      <c r="L8" s="219"/>
      <c r="M8" s="124"/>
      <c r="N8" s="219"/>
      <c r="O8" s="124"/>
      <c r="P8" s="219"/>
      <c r="Q8" s="124"/>
      <c r="R8" s="14"/>
      <c r="S8" s="9"/>
      <c r="T8" s="9"/>
      <c r="U8" s="9"/>
    </row>
    <row r="9" spans="1:21">
      <c r="A9" s="1" t="s">
        <v>264</v>
      </c>
      <c r="B9"/>
    </row>
    <row r="10" spans="1:21">
      <c r="A10" s="1" t="s">
        <v>265</v>
      </c>
      <c r="B10" s="12">
        <f>+sgbelvar!B10</f>
        <v>12208.8</v>
      </c>
      <c r="C10" s="47">
        <f t="shared" ref="C10:C15" si="0">+B10/$B$22</f>
        <v>2.2823062195125143E-2</v>
      </c>
      <c r="D10" s="12">
        <f>+sgbelvar!D10</f>
        <v>0</v>
      </c>
      <c r="E10" s="44">
        <v>0</v>
      </c>
      <c r="F10" s="12">
        <f>+sgbelvar!F10</f>
        <v>0</v>
      </c>
      <c r="G10" s="44">
        <v>0</v>
      </c>
      <c r="H10" s="12">
        <f>+sgbelvar!H10</f>
        <v>0</v>
      </c>
      <c r="I10" s="44">
        <v>0</v>
      </c>
      <c r="J10" s="12">
        <f>+sgbelvar!J10</f>
        <v>14187</v>
      </c>
      <c r="K10" s="47">
        <f t="shared" ref="K10:K15" si="1">+J10/$J$22</f>
        <v>2.7861011904411221E-2</v>
      </c>
      <c r="L10" s="12">
        <f>+sgbelvar!L10</f>
        <v>19605.400000000001</v>
      </c>
      <c r="M10" s="47">
        <f t="shared" ref="M10:M15" si="2">+L10/$L$22</f>
        <v>4.4041540400353144E-2</v>
      </c>
      <c r="N10" s="12">
        <f>+sgbelvar!N10</f>
        <v>9547.2000000000007</v>
      </c>
      <c r="O10" s="47">
        <f t="shared" ref="O10:O15" si="3">+N10/$N$22</f>
        <v>2.531958275676266E-2</v>
      </c>
      <c r="P10" s="12">
        <f>+sgbelvar!P10</f>
        <v>4171.5574800000004</v>
      </c>
      <c r="Q10" s="47">
        <f>+P10/$P$22</f>
        <v>1.3257290756283608E-2</v>
      </c>
    </row>
    <row r="11" spans="1:21">
      <c r="A11" s="1" t="s">
        <v>266</v>
      </c>
      <c r="B11" s="12">
        <f>+sgbelvar!B11</f>
        <v>66232.7</v>
      </c>
      <c r="C11" s="47">
        <f t="shared" si="0"/>
        <v>0.12381503763277842</v>
      </c>
      <c r="D11" s="12">
        <f>+sgbelvar!D11</f>
        <v>0</v>
      </c>
      <c r="E11" s="44">
        <v>0</v>
      </c>
      <c r="F11" s="12">
        <f>+sgbelvar!F11</f>
        <v>0</v>
      </c>
      <c r="G11" s="44">
        <v>0</v>
      </c>
      <c r="H11" s="12">
        <f>+sgbelvar!H11</f>
        <v>0</v>
      </c>
      <c r="I11" s="44">
        <v>0</v>
      </c>
      <c r="J11" s="12">
        <f>+sgbelvar!J11</f>
        <v>64623.4</v>
      </c>
      <c r="K11" s="47">
        <f t="shared" si="1"/>
        <v>0.12691008082776684</v>
      </c>
      <c r="L11" s="12">
        <f>+sgbelvar!L11</f>
        <v>52546</v>
      </c>
      <c r="M11" s="47">
        <f t="shared" si="2"/>
        <v>0.11803925356671917</v>
      </c>
      <c r="N11" s="12">
        <f>+sgbelvar!N11</f>
        <v>40252.800000000003</v>
      </c>
      <c r="O11" s="47">
        <f t="shared" si="3"/>
        <v>0.10675214730930703</v>
      </c>
      <c r="P11" s="12">
        <f>+sgbelvar!P11</f>
        <v>43188.123369999994</v>
      </c>
      <c r="Q11" s="47">
        <f t="shared" ref="Q11:Q27" si="4">+P11/$P$22</f>
        <v>0.13725269554102776</v>
      </c>
    </row>
    <row r="12" spans="1:21">
      <c r="A12" s="1" t="s">
        <v>267</v>
      </c>
      <c r="B12" s="12">
        <f>+sgbelvar!B12</f>
        <v>5174.1000000000004</v>
      </c>
      <c r="C12" s="47">
        <f t="shared" si="0"/>
        <v>9.6724334990987669E-3</v>
      </c>
      <c r="D12" s="12">
        <f>+sgbelvar!D12</f>
        <v>0</v>
      </c>
      <c r="E12" s="44">
        <v>0</v>
      </c>
      <c r="F12" s="12">
        <f>+sgbelvar!F12</f>
        <v>0</v>
      </c>
      <c r="G12" s="44">
        <v>0</v>
      </c>
      <c r="H12" s="12">
        <f>+sgbelvar!H12</f>
        <v>0</v>
      </c>
      <c r="I12" s="44">
        <v>0</v>
      </c>
      <c r="J12" s="12">
        <f>+sgbelvar!J12</f>
        <v>0</v>
      </c>
      <c r="K12" s="47">
        <f t="shared" si="1"/>
        <v>0</v>
      </c>
      <c r="L12" s="12">
        <f>+sgbelvar!L12</f>
        <v>0</v>
      </c>
      <c r="M12" s="47">
        <f t="shared" si="2"/>
        <v>0</v>
      </c>
      <c r="N12" s="12">
        <f>+sgbelvar!N12</f>
        <v>12195.5</v>
      </c>
      <c r="O12" s="47">
        <f t="shared" si="3"/>
        <v>3.2342987630938812E-2</v>
      </c>
      <c r="P12" s="12">
        <f>+sgbelvar!P12</f>
        <v>16939.168109999999</v>
      </c>
      <c r="Q12" s="47">
        <f t="shared" si="4"/>
        <v>5.3833005509452324E-2</v>
      </c>
    </row>
    <row r="13" spans="1:21">
      <c r="A13" s="1" t="s">
        <v>268</v>
      </c>
      <c r="B13" s="12">
        <f>+sgbelvar!B13</f>
        <v>5137.7</v>
      </c>
      <c r="C13" s="47">
        <f t="shared" si="0"/>
        <v>9.6043875434026638E-3</v>
      </c>
      <c r="D13" s="12">
        <f>+sgbelvar!D13</f>
        <v>0</v>
      </c>
      <c r="E13" s="44">
        <v>0</v>
      </c>
      <c r="F13" s="12">
        <f>+sgbelvar!F13</f>
        <v>0</v>
      </c>
      <c r="G13" s="44">
        <v>0</v>
      </c>
      <c r="H13" s="12">
        <f>+sgbelvar!H13</f>
        <v>0</v>
      </c>
      <c r="I13" s="44">
        <v>0</v>
      </c>
      <c r="J13" s="12">
        <f>+sgbelvar!J13</f>
        <v>722.7</v>
      </c>
      <c r="K13" s="47">
        <f t="shared" si="1"/>
        <v>1.4192678722293644E-3</v>
      </c>
      <c r="L13" s="12">
        <f>+sgbelvar!L13</f>
        <v>744.7</v>
      </c>
      <c r="M13" s="47">
        <f t="shared" si="2"/>
        <v>1.6728929344029188E-3</v>
      </c>
      <c r="N13" s="12">
        <f>+sgbelvar!N13</f>
        <v>1145</v>
      </c>
      <c r="O13" s="47">
        <f t="shared" si="3"/>
        <v>3.0365889744106379E-3</v>
      </c>
      <c r="P13" s="12">
        <f>+sgbelvar!P13</f>
        <v>97.102550000000008</v>
      </c>
      <c r="Q13" s="47">
        <f t="shared" si="4"/>
        <v>3.085937913353568E-4</v>
      </c>
    </row>
    <row r="14" spans="1:21">
      <c r="A14" s="1" t="s">
        <v>269</v>
      </c>
      <c r="B14" s="221">
        <f>+sgbelvar!B14</f>
        <v>4894.6000000000004</v>
      </c>
      <c r="C14" s="328">
        <f t="shared" si="0"/>
        <v>9.1499377678608499E-3</v>
      </c>
      <c r="D14" s="221">
        <f>+sgbelvar!D14</f>
        <v>0</v>
      </c>
      <c r="E14" s="545">
        <v>0</v>
      </c>
      <c r="F14" s="221">
        <f>+sgbelvar!F14</f>
        <v>0</v>
      </c>
      <c r="G14" s="545">
        <v>0</v>
      </c>
      <c r="H14" s="221">
        <f>+sgbelvar!H14</f>
        <v>0</v>
      </c>
      <c r="I14" s="545">
        <v>0</v>
      </c>
      <c r="J14" s="221">
        <f>+sgbelvar!J14</f>
        <v>4338.2</v>
      </c>
      <c r="K14" s="328">
        <f t="shared" si="1"/>
        <v>8.5195349153250697E-3</v>
      </c>
      <c r="L14" s="221">
        <f>+sgbelvar!L14</f>
        <v>3340.9</v>
      </c>
      <c r="M14" s="328">
        <f t="shared" si="2"/>
        <v>7.5049926205810547E-3</v>
      </c>
      <c r="N14" s="221">
        <f>+sgbelvar!N14</f>
        <v>1201.9000000000001</v>
      </c>
      <c r="O14" s="328">
        <f t="shared" si="3"/>
        <v>3.1874902081608265E-3</v>
      </c>
      <c r="P14" s="221">
        <f>+sgbelvar!P14</f>
        <v>11519.76117</v>
      </c>
      <c r="Q14" s="328">
        <f t="shared" si="4"/>
        <v>3.6610024914156485E-2</v>
      </c>
    </row>
    <row r="15" spans="1:21" ht="15.6" customHeight="1">
      <c r="A15" s="1"/>
      <c r="B15" s="12">
        <f>SUM(B10:B14)</f>
        <v>93647.900000000009</v>
      </c>
      <c r="C15" s="47">
        <f t="shared" si="0"/>
        <v>0.17506485863826585</v>
      </c>
      <c r="D15" s="12">
        <f>SUM(D10:D14)</f>
        <v>0</v>
      </c>
      <c r="E15" s="44">
        <v>0</v>
      </c>
      <c r="F15" s="12">
        <f>SUM(F10:F14)</f>
        <v>0</v>
      </c>
      <c r="G15" s="44">
        <v>0</v>
      </c>
      <c r="H15" s="12">
        <f>SUM(H10:H14)</f>
        <v>0</v>
      </c>
      <c r="I15" s="44">
        <v>0</v>
      </c>
      <c r="J15" s="12">
        <f>SUM(J10:J14)</f>
        <v>83871.299999999988</v>
      </c>
      <c r="K15" s="47">
        <f t="shared" si="1"/>
        <v>0.16470989551973247</v>
      </c>
      <c r="L15" s="12">
        <f>SUM(L10:L14)</f>
        <v>76236.999999999985</v>
      </c>
      <c r="M15" s="47">
        <f t="shared" si="2"/>
        <v>0.17125867952205626</v>
      </c>
      <c r="N15" s="12">
        <f>SUM(N10:N14)</f>
        <v>64342.400000000001</v>
      </c>
      <c r="O15" s="47">
        <f t="shared" si="3"/>
        <v>0.17063879687957995</v>
      </c>
      <c r="P15" s="12">
        <f>SUM(P10:P14)</f>
        <v>75915.712679999997</v>
      </c>
      <c r="Q15" s="47">
        <f t="shared" si="4"/>
        <v>0.24126161051225553</v>
      </c>
    </row>
    <row r="16" spans="1:21" ht="7.9" customHeight="1">
      <c r="A16" s="1"/>
      <c r="C16" s="47" t="s">
        <v>0</v>
      </c>
      <c r="E16" s="44" t="s">
        <v>0</v>
      </c>
      <c r="G16" s="44" t="s">
        <v>0</v>
      </c>
      <c r="I16" s="44" t="s">
        <v>0</v>
      </c>
      <c r="K16" s="47" t="s">
        <v>0</v>
      </c>
      <c r="M16" s="47" t="s">
        <v>0</v>
      </c>
      <c r="O16" s="47" t="s">
        <v>0</v>
      </c>
      <c r="Q16" s="47" t="s">
        <v>0</v>
      </c>
    </row>
    <row r="17" spans="1:17" ht="15.6" customHeight="1">
      <c r="A17" s="1" t="s">
        <v>270</v>
      </c>
      <c r="B17" s="12">
        <f>+sgbelvar!B17</f>
        <v>46000</v>
      </c>
      <c r="C17" s="47">
        <f t="shared" ref="C17:C22" si="5">+B17/$B$22</f>
        <v>8.5992141813753739E-2</v>
      </c>
      <c r="D17" s="12">
        <f>+sgbelvar!D17</f>
        <v>0</v>
      </c>
      <c r="E17" s="44">
        <v>0</v>
      </c>
      <c r="F17" s="12">
        <f>+sgbelvar!F17</f>
        <v>0</v>
      </c>
      <c r="G17" s="44">
        <v>0</v>
      </c>
      <c r="H17" s="12">
        <f>+sgbelvar!H17</f>
        <v>0</v>
      </c>
      <c r="I17" s="44">
        <v>0</v>
      </c>
      <c r="J17" s="12">
        <f>+sgbelvar!J17</f>
        <v>35000</v>
      </c>
      <c r="K17" s="47">
        <f t="shared" ref="K17:K22" si="6">+J17/$J$22</f>
        <v>6.8734434105476333E-2</v>
      </c>
      <c r="L17" s="12">
        <f>+sgbelvar!L17</f>
        <v>28000</v>
      </c>
      <c r="M17" s="47">
        <f t="shared" ref="M17:M22" si="7">+L17/$L$22</f>
        <v>6.2899156926657346E-2</v>
      </c>
      <c r="N17" s="12">
        <f>+sgbelvar!N17</f>
        <v>37000</v>
      </c>
      <c r="O17" s="47">
        <f t="shared" ref="O17:O22" si="8">+N17/$N$22</f>
        <v>9.8125582579208392E-2</v>
      </c>
      <c r="P17" s="12">
        <f>+sgbelvar!P17</f>
        <v>0</v>
      </c>
      <c r="Q17" s="47">
        <f t="shared" si="4"/>
        <v>0</v>
      </c>
    </row>
    <row r="18" spans="1:17">
      <c r="A18" s="1" t="s">
        <v>271</v>
      </c>
      <c r="B18" s="12">
        <f>+sgbelvar!B18</f>
        <v>18945.3</v>
      </c>
      <c r="C18" s="47">
        <f t="shared" si="5"/>
        <v>3.5416237484871924E-2</v>
      </c>
      <c r="D18" s="12">
        <f>+sgbelvar!D18</f>
        <v>0</v>
      </c>
      <c r="E18" s="44">
        <v>0</v>
      </c>
      <c r="F18" s="12">
        <f>+sgbelvar!F18</f>
        <v>0</v>
      </c>
      <c r="G18" s="44">
        <v>0</v>
      </c>
      <c r="H18" s="12">
        <f>+sgbelvar!H18</f>
        <v>0</v>
      </c>
      <c r="I18" s="44">
        <v>0</v>
      </c>
      <c r="J18" s="12">
        <f>+sgbelvar!J18</f>
        <v>23295.3</v>
      </c>
      <c r="K18" s="47">
        <f t="shared" si="6"/>
        <v>4.5748264651922936E-2</v>
      </c>
      <c r="L18" s="12">
        <f>+sgbelvar!L18</f>
        <v>18315.3</v>
      </c>
      <c r="M18" s="47">
        <f t="shared" si="7"/>
        <v>4.1143461744957401E-2</v>
      </c>
      <c r="N18" s="12">
        <f>+sgbelvar!N18</f>
        <v>2540.0250000000001</v>
      </c>
      <c r="O18" s="47">
        <f t="shared" si="8"/>
        <v>6.7362549429933463E-3</v>
      </c>
      <c r="P18" s="12">
        <f>+sgbelvar!P18</f>
        <v>2540.0250000000001</v>
      </c>
      <c r="Q18" s="47">
        <f t="shared" si="4"/>
        <v>8.0722488218547273E-3</v>
      </c>
    </row>
    <row r="19" spans="1:17">
      <c r="A19" s="1" t="s">
        <v>272</v>
      </c>
      <c r="B19" s="12">
        <f>+sgbelvar!B19</f>
        <v>341630.7</v>
      </c>
      <c r="C19" s="47">
        <f t="shared" si="5"/>
        <v>0.63864251309417308</v>
      </c>
      <c r="D19" s="12">
        <f>+sgbelvar!D19</f>
        <v>0</v>
      </c>
      <c r="E19" s="44">
        <v>0</v>
      </c>
      <c r="F19" s="12">
        <f>+sgbelvar!F19</f>
        <v>0</v>
      </c>
      <c r="G19" s="44">
        <v>0</v>
      </c>
      <c r="H19" s="12">
        <f>+sgbelvar!H19</f>
        <v>0</v>
      </c>
      <c r="I19" s="44">
        <v>0</v>
      </c>
      <c r="J19" s="12">
        <f>+sgbelvar!J19</f>
        <v>333096.40000000002</v>
      </c>
      <c r="K19" s="47">
        <f t="shared" si="6"/>
        <v>0.65414835875918254</v>
      </c>
      <c r="L19" s="12">
        <f>+sgbelvar!L19</f>
        <v>298788.09999999998</v>
      </c>
      <c r="M19" s="47">
        <f t="shared" si="7"/>
        <v>0.67119712820420663</v>
      </c>
      <c r="N19" s="12">
        <f>+sgbelvar!N19</f>
        <v>250372</v>
      </c>
      <c r="O19" s="47">
        <f t="shared" si="8"/>
        <v>0.66399725301409629</v>
      </c>
      <c r="P19" s="12">
        <f>+sgbelvar!P19</f>
        <v>215714.19650999998</v>
      </c>
      <c r="Q19" s="47">
        <f t="shared" si="4"/>
        <v>0.68554390946356281</v>
      </c>
    </row>
    <row r="20" spans="1:17">
      <c r="A20" s="1" t="s">
        <v>273</v>
      </c>
      <c r="B20" s="12">
        <f>+sgbelvar!B20</f>
        <v>26211.7</v>
      </c>
      <c r="C20" s="47">
        <f t="shared" si="5"/>
        <v>4.9000004860425411E-2</v>
      </c>
      <c r="D20" s="12">
        <f>+sgbelvar!D20</f>
        <v>0</v>
      </c>
      <c r="E20" s="44">
        <v>0</v>
      </c>
      <c r="F20" s="12">
        <f>+sgbelvar!F20</f>
        <v>0</v>
      </c>
      <c r="G20" s="44">
        <v>0</v>
      </c>
      <c r="H20" s="12">
        <f>+sgbelvar!H20</f>
        <v>0</v>
      </c>
      <c r="I20" s="44">
        <v>0</v>
      </c>
      <c r="J20" s="12">
        <f>+sgbelvar!J20</f>
        <v>26298.1</v>
      </c>
      <c r="K20" s="47">
        <f t="shared" si="6"/>
        <v>5.1645286329977919E-2</v>
      </c>
      <c r="L20" s="12">
        <f>+sgbelvar!L20</f>
        <v>16253</v>
      </c>
      <c r="M20" s="47">
        <f t="shared" si="7"/>
        <v>3.6510714197462921E-2</v>
      </c>
      <c r="N20" s="12">
        <f>+sgbelvar!N20</f>
        <v>17265.400000000001</v>
      </c>
      <c r="O20" s="47">
        <f t="shared" si="8"/>
        <v>4.5788579282785534E-2</v>
      </c>
      <c r="P20" s="12">
        <f>+sgbelvar!P20</f>
        <v>15424.765890000001</v>
      </c>
      <c r="Q20" s="47">
        <f t="shared" si="4"/>
        <v>4.9020205818028358E-2</v>
      </c>
    </row>
    <row r="21" spans="1:17" ht="16.5" thickBot="1">
      <c r="A21" s="1" t="s">
        <v>274</v>
      </c>
      <c r="B21" s="99">
        <f>+sgbelvar!B21</f>
        <v>8497</v>
      </c>
      <c r="C21" s="329">
        <f t="shared" si="5"/>
        <v>1.588424410851012E-2</v>
      </c>
      <c r="D21" s="99">
        <f>+sgbelvar!D21</f>
        <v>0</v>
      </c>
      <c r="E21" s="232">
        <v>0</v>
      </c>
      <c r="F21" s="99">
        <f>+sgbelvar!F21</f>
        <v>0</v>
      </c>
      <c r="G21" s="232">
        <v>0</v>
      </c>
      <c r="H21" s="99">
        <f>+sgbelvar!H21</f>
        <v>0</v>
      </c>
      <c r="I21" s="232">
        <v>0</v>
      </c>
      <c r="J21" s="99">
        <f>+sgbelvar!J21</f>
        <v>7645.1</v>
      </c>
      <c r="K21" s="329">
        <f t="shared" si="6"/>
        <v>1.5013760633707919E-2</v>
      </c>
      <c r="L21" s="99">
        <f>+sgbelvar!L21</f>
        <v>7563.6</v>
      </c>
      <c r="M21" s="329">
        <f t="shared" si="7"/>
        <v>1.6990859404659484E-2</v>
      </c>
      <c r="N21" s="99">
        <f>+sgbelvar!N21</f>
        <v>5548</v>
      </c>
      <c r="O21" s="329">
        <f t="shared" si="8"/>
        <v>1.4713533301336438E-2</v>
      </c>
      <c r="P21" s="99">
        <f>+sgbelvar!P21</f>
        <v>5066.6856200000002</v>
      </c>
      <c r="Q21" s="329">
        <f t="shared" si="4"/>
        <v>1.6102025384298693E-2</v>
      </c>
    </row>
    <row r="22" spans="1:17">
      <c r="A22" s="1" t="s">
        <v>275</v>
      </c>
      <c r="B22" s="4">
        <f>SUM(B15:B21)</f>
        <v>534932.6</v>
      </c>
      <c r="C22" s="112">
        <f t="shared" si="5"/>
        <v>1</v>
      </c>
      <c r="D22" s="4">
        <f>SUM(D15:D21)</f>
        <v>0</v>
      </c>
      <c r="E22" s="1099">
        <v>0</v>
      </c>
      <c r="F22" s="4">
        <f>SUM(F15:F21)</f>
        <v>0</v>
      </c>
      <c r="G22" s="1099">
        <v>0</v>
      </c>
      <c r="H22" s="4">
        <f>SUM(H15:H21)</f>
        <v>0</v>
      </c>
      <c r="I22" s="42">
        <v>0</v>
      </c>
      <c r="J22" s="4">
        <f>SUM(J15:J21)</f>
        <v>509206.19999999995</v>
      </c>
      <c r="K22" s="47">
        <f t="shared" si="6"/>
        <v>1</v>
      </c>
      <c r="L22" s="4">
        <f>SUM(L15:L21)</f>
        <v>445156.99999999994</v>
      </c>
      <c r="M22" s="47">
        <f t="shared" si="7"/>
        <v>1</v>
      </c>
      <c r="N22" s="4">
        <f>SUM(N15:N21)</f>
        <v>377067.82500000001</v>
      </c>
      <c r="O22" s="47">
        <f t="shared" si="8"/>
        <v>1</v>
      </c>
      <c r="P22" s="4">
        <f>SUM(P15:P21)</f>
        <v>314661.38569999993</v>
      </c>
      <c r="Q22" s="47">
        <f t="shared" si="4"/>
        <v>1</v>
      </c>
    </row>
    <row r="23" spans="1:17" ht="7.9" customHeight="1">
      <c r="A23" s="1"/>
      <c r="C23" s="47" t="s">
        <v>0</v>
      </c>
      <c r="E23" s="44" t="s">
        <v>0</v>
      </c>
      <c r="G23" s="44" t="s">
        <v>0</v>
      </c>
      <c r="I23" s="44" t="s">
        <v>0</v>
      </c>
      <c r="K23" s="47" t="s">
        <v>0</v>
      </c>
      <c r="M23" s="47" t="s">
        <v>0</v>
      </c>
      <c r="O23" s="47" t="s">
        <v>0</v>
      </c>
      <c r="Q23" s="47" t="s">
        <v>0</v>
      </c>
    </row>
    <row r="24" spans="1:17">
      <c r="A24" s="87" t="s">
        <v>276</v>
      </c>
      <c r="C24" s="47" t="s">
        <v>0</v>
      </c>
      <c r="E24" s="44" t="s">
        <v>0</v>
      </c>
      <c r="G24" s="44" t="s">
        <v>0</v>
      </c>
      <c r="I24" s="44" t="s">
        <v>0</v>
      </c>
      <c r="K24" s="47" t="s">
        <v>0</v>
      </c>
      <c r="M24" s="47" t="s">
        <v>0</v>
      </c>
      <c r="O24" s="47" t="s">
        <v>0</v>
      </c>
      <c r="Q24" s="47" t="s">
        <v>0</v>
      </c>
    </row>
    <row r="25" spans="1:17">
      <c r="A25" s="1" t="s">
        <v>277</v>
      </c>
      <c r="C25" s="47" t="s">
        <v>0</v>
      </c>
      <c r="E25" s="44" t="s">
        <v>0</v>
      </c>
      <c r="G25" s="44" t="s">
        <v>0</v>
      </c>
      <c r="I25" s="44" t="s">
        <v>0</v>
      </c>
      <c r="K25" s="47" t="s">
        <v>0</v>
      </c>
      <c r="M25" s="47" t="s">
        <v>0</v>
      </c>
      <c r="O25" s="47" t="s">
        <v>0</v>
      </c>
      <c r="Q25" s="47" t="s">
        <v>0</v>
      </c>
    </row>
    <row r="26" spans="1:17">
      <c r="A26" s="1" t="s">
        <v>278</v>
      </c>
      <c r="B26" s="12">
        <f>+sgbelvar!B26</f>
        <v>73794.8</v>
      </c>
      <c r="C26" s="47">
        <f>+B26/$B$22</f>
        <v>0.13795158492864334</v>
      </c>
      <c r="D26" s="12">
        <f>+sgbelvar!D26</f>
        <v>0</v>
      </c>
      <c r="E26" s="44">
        <v>0</v>
      </c>
      <c r="F26" s="12">
        <f>+sgbelvar!F26</f>
        <v>0</v>
      </c>
      <c r="G26" s="44">
        <v>0</v>
      </c>
      <c r="H26" s="12">
        <f>+sgbelvar!H26</f>
        <v>0</v>
      </c>
      <c r="I26" s="44">
        <v>0</v>
      </c>
      <c r="J26" s="12">
        <f>+sgbelvar!J26</f>
        <v>67606.5</v>
      </c>
      <c r="K26" s="47">
        <f>+J26/$J$22</f>
        <v>0.13276841483862531</v>
      </c>
      <c r="L26" s="12">
        <f>+sgbelvar!L26</f>
        <v>54747.1</v>
      </c>
      <c r="M26" s="47">
        <f>+L26/$L$22</f>
        <v>0.12298380122069294</v>
      </c>
      <c r="N26" s="12">
        <f>+sgbelvar!N26</f>
        <v>3016.3</v>
      </c>
      <c r="O26" s="47">
        <f>+N26/$N$22</f>
        <v>7.9993566144234141E-3</v>
      </c>
      <c r="P26" s="12">
        <f>+sgbelvar!P26</f>
        <v>2115.8737500000002</v>
      </c>
      <c r="Q26" s="47">
        <f t="shared" si="4"/>
        <v>6.7242879048949687E-3</v>
      </c>
    </row>
    <row r="27" spans="1:17">
      <c r="A27" s="1" t="s">
        <v>279</v>
      </c>
      <c r="B27" s="12">
        <f>+sgbelvar!B27</f>
        <v>183096.8</v>
      </c>
      <c r="C27" s="47">
        <f>+B27/$B$22</f>
        <v>0.34228013024444576</v>
      </c>
      <c r="D27" s="12">
        <f>+sgbelvar!D27</f>
        <v>0</v>
      </c>
      <c r="E27" s="44">
        <v>0</v>
      </c>
      <c r="F27" s="12">
        <f>+sgbelvar!F27</f>
        <v>0</v>
      </c>
      <c r="G27" s="44">
        <v>0</v>
      </c>
      <c r="H27" s="12">
        <f>+sgbelvar!H27</f>
        <v>0</v>
      </c>
      <c r="I27" s="44">
        <v>0</v>
      </c>
      <c r="J27" s="12">
        <f>+sgbelvar!J27</f>
        <v>187556.8</v>
      </c>
      <c r="K27" s="47">
        <f>+J27/$J$22</f>
        <v>0.36833172887525722</v>
      </c>
      <c r="L27" s="12">
        <f>+sgbelvar!L27</f>
        <v>164417.29999999999</v>
      </c>
      <c r="M27" s="47">
        <f>+L27/$L$22</f>
        <v>0.36934676979133207</v>
      </c>
      <c r="N27" s="12">
        <f>+sgbelvar!N27</f>
        <v>200850.9</v>
      </c>
      <c r="O27" s="47">
        <f>+N27/$N$22</f>
        <v>0.53266517767725208</v>
      </c>
      <c r="P27" s="12">
        <f>+sgbelvar!P27</f>
        <v>175806.079</v>
      </c>
      <c r="Q27" s="47">
        <f t="shared" si="4"/>
        <v>0.55871513630088243</v>
      </c>
    </row>
    <row r="28" spans="1:17">
      <c r="A28" s="1" t="s">
        <v>280</v>
      </c>
      <c r="B28" s="221">
        <f>+sgbelvar!B28</f>
        <v>207787.3</v>
      </c>
      <c r="C28" s="328">
        <f>+B28/$B$22</f>
        <v>0.38843641236297805</v>
      </c>
      <c r="D28" s="221">
        <f>+sgbelvar!D28</f>
        <v>0</v>
      </c>
      <c r="E28" s="545">
        <v>0</v>
      </c>
      <c r="F28" s="221">
        <f>+sgbelvar!F28</f>
        <v>0</v>
      </c>
      <c r="G28" s="545">
        <v>0</v>
      </c>
      <c r="H28" s="221">
        <f>+sgbelvar!H28</f>
        <v>0</v>
      </c>
      <c r="I28" s="545">
        <v>0</v>
      </c>
      <c r="J28" s="221">
        <f>+sgbelvar!J28</f>
        <v>170488.3</v>
      </c>
      <c r="K28" s="328">
        <f>+J28/$J$22</f>
        <v>0.33481190920299086</v>
      </c>
      <c r="L28" s="221">
        <f>+sgbelvar!L28</f>
        <v>135058.20000000001</v>
      </c>
      <c r="M28" s="328">
        <f>+L28/$L$22</f>
        <v>0.30339453271542405</v>
      </c>
      <c r="N28" s="221">
        <f>+sgbelvar!N28</f>
        <v>99751.6</v>
      </c>
      <c r="O28" s="328">
        <f>+N28/$N$22</f>
        <v>0.26454550981643687</v>
      </c>
      <c r="P28" s="221">
        <f>+sgbelvar!P28</f>
        <v>72553.518530000001</v>
      </c>
      <c r="Q28" s="328">
        <f t="shared" ref="Q28:Q43" si="9">+P28/$P$22</f>
        <v>0.23057649215074952</v>
      </c>
    </row>
    <row r="29" spans="1:17">
      <c r="A29" s="1"/>
      <c r="B29" s="12">
        <f>SUM(B26:B28)</f>
        <v>464678.89999999997</v>
      </c>
      <c r="C29" s="47">
        <f>+B29/$B$22</f>
        <v>0.86866812753606715</v>
      </c>
      <c r="D29" s="12">
        <f>SUM(D26:D28)</f>
        <v>0</v>
      </c>
      <c r="E29" s="44">
        <v>0</v>
      </c>
      <c r="F29" s="12">
        <f>SUM(F26:F28)</f>
        <v>0</v>
      </c>
      <c r="G29" s="44">
        <v>0</v>
      </c>
      <c r="H29" s="12">
        <f>SUM(H26:H28)</f>
        <v>0</v>
      </c>
      <c r="I29" s="44">
        <v>0</v>
      </c>
      <c r="J29" s="12">
        <f>SUM(J26:J28)</f>
        <v>425651.6</v>
      </c>
      <c r="K29" s="47">
        <f>+J29/$J$22</f>
        <v>0.83591205291687343</v>
      </c>
      <c r="L29" s="12">
        <f>SUM(L26:L28)</f>
        <v>354222.6</v>
      </c>
      <c r="M29" s="47">
        <f>+L29/$L$22</f>
        <v>0.79572510372744898</v>
      </c>
      <c r="N29" s="12">
        <f>SUM(N26:N28)</f>
        <v>303618.8</v>
      </c>
      <c r="O29" s="47">
        <f>+N29/$N$22</f>
        <v>0.80521004410811237</v>
      </c>
      <c r="P29" s="12">
        <f>SUM(P26:P28)</f>
        <v>250475.47128</v>
      </c>
      <c r="Q29" s="47">
        <f t="shared" si="9"/>
        <v>0.79601591635652691</v>
      </c>
    </row>
    <row r="30" spans="1:17" ht="7.9" customHeight="1">
      <c r="A30" s="1"/>
      <c r="C30" s="47" t="s">
        <v>0</v>
      </c>
      <c r="E30" s="44" t="s">
        <v>0</v>
      </c>
      <c r="G30" s="44" t="s">
        <v>0</v>
      </c>
      <c r="I30" s="44" t="s">
        <v>0</v>
      </c>
      <c r="K30" s="47" t="s">
        <v>0</v>
      </c>
      <c r="M30" s="47" t="s">
        <v>0</v>
      </c>
      <c r="O30" s="47" t="s">
        <v>0</v>
      </c>
      <c r="Q30" s="47" t="s">
        <v>0</v>
      </c>
    </row>
    <row r="31" spans="1:17">
      <c r="A31" s="1" t="s">
        <v>281</v>
      </c>
      <c r="C31" s="47" t="s">
        <v>0</v>
      </c>
      <c r="E31" s="44" t="s">
        <v>0</v>
      </c>
      <c r="G31" s="44" t="s">
        <v>0</v>
      </c>
      <c r="I31" s="44" t="s">
        <v>0</v>
      </c>
      <c r="K31" s="47" t="s">
        <v>0</v>
      </c>
      <c r="M31" s="47" t="s">
        <v>0</v>
      </c>
      <c r="O31" s="47" t="s">
        <v>0</v>
      </c>
      <c r="Q31" s="47" t="s">
        <v>0</v>
      </c>
    </row>
    <row r="32" spans="1:17">
      <c r="A32" s="1" t="s">
        <v>282</v>
      </c>
      <c r="B32" s="12">
        <f>+sgbelvar!B32</f>
        <v>0</v>
      </c>
      <c r="C32" s="47">
        <f>+B32/$B$22</f>
        <v>0</v>
      </c>
      <c r="D32" s="12">
        <f>+sgbelvar!D32</f>
        <v>0</v>
      </c>
      <c r="E32" s="44">
        <v>0</v>
      </c>
      <c r="F32" s="12">
        <f>+sgbelvar!F32</f>
        <v>0</v>
      </c>
      <c r="G32" s="44">
        <v>0</v>
      </c>
      <c r="H32" s="12">
        <f>+sgbelvar!H32</f>
        <v>0</v>
      </c>
      <c r="I32" s="44">
        <v>0</v>
      </c>
      <c r="J32" s="12">
        <f>+sgbelvar!J32</f>
        <v>0</v>
      </c>
      <c r="K32" s="47">
        <f>+J32/$J$22</f>
        <v>0</v>
      </c>
      <c r="L32" s="12">
        <f>+sgbelvar!L32</f>
        <v>6153</v>
      </c>
      <c r="M32" s="47">
        <f>+L32/$L$22</f>
        <v>1.3822089734632951E-2</v>
      </c>
      <c r="N32" s="12">
        <f>+sgbelvar!N32</f>
        <v>0</v>
      </c>
      <c r="O32" s="47">
        <f>+N32/$N$22</f>
        <v>0</v>
      </c>
      <c r="P32" s="12">
        <f>+sgbelvar!P32</f>
        <v>0</v>
      </c>
      <c r="Q32" s="47">
        <f t="shared" si="9"/>
        <v>0</v>
      </c>
    </row>
    <row r="33" spans="1:21">
      <c r="A33" s="1" t="s">
        <v>283</v>
      </c>
      <c r="B33" s="12">
        <f>+sgbelvar!B33</f>
        <v>0</v>
      </c>
      <c r="C33" s="47">
        <f>+B33/$B$22</f>
        <v>0</v>
      </c>
      <c r="D33" s="12">
        <f>+sgbelvar!D33</f>
        <v>0</v>
      </c>
      <c r="E33" s="44">
        <v>0</v>
      </c>
      <c r="F33" s="12">
        <f>+sgbelvar!F33</f>
        <v>0</v>
      </c>
      <c r="G33" s="44">
        <v>0</v>
      </c>
      <c r="H33" s="12">
        <f>+sgbelvar!H33</f>
        <v>0</v>
      </c>
      <c r="I33" s="44">
        <v>0</v>
      </c>
      <c r="J33" s="12">
        <f>+sgbelvar!J33</f>
        <v>0</v>
      </c>
      <c r="K33" s="47">
        <f>+J33/$J$22</f>
        <v>0</v>
      </c>
      <c r="L33" s="12">
        <f>+sgbelvar!L33</f>
        <v>0</v>
      </c>
      <c r="M33" s="47">
        <f>+L33/$L$22</f>
        <v>0</v>
      </c>
      <c r="N33" s="12">
        <f>+sgbelvar!N33</f>
        <v>0</v>
      </c>
      <c r="O33" s="47">
        <f>+N33/$N$22</f>
        <v>0</v>
      </c>
      <c r="P33" s="12">
        <f>+sgbelvar!P33</f>
        <v>0</v>
      </c>
      <c r="Q33" s="47">
        <f t="shared" si="9"/>
        <v>0</v>
      </c>
    </row>
    <row r="34" spans="1:21" ht="18">
      <c r="A34" s="1" t="s">
        <v>284</v>
      </c>
      <c r="B34" s="221">
        <f>+sgbelvar!B34</f>
        <v>9067.7000000000007</v>
      </c>
      <c r="C34" s="328">
        <f>+B34/$B$22</f>
        <v>1.6951107485316842E-2</v>
      </c>
      <c r="D34" s="221">
        <f>+sgbelvar!D34</f>
        <v>0</v>
      </c>
      <c r="E34" s="545">
        <v>0</v>
      </c>
      <c r="F34" s="221">
        <f>+sgbelvar!F34</f>
        <v>0</v>
      </c>
      <c r="G34" s="545">
        <v>0</v>
      </c>
      <c r="H34" s="221">
        <f>+sgbelvar!H34</f>
        <v>0</v>
      </c>
      <c r="I34" s="545">
        <v>0</v>
      </c>
      <c r="J34" s="221">
        <f>+sgbelvar!J34</f>
        <v>25394.400000000001</v>
      </c>
      <c r="K34" s="328">
        <f>+J34/$J$22</f>
        <v>4.9870563241374524E-2</v>
      </c>
      <c r="L34" s="221">
        <f>+sgbelvar!L34</f>
        <v>7919.4</v>
      </c>
      <c r="M34" s="328">
        <f>+L34/$L$22</f>
        <v>1.7790127977320363E-2</v>
      </c>
      <c r="N34" s="221">
        <f>+sgbelvar!N34</f>
        <v>0</v>
      </c>
      <c r="O34" s="328">
        <f>+N34/$N$22</f>
        <v>0</v>
      </c>
      <c r="P34" s="221">
        <f>+sgbelvar!P34</f>
        <v>40000</v>
      </c>
      <c r="Q34" s="328">
        <f t="shared" si="9"/>
        <v>0.12712077750187067</v>
      </c>
      <c r="R34" s="6"/>
      <c r="S34" s="7"/>
      <c r="T34" s="7"/>
      <c r="U34" s="7"/>
    </row>
    <row r="35" spans="1:21">
      <c r="A35" s="1"/>
      <c r="B35" s="12">
        <f>SUM(B32:B34)</f>
        <v>9067.7000000000007</v>
      </c>
      <c r="C35" s="47">
        <f>+B35/$B$22</f>
        <v>1.6951107485316842E-2</v>
      </c>
      <c r="D35" s="12">
        <f>SUM(D32:D34)</f>
        <v>0</v>
      </c>
      <c r="E35" s="44">
        <v>0</v>
      </c>
      <c r="F35" s="12">
        <f>SUM(F32:F34)</f>
        <v>0</v>
      </c>
      <c r="G35" s="44">
        <v>0</v>
      </c>
      <c r="H35" s="12">
        <f>SUM(H32:H34)</f>
        <v>0</v>
      </c>
      <c r="I35" s="44">
        <v>0</v>
      </c>
      <c r="J35" s="12">
        <f>SUM(J32:J34)</f>
        <v>25394.400000000001</v>
      </c>
      <c r="K35" s="47">
        <f>+J35/$J$22</f>
        <v>4.9870563241374524E-2</v>
      </c>
      <c r="L35" s="12">
        <f>SUM(L32:L34)</f>
        <v>14072.4</v>
      </c>
      <c r="M35" s="47">
        <f>+L35/$L$22</f>
        <v>3.1612217711953314E-2</v>
      </c>
      <c r="N35" s="12">
        <f>SUM(N32:N34)</f>
        <v>0</v>
      </c>
      <c r="O35" s="47">
        <f>+N35/$N$22</f>
        <v>0</v>
      </c>
      <c r="P35" s="12">
        <f>SUM(P32:P34)</f>
        <v>40000</v>
      </c>
      <c r="Q35" s="47">
        <f t="shared" si="9"/>
        <v>0.12712077750187067</v>
      </c>
    </row>
    <row r="36" spans="1:21" ht="7.15" customHeight="1">
      <c r="A36" s="1"/>
      <c r="C36" s="47" t="s">
        <v>0</v>
      </c>
      <c r="E36" s="44" t="s">
        <v>0</v>
      </c>
      <c r="G36" s="44" t="s">
        <v>0</v>
      </c>
      <c r="I36" s="44" t="s">
        <v>0</v>
      </c>
      <c r="K36" s="47" t="s">
        <v>0</v>
      </c>
      <c r="M36" s="47" t="s">
        <v>0</v>
      </c>
      <c r="O36" s="47" t="s">
        <v>0</v>
      </c>
      <c r="Q36" s="47" t="s">
        <v>0</v>
      </c>
    </row>
    <row r="37" spans="1:21">
      <c r="A37" s="1" t="s">
        <v>285</v>
      </c>
      <c r="C37" s="47" t="s">
        <v>0</v>
      </c>
      <c r="E37" s="44" t="s">
        <v>0</v>
      </c>
      <c r="G37" s="44" t="s">
        <v>0</v>
      </c>
      <c r="I37" s="44" t="s">
        <v>0</v>
      </c>
      <c r="K37" s="47" t="s">
        <v>0</v>
      </c>
      <c r="M37" s="47" t="s">
        <v>0</v>
      </c>
      <c r="O37" s="47" t="s">
        <v>0</v>
      </c>
      <c r="Q37" s="47" t="s">
        <v>0</v>
      </c>
    </row>
    <row r="38" spans="1:21">
      <c r="A38" s="1" t="s">
        <v>282</v>
      </c>
      <c r="B38" s="12">
        <f>+sgbelvar!B38</f>
        <v>0</v>
      </c>
      <c r="C38" s="47">
        <f>+B38/$B$22</f>
        <v>0</v>
      </c>
      <c r="D38" s="12">
        <f>+sgbelvar!D38</f>
        <v>0</v>
      </c>
      <c r="E38" s="44">
        <v>0</v>
      </c>
      <c r="F38" s="12">
        <f>+sgbelvar!F38</f>
        <v>0</v>
      </c>
      <c r="G38" s="44">
        <v>0</v>
      </c>
      <c r="H38" s="12">
        <f>+sgbelvar!H38</f>
        <v>0</v>
      </c>
      <c r="I38" s="44">
        <v>0</v>
      </c>
      <c r="J38" s="12">
        <f>+sgbelvar!J38</f>
        <v>0</v>
      </c>
      <c r="K38" s="47">
        <f>+J38/$J$22</f>
        <v>0</v>
      </c>
      <c r="L38" s="12">
        <f>+sgbelvar!L38</f>
        <v>0</v>
      </c>
      <c r="M38" s="47">
        <f>+L38/$L$22</f>
        <v>0</v>
      </c>
      <c r="N38" s="12">
        <f>+sgbelvar!N38</f>
        <v>0</v>
      </c>
      <c r="O38" s="47">
        <f>+N38/$N$22</f>
        <v>0</v>
      </c>
      <c r="P38" s="12">
        <f>+sgbelvar!P38</f>
        <v>0</v>
      </c>
      <c r="Q38" s="47">
        <f t="shared" si="9"/>
        <v>0</v>
      </c>
    </row>
    <row r="39" spans="1:21">
      <c r="A39" s="1" t="s">
        <v>286</v>
      </c>
      <c r="B39" s="12">
        <f>+sgbelvar!B39</f>
        <v>0</v>
      </c>
      <c r="C39" s="47">
        <f>+B39/$B$22</f>
        <v>0</v>
      </c>
      <c r="D39" s="12">
        <f>+sgbelvar!D39</f>
        <v>0</v>
      </c>
      <c r="E39" s="44">
        <v>0</v>
      </c>
      <c r="F39" s="12">
        <f>+sgbelvar!F39</f>
        <v>0</v>
      </c>
      <c r="G39" s="44">
        <v>0</v>
      </c>
      <c r="H39" s="12">
        <f>+sgbelvar!H39</f>
        <v>0</v>
      </c>
      <c r="I39" s="44">
        <v>0</v>
      </c>
      <c r="J39" s="12">
        <f>+sgbelvar!J39</f>
        <v>0</v>
      </c>
      <c r="K39" s="47">
        <f>+J39/$J$22</f>
        <v>0</v>
      </c>
      <c r="L39" s="12">
        <f>+sgbelvar!L39</f>
        <v>0</v>
      </c>
      <c r="M39" s="47">
        <f>+L39/$L$22</f>
        <v>0</v>
      </c>
      <c r="N39" s="12">
        <f>+sgbelvar!N39</f>
        <v>0</v>
      </c>
      <c r="O39" s="47">
        <f>+N39/$N$22</f>
        <v>0</v>
      </c>
      <c r="P39" s="12">
        <f>+sgbelvar!P39</f>
        <v>0</v>
      </c>
      <c r="Q39" s="47">
        <f t="shared" si="9"/>
        <v>0</v>
      </c>
    </row>
    <row r="40" spans="1:21">
      <c r="A40" s="1" t="s">
        <v>284</v>
      </c>
      <c r="B40" s="221">
        <f>+sgbelvar!B40</f>
        <v>16249</v>
      </c>
      <c r="C40" s="328">
        <f>+B40/$B$22</f>
        <v>3.0375789398514881E-2</v>
      </c>
      <c r="D40" s="221">
        <f>+sgbelvar!D40</f>
        <v>0</v>
      </c>
      <c r="E40" s="545">
        <v>0</v>
      </c>
      <c r="F40" s="221">
        <f>+sgbelvar!F40</f>
        <v>0</v>
      </c>
      <c r="G40" s="545">
        <v>0</v>
      </c>
      <c r="H40" s="221">
        <f>+sgbelvar!H40</f>
        <v>0</v>
      </c>
      <c r="I40" s="545">
        <v>0</v>
      </c>
      <c r="J40" s="221">
        <f>+sgbelvar!J40</f>
        <v>17273.900000000001</v>
      </c>
      <c r="K40" s="328">
        <f>+J40/$J$22</f>
        <v>3.3923192608416794E-2</v>
      </c>
      <c r="L40" s="221">
        <f>+sgbelvar!L40</f>
        <v>46346.6</v>
      </c>
      <c r="M40" s="328">
        <f>+L40/$L$22</f>
        <v>0.1041129309434649</v>
      </c>
      <c r="N40" s="221">
        <f>+sgbelvar!N40</f>
        <v>42625</v>
      </c>
      <c r="O40" s="328">
        <f>+N40/$N$22</f>
        <v>0.11304332317402048</v>
      </c>
      <c r="P40" s="221">
        <f>+sgbelvar!P40</f>
        <v>0</v>
      </c>
      <c r="Q40" s="328">
        <f t="shared" si="9"/>
        <v>0</v>
      </c>
    </row>
    <row r="41" spans="1:21">
      <c r="A41" s="1"/>
      <c r="B41" s="12">
        <f>SUM(B38:B40)</f>
        <v>16249</v>
      </c>
      <c r="C41" s="47">
        <f>+B41/$B$22</f>
        <v>3.0375789398514881E-2</v>
      </c>
      <c r="D41" s="12">
        <f>SUM(D38:D40)</f>
        <v>0</v>
      </c>
      <c r="E41" s="44">
        <v>0</v>
      </c>
      <c r="F41" s="12">
        <f>SUM(F38:F40)</f>
        <v>0</v>
      </c>
      <c r="G41" s="44">
        <v>0</v>
      </c>
      <c r="H41" s="12">
        <f>SUM(H38:H40)</f>
        <v>0</v>
      </c>
      <c r="I41" s="44">
        <v>0</v>
      </c>
      <c r="J41" s="12">
        <f>SUM(J38:J40)</f>
        <v>17273.900000000001</v>
      </c>
      <c r="K41" s="47">
        <f>+J41/$J$22</f>
        <v>3.3923192608416794E-2</v>
      </c>
      <c r="L41" s="12">
        <f>SUM(L38:L40)</f>
        <v>46346.6</v>
      </c>
      <c r="M41" s="47">
        <f>+L41/$L$22</f>
        <v>0.1041129309434649</v>
      </c>
      <c r="N41" s="12">
        <f>SUM(N38:N40)</f>
        <v>42625</v>
      </c>
      <c r="O41" s="47">
        <f>+N41/$N$22</f>
        <v>0.11304332317402048</v>
      </c>
      <c r="P41" s="12">
        <f>SUM(P38:P40)</f>
        <v>0</v>
      </c>
      <c r="Q41" s="47">
        <f t="shared" si="9"/>
        <v>0</v>
      </c>
    </row>
    <row r="42" spans="1:21" ht="8.4499999999999993" customHeight="1">
      <c r="A42" s="1"/>
      <c r="C42" s="47" t="s">
        <v>0</v>
      </c>
      <c r="E42" s="44" t="s">
        <v>0</v>
      </c>
      <c r="G42" s="44" t="s">
        <v>0</v>
      </c>
      <c r="I42" s="44" t="s">
        <v>0</v>
      </c>
      <c r="K42" s="47" t="s">
        <v>0</v>
      </c>
      <c r="M42" s="47" t="s">
        <v>0</v>
      </c>
      <c r="O42" s="47" t="s">
        <v>0</v>
      </c>
      <c r="Q42" s="47" t="s">
        <v>0</v>
      </c>
    </row>
    <row r="43" spans="1:21" ht="18">
      <c r="A43" s="1" t="s">
        <v>287</v>
      </c>
      <c r="B43" s="221">
        <f>+sgbelvar!B43</f>
        <v>1534.6</v>
      </c>
      <c r="C43" s="328">
        <f>+B43/$B$22</f>
        <v>2.8687726266823149E-3</v>
      </c>
      <c r="D43" s="221">
        <f>+sgbelvar!D43</f>
        <v>0</v>
      </c>
      <c r="E43" s="545">
        <v>0</v>
      </c>
      <c r="F43" s="221">
        <f>+sgbelvar!F43</f>
        <v>0</v>
      </c>
      <c r="G43" s="545">
        <v>0</v>
      </c>
      <c r="H43" s="221">
        <f>+sgbelvar!H43</f>
        <v>0</v>
      </c>
      <c r="I43" s="545">
        <v>0</v>
      </c>
      <c r="J43" s="221">
        <f>+sgbelvar!J43</f>
        <v>655.7</v>
      </c>
      <c r="K43" s="328">
        <f>+J43/$J$22</f>
        <v>1.287690526941738E-3</v>
      </c>
      <c r="L43" s="221">
        <f>+sgbelvar!L43</f>
        <v>1066.4000000000001</v>
      </c>
      <c r="M43" s="328">
        <f>+L43/$L$22</f>
        <v>2.3955593195209785E-3</v>
      </c>
      <c r="N43" s="221">
        <f>+sgbelvar!N43</f>
        <v>7750.3</v>
      </c>
      <c r="O43" s="328">
        <f>+N43/$N$22</f>
        <v>2.0554127099017265E-2</v>
      </c>
      <c r="P43" s="221">
        <f>+sgbelvar!P43</f>
        <v>7614.9637899999998</v>
      </c>
      <c r="Q43" s="328">
        <f t="shared" si="9"/>
        <v>2.4200502940834794E-2</v>
      </c>
      <c r="R43" s="6"/>
    </row>
    <row r="44" spans="1:21">
      <c r="A44" s="1"/>
      <c r="B44" s="12">
        <f>+B29+B35+B41+B43</f>
        <v>491530.19999999995</v>
      </c>
      <c r="C44" s="47">
        <f>+B44/$B$22</f>
        <v>0.91886379704658117</v>
      </c>
      <c r="D44" s="12">
        <f>+D29+D35+D41+D43</f>
        <v>0</v>
      </c>
      <c r="E44" s="44">
        <v>0</v>
      </c>
      <c r="F44" s="12">
        <f>+F29+F35+F41+F43</f>
        <v>0</v>
      </c>
      <c r="G44" s="44">
        <v>0</v>
      </c>
      <c r="H44" s="12">
        <f>+H29+H35+H41+H43</f>
        <v>0</v>
      </c>
      <c r="I44" s="44">
        <v>0</v>
      </c>
      <c r="J44" s="12">
        <f>+J29+J35+J41+J43</f>
        <v>468975.60000000003</v>
      </c>
      <c r="K44" s="47">
        <f>+J44/$J$22</f>
        <v>0.92099349929360652</v>
      </c>
      <c r="L44" s="12">
        <f>+L29+L35+L41+L43</f>
        <v>415708</v>
      </c>
      <c r="M44" s="47">
        <f>+L44/$L$22</f>
        <v>0.93384581170238823</v>
      </c>
      <c r="N44" s="12">
        <f>+N29+N35+N41+N43</f>
        <v>353994.1</v>
      </c>
      <c r="O44" s="47">
        <f>+N44/$N$22</f>
        <v>0.93880749438115008</v>
      </c>
      <c r="P44" s="12">
        <f>+P29+P35+P41+P43</f>
        <v>298090.43507000001</v>
      </c>
      <c r="Q44" s="47">
        <f t="shared" ref="Q44:Q51" si="10">+P44/$P$22</f>
        <v>0.94733719679923245</v>
      </c>
    </row>
    <row r="45" spans="1:21" ht="8.4499999999999993" customHeight="1">
      <c r="A45" s="1"/>
      <c r="C45" s="47" t="s">
        <v>0</v>
      </c>
      <c r="E45" s="44" t="s">
        <v>0</v>
      </c>
      <c r="G45" s="44" t="s">
        <v>0</v>
      </c>
      <c r="I45" s="44" t="s">
        <v>0</v>
      </c>
      <c r="K45" s="47" t="s">
        <v>0</v>
      </c>
      <c r="M45" s="47" t="s">
        <v>0</v>
      </c>
      <c r="O45" s="47" t="s">
        <v>0</v>
      </c>
      <c r="Q45" s="47" t="s">
        <v>0</v>
      </c>
    </row>
    <row r="46" spans="1:21">
      <c r="A46" s="87" t="s">
        <v>288</v>
      </c>
      <c r="C46" s="47" t="s">
        <v>0</v>
      </c>
      <c r="E46" s="44" t="s">
        <v>0</v>
      </c>
      <c r="G46" s="44" t="s">
        <v>0</v>
      </c>
      <c r="I46" s="44" t="s">
        <v>0</v>
      </c>
      <c r="K46" s="47" t="s">
        <v>0</v>
      </c>
      <c r="M46" s="47" t="s">
        <v>0</v>
      </c>
      <c r="O46" s="47" t="s">
        <v>0</v>
      </c>
      <c r="Q46" s="47" t="s">
        <v>0</v>
      </c>
    </row>
    <row r="47" spans="1:21">
      <c r="A47" s="1" t="s">
        <v>289</v>
      </c>
      <c r="B47" s="12">
        <f>+sgbelvar!B47</f>
        <v>20000</v>
      </c>
      <c r="C47" s="47">
        <f t="shared" ref="C47:C52" si="11">+B47/$B$22</f>
        <v>3.7387887745110322E-2</v>
      </c>
      <c r="D47" s="12">
        <f>+sgbelvar!D47</f>
        <v>0</v>
      </c>
      <c r="E47" s="44">
        <v>0</v>
      </c>
      <c r="F47" s="12">
        <f>+sgbelvar!F47</f>
        <v>0</v>
      </c>
      <c r="G47" s="44">
        <v>0</v>
      </c>
      <c r="H47" s="12">
        <f>+sgbelvar!H47</f>
        <v>0</v>
      </c>
      <c r="I47" s="44">
        <v>0</v>
      </c>
      <c r="J47" s="12">
        <f>+sgbelvar!J47</f>
        <v>20000</v>
      </c>
      <c r="K47" s="47">
        <f>+J47/$J$22</f>
        <v>3.9276819488843623E-2</v>
      </c>
      <c r="L47" s="12">
        <f>+sgbelvar!L47</f>
        <v>7500</v>
      </c>
      <c r="M47" s="47">
        <f>+L47/$L$22</f>
        <v>1.6847988462497503E-2</v>
      </c>
      <c r="N47" s="12">
        <f>+sgbelvar!N47</f>
        <v>7500</v>
      </c>
      <c r="O47" s="47">
        <f>+N47/$N$22</f>
        <v>1.9890320793082783E-2</v>
      </c>
      <c r="P47" s="12">
        <f>+sgbelvar!P47</f>
        <v>7500</v>
      </c>
      <c r="Q47" s="47">
        <f t="shared" si="10"/>
        <v>2.3835145781600751E-2</v>
      </c>
    </row>
    <row r="48" spans="1:21">
      <c r="A48" s="1" t="s">
        <v>290</v>
      </c>
      <c r="B48" s="12">
        <f>+sgbelvar!B48</f>
        <v>3724.3</v>
      </c>
      <c r="C48" s="47">
        <f t="shared" si="11"/>
        <v>6.9621855164557185E-3</v>
      </c>
      <c r="D48" s="12">
        <f>+sgbelvar!D48</f>
        <v>0</v>
      </c>
      <c r="E48" s="44">
        <v>0</v>
      </c>
      <c r="F48" s="12">
        <f>+sgbelvar!F48</f>
        <v>0</v>
      </c>
      <c r="G48" s="44">
        <v>0</v>
      </c>
      <c r="H48" s="12">
        <f>+sgbelvar!H48</f>
        <v>0</v>
      </c>
      <c r="I48" s="44">
        <v>0</v>
      </c>
      <c r="J48" s="12">
        <f>+sgbelvar!J48</f>
        <v>1993.9</v>
      </c>
      <c r="K48" s="47">
        <f>+J48/$J$22</f>
        <v>3.915702518940265E-3</v>
      </c>
      <c r="L48" s="12">
        <f>+sgbelvar!L48</f>
        <v>2149.1999999999998</v>
      </c>
      <c r="M48" s="47">
        <f>+L48/$L$22</f>
        <v>4.8279595738132839E-3</v>
      </c>
      <c r="N48" s="12">
        <f>+sgbelvar!N48</f>
        <v>1217.0999999999999</v>
      </c>
      <c r="O48" s="47">
        <f>+N48/$N$22</f>
        <v>3.2278012583014737E-3</v>
      </c>
      <c r="P48" s="12">
        <f>+sgbelvar!P48</f>
        <v>764.09040000000005</v>
      </c>
      <c r="Q48" s="47">
        <f t="shared" si="10"/>
        <v>2.4282941432428842E-3</v>
      </c>
    </row>
    <row r="49" spans="1:21">
      <c r="A49" s="1" t="s">
        <v>302</v>
      </c>
      <c r="B49" s="12">
        <f>+sgbelvar!B49</f>
        <v>0</v>
      </c>
      <c r="C49" s="47">
        <f t="shared" si="11"/>
        <v>0</v>
      </c>
      <c r="D49" s="12">
        <f>+sgbelvar!D49</f>
        <v>0</v>
      </c>
      <c r="E49" s="44">
        <v>0</v>
      </c>
      <c r="F49" s="12">
        <f>+sgbelvar!F49</f>
        <v>0</v>
      </c>
      <c r="G49" s="44">
        <v>0</v>
      </c>
      <c r="H49" s="12">
        <f>+sgbelvar!H49</f>
        <v>0</v>
      </c>
      <c r="I49" s="44">
        <v>0</v>
      </c>
      <c r="K49" s="47"/>
      <c r="M49" s="47"/>
      <c r="O49" s="47"/>
      <c r="Q49" s="47"/>
    </row>
    <row r="50" spans="1:21" ht="18">
      <c r="A50" s="1" t="s">
        <v>292</v>
      </c>
      <c r="B50" s="221">
        <f>+sgbelvar!B50</f>
        <v>19678.099999999999</v>
      </c>
      <c r="C50" s="328">
        <f t="shared" si="11"/>
        <v>3.678612969185277E-2</v>
      </c>
      <c r="D50" s="221">
        <f>+sgbelvar!D50</f>
        <v>0</v>
      </c>
      <c r="E50" s="545">
        <v>0</v>
      </c>
      <c r="F50" s="221">
        <f>+sgbelvar!F50</f>
        <v>0</v>
      </c>
      <c r="G50" s="545">
        <v>0</v>
      </c>
      <c r="H50" s="221">
        <f>+sgbelvar!H50</f>
        <v>0</v>
      </c>
      <c r="I50" s="545">
        <v>0</v>
      </c>
      <c r="J50" s="221">
        <f>+sgbelvar!J50</f>
        <v>18236.7</v>
      </c>
      <c r="K50" s="328">
        <f>+J50/$J$22</f>
        <v>3.5813978698609722E-2</v>
      </c>
      <c r="L50" s="221">
        <f>+sgbelvar!L50</f>
        <v>19799.800000000003</v>
      </c>
      <c r="M50" s="328">
        <f>+L50/$L$22</f>
        <v>4.447824026130108E-2</v>
      </c>
      <c r="N50" s="221">
        <f>+sgbelvar!N50</f>
        <v>14356.6</v>
      </c>
      <c r="O50" s="328">
        <f>+N50/$N$22</f>
        <v>3.8074317266396304E-2</v>
      </c>
      <c r="P50" s="221">
        <f>+sgbelvar!P50</f>
        <v>8306.8602300000002</v>
      </c>
      <c r="Q50" s="328">
        <f t="shared" si="10"/>
        <v>2.6399363275924206E-2</v>
      </c>
      <c r="R50" s="6"/>
      <c r="S50" s="7"/>
      <c r="T50" s="7"/>
      <c r="U50" s="7"/>
    </row>
    <row r="51" spans="1:21" ht="16.5" thickBot="1">
      <c r="A51" s="1" t="s">
        <v>275</v>
      </c>
      <c r="B51" s="76">
        <f>SUM(B47:B50)</f>
        <v>43402.399999999994</v>
      </c>
      <c r="C51" s="231">
        <f t="shared" si="11"/>
        <v>8.1136202953418793E-2</v>
      </c>
      <c r="D51" s="76">
        <f>SUM(D47:D50)</f>
        <v>0</v>
      </c>
      <c r="E51" s="232">
        <v>0</v>
      </c>
      <c r="F51" s="76">
        <f>SUM(F47:F50)</f>
        <v>0</v>
      </c>
      <c r="G51" s="232">
        <v>0</v>
      </c>
      <c r="H51" s="76">
        <f>SUM(H47:H50)</f>
        <v>0</v>
      </c>
      <c r="I51" s="232">
        <v>0</v>
      </c>
      <c r="J51" s="76">
        <f>SUM(J47:J50)</f>
        <v>40230.600000000006</v>
      </c>
      <c r="K51" s="231">
        <f>+J51/$J$22</f>
        <v>7.9006500706393618E-2</v>
      </c>
      <c r="L51" s="76">
        <f>SUM(L47:L50)</f>
        <v>29449.000000000004</v>
      </c>
      <c r="M51" s="231">
        <f>+L51/$L$22</f>
        <v>6.6154188297611868E-2</v>
      </c>
      <c r="N51" s="76">
        <f>SUM(N47:N50)</f>
        <v>23073.7</v>
      </c>
      <c r="O51" s="231">
        <f>+N51/$N$22</f>
        <v>6.119243931778056E-2</v>
      </c>
      <c r="P51" s="76">
        <f>SUM(P47:P50)</f>
        <v>16570.950629999999</v>
      </c>
      <c r="Q51" s="231">
        <f t="shared" si="10"/>
        <v>5.2662803200767841E-2</v>
      </c>
    </row>
    <row r="52" spans="1:21">
      <c r="A52" s="1" t="s">
        <v>0</v>
      </c>
      <c r="B52" s="4">
        <f>+B29+B35+B41+B43+B51</f>
        <v>534932.6</v>
      </c>
      <c r="C52" s="112">
        <f t="shared" si="11"/>
        <v>1</v>
      </c>
      <c r="D52" s="4">
        <f>+D29+D35+D41+D43+D51</f>
        <v>0</v>
      </c>
      <c r="E52" s="42">
        <v>0</v>
      </c>
      <c r="F52" s="4">
        <f>+F29+F35+F41+F43+F51</f>
        <v>0</v>
      </c>
      <c r="G52" s="42">
        <v>0</v>
      </c>
      <c r="H52" s="4">
        <f>+H29+H35+H41+H43+H51</f>
        <v>0</v>
      </c>
      <c r="I52" s="42">
        <v>0</v>
      </c>
      <c r="J52" s="4">
        <f>+J29+J35+J41+J43+J51</f>
        <v>509206.20000000007</v>
      </c>
      <c r="K52" s="47">
        <f>+J52/$J$22</f>
        <v>1.0000000000000002</v>
      </c>
      <c r="L52" s="4">
        <f>+L29+L35+L41+L43+L51</f>
        <v>445157</v>
      </c>
      <c r="M52" s="47">
        <f>+L52/$L$22</f>
        <v>1.0000000000000002</v>
      </c>
      <c r="N52" s="4">
        <f>+N29+N35+N41+N43+N51</f>
        <v>377067.8</v>
      </c>
      <c r="O52" s="47">
        <f>+N52/$N$22</f>
        <v>0.99999993369893059</v>
      </c>
      <c r="P52" s="4">
        <f>+P29+P35+P41+P43+P51</f>
        <v>314661.38569999998</v>
      </c>
      <c r="Q52" s="47">
        <f>+P52/$P$22</f>
        <v>1.0000000000000002</v>
      </c>
    </row>
    <row r="55" spans="1:21">
      <c r="B55"/>
      <c r="C55"/>
      <c r="D55"/>
      <c r="E55"/>
      <c r="F55"/>
      <c r="G55"/>
      <c r="H55"/>
      <c r="I55"/>
      <c r="J55"/>
      <c r="K55"/>
      <c r="L55"/>
      <c r="M55"/>
      <c r="N55"/>
      <c r="O55"/>
      <c r="P55"/>
      <c r="Q55"/>
      <c r="R55"/>
    </row>
    <row r="56" spans="1:21">
      <c r="A56" s="185" t="s">
        <v>293</v>
      </c>
      <c r="B56"/>
      <c r="C56"/>
      <c r="D56"/>
      <c r="E56"/>
      <c r="F56"/>
      <c r="G56"/>
      <c r="H56"/>
      <c r="I56"/>
      <c r="J56"/>
      <c r="K56"/>
      <c r="L56"/>
      <c r="M56"/>
      <c r="N56"/>
      <c r="O56"/>
      <c r="P56"/>
      <c r="Q56"/>
      <c r="R56"/>
    </row>
    <row r="57" spans="1:21">
      <c r="A57" t="s">
        <v>294</v>
      </c>
      <c r="B57" s="3">
        <f>+sgbelvar!B56</f>
        <v>0</v>
      </c>
      <c r="C57"/>
      <c r="D57" s="3">
        <f>+sgbelvar!D56</f>
        <v>0</v>
      </c>
      <c r="E57"/>
      <c r="F57" s="3">
        <f>+sgbelvar!F56</f>
        <v>0</v>
      </c>
      <c r="G57"/>
      <c r="H57" s="3">
        <f>+sgbelvar!H56</f>
        <v>0</v>
      </c>
      <c r="I57"/>
      <c r="J57" s="3">
        <f>+sgbelvar!J56</f>
        <v>0</v>
      </c>
      <c r="K57"/>
      <c r="L57" s="3">
        <f>+sgbelvar!L56</f>
        <v>0</v>
      </c>
      <c r="M57"/>
      <c r="N57" s="3">
        <f>+sgbelvar!N56</f>
        <v>0</v>
      </c>
      <c r="O57"/>
      <c r="P57" s="3">
        <f>+sgbelvar!P56</f>
        <v>0</v>
      </c>
      <c r="Q57"/>
      <c r="R57"/>
    </row>
    <row r="58" spans="1:21">
      <c r="A58" t="s">
        <v>295</v>
      </c>
      <c r="B58" s="3">
        <f>+sgbelvar!B57</f>
        <v>0</v>
      </c>
      <c r="C58"/>
      <c r="D58" s="3">
        <f>+sgbelvar!D57</f>
        <v>0</v>
      </c>
      <c r="E58"/>
      <c r="F58" s="3">
        <f>+sgbelvar!F57</f>
        <v>0</v>
      </c>
      <c r="G58"/>
      <c r="H58" s="3">
        <f>+sgbelvar!H57</f>
        <v>0</v>
      </c>
      <c r="I58"/>
      <c r="J58" s="3">
        <f>+sgbelvar!J57</f>
        <v>0</v>
      </c>
      <c r="K58"/>
      <c r="L58" s="3">
        <f>+sgbelvar!L57</f>
        <v>0</v>
      </c>
      <c r="M58"/>
      <c r="N58" s="3">
        <f>+sgbelvar!N57</f>
        <v>0</v>
      </c>
      <c r="O58"/>
      <c r="P58" s="3">
        <f>+sgbelvar!P57</f>
        <v>0</v>
      </c>
      <c r="Q58"/>
      <c r="R58"/>
    </row>
    <row r="59" spans="1:21">
      <c r="A59" t="s">
        <v>284</v>
      </c>
      <c r="B59" s="3">
        <f>+sgbelvar!B58</f>
        <v>79428.600000000006</v>
      </c>
      <c r="C59"/>
      <c r="D59" s="3">
        <f>+sgbelvar!D58</f>
        <v>0</v>
      </c>
      <c r="E59"/>
      <c r="F59" s="3">
        <f>+sgbelvar!F58</f>
        <v>0</v>
      </c>
      <c r="G59"/>
      <c r="H59" s="3">
        <f>+sgbelvar!H58</f>
        <v>0</v>
      </c>
      <c r="I59"/>
      <c r="J59" s="3">
        <f>+sgbelvar!J58</f>
        <v>79528</v>
      </c>
      <c r="K59"/>
      <c r="L59" s="3">
        <f>+sgbelvar!L58</f>
        <v>56419.7</v>
      </c>
      <c r="M59"/>
      <c r="N59" s="3">
        <f>+sgbelvar!N58</f>
        <v>0</v>
      </c>
      <c r="O59"/>
      <c r="P59" s="3">
        <f>+sgbelvar!P58</f>
        <v>0</v>
      </c>
      <c r="Q59"/>
      <c r="R59"/>
    </row>
    <row r="60" spans="1:21">
      <c r="B60" s="3"/>
      <c r="C60"/>
      <c r="D60" s="3"/>
      <c r="E60"/>
      <c r="F60" s="3"/>
      <c r="G60"/>
      <c r="H60" s="3"/>
      <c r="I60"/>
      <c r="J60" s="3"/>
      <c r="K60"/>
      <c r="L60" s="3"/>
      <c r="M60"/>
      <c r="N60" s="3"/>
      <c r="O60"/>
      <c r="P60" s="3"/>
      <c r="Q60"/>
      <c r="R60"/>
    </row>
    <row r="61" spans="1:21" ht="18.75">
      <c r="A61" s="122" t="s">
        <v>303</v>
      </c>
      <c r="B61" s="3">
        <f>+sgbelvar!B60</f>
        <v>353363.6</v>
      </c>
      <c r="C61"/>
      <c r="D61" s="3">
        <f>+sgbelvar!D60</f>
        <v>0</v>
      </c>
      <c r="E61"/>
      <c r="F61" s="3">
        <f>+sgbelvar!F60</f>
        <v>0</v>
      </c>
      <c r="G61"/>
      <c r="H61" s="3">
        <f>+sgbelvar!H60</f>
        <v>0</v>
      </c>
      <c r="I61"/>
      <c r="J61" s="3">
        <f>+sgbelvar!J60</f>
        <v>342138.7</v>
      </c>
      <c r="K61"/>
      <c r="L61" s="3">
        <f>+sgbelvar!L60</f>
        <v>304003.90000000002</v>
      </c>
      <c r="M61"/>
      <c r="N61" s="3">
        <f>+sgbelvar!N60</f>
        <v>254159</v>
      </c>
      <c r="O61"/>
      <c r="P61" s="3">
        <f>+sgbelvar!P60</f>
        <v>218741.64332</v>
      </c>
      <c r="Q61"/>
      <c r="R61"/>
    </row>
    <row r="62" spans="1:21">
      <c r="A62" t="s">
        <v>217</v>
      </c>
      <c r="B62" s="3">
        <f>+sgbelvar!B61</f>
        <v>11733</v>
      </c>
      <c r="C62"/>
      <c r="D62" s="3">
        <f>+sgbelvar!D61</f>
        <v>0</v>
      </c>
      <c r="E62"/>
      <c r="F62" s="3">
        <f>+sgbelvar!F61</f>
        <v>0</v>
      </c>
      <c r="G62"/>
      <c r="H62" s="3">
        <f>+sgbelvar!H61</f>
        <v>0</v>
      </c>
      <c r="I62"/>
      <c r="J62" s="3">
        <f>+sgbelvar!J61</f>
        <v>9042.2000000000007</v>
      </c>
      <c r="K62"/>
      <c r="L62" s="3">
        <f>+sgbelvar!L61</f>
        <v>5215.8</v>
      </c>
      <c r="M62"/>
      <c r="N62" s="3">
        <f>+sgbelvar!N61</f>
        <v>3787</v>
      </c>
      <c r="O62"/>
      <c r="P62" s="3">
        <f>+sgbelvar!P61</f>
        <v>3027.4467999999997</v>
      </c>
      <c r="Q62"/>
      <c r="R62"/>
    </row>
    <row r="63" spans="1:21">
      <c r="A63" t="s">
        <v>297</v>
      </c>
      <c r="B63" s="3">
        <f>+sgbelvar!B62</f>
        <v>35020</v>
      </c>
      <c r="C63"/>
      <c r="D63" s="3">
        <f>+sgbelvar!D62</f>
        <v>0</v>
      </c>
      <c r="E63"/>
      <c r="F63" s="3">
        <f>+sgbelvar!F62</f>
        <v>0</v>
      </c>
      <c r="G63"/>
      <c r="H63" s="3">
        <f>+sgbelvar!H62</f>
        <v>0</v>
      </c>
      <c r="I63"/>
      <c r="J63" s="3">
        <f>+sgbelvar!J62</f>
        <v>33953.599999999999</v>
      </c>
      <c r="K63"/>
      <c r="L63" s="3">
        <f>+sgbelvar!L62</f>
        <v>10515.9</v>
      </c>
      <c r="M63"/>
      <c r="N63" s="3">
        <f>+sgbelvar!N62</f>
        <v>4625.7</v>
      </c>
      <c r="O63"/>
      <c r="P63" s="3">
        <f>+sgbelvar!P62</f>
        <v>0</v>
      </c>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sheetData>
  <pageMargins left="0.2" right="0.23" top="0.54" bottom="0.61" header="0.34" footer="0.3"/>
  <pageSetup scale="52" orientation="landscape" r:id="rId1"/>
  <headerFooter alignWithMargins="0">
    <oddFooter>&amp;R&amp;P</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1"/>
  <sheetViews>
    <sheetView workbookViewId="0"/>
  </sheetViews>
  <sheetFormatPr defaultRowHeight="15.75"/>
  <cols>
    <col min="1" max="1" width="32.375" customWidth="1"/>
    <col min="2" max="2" width="18" style="12" customWidth="1"/>
    <col min="3" max="3" width="15.75" style="13" customWidth="1"/>
    <col min="4" max="4" width="15.75" style="12" customWidth="1"/>
    <col min="5" max="5" width="14" style="13" customWidth="1"/>
    <col min="6" max="6" width="11.125" style="12" customWidth="1"/>
    <col min="7" max="7" width="9.75" style="13" customWidth="1"/>
    <col min="8" max="8" width="17.625"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650</v>
      </c>
      <c r="B1" s="37"/>
      <c r="C1" s="38"/>
      <c r="D1" s="37"/>
      <c r="E1" s="38"/>
      <c r="F1" s="37"/>
      <c r="G1" s="38"/>
      <c r="H1" s="37"/>
      <c r="I1" s="37"/>
      <c r="J1" s="38"/>
      <c r="K1" s="37"/>
    </row>
    <row r="2" spans="1:15">
      <c r="A2" s="114" t="s">
        <v>305</v>
      </c>
      <c r="B2" s="37"/>
      <c r="C2" s="38"/>
      <c r="D2" s="37"/>
      <c r="E2" s="38"/>
      <c r="F2" s="37"/>
      <c r="G2" s="38"/>
      <c r="H2" s="37"/>
      <c r="I2" s="37"/>
      <c r="J2" s="38"/>
      <c r="K2" s="37"/>
    </row>
    <row r="3" spans="1:15">
      <c r="A3" s="114" t="s">
        <v>306</v>
      </c>
      <c r="B3" s="37"/>
      <c r="C3" s="38"/>
      <c r="D3" s="37"/>
      <c r="E3" s="38"/>
      <c r="F3" s="37"/>
      <c r="G3" s="38"/>
      <c r="H3" s="37"/>
      <c r="I3" s="37"/>
      <c r="J3" s="38"/>
      <c r="K3" s="37"/>
    </row>
    <row r="4" spans="1:15">
      <c r="A4" s="114" t="s">
        <v>179</v>
      </c>
      <c r="B4" s="37"/>
      <c r="C4" s="38"/>
      <c r="D4" s="37"/>
      <c r="E4" s="38"/>
      <c r="F4" s="37"/>
      <c r="G4" s="38"/>
      <c r="H4" s="37"/>
      <c r="I4" s="37"/>
      <c r="J4" s="38"/>
      <c r="K4" s="37"/>
    </row>
    <row r="5" spans="1:15">
      <c r="A5" s="34"/>
      <c r="B5" s="37"/>
      <c r="C5" s="38"/>
      <c r="D5" s="37"/>
      <c r="E5" s="38"/>
      <c r="F5" s="37"/>
      <c r="G5" s="38"/>
      <c r="H5" s="37"/>
      <c r="I5" s="37"/>
      <c r="J5" s="38"/>
    </row>
    <row r="6" spans="1:15">
      <c r="B6" s="238" t="s">
        <v>0</v>
      </c>
      <c r="C6" s="215"/>
      <c r="D6" s="216"/>
    </row>
    <row r="7" spans="1:15" ht="16.5" thickBot="1">
      <c r="B7" s="429" t="s">
        <v>307</v>
      </c>
      <c r="C7" s="38"/>
      <c r="D7" s="37"/>
      <c r="E7" s="38"/>
      <c r="H7" s="377" t="s">
        <v>308</v>
      </c>
      <c r="I7" s="215"/>
      <c r="J7" s="216"/>
      <c r="K7" s="37"/>
    </row>
    <row r="8" spans="1:15" ht="16.5" thickTop="1">
      <c r="A8" s="87" t="s">
        <v>243</v>
      </c>
      <c r="B8" s="402" t="s">
        <v>313</v>
      </c>
      <c r="C8" s="403" t="s">
        <v>310</v>
      </c>
      <c r="D8" s="408" t="s">
        <v>311</v>
      </c>
      <c r="E8" s="407" t="s">
        <v>312</v>
      </c>
      <c r="F8" s="125" t="s">
        <v>0</v>
      </c>
      <c r="G8" s="124" t="s">
        <v>0</v>
      </c>
      <c r="H8" s="402" t="s">
        <v>651</v>
      </c>
      <c r="I8" s="404" t="s">
        <v>310</v>
      </c>
      <c r="J8" s="406" t="s">
        <v>311</v>
      </c>
      <c r="K8" s="407" t="s">
        <v>312</v>
      </c>
      <c r="L8" s="14"/>
      <c r="M8" s="9"/>
      <c r="N8" s="9"/>
      <c r="O8" s="9"/>
    </row>
    <row r="9" spans="1:15">
      <c r="A9" s="1" t="s">
        <v>264</v>
      </c>
      <c r="B9" s="126"/>
      <c r="C9" s="127"/>
      <c r="D9" s="365"/>
      <c r="E9" s="372" t="s">
        <v>0</v>
      </c>
      <c r="H9" s="135"/>
      <c r="I9" s="78"/>
      <c r="J9" s="370" t="s">
        <v>0</v>
      </c>
      <c r="K9" s="372" t="s">
        <v>0</v>
      </c>
    </row>
    <row r="10" spans="1:15">
      <c r="A10" s="1" t="s">
        <v>265</v>
      </c>
      <c r="B10" s="129">
        <v>5630.5</v>
      </c>
      <c r="C10" s="92">
        <v>6578.3</v>
      </c>
      <c r="D10" s="366">
        <f t="shared" ref="D10:D15" si="0">SUM(B10:C10)</f>
        <v>12208.8</v>
      </c>
      <c r="E10" s="373">
        <f>+B10/D10</f>
        <v>0.46118373632134202</v>
      </c>
      <c r="F10" s="88" t="s">
        <v>0</v>
      </c>
      <c r="G10" s="100" t="s">
        <v>0</v>
      </c>
      <c r="H10" s="129">
        <v>5710.1</v>
      </c>
      <c r="I10" s="92">
        <v>8476.9</v>
      </c>
      <c r="J10" s="366">
        <f t="shared" ref="J10:J15" si="1">SUM(H10:I10)</f>
        <v>14187</v>
      </c>
      <c r="K10" s="428">
        <f>+H10/J10</f>
        <v>0.4024881934165081</v>
      </c>
    </row>
    <row r="11" spans="1:15">
      <c r="A11" s="1" t="s">
        <v>266</v>
      </c>
      <c r="B11" s="129">
        <v>-53.9</v>
      </c>
      <c r="C11" s="92">
        <v>66286.600000000006</v>
      </c>
      <c r="D11" s="366">
        <f t="shared" si="0"/>
        <v>66232.700000000012</v>
      </c>
      <c r="E11" s="373">
        <f>+B11/D11</f>
        <v>-8.1379741426817857E-4</v>
      </c>
      <c r="F11" s="88" t="s">
        <v>0</v>
      </c>
      <c r="G11" s="100" t="s">
        <v>0</v>
      </c>
      <c r="H11" s="129">
        <v>2992</v>
      </c>
      <c r="I11" s="92">
        <v>61631.4</v>
      </c>
      <c r="J11" s="366">
        <f t="shared" si="1"/>
        <v>64623.4</v>
      </c>
      <c r="K11" s="428">
        <f>+H11/J11</f>
        <v>4.6299018621737638E-2</v>
      </c>
    </row>
    <row r="12" spans="1:15">
      <c r="A12" s="1" t="s">
        <v>267</v>
      </c>
      <c r="B12" s="129">
        <v>5174.1000000000004</v>
      </c>
      <c r="C12" s="92">
        <v>0</v>
      </c>
      <c r="D12" s="366">
        <f t="shared" si="0"/>
        <v>5174.1000000000004</v>
      </c>
      <c r="E12" s="136">
        <v>0</v>
      </c>
      <c r="F12" s="88" t="s">
        <v>0</v>
      </c>
      <c r="G12" s="100" t="s">
        <v>0</v>
      </c>
      <c r="H12" s="129">
        <v>0</v>
      </c>
      <c r="I12" s="92">
        <v>0</v>
      </c>
      <c r="J12" s="366">
        <f t="shared" si="1"/>
        <v>0</v>
      </c>
      <c r="K12" s="136">
        <v>0</v>
      </c>
    </row>
    <row r="13" spans="1:15">
      <c r="A13" s="1" t="s">
        <v>268</v>
      </c>
      <c r="B13" s="129">
        <v>4778</v>
      </c>
      <c r="C13" s="92">
        <v>359.7</v>
      </c>
      <c r="D13" s="366">
        <f t="shared" si="0"/>
        <v>5137.7</v>
      </c>
      <c r="E13" s="136">
        <f>+B13/D13</f>
        <v>0.92998812698289124</v>
      </c>
      <c r="F13" s="88" t="s">
        <v>0</v>
      </c>
      <c r="G13" s="100" t="s">
        <v>0</v>
      </c>
      <c r="H13" s="129">
        <v>0</v>
      </c>
      <c r="I13" s="92">
        <v>722.7</v>
      </c>
      <c r="J13" s="366">
        <f t="shared" si="1"/>
        <v>722.7</v>
      </c>
      <c r="K13" s="428">
        <f>+H13/J13</f>
        <v>0</v>
      </c>
    </row>
    <row r="14" spans="1:15" ht="18">
      <c r="A14" s="1" t="s">
        <v>269</v>
      </c>
      <c r="B14" s="130">
        <v>972</v>
      </c>
      <c r="C14" s="137">
        <v>3922.6</v>
      </c>
      <c r="D14" s="367">
        <f t="shared" si="0"/>
        <v>4894.6000000000004</v>
      </c>
      <c r="E14" s="373">
        <f>+B14/D14</f>
        <v>0.19858619703346544</v>
      </c>
      <c r="F14" s="88" t="s">
        <v>0</v>
      </c>
      <c r="G14" s="100" t="s">
        <v>0</v>
      </c>
      <c r="H14" s="130">
        <v>1111.3</v>
      </c>
      <c r="I14" s="137">
        <v>3226.9</v>
      </c>
      <c r="J14" s="367">
        <f t="shared" si="1"/>
        <v>4338.2</v>
      </c>
      <c r="K14" s="428">
        <f>+H14/J14</f>
        <v>0.25616615186021852</v>
      </c>
    </row>
    <row r="15" spans="1:15" ht="15.6" customHeight="1">
      <c r="A15" s="1"/>
      <c r="B15" s="129">
        <f>SUM(B10:B14)</f>
        <v>16500.7</v>
      </c>
      <c r="C15" s="92">
        <f>SUM(C10:C14)</f>
        <v>77147.200000000012</v>
      </c>
      <c r="D15" s="366">
        <f t="shared" si="0"/>
        <v>93647.900000000009</v>
      </c>
      <c r="E15" s="373">
        <f>+B15/D15</f>
        <v>0.17619935951580334</v>
      </c>
      <c r="F15" s="88" t="s">
        <v>0</v>
      </c>
      <c r="G15" s="100" t="s">
        <v>0</v>
      </c>
      <c r="H15" s="129">
        <f>SUM(H10:H14)</f>
        <v>9813.4</v>
      </c>
      <c r="I15" s="92">
        <f>SUM(I10:I14)</f>
        <v>74057.899999999994</v>
      </c>
      <c r="J15" s="366">
        <f t="shared" si="1"/>
        <v>83871.299999999988</v>
      </c>
      <c r="K15" s="428">
        <f>+H15/J15</f>
        <v>0.11700545955529484</v>
      </c>
    </row>
    <row r="16" spans="1:15" ht="7.9" customHeight="1">
      <c r="A16" s="1"/>
      <c r="B16" s="129"/>
      <c r="C16" s="93" t="s">
        <v>0</v>
      </c>
      <c r="D16" s="366"/>
      <c r="E16" s="136" t="s">
        <v>0</v>
      </c>
      <c r="F16" s="88"/>
      <c r="G16" s="100" t="s">
        <v>0</v>
      </c>
      <c r="H16" s="129"/>
      <c r="I16" s="93" t="s">
        <v>0</v>
      </c>
      <c r="J16" s="366" t="s">
        <v>0</v>
      </c>
      <c r="K16" s="136" t="s">
        <v>0</v>
      </c>
    </row>
    <row r="17" spans="1:11" ht="15.6" customHeight="1">
      <c r="A17" s="1" t="s">
        <v>270</v>
      </c>
      <c r="B17" s="129">
        <v>0</v>
      </c>
      <c r="C17" s="92">
        <v>46000</v>
      </c>
      <c r="D17" s="366">
        <f t="shared" ref="D17:D22" si="2">SUM(B17:C17)</f>
        <v>46000</v>
      </c>
      <c r="E17" s="136">
        <v>0</v>
      </c>
      <c r="F17"/>
      <c r="G17"/>
      <c r="H17" s="129">
        <v>0</v>
      </c>
      <c r="I17" s="92">
        <v>35000</v>
      </c>
      <c r="J17" s="366">
        <f t="shared" ref="J17:J22" si="3">SUM(H17:I17)</f>
        <v>35000</v>
      </c>
      <c r="K17" s="136">
        <v>0</v>
      </c>
    </row>
    <row r="18" spans="1:11">
      <c r="A18" s="1" t="s">
        <v>271</v>
      </c>
      <c r="B18" s="129">
        <v>9630.4</v>
      </c>
      <c r="C18" s="92">
        <v>9314.9</v>
      </c>
      <c r="D18" s="366">
        <f t="shared" si="2"/>
        <v>18945.3</v>
      </c>
      <c r="E18" s="373">
        <f>+B18/D18</f>
        <v>0.50832660343198577</v>
      </c>
      <c r="F18"/>
      <c r="G18"/>
      <c r="H18" s="129">
        <v>13842.4</v>
      </c>
      <c r="I18" s="92">
        <v>9452.9</v>
      </c>
      <c r="J18" s="366">
        <f t="shared" si="3"/>
        <v>23295.3</v>
      </c>
      <c r="K18" s="428">
        <f>+H18/J18</f>
        <v>0.59421428356793005</v>
      </c>
    </row>
    <row r="19" spans="1:11">
      <c r="A19" s="1" t="s">
        <v>314</v>
      </c>
      <c r="B19" s="129">
        <v>110404.7</v>
      </c>
      <c r="C19" s="92">
        <v>231226</v>
      </c>
      <c r="D19" s="366">
        <f t="shared" si="2"/>
        <v>341630.7</v>
      </c>
      <c r="E19" s="373">
        <f>+B19/D19</f>
        <v>0.32316972684246464</v>
      </c>
      <c r="F19"/>
      <c r="G19"/>
      <c r="H19" s="129">
        <v>100535.5</v>
      </c>
      <c r="I19" s="92">
        <v>232560.9</v>
      </c>
      <c r="J19" s="366">
        <f t="shared" si="3"/>
        <v>333096.40000000002</v>
      </c>
      <c r="K19" s="428">
        <f>+H19/J19</f>
        <v>0.3018210343912453</v>
      </c>
    </row>
    <row r="20" spans="1:11">
      <c r="A20" s="1" t="s">
        <v>273</v>
      </c>
      <c r="B20" s="129">
        <v>0</v>
      </c>
      <c r="C20" s="92">
        <v>26211.7</v>
      </c>
      <c r="D20" s="366">
        <f t="shared" si="2"/>
        <v>26211.7</v>
      </c>
      <c r="E20" s="136">
        <v>0</v>
      </c>
      <c r="F20"/>
      <c r="G20"/>
      <c r="H20" s="129">
        <v>0</v>
      </c>
      <c r="I20" s="92">
        <v>26298.1</v>
      </c>
      <c r="J20" s="366">
        <f t="shared" si="3"/>
        <v>26298.1</v>
      </c>
      <c r="K20" s="136">
        <v>0</v>
      </c>
    </row>
    <row r="21" spans="1:11" ht="18">
      <c r="A21" s="1" t="s">
        <v>274</v>
      </c>
      <c r="B21" s="130">
        <v>1476.4</v>
      </c>
      <c r="C21" s="137">
        <v>7020.6</v>
      </c>
      <c r="D21" s="367">
        <f t="shared" si="2"/>
        <v>8497</v>
      </c>
      <c r="E21" s="373">
        <f>+B21/D21</f>
        <v>0.17375544309756386</v>
      </c>
      <c r="F21"/>
      <c r="G21"/>
      <c r="H21" s="130">
        <v>1181.7</v>
      </c>
      <c r="I21" s="137">
        <v>6463.4</v>
      </c>
      <c r="J21" s="367">
        <f t="shared" si="3"/>
        <v>7645.0999999999995</v>
      </c>
      <c r="K21" s="428">
        <f>+H21/J21</f>
        <v>0.15456959359589803</v>
      </c>
    </row>
    <row r="22" spans="1:11">
      <c r="A22" s="1" t="s">
        <v>275</v>
      </c>
      <c r="B22" s="132">
        <f>SUM(B15:B21)</f>
        <v>138012.19999999998</v>
      </c>
      <c r="C22" s="95">
        <f>SUM(C15:C21)</f>
        <v>396920.39999999997</v>
      </c>
      <c r="D22" s="368">
        <f t="shared" si="2"/>
        <v>534932.6</v>
      </c>
      <c r="E22" s="431">
        <f>+B22/D22</f>
        <v>0.25799923205278569</v>
      </c>
      <c r="F22"/>
      <c r="G22"/>
      <c r="H22" s="132">
        <f>SUM(H15:H21)</f>
        <v>125373</v>
      </c>
      <c r="I22" s="95">
        <f>SUM(I15:I21)</f>
        <v>383833.19999999995</v>
      </c>
      <c r="J22" s="368">
        <f t="shared" si="3"/>
        <v>509206.19999999995</v>
      </c>
      <c r="K22" s="548">
        <f>+H22/J22</f>
        <v>0.24621263448873956</v>
      </c>
    </row>
    <row r="23" spans="1:11" ht="7.9" customHeight="1">
      <c r="A23" s="1"/>
      <c r="B23" s="129"/>
      <c r="C23" s="93" t="s">
        <v>0</v>
      </c>
      <c r="D23" s="366"/>
      <c r="E23" s="136" t="s">
        <v>0</v>
      </c>
      <c r="F23"/>
      <c r="G23"/>
      <c r="H23" s="129"/>
      <c r="I23" s="93" t="s">
        <v>0</v>
      </c>
      <c r="J23" s="371" t="s">
        <v>0</v>
      </c>
      <c r="K23" s="136" t="s">
        <v>0</v>
      </c>
    </row>
    <row r="24" spans="1:11">
      <c r="A24" s="87" t="s">
        <v>276</v>
      </c>
      <c r="B24" s="129"/>
      <c r="C24" s="93" t="s">
        <v>0</v>
      </c>
      <c r="D24" s="366"/>
      <c r="E24" s="136" t="s">
        <v>0</v>
      </c>
      <c r="F24"/>
      <c r="G24"/>
      <c r="H24" s="129"/>
      <c r="I24" s="93" t="s">
        <v>0</v>
      </c>
      <c r="J24" s="371" t="s">
        <v>0</v>
      </c>
      <c r="K24" s="136" t="s">
        <v>0</v>
      </c>
    </row>
    <row r="25" spans="1:11">
      <c r="A25" s="1" t="s">
        <v>277</v>
      </c>
      <c r="B25" s="129"/>
      <c r="C25" s="93" t="s">
        <v>0</v>
      </c>
      <c r="D25" s="366"/>
      <c r="E25" s="136" t="s">
        <v>0</v>
      </c>
      <c r="F25"/>
      <c r="G25"/>
      <c r="H25" s="129"/>
      <c r="I25" s="93" t="s">
        <v>0</v>
      </c>
      <c r="J25" s="371" t="s">
        <v>0</v>
      </c>
      <c r="K25" s="136" t="s">
        <v>0</v>
      </c>
    </row>
    <row r="26" spans="1:11">
      <c r="A26" s="1" t="s">
        <v>278</v>
      </c>
      <c r="B26" s="129">
        <v>16945.599999999999</v>
      </c>
      <c r="C26" s="92">
        <v>56849.2</v>
      </c>
      <c r="D26" s="366">
        <f>SUM(B26:C26)</f>
        <v>73794.799999999988</v>
      </c>
      <c r="E26" s="373">
        <f>+B26/D26</f>
        <v>0.22963135613891494</v>
      </c>
      <c r="F26"/>
      <c r="G26"/>
      <c r="H26" s="129">
        <v>15989.1</v>
      </c>
      <c r="I26" s="92">
        <v>51617.4</v>
      </c>
      <c r="J26" s="366">
        <f>SUM(H26:I26)</f>
        <v>67606.5</v>
      </c>
      <c r="K26" s="428">
        <f>+H26/J26</f>
        <v>0.23650240731290631</v>
      </c>
    </row>
    <row r="27" spans="1:11">
      <c r="A27" s="1" t="s">
        <v>279</v>
      </c>
      <c r="B27" s="129">
        <v>27122.1</v>
      </c>
      <c r="C27" s="92">
        <v>155974.70000000001</v>
      </c>
      <c r="D27" s="366">
        <f>SUM(B27:C27)</f>
        <v>183096.80000000002</v>
      </c>
      <c r="E27" s="373">
        <f>+B27/D27</f>
        <v>0.14812984170122032</v>
      </c>
      <c r="F27"/>
      <c r="G27"/>
      <c r="H27" s="129">
        <v>28037.1</v>
      </c>
      <c r="I27" s="92">
        <v>159519.70000000001</v>
      </c>
      <c r="J27" s="366">
        <f>SUM(H27:I27)</f>
        <v>187556.80000000002</v>
      </c>
      <c r="K27" s="428">
        <f>+H27/J27</f>
        <v>0.1494859157332605</v>
      </c>
    </row>
    <row r="28" spans="1:11" ht="18">
      <c r="A28" s="1" t="s">
        <v>280</v>
      </c>
      <c r="B28" s="130">
        <v>81864.600000000006</v>
      </c>
      <c r="C28" s="137">
        <v>125922.7</v>
      </c>
      <c r="D28" s="367">
        <f>SUM(B28:C28)</f>
        <v>207787.3</v>
      </c>
      <c r="E28" s="373">
        <f>+B28/D28</f>
        <v>0.3939826928787275</v>
      </c>
      <c r="F28"/>
      <c r="G28"/>
      <c r="H28" s="130">
        <v>50884.3</v>
      </c>
      <c r="I28" s="137">
        <v>119604</v>
      </c>
      <c r="J28" s="367">
        <f>SUM(H28:I28)</f>
        <v>170488.3</v>
      </c>
      <c r="K28" s="428">
        <f>+H28/J28</f>
        <v>0.29846212320728172</v>
      </c>
    </row>
    <row r="29" spans="1:11">
      <c r="A29" s="1"/>
      <c r="B29" s="129">
        <f>SUM(B26:B28)</f>
        <v>125932.3</v>
      </c>
      <c r="C29" s="92">
        <f>SUM(C26:C28)</f>
        <v>338746.60000000003</v>
      </c>
      <c r="D29" s="366">
        <f>SUM(B29:C29)</f>
        <v>464678.9</v>
      </c>
      <c r="E29" s="373">
        <f>+B29/D29</f>
        <v>0.27100929265348611</v>
      </c>
      <c r="F29"/>
      <c r="G29"/>
      <c r="H29" s="129">
        <f>SUM(H26:H28)</f>
        <v>94910.5</v>
      </c>
      <c r="I29" s="92">
        <f>SUM(I26:I28)</f>
        <v>330741.09999999998</v>
      </c>
      <c r="J29" s="366">
        <f>SUM(H29:I29)</f>
        <v>425651.6</v>
      </c>
      <c r="K29" s="428">
        <f>+H29/J29</f>
        <v>0.22297696050008975</v>
      </c>
    </row>
    <row r="30" spans="1:11" ht="7.9" customHeight="1">
      <c r="A30" s="1"/>
      <c r="B30" s="129"/>
      <c r="C30" s="93" t="s">
        <v>0</v>
      </c>
      <c r="D30" s="366"/>
      <c r="E30" s="136" t="s">
        <v>0</v>
      </c>
      <c r="F30"/>
      <c r="G30"/>
      <c r="H30" s="129"/>
      <c r="I30" s="93" t="s">
        <v>0</v>
      </c>
      <c r="J30" s="366" t="s">
        <v>0</v>
      </c>
      <c r="K30" s="136" t="s">
        <v>0</v>
      </c>
    </row>
    <row r="31" spans="1:11">
      <c r="A31" s="1" t="s">
        <v>281</v>
      </c>
      <c r="B31" s="129"/>
      <c r="C31" s="93" t="s">
        <v>0</v>
      </c>
      <c r="D31" s="366"/>
      <c r="E31" s="136" t="s">
        <v>0</v>
      </c>
      <c r="F31"/>
      <c r="G31"/>
      <c r="H31" s="129"/>
      <c r="I31" s="93" t="s">
        <v>0</v>
      </c>
      <c r="J31" s="366" t="s">
        <v>0</v>
      </c>
      <c r="K31" s="136" t="s">
        <v>0</v>
      </c>
    </row>
    <row r="32" spans="1:11">
      <c r="A32" s="1" t="s">
        <v>282</v>
      </c>
      <c r="B32" s="129">
        <v>0</v>
      </c>
      <c r="C32" s="92">
        <v>0</v>
      </c>
      <c r="D32" s="366">
        <f>SUM(B32:C32)</f>
        <v>0</v>
      </c>
      <c r="E32" s="136">
        <v>0</v>
      </c>
      <c r="F32"/>
      <c r="G32"/>
      <c r="H32" s="129">
        <v>0</v>
      </c>
      <c r="I32" s="92">
        <v>0</v>
      </c>
      <c r="J32" s="366">
        <f>SUM(H32:I32)</f>
        <v>0</v>
      </c>
      <c r="K32" s="428" t="e">
        <f>+H32/J32</f>
        <v>#DIV/0!</v>
      </c>
    </row>
    <row r="33" spans="1:15">
      <c r="A33" s="1" t="s">
        <v>283</v>
      </c>
      <c r="B33" s="129">
        <v>0</v>
      </c>
      <c r="C33" s="92">
        <v>0</v>
      </c>
      <c r="D33" s="366">
        <f>SUM(B33:C33)</f>
        <v>0</v>
      </c>
      <c r="E33" s="136">
        <v>0</v>
      </c>
      <c r="F33"/>
      <c r="G33"/>
      <c r="H33" s="129">
        <v>0</v>
      </c>
      <c r="I33" s="92">
        <v>0</v>
      </c>
      <c r="J33" s="366">
        <f>SUM(H33:I33)</f>
        <v>0</v>
      </c>
      <c r="K33" s="136">
        <v>0</v>
      </c>
    </row>
    <row r="34" spans="1:15" ht="18">
      <c r="A34" s="1" t="s">
        <v>284</v>
      </c>
      <c r="B34" s="130">
        <v>433.9</v>
      </c>
      <c r="C34" s="137">
        <v>8633.7999999999993</v>
      </c>
      <c r="D34" s="367">
        <f>SUM(B34:C34)</f>
        <v>9067.6999999999989</v>
      </c>
      <c r="E34" s="373">
        <f>+B34/D34</f>
        <v>4.7851164021747522E-2</v>
      </c>
      <c r="F34"/>
      <c r="G34"/>
      <c r="H34" s="130">
        <v>17667.400000000001</v>
      </c>
      <c r="I34" s="137">
        <v>7727</v>
      </c>
      <c r="J34" s="367">
        <f>SUM(H34:I34)</f>
        <v>25394.400000000001</v>
      </c>
      <c r="K34" s="428">
        <f>+H34/J34</f>
        <v>0.6957203162902057</v>
      </c>
      <c r="L34" s="6"/>
      <c r="M34" s="7"/>
      <c r="N34" s="7"/>
      <c r="O34" s="7"/>
    </row>
    <row r="35" spans="1:15">
      <c r="A35" s="1"/>
      <c r="B35" s="129">
        <f>SUM(B32:B34)</f>
        <v>433.9</v>
      </c>
      <c r="C35" s="92">
        <f>SUM(C32:C34)</f>
        <v>8633.7999999999993</v>
      </c>
      <c r="D35" s="366">
        <f>SUM(B35:C35)</f>
        <v>9067.6999999999989</v>
      </c>
      <c r="E35" s="373">
        <f>+B35/D35</f>
        <v>4.7851164021747522E-2</v>
      </c>
      <c r="F35"/>
      <c r="G35"/>
      <c r="H35" s="129">
        <f>SUM(H32:H34)</f>
        <v>17667.400000000001</v>
      </c>
      <c r="I35" s="92">
        <f>SUM(I32:I34)</f>
        <v>7727</v>
      </c>
      <c r="J35" s="366">
        <f>SUM(H35:I35)</f>
        <v>25394.400000000001</v>
      </c>
      <c r="K35" s="428">
        <f>+H35/J35</f>
        <v>0.6957203162902057</v>
      </c>
    </row>
    <row r="36" spans="1:15" ht="7.15" customHeight="1">
      <c r="A36" s="1"/>
      <c r="B36" s="129"/>
      <c r="C36" s="93" t="s">
        <v>0</v>
      </c>
      <c r="D36" s="366"/>
      <c r="E36" s="136" t="s">
        <v>275</v>
      </c>
      <c r="F36"/>
      <c r="G36"/>
      <c r="H36" s="129"/>
      <c r="I36" s="93" t="s">
        <v>0</v>
      </c>
      <c r="J36" s="366" t="s">
        <v>0</v>
      </c>
      <c r="K36" s="136" t="s">
        <v>275</v>
      </c>
    </row>
    <row r="37" spans="1:15">
      <c r="A37" s="1" t="s">
        <v>285</v>
      </c>
      <c r="B37" s="129"/>
      <c r="C37" s="93" t="s">
        <v>0</v>
      </c>
      <c r="D37" s="366"/>
      <c r="E37" s="136" t="s">
        <v>0</v>
      </c>
      <c r="F37"/>
      <c r="G37"/>
      <c r="H37" s="129"/>
      <c r="I37" s="93" t="s">
        <v>0</v>
      </c>
      <c r="J37" s="366" t="s">
        <v>0</v>
      </c>
      <c r="K37" s="136" t="s">
        <v>0</v>
      </c>
    </row>
    <row r="38" spans="1:15">
      <c r="A38" s="1" t="s">
        <v>282</v>
      </c>
      <c r="B38" s="129">
        <v>0</v>
      </c>
      <c r="C38" s="92">
        <v>0</v>
      </c>
      <c r="D38" s="366">
        <f>SUM(B38:C38)</f>
        <v>0</v>
      </c>
      <c r="E38" s="136">
        <v>0</v>
      </c>
      <c r="F38"/>
      <c r="G38"/>
      <c r="H38" s="129">
        <v>0</v>
      </c>
      <c r="I38" s="92">
        <v>0</v>
      </c>
      <c r="J38" s="366">
        <f>SUM(H38:I38)</f>
        <v>0</v>
      </c>
      <c r="K38" s="136">
        <v>0</v>
      </c>
    </row>
    <row r="39" spans="1:15">
      <c r="A39" s="1" t="s">
        <v>286</v>
      </c>
      <c r="B39" s="129">
        <v>0</v>
      </c>
      <c r="C39" s="92">
        <v>0</v>
      </c>
      <c r="D39" s="366">
        <f>SUM(B39:C39)</f>
        <v>0</v>
      </c>
      <c r="E39" s="136">
        <v>0</v>
      </c>
      <c r="F39"/>
      <c r="G39"/>
      <c r="H39" s="129">
        <v>0</v>
      </c>
      <c r="I39" s="92">
        <v>0</v>
      </c>
      <c r="J39" s="366">
        <f>SUM(H39:I39)</f>
        <v>0</v>
      </c>
      <c r="K39" s="136">
        <v>0</v>
      </c>
    </row>
    <row r="40" spans="1:15" ht="18">
      <c r="A40" s="1" t="s">
        <v>284</v>
      </c>
      <c r="B40" s="130">
        <v>0</v>
      </c>
      <c r="C40" s="137">
        <v>16249</v>
      </c>
      <c r="D40" s="367">
        <f>SUM(B40:C40)</f>
        <v>16249</v>
      </c>
      <c r="E40" s="136">
        <f>+B40/D40</f>
        <v>0</v>
      </c>
      <c r="F40"/>
      <c r="G40"/>
      <c r="H40" s="130">
        <v>0</v>
      </c>
      <c r="I40" s="137">
        <v>17273.900000000001</v>
      </c>
      <c r="J40" s="367">
        <f>SUM(H40:I40)</f>
        <v>17273.900000000001</v>
      </c>
      <c r="K40" s="136">
        <v>0</v>
      </c>
    </row>
    <row r="41" spans="1:15">
      <c r="A41" s="1"/>
      <c r="B41" s="129">
        <f>SUM(B38:B40)</f>
        <v>0</v>
      </c>
      <c r="C41" s="92">
        <f>SUM(C38:C40)</f>
        <v>16249</v>
      </c>
      <c r="D41" s="366">
        <f>SUM(B41:C41)</f>
        <v>16249</v>
      </c>
      <c r="E41" s="136">
        <f>+B41/D41</f>
        <v>0</v>
      </c>
      <c r="F41"/>
      <c r="G41"/>
      <c r="H41" s="129">
        <f>SUM(H38:H40)</f>
        <v>0</v>
      </c>
      <c r="I41" s="92">
        <f>SUM(I38:I40)</f>
        <v>17273.900000000001</v>
      </c>
      <c r="J41" s="366">
        <f>SUM(H41:I41)</f>
        <v>17273.900000000001</v>
      </c>
      <c r="K41" s="136">
        <v>0</v>
      </c>
    </row>
    <row r="42" spans="1:15" ht="8.4499999999999993" customHeight="1">
      <c r="A42" s="1"/>
      <c r="B42" s="129"/>
      <c r="C42" s="93" t="s">
        <v>0</v>
      </c>
      <c r="D42" s="366"/>
      <c r="E42" s="136" t="s">
        <v>0</v>
      </c>
      <c r="F42"/>
      <c r="G42"/>
      <c r="H42" s="129"/>
      <c r="I42" s="93" t="s">
        <v>0</v>
      </c>
      <c r="J42" s="366" t="s">
        <v>0</v>
      </c>
      <c r="K42" s="136" t="s">
        <v>0</v>
      </c>
    </row>
    <row r="43" spans="1:15" ht="18">
      <c r="A43" s="1" t="s">
        <v>287</v>
      </c>
      <c r="B43" s="130">
        <v>0</v>
      </c>
      <c r="C43" s="137">
        <v>1534.6</v>
      </c>
      <c r="D43" s="367">
        <f>SUM(B43:C43)</f>
        <v>1534.6</v>
      </c>
      <c r="E43" s="373">
        <f>+B43/D43</f>
        <v>0</v>
      </c>
      <c r="F43"/>
      <c r="G43"/>
      <c r="H43" s="130">
        <v>56.1</v>
      </c>
      <c r="I43" s="137">
        <v>599.6</v>
      </c>
      <c r="J43" s="367">
        <f>SUM(H43:I43)</f>
        <v>655.7</v>
      </c>
      <c r="K43" s="136">
        <v>0</v>
      </c>
      <c r="L43" s="6"/>
    </row>
    <row r="44" spans="1:15">
      <c r="A44" s="1"/>
      <c r="B44" s="129">
        <f>+B29+B35+B41+B43</f>
        <v>126366.2</v>
      </c>
      <c r="C44" s="92">
        <f>+C29+C35+C41+C43</f>
        <v>365164</v>
      </c>
      <c r="D44" s="366">
        <f>+D29+D35+D41+D43</f>
        <v>491530.2</v>
      </c>
      <c r="E44" s="373">
        <f>+B44/D44</f>
        <v>0.25708735699251034</v>
      </c>
      <c r="F44"/>
      <c r="G44"/>
      <c r="H44" s="129">
        <f>+H29+H35+H41+H43</f>
        <v>112634</v>
      </c>
      <c r="I44" s="92">
        <f>+I29+I35+I41+I43</f>
        <v>356341.6</v>
      </c>
      <c r="J44" s="366">
        <f>+J29+J35+J41+J43</f>
        <v>468975.60000000003</v>
      </c>
      <c r="K44" s="428">
        <f>+H44/J44</f>
        <v>0.24017027751550399</v>
      </c>
    </row>
    <row r="45" spans="1:15" ht="8.4499999999999993" customHeight="1">
      <c r="A45" s="1"/>
      <c r="B45" s="129"/>
      <c r="C45" s="93" t="s">
        <v>0</v>
      </c>
      <c r="D45" s="366"/>
      <c r="E45" s="136" t="s">
        <v>0</v>
      </c>
      <c r="F45"/>
      <c r="G45"/>
      <c r="H45" s="129"/>
      <c r="I45" s="93" t="s">
        <v>0</v>
      </c>
      <c r="J45" s="366" t="s">
        <v>0</v>
      </c>
      <c r="K45" s="136" t="s">
        <v>0</v>
      </c>
    </row>
    <row r="46" spans="1:15">
      <c r="A46" s="87" t="s">
        <v>288</v>
      </c>
      <c r="B46" s="129"/>
      <c r="C46" s="93" t="s">
        <v>0</v>
      </c>
      <c r="D46" s="366"/>
      <c r="E46" s="136" t="s">
        <v>0</v>
      </c>
      <c r="F46"/>
      <c r="G46"/>
      <c r="H46" s="129"/>
      <c r="I46" s="93" t="s">
        <v>0</v>
      </c>
      <c r="J46" s="366" t="s">
        <v>0</v>
      </c>
      <c r="K46" s="136" t="s">
        <v>0</v>
      </c>
    </row>
    <row r="47" spans="1:15">
      <c r="A47" s="1" t="s">
        <v>289</v>
      </c>
      <c r="B47" s="129">
        <v>0</v>
      </c>
      <c r="C47" s="92">
        <v>20000</v>
      </c>
      <c r="D47" s="366">
        <f>SUM(B47:C47)</f>
        <v>20000</v>
      </c>
      <c r="E47" s="136">
        <f>+B47/D47</f>
        <v>0</v>
      </c>
      <c r="F47"/>
      <c r="G47"/>
      <c r="H47" s="129">
        <v>0</v>
      </c>
      <c r="I47" s="92">
        <v>20000</v>
      </c>
      <c r="J47" s="366">
        <f>SUM(H47:I47)</f>
        <v>20000</v>
      </c>
      <c r="K47" s="136">
        <f>+H47/J47</f>
        <v>0</v>
      </c>
    </row>
    <row r="48" spans="1:15">
      <c r="A48" s="1" t="s">
        <v>290</v>
      </c>
      <c r="B48" s="129">
        <v>0</v>
      </c>
      <c r="C48" s="92">
        <v>3724.3</v>
      </c>
      <c r="D48" s="366">
        <f>SUM(B48:C48)</f>
        <v>3724.3</v>
      </c>
      <c r="E48" s="136">
        <v>0</v>
      </c>
      <c r="F48"/>
      <c r="G48"/>
      <c r="H48" s="129">
        <v>0</v>
      </c>
      <c r="I48" s="92">
        <v>1993.9</v>
      </c>
      <c r="J48" s="366">
        <f>SUM(H48:I48)</f>
        <v>1993.9</v>
      </c>
      <c r="K48" s="136">
        <v>0</v>
      </c>
    </row>
    <row r="49" spans="1:15">
      <c r="A49" s="1" t="s">
        <v>302</v>
      </c>
      <c r="B49" s="129">
        <v>0</v>
      </c>
      <c r="C49" s="92">
        <v>0</v>
      </c>
      <c r="D49" s="366">
        <v>0</v>
      </c>
      <c r="E49" s="136">
        <v>0</v>
      </c>
      <c r="F49"/>
      <c r="G49"/>
      <c r="H49" s="129">
        <v>0</v>
      </c>
      <c r="I49" s="92">
        <v>0</v>
      </c>
      <c r="J49" s="366">
        <v>0</v>
      </c>
      <c r="K49" s="136">
        <v>0</v>
      </c>
    </row>
    <row r="50" spans="1:15" ht="18">
      <c r="A50" s="1" t="s">
        <v>292</v>
      </c>
      <c r="B50" s="130">
        <v>0</v>
      </c>
      <c r="C50" s="137">
        <v>19678.099999999999</v>
      </c>
      <c r="D50" s="367">
        <f>SUM(B50:C50)</f>
        <v>19678.099999999999</v>
      </c>
      <c r="E50" s="136">
        <v>0</v>
      </c>
      <c r="F50"/>
      <c r="G50"/>
      <c r="H50" s="130">
        <v>0</v>
      </c>
      <c r="I50" s="137">
        <v>18236.7</v>
      </c>
      <c r="J50" s="367">
        <f>SUM(H50:I50)</f>
        <v>18236.7</v>
      </c>
      <c r="K50" s="136">
        <v>0</v>
      </c>
      <c r="L50" s="6"/>
      <c r="M50" s="7"/>
      <c r="N50" s="7"/>
      <c r="O50" s="7"/>
    </row>
    <row r="51" spans="1:15">
      <c r="A51" s="1" t="s">
        <v>275</v>
      </c>
      <c r="B51" s="129">
        <f>SUM(B47:B50)</f>
        <v>0</v>
      </c>
      <c r="C51" s="92">
        <f>SUM(C47:C50)</f>
        <v>43402.399999999994</v>
      </c>
      <c r="D51" s="366">
        <f>SUM(B51:C51)</f>
        <v>43402.399999999994</v>
      </c>
      <c r="E51" s="136" t="s">
        <v>0</v>
      </c>
      <c r="F51"/>
      <c r="G51"/>
      <c r="H51" s="129">
        <f>SUM(H47:H50)</f>
        <v>0</v>
      </c>
      <c r="I51" s="92">
        <f>SUM(I47:I50)</f>
        <v>40230.600000000006</v>
      </c>
      <c r="J51" s="366">
        <f>SUM(H51:I51)</f>
        <v>40230.600000000006</v>
      </c>
      <c r="K51" s="136" t="s">
        <v>0</v>
      </c>
    </row>
    <row r="52" spans="1:15">
      <c r="A52" s="1" t="s">
        <v>0</v>
      </c>
      <c r="B52" s="129"/>
      <c r="C52" s="93" t="s">
        <v>0</v>
      </c>
      <c r="D52" s="366"/>
      <c r="E52" s="136" t="s">
        <v>0</v>
      </c>
      <c r="F52"/>
      <c r="G52"/>
      <c r="H52" s="129"/>
      <c r="I52" s="93" t="s">
        <v>0</v>
      </c>
      <c r="J52" s="366" t="s">
        <v>0</v>
      </c>
      <c r="K52" s="136" t="s">
        <v>0</v>
      </c>
    </row>
    <row r="53" spans="1:15" ht="16.5" thickBot="1">
      <c r="A53" s="1" t="s">
        <v>0</v>
      </c>
      <c r="B53" s="133">
        <f>+B29+B35+B41+B43+B51</f>
        <v>126366.2</v>
      </c>
      <c r="C53" s="134">
        <f>+C29+C35+C41+C43+C51</f>
        <v>408566.4</v>
      </c>
      <c r="D53" s="369">
        <f>SUM(B53:C53)</f>
        <v>534932.6</v>
      </c>
      <c r="E53" s="430">
        <f>+B53/D53</f>
        <v>0.23622826501880798</v>
      </c>
      <c r="F53"/>
      <c r="G53"/>
      <c r="H53" s="133">
        <f>+H29+H35+H41+H43+H51</f>
        <v>112634</v>
      </c>
      <c r="I53" s="134">
        <f>+I29+I35+I41+I43+I51</f>
        <v>396572.19999999995</v>
      </c>
      <c r="J53" s="369">
        <f>SUM(H53:I53)</f>
        <v>509206.19999999995</v>
      </c>
      <c r="K53" s="549">
        <f>+H53/J53</f>
        <v>0.22119526431532061</v>
      </c>
    </row>
    <row r="54" spans="1:15" ht="16.5" thickTop="1">
      <c r="A54" s="1"/>
      <c r="B54" s="95"/>
      <c r="C54" s="95"/>
      <c r="D54" s="384"/>
      <c r="E54" s="262"/>
      <c r="F54"/>
      <c r="G54"/>
      <c r="H54" s="95"/>
      <c r="I54" s="95"/>
      <c r="J54" s="384"/>
      <c r="K54" s="93"/>
    </row>
    <row r="55" spans="1:15">
      <c r="A55" s="1"/>
      <c r="B55" s="91" t="s">
        <v>634</v>
      </c>
      <c r="C55"/>
      <c r="D55" s="91"/>
      <c r="E55" s="100" t="s">
        <v>0</v>
      </c>
      <c r="F55"/>
      <c r="G55"/>
      <c r="H55" s="91" t="s">
        <v>530</v>
      </c>
      <c r="I55"/>
      <c r="J55" s="89" t="s">
        <v>0</v>
      </c>
    </row>
    <row r="56" spans="1:15">
      <c r="C56" s="43"/>
      <c r="E56" s="115" t="s">
        <v>0</v>
      </c>
      <c r="F56"/>
      <c r="G56"/>
      <c r="H56"/>
      <c r="J56" s="43"/>
    </row>
    <row r="57" spans="1:15">
      <c r="A57" s="18" t="s">
        <v>319</v>
      </c>
      <c r="C57" s="43"/>
      <c r="E57" s="115" t="s">
        <v>0</v>
      </c>
      <c r="F57"/>
      <c r="G57"/>
      <c r="H57"/>
      <c r="J57" s="43"/>
    </row>
    <row r="58" spans="1:15">
      <c r="A58" t="s">
        <v>294</v>
      </c>
      <c r="B58" s="12">
        <f>+'sgbelcomp  '!B57</f>
        <v>0</v>
      </c>
      <c r="C58" s="43"/>
      <c r="E58" s="115" t="s">
        <v>0</v>
      </c>
      <c r="F58"/>
      <c r="G58"/>
      <c r="H58"/>
      <c r="J58" s="43"/>
    </row>
    <row r="59" spans="1:15">
      <c r="A59" t="s">
        <v>295</v>
      </c>
      <c r="B59" s="12">
        <f>+'sgbelcomp  '!B58</f>
        <v>0</v>
      </c>
      <c r="C59" s="43"/>
      <c r="E59" s="115" t="s">
        <v>0</v>
      </c>
      <c r="F59"/>
      <c r="G59"/>
      <c r="H59"/>
      <c r="J59" s="43"/>
    </row>
    <row r="60" spans="1:15">
      <c r="A60" t="s">
        <v>284</v>
      </c>
      <c r="B60" s="12">
        <f>+'sgbelcomp  '!B59</f>
        <v>79428.600000000006</v>
      </c>
      <c r="C60" s="43"/>
      <c r="E60" s="115" t="s">
        <v>0</v>
      </c>
      <c r="F60"/>
      <c r="G60"/>
      <c r="H60"/>
      <c r="J60" s="43"/>
    </row>
    <row r="61" spans="1:15">
      <c r="C61" s="43"/>
      <c r="E61" s="115" t="s">
        <v>0</v>
      </c>
      <c r="F61"/>
      <c r="G61"/>
      <c r="H61"/>
      <c r="J61" s="43"/>
    </row>
    <row r="62" spans="1:15" ht="18.75">
      <c r="A62" s="122" t="s">
        <v>303</v>
      </c>
      <c r="B62" s="12">
        <f>+'sgbelcomp  '!B61</f>
        <v>353363.6</v>
      </c>
      <c r="C62" s="43"/>
      <c r="E62" s="115" t="s">
        <v>0</v>
      </c>
      <c r="F62"/>
      <c r="G62"/>
      <c r="H62" s="41">
        <v>0</v>
      </c>
      <c r="I62" s="43">
        <v>0</v>
      </c>
      <c r="J62" s="12">
        <f>+J19+J63</f>
        <v>336123.84681000002</v>
      </c>
    </row>
    <row r="63" spans="1:15">
      <c r="A63" t="s">
        <v>217</v>
      </c>
      <c r="B63" s="12">
        <f>+'sgbelcomp  '!B62</f>
        <v>11733</v>
      </c>
      <c r="C63" s="43"/>
      <c r="E63" s="115" t="s">
        <v>0</v>
      </c>
      <c r="F63"/>
      <c r="G63"/>
      <c r="H63" s="41">
        <v>0</v>
      </c>
      <c r="I63" s="43">
        <v>0</v>
      </c>
      <c r="J63" s="12">
        <f>3027446.81/1000</f>
        <v>3027.4468099999999</v>
      </c>
    </row>
    <row r="64" spans="1:15">
      <c r="A64" t="s">
        <v>320</v>
      </c>
      <c r="B64" s="12">
        <f>+'sgbelcomp  '!B63</f>
        <v>35020</v>
      </c>
      <c r="C64" s="43"/>
      <c r="E64" s="115" t="s">
        <v>0</v>
      </c>
      <c r="F64"/>
      <c r="G64"/>
      <c r="H64" s="41">
        <v>0</v>
      </c>
      <c r="I64" s="43">
        <v>0</v>
      </c>
      <c r="J64" s="12">
        <v>0</v>
      </c>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sheetData>
  <pageMargins left="0.7" right="0.28999999999999998" top="0.55000000000000004" bottom="0.48" header="0.32" footer="0.22"/>
  <pageSetup scale="64" orientation="landscape" r:id="rId1"/>
  <headerFooter alignWithMargins="0">
    <oddFooter>&amp;R&amp;P</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120"/>
  <sheetViews>
    <sheetView workbookViewId="0"/>
  </sheetViews>
  <sheetFormatPr defaultRowHeight="15.75"/>
  <cols>
    <col min="1" max="1" width="50" customWidth="1"/>
    <col min="2" max="2" width="15.75" style="27" customWidth="1"/>
    <col min="3" max="3" width="8.7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 style="27" customWidth="1"/>
    <col min="14" max="14" width="15.75" style="27" customWidth="1"/>
    <col min="15" max="15" width="11" style="27" customWidth="1"/>
    <col min="16" max="16" width="15.75" style="27" customWidth="1"/>
    <col min="17" max="17" width="11" style="27" customWidth="1"/>
    <col min="18" max="18" width="15.75" style="27" customWidth="1"/>
    <col min="19" max="19" width="11" style="27" customWidth="1"/>
    <col min="20" max="20" width="16.25" style="27" customWidth="1"/>
    <col min="21" max="21" width="12.5" style="27" customWidth="1"/>
    <col min="22" max="256" width="11" customWidth="1"/>
  </cols>
  <sheetData>
    <row r="1" spans="1:22">
      <c r="A1" s="114" t="s">
        <v>650</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6" spans="1:22" s="2" customFormat="1" ht="16.5" thickBot="1">
      <c r="B6" s="377" t="s">
        <v>185</v>
      </c>
      <c r="C6" s="399"/>
      <c r="D6" s="400"/>
      <c r="E6" s="399"/>
      <c r="F6" s="400"/>
      <c r="G6" s="399"/>
      <c r="H6" s="400"/>
      <c r="I6" s="401"/>
      <c r="J6" s="377" t="s">
        <v>174</v>
      </c>
      <c r="K6" s="399"/>
      <c r="L6" s="400"/>
      <c r="M6" s="399"/>
      <c r="N6" s="400"/>
      <c r="O6" s="399"/>
      <c r="P6" s="400"/>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7" t="s">
        <v>0</v>
      </c>
      <c r="D9" s="16" t="s">
        <v>0</v>
      </c>
      <c r="E9" s="16" t="s">
        <v>0</v>
      </c>
      <c r="F9" s="16" t="s">
        <v>0</v>
      </c>
      <c r="G9" s="16" t="s">
        <v>0</v>
      </c>
      <c r="H9" s="16" t="s">
        <v>0</v>
      </c>
      <c r="I9" s="16" t="s">
        <v>0</v>
      </c>
      <c r="J9" s="16" t="s">
        <v>0</v>
      </c>
      <c r="K9" s="47" t="s">
        <v>0</v>
      </c>
      <c r="L9" s="16" t="s">
        <v>0</v>
      </c>
      <c r="M9" s="47" t="s">
        <v>0</v>
      </c>
      <c r="N9" s="16" t="s">
        <v>0</v>
      </c>
      <c r="O9" s="47" t="s">
        <v>0</v>
      </c>
      <c r="P9" s="16" t="s">
        <v>0</v>
      </c>
      <c r="Q9" s="12"/>
      <c r="R9" s="12"/>
      <c r="S9" s="12"/>
      <c r="T9" s="12"/>
      <c r="U9" s="12"/>
    </row>
    <row r="10" spans="1:22">
      <c r="A10" t="s">
        <v>330</v>
      </c>
      <c r="B10" s="12">
        <f>+B50</f>
        <v>14599.9</v>
      </c>
      <c r="C10" s="43">
        <v>0</v>
      </c>
      <c r="D10" s="12">
        <f>+F50</f>
        <v>0</v>
      </c>
      <c r="E10" s="43">
        <v>0</v>
      </c>
      <c r="F10" s="12">
        <f>+J50</f>
        <v>0</v>
      </c>
      <c r="G10" s="43">
        <v>0</v>
      </c>
      <c r="H10" s="12">
        <f>+N50</f>
        <v>0</v>
      </c>
      <c r="I10" s="12"/>
      <c r="J10" s="12">
        <f>+D50</f>
        <v>13738.6</v>
      </c>
      <c r="K10" s="46">
        <f>+(-J10+L10)/ABS(J10)</f>
        <v>4.7697727570494758E-2</v>
      </c>
      <c r="L10" s="12">
        <f>+H50</f>
        <v>14393.9</v>
      </c>
      <c r="M10" s="46">
        <f t="shared" ref="M10:M15" si="0">+(-L10+N10)/ABS(L10)</f>
        <v>-9.0705090350773496E-2</v>
      </c>
      <c r="N10" s="12">
        <f>+L50</f>
        <v>13088.300000000001</v>
      </c>
      <c r="O10" s="46">
        <f t="shared" ref="O10:O15" si="1">+(-N10+P10)/ABS(N10)</f>
        <v>0.30879487786801951</v>
      </c>
      <c r="P10" s="12">
        <f>+P50</f>
        <v>17129.900000000001</v>
      </c>
      <c r="Q10" s="12"/>
      <c r="R10" s="12"/>
      <c r="S10" s="12"/>
      <c r="T10" s="12"/>
      <c r="U10" s="12"/>
    </row>
    <row r="11" spans="1:22">
      <c r="A11" t="s">
        <v>354</v>
      </c>
      <c r="B11" s="12">
        <f>+B51</f>
        <v>1369.2</v>
      </c>
      <c r="C11" s="43">
        <v>0</v>
      </c>
      <c r="D11" s="12">
        <f>+F51</f>
        <v>0</v>
      </c>
      <c r="E11" s="43">
        <v>0</v>
      </c>
      <c r="F11" s="12">
        <f>+J51</f>
        <v>0</v>
      </c>
      <c r="G11" s="43">
        <v>0</v>
      </c>
      <c r="H11" s="12">
        <f>+N51</f>
        <v>0</v>
      </c>
      <c r="I11" s="12"/>
      <c r="J11" s="12">
        <f>+D51</f>
        <v>1572</v>
      </c>
      <c r="K11" s="43">
        <v>0</v>
      </c>
      <c r="L11" s="12">
        <f>+H51</f>
        <v>1004.3000000000001</v>
      </c>
      <c r="M11" s="46">
        <f t="shared" si="0"/>
        <v>-8.8519366723090687E-2</v>
      </c>
      <c r="N11" s="12">
        <f>+L51</f>
        <v>915.40000000000009</v>
      </c>
      <c r="O11" s="46">
        <f t="shared" si="1"/>
        <v>1.6277037360716475E-2</v>
      </c>
      <c r="P11" s="12">
        <f>+P51</f>
        <v>930.3</v>
      </c>
      <c r="Q11" s="12"/>
      <c r="R11" s="12"/>
      <c r="S11" s="12"/>
      <c r="T11" s="12"/>
      <c r="U11" s="12"/>
    </row>
    <row r="12" spans="1:22">
      <c r="A12" t="s">
        <v>332</v>
      </c>
      <c r="B12" s="240">
        <f>+B52</f>
        <v>216.1</v>
      </c>
      <c r="C12" s="43">
        <v>0</v>
      </c>
      <c r="D12" s="240">
        <f>+F52</f>
        <v>0</v>
      </c>
      <c r="E12" s="43">
        <v>0</v>
      </c>
      <c r="F12" s="240">
        <f>+J52</f>
        <v>0</v>
      </c>
      <c r="G12" s="43">
        <v>0</v>
      </c>
      <c r="H12" s="240">
        <f>+N52</f>
        <v>0</v>
      </c>
      <c r="I12" s="12"/>
      <c r="J12" s="221">
        <f>+D52</f>
        <v>364.4</v>
      </c>
      <c r="K12" s="46">
        <f>+(-J12+L12)/ABS(J12)</f>
        <v>-0.23600439077936336</v>
      </c>
      <c r="L12" s="221">
        <f>+H52</f>
        <v>278.39999999999998</v>
      </c>
      <c r="M12" s="46">
        <f t="shared" si="0"/>
        <v>2.3171695402298855</v>
      </c>
      <c r="N12" s="221">
        <f>+L52</f>
        <v>923.5</v>
      </c>
      <c r="O12" s="46">
        <f t="shared" si="1"/>
        <v>-1.1804006497022197</v>
      </c>
      <c r="P12" s="221">
        <f>+P52</f>
        <v>-166.60000000000002</v>
      </c>
      <c r="Q12" s="12"/>
      <c r="R12" s="12"/>
      <c r="S12" s="12"/>
      <c r="T12" s="12"/>
      <c r="U12" s="12"/>
    </row>
    <row r="13" spans="1:22">
      <c r="B13" s="12">
        <f>SUM(B10:B12)</f>
        <v>16185.2</v>
      </c>
      <c r="C13" s="43">
        <v>0</v>
      </c>
      <c r="D13" s="12">
        <f>SUM(D10:D12)</f>
        <v>0</v>
      </c>
      <c r="E13" s="43">
        <v>0</v>
      </c>
      <c r="F13" s="12">
        <f>SUM(F10:F12)</f>
        <v>0</v>
      </c>
      <c r="G13" s="43">
        <v>0</v>
      </c>
      <c r="H13" s="12">
        <f>SUM(H10:H12)</f>
        <v>0</v>
      </c>
      <c r="I13" s="12"/>
      <c r="J13" s="12">
        <f>SUM(J10:J12)</f>
        <v>15675</v>
      </c>
      <c r="K13" s="46">
        <f>+(-J13+L13)/ABS(J13)</f>
        <v>1.0207336523116714E-4</v>
      </c>
      <c r="L13" s="12">
        <f>SUM(L10:L12)</f>
        <v>15676.599999999999</v>
      </c>
      <c r="M13" s="46">
        <f t="shared" si="0"/>
        <v>-4.7803732952298193E-2</v>
      </c>
      <c r="N13" s="12">
        <f>SUM(N10:N12)</f>
        <v>14927.2</v>
      </c>
      <c r="O13" s="46">
        <f t="shared" si="1"/>
        <v>0.1987244761241225</v>
      </c>
      <c r="P13" s="12">
        <f>SUM(P10:P12)</f>
        <v>17893.600000000002</v>
      </c>
      <c r="Q13" s="12"/>
      <c r="R13" s="12"/>
      <c r="S13" s="12"/>
      <c r="T13" s="12"/>
      <c r="U13" s="12"/>
    </row>
    <row r="14" spans="1:22">
      <c r="A14" t="s">
        <v>333</v>
      </c>
      <c r="B14" s="240">
        <f>+B54</f>
        <v>4949.8</v>
      </c>
      <c r="C14" s="43">
        <v>0</v>
      </c>
      <c r="D14" s="240">
        <f>+F54</f>
        <v>0</v>
      </c>
      <c r="E14" s="43">
        <v>0</v>
      </c>
      <c r="F14" s="240">
        <f>+J54</f>
        <v>0</v>
      </c>
      <c r="G14" s="43">
        <v>0</v>
      </c>
      <c r="H14" s="240">
        <f>+N54</f>
        <v>0</v>
      </c>
      <c r="I14" s="12"/>
      <c r="J14" s="240">
        <f>+D54</f>
        <v>9289.7000000000007</v>
      </c>
      <c r="K14" s="46">
        <f>+(-J14+L14)/ABS(J14)</f>
        <v>-0.31300257274185395</v>
      </c>
      <c r="L14" s="240">
        <f>+H54</f>
        <v>6382</v>
      </c>
      <c r="M14" s="46">
        <f t="shared" si="0"/>
        <v>-0.27289251018489508</v>
      </c>
      <c r="N14" s="240">
        <f>+L54</f>
        <v>4640.3999999999996</v>
      </c>
      <c r="O14" s="46">
        <f t="shared" si="1"/>
        <v>-1.2477372640289553E-2</v>
      </c>
      <c r="P14" s="240">
        <f>+P54</f>
        <v>4582.5</v>
      </c>
      <c r="Q14" s="12"/>
      <c r="R14" s="12"/>
      <c r="S14" s="12"/>
      <c r="T14" s="12"/>
      <c r="U14" s="12"/>
    </row>
    <row r="15" spans="1:22">
      <c r="B15" s="12">
        <f>+B13-B14</f>
        <v>11235.400000000001</v>
      </c>
      <c r="C15" s="43">
        <v>0</v>
      </c>
      <c r="D15" s="12">
        <f>+D13-D14</f>
        <v>0</v>
      </c>
      <c r="E15" s="43">
        <v>0</v>
      </c>
      <c r="F15" s="12">
        <f>+F13-F14</f>
        <v>0</v>
      </c>
      <c r="G15" s="43">
        <v>0</v>
      </c>
      <c r="H15" s="12">
        <f>+H13-H14</f>
        <v>0</v>
      </c>
      <c r="I15" s="12"/>
      <c r="J15" s="12">
        <f>+J13-J14</f>
        <v>6385.2999999999993</v>
      </c>
      <c r="K15" s="46">
        <f>+(-J15+L15)/ABS(J15)</f>
        <v>0.45562463784003876</v>
      </c>
      <c r="L15" s="12">
        <f>+L13-L14</f>
        <v>9294.5999999999985</v>
      </c>
      <c r="M15" s="46">
        <f t="shared" si="0"/>
        <v>0.10675015600456209</v>
      </c>
      <c r="N15" s="12">
        <f>+N13-N14</f>
        <v>10286.800000000001</v>
      </c>
      <c r="O15" s="46">
        <f t="shared" si="1"/>
        <v>0.29399813353034965</v>
      </c>
      <c r="P15" s="12">
        <f>+P13-P14</f>
        <v>13311.100000000002</v>
      </c>
      <c r="Q15" s="12"/>
      <c r="R15" s="12"/>
      <c r="S15" s="12"/>
      <c r="T15" s="12"/>
      <c r="U15" s="12"/>
    </row>
    <row r="16" spans="1:22" ht="9" customHeight="1">
      <c r="B16" s="12"/>
      <c r="C16" s="44" t="s">
        <v>0</v>
      </c>
      <c r="D16" s="12"/>
      <c r="E16" s="44" t="s">
        <v>0</v>
      </c>
      <c r="F16" s="12"/>
      <c r="G16" s="44" t="s">
        <v>0</v>
      </c>
      <c r="H16" s="12"/>
      <c r="I16" s="12"/>
      <c r="J16" s="12"/>
      <c r="K16" s="46"/>
      <c r="L16" s="12"/>
      <c r="M16" s="46"/>
      <c r="N16" s="12"/>
      <c r="O16" s="46"/>
      <c r="P16" s="12"/>
      <c r="Q16" s="12"/>
      <c r="R16" s="12"/>
      <c r="S16" s="12"/>
      <c r="T16" s="12"/>
      <c r="U16" s="12"/>
    </row>
    <row r="17" spans="1:21">
      <c r="A17" t="s">
        <v>334</v>
      </c>
      <c r="B17" s="12"/>
      <c r="C17" s="44" t="s">
        <v>0</v>
      </c>
      <c r="D17" s="12"/>
      <c r="E17" s="44" t="s">
        <v>0</v>
      </c>
      <c r="F17" s="12"/>
      <c r="G17" s="44" t="s">
        <v>0</v>
      </c>
      <c r="H17" s="12"/>
      <c r="I17" s="12"/>
      <c r="J17" s="12"/>
      <c r="K17" s="46"/>
      <c r="L17" s="12"/>
      <c r="M17" s="46"/>
      <c r="N17" s="12"/>
      <c r="O17" s="47" t="s">
        <v>0</v>
      </c>
      <c r="P17" s="12"/>
      <c r="Q17" s="12"/>
      <c r="R17" s="12"/>
      <c r="S17" s="12"/>
      <c r="T17" s="12"/>
      <c r="U17" s="12"/>
    </row>
    <row r="18" spans="1:21">
      <c r="A18" t="s">
        <v>335</v>
      </c>
      <c r="B18" s="12">
        <f>+B58</f>
        <v>748.4</v>
      </c>
      <c r="C18" s="43">
        <v>0</v>
      </c>
      <c r="D18" s="12">
        <f>+F58</f>
        <v>0</v>
      </c>
      <c r="E18" s="43">
        <v>0</v>
      </c>
      <c r="F18" s="12">
        <f>+J58</f>
        <v>0</v>
      </c>
      <c r="G18" s="43">
        <v>0</v>
      </c>
      <c r="H18" s="12">
        <f>+N58</f>
        <v>0</v>
      </c>
      <c r="I18" s="12"/>
      <c r="J18" s="12">
        <f>+D58</f>
        <v>1098.8</v>
      </c>
      <c r="K18" s="46">
        <f>+(-J18+L18)/ABS(J18)</f>
        <v>-0.22706589006188571</v>
      </c>
      <c r="L18" s="12">
        <f>+H58</f>
        <v>849.3</v>
      </c>
      <c r="M18" s="46">
        <f>+(-L18+N18)/ABS(L18)</f>
        <v>-0.25562227716943353</v>
      </c>
      <c r="N18" s="12">
        <f>+L58</f>
        <v>632.20000000000005</v>
      </c>
      <c r="O18" s="46">
        <f>+(-N18+P18)/ABS(N18)</f>
        <v>0.7435937994305597</v>
      </c>
      <c r="P18" s="12">
        <f>+P58</f>
        <v>1102.3</v>
      </c>
      <c r="Q18" s="12"/>
      <c r="R18" s="12"/>
      <c r="S18" s="12"/>
      <c r="T18" s="12"/>
      <c r="U18" s="12"/>
    </row>
    <row r="19" spans="1:21">
      <c r="A19" t="s">
        <v>336</v>
      </c>
      <c r="B19" s="12">
        <f>+B59</f>
        <v>1638.2</v>
      </c>
      <c r="C19" s="43">
        <v>0</v>
      </c>
      <c r="D19" s="12">
        <f>+F59</f>
        <v>0</v>
      </c>
      <c r="E19" s="43">
        <v>0</v>
      </c>
      <c r="F19" s="12">
        <f>+J59</f>
        <v>0</v>
      </c>
      <c r="G19" s="43">
        <v>0</v>
      </c>
      <c r="H19" s="12">
        <f>+N59</f>
        <v>0</v>
      </c>
      <c r="I19" s="12"/>
      <c r="J19" s="12">
        <f>+D59</f>
        <v>657.3</v>
      </c>
      <c r="K19" s="43">
        <v>0</v>
      </c>
      <c r="L19" s="12">
        <f>+H59</f>
        <v>688.7</v>
      </c>
      <c r="M19" s="46">
        <f>+(-L19+N19)/ABS(L19)</f>
        <v>-0.34340060984463477</v>
      </c>
      <c r="N19" s="12">
        <f>+L59</f>
        <v>452.20000000000005</v>
      </c>
      <c r="O19" s="46">
        <f>+(-N19+P19)/ABS(N19)</f>
        <v>0.71450685537372816</v>
      </c>
      <c r="P19" s="12">
        <f>+P59</f>
        <v>775.3</v>
      </c>
      <c r="Q19" s="12"/>
      <c r="R19" s="12"/>
      <c r="S19" s="12"/>
      <c r="T19" s="12"/>
      <c r="U19" s="12"/>
    </row>
    <row r="20" spans="1:21">
      <c r="A20" t="s">
        <v>284</v>
      </c>
      <c r="B20" s="240">
        <f>+B60</f>
        <v>109.4</v>
      </c>
      <c r="C20" s="43">
        <v>0</v>
      </c>
      <c r="D20" s="240">
        <f>+F60</f>
        <v>0</v>
      </c>
      <c r="E20" s="43">
        <v>0</v>
      </c>
      <c r="F20" s="240">
        <f>+J60</f>
        <v>0</v>
      </c>
      <c r="G20" s="43">
        <v>0</v>
      </c>
      <c r="H20" s="12">
        <f>+N60</f>
        <v>0</v>
      </c>
      <c r="I20" s="12"/>
      <c r="J20" s="240">
        <f>+D60</f>
        <v>-145.6</v>
      </c>
      <c r="K20" s="46">
        <f>+(-J20+L20)/ABS(J20)</f>
        <v>1.7912087912087911</v>
      </c>
      <c r="L20" s="240">
        <f>+H60</f>
        <v>115.19999999999999</v>
      </c>
      <c r="M20" s="46">
        <f>+(-L20+N20)/ABS(L20)</f>
        <v>0.30468750000000022</v>
      </c>
      <c r="N20" s="240">
        <f>+L60</f>
        <v>150.30000000000001</v>
      </c>
      <c r="O20" s="46">
        <f>+(-N20+P20)/ABS(N20)</f>
        <v>-0.23353293413173665</v>
      </c>
      <c r="P20" s="240">
        <f>+P60</f>
        <v>115.19999999999999</v>
      </c>
      <c r="Q20" s="12"/>
      <c r="R20" s="12"/>
      <c r="S20" s="12"/>
      <c r="T20" s="12"/>
      <c r="U20" s="12"/>
    </row>
    <row r="21" spans="1:21">
      <c r="B21" s="12">
        <f>SUM(B18:B20)</f>
        <v>2496</v>
      </c>
      <c r="C21" s="43">
        <v>0</v>
      </c>
      <c r="D21" s="12">
        <f>SUM(D18:D20)</f>
        <v>0</v>
      </c>
      <c r="E21" s="43">
        <v>0</v>
      </c>
      <c r="F21" s="12">
        <f>SUM(F18:F20)</f>
        <v>0</v>
      </c>
      <c r="G21" s="43">
        <v>0</v>
      </c>
      <c r="H21" s="12">
        <f>SUM(H18:H20)</f>
        <v>0</v>
      </c>
      <c r="I21" s="12"/>
      <c r="J21" s="12">
        <f>SUM(J18:J20)</f>
        <v>1610.5</v>
      </c>
      <c r="K21" s="46">
        <f>+(-J21+L21)/ABS(J21)</f>
        <v>2.6513505122632751E-2</v>
      </c>
      <c r="L21" s="12">
        <f>SUM(L18:L20)</f>
        <v>1653.2</v>
      </c>
      <c r="M21" s="46">
        <f>+(-L21+N21)/ABS(L21)</f>
        <v>-0.25314541495281878</v>
      </c>
      <c r="N21" s="12">
        <f>SUM(N18:N20)</f>
        <v>1234.7</v>
      </c>
      <c r="O21" s="46">
        <f>+(-N21+P21)/ABS(N21)</f>
        <v>0.61399530250263212</v>
      </c>
      <c r="P21" s="12">
        <f>SUM(P18:P20)</f>
        <v>1992.8</v>
      </c>
      <c r="Q21" s="12"/>
      <c r="R21" s="12"/>
      <c r="S21" s="12"/>
      <c r="T21" s="12"/>
      <c r="U21" s="12"/>
    </row>
    <row r="22" spans="1:21">
      <c r="B22" s="240"/>
      <c r="C22" s="44" t="s">
        <v>0</v>
      </c>
      <c r="D22" s="240"/>
      <c r="E22" s="44" t="s">
        <v>0</v>
      </c>
      <c r="F22" s="240"/>
      <c r="G22" s="44" t="s">
        <v>0</v>
      </c>
      <c r="H22" s="240"/>
      <c r="I22" s="12"/>
      <c r="J22" s="240"/>
      <c r="K22" s="46"/>
      <c r="L22" s="240"/>
      <c r="M22" s="46"/>
      <c r="N22" s="240"/>
      <c r="O22" s="46"/>
      <c r="P22" s="240"/>
      <c r="Q22" s="12"/>
      <c r="R22" s="12"/>
      <c r="S22" s="12"/>
      <c r="T22" s="12"/>
      <c r="U22" s="12"/>
    </row>
    <row r="23" spans="1:21">
      <c r="A23" t="s">
        <v>337</v>
      </c>
      <c r="B23" s="12">
        <f>+B15+B21</f>
        <v>13731.400000000001</v>
      </c>
      <c r="C23" s="43">
        <v>0</v>
      </c>
      <c r="D23" s="12">
        <f>+D15+D21</f>
        <v>0</v>
      </c>
      <c r="E23" s="43">
        <v>0</v>
      </c>
      <c r="F23" s="12">
        <f>+F15+F21</f>
        <v>0</v>
      </c>
      <c r="G23" s="43">
        <v>0</v>
      </c>
      <c r="H23" s="12">
        <f>+H15+H21</f>
        <v>0</v>
      </c>
      <c r="I23" s="12"/>
      <c r="J23" s="12">
        <f>+J15+J21</f>
        <v>7995.7999999999993</v>
      </c>
      <c r="K23" s="46">
        <f>+(-J23+L23)/ABS(J23)</f>
        <v>0.36919382675904855</v>
      </c>
      <c r="L23" s="12">
        <f>+L15+L21</f>
        <v>10947.8</v>
      </c>
      <c r="M23" s="46">
        <f>+(-L23+N23)/ABS(L23)</f>
        <v>5.2403222565264487E-2</v>
      </c>
      <c r="N23" s="12">
        <f>+N15+N21</f>
        <v>11521.500000000002</v>
      </c>
      <c r="O23" s="46">
        <f>+(-N23+P23)/ABS(N23)</f>
        <v>0.3282905871631297</v>
      </c>
      <c r="P23" s="12">
        <f>+P15+P21</f>
        <v>15303.900000000001</v>
      </c>
      <c r="Q23" s="12"/>
      <c r="R23" s="12"/>
      <c r="S23" s="12"/>
      <c r="T23" s="12"/>
      <c r="U23" s="12"/>
    </row>
    <row r="24" spans="1:21">
      <c r="B24" s="12"/>
      <c r="C24" s="44" t="s">
        <v>0</v>
      </c>
      <c r="D24" s="12"/>
      <c r="E24" s="44" t="s">
        <v>0</v>
      </c>
      <c r="F24" s="12"/>
      <c r="G24" s="44" t="s">
        <v>0</v>
      </c>
      <c r="H24" s="12"/>
      <c r="I24" s="12"/>
      <c r="J24" s="12"/>
      <c r="K24" s="46"/>
      <c r="L24" s="12"/>
      <c r="M24" s="46"/>
      <c r="N24" s="12"/>
      <c r="O24" s="46"/>
      <c r="P24" s="12"/>
      <c r="Q24" s="12"/>
      <c r="R24" s="12"/>
      <c r="S24" s="12"/>
      <c r="T24" s="12"/>
      <c r="U24" s="12"/>
    </row>
    <row r="25" spans="1:21">
      <c r="A25" t="s">
        <v>338</v>
      </c>
      <c r="B25" s="12">
        <f>+B65</f>
        <v>1278.4000000000001</v>
      </c>
      <c r="C25" s="43">
        <v>0</v>
      </c>
      <c r="D25" s="12">
        <f>+F65</f>
        <v>0</v>
      </c>
      <c r="E25" s="43">
        <v>0</v>
      </c>
      <c r="F25" s="12">
        <f>+J65</f>
        <v>0</v>
      </c>
      <c r="G25" s="43">
        <v>0</v>
      </c>
      <c r="H25" s="12">
        <f>+N65</f>
        <v>0</v>
      </c>
      <c r="I25" s="12"/>
      <c r="J25" s="12">
        <f>+D65</f>
        <v>300</v>
      </c>
      <c r="K25" s="46">
        <f>+(-J25+L25)/ABS(J25)</f>
        <v>0</v>
      </c>
      <c r="L25" s="12">
        <f>+H65</f>
        <v>300</v>
      </c>
      <c r="M25" s="46">
        <f>+(-L25+N25)/ABS(L25)</f>
        <v>4.2726666666666668</v>
      </c>
      <c r="N25" s="12">
        <f>+L65</f>
        <v>1581.8000000000002</v>
      </c>
      <c r="O25" s="46">
        <f>+(-N25+P25)/ABS(N25)</f>
        <v>2.5666961689214757E-2</v>
      </c>
      <c r="P25" s="12">
        <f>+P65</f>
        <v>1622.4</v>
      </c>
      <c r="Q25" s="12"/>
      <c r="R25" s="12"/>
      <c r="S25" s="12"/>
      <c r="T25" s="12"/>
      <c r="U25" s="12"/>
    </row>
    <row r="26" spans="1:21">
      <c r="B26" s="12"/>
      <c r="C26" s="44" t="s">
        <v>0</v>
      </c>
      <c r="D26" s="12"/>
      <c r="E26" s="44" t="s">
        <v>0</v>
      </c>
      <c r="F26" s="12"/>
      <c r="G26" s="44" t="s">
        <v>0</v>
      </c>
      <c r="H26" s="12"/>
      <c r="I26" s="12"/>
      <c r="J26" s="12"/>
      <c r="K26" s="46"/>
      <c r="L26" s="12"/>
      <c r="M26" s="46"/>
      <c r="N26" s="12"/>
      <c r="O26" s="46"/>
      <c r="P26" s="12"/>
      <c r="Q26" s="12"/>
      <c r="R26" s="12"/>
      <c r="S26" s="12"/>
      <c r="T26" s="12"/>
      <c r="U26" s="12"/>
    </row>
    <row r="27" spans="1:21">
      <c r="A27" t="s">
        <v>339</v>
      </c>
      <c r="B27" s="240"/>
      <c r="C27" s="44" t="s">
        <v>0</v>
      </c>
      <c r="D27" s="240"/>
      <c r="E27" s="44" t="s">
        <v>0</v>
      </c>
      <c r="F27" s="240"/>
      <c r="G27" s="44" t="s">
        <v>0</v>
      </c>
      <c r="H27" s="240"/>
      <c r="I27" s="12"/>
      <c r="J27" s="240"/>
      <c r="K27" s="46"/>
      <c r="L27" s="240"/>
      <c r="M27" s="46"/>
      <c r="N27" s="240"/>
      <c r="O27" s="46"/>
      <c r="P27" s="240"/>
      <c r="Q27" s="12"/>
      <c r="R27" s="12"/>
      <c r="S27" s="12"/>
      <c r="T27" s="12"/>
      <c r="U27" s="12"/>
    </row>
    <row r="28" spans="1:21">
      <c r="A28" t="s">
        <v>340</v>
      </c>
      <c r="B28" s="12">
        <f>+B23-B25</f>
        <v>12453.000000000002</v>
      </c>
      <c r="C28" s="43">
        <v>0</v>
      </c>
      <c r="D28" s="12">
        <f>+D23-D25</f>
        <v>0</v>
      </c>
      <c r="E28" s="43">
        <v>0</v>
      </c>
      <c r="F28" s="12">
        <f>+F23-F25</f>
        <v>0</v>
      </c>
      <c r="G28" s="43">
        <v>0</v>
      </c>
      <c r="H28" s="12">
        <f>+H23-H25</f>
        <v>0</v>
      </c>
      <c r="I28" s="12"/>
      <c r="J28" s="12">
        <f>+J23-J25</f>
        <v>7695.7999999999993</v>
      </c>
      <c r="K28" s="46">
        <f>+(-J28+L28)/ABS(J28)</f>
        <v>0.38358585202318152</v>
      </c>
      <c r="L28" s="12">
        <f>+L23-L25</f>
        <v>10647.8</v>
      </c>
      <c r="M28" s="46">
        <f>+(-L28+N28)/ABS(L28)</f>
        <v>-6.6502000413230775E-2</v>
      </c>
      <c r="N28" s="12">
        <f>+N23-N25</f>
        <v>9939.7000000000007</v>
      </c>
      <c r="O28" s="46">
        <f>+(-N28+P28)/ABS(N28)</f>
        <v>0.37644999346056729</v>
      </c>
      <c r="P28" s="12">
        <f>+P23-P25</f>
        <v>13681.500000000002</v>
      </c>
      <c r="Q28" s="12"/>
      <c r="R28" s="12"/>
      <c r="S28" s="12"/>
      <c r="T28" s="12"/>
      <c r="U28" s="12"/>
    </row>
    <row r="29" spans="1:21">
      <c r="B29" s="12"/>
      <c r="C29" s="44" t="s">
        <v>0</v>
      </c>
      <c r="D29" s="12"/>
      <c r="E29" s="44" t="s">
        <v>0</v>
      </c>
      <c r="F29" s="12"/>
      <c r="G29" s="44" t="s">
        <v>0</v>
      </c>
      <c r="H29" s="12"/>
      <c r="I29" s="12"/>
      <c r="J29" s="12"/>
      <c r="K29" s="46"/>
      <c r="L29" s="12"/>
      <c r="M29" s="46"/>
      <c r="N29" s="12"/>
      <c r="O29" s="46"/>
      <c r="P29" s="12"/>
      <c r="Q29" s="12"/>
      <c r="R29" s="12"/>
      <c r="S29" s="12"/>
      <c r="T29" s="12"/>
      <c r="U29" s="12"/>
    </row>
    <row r="30" spans="1:21">
      <c r="A30" t="s">
        <v>341</v>
      </c>
      <c r="B30" s="12"/>
      <c r="C30" s="44" t="s">
        <v>0</v>
      </c>
      <c r="D30" s="12"/>
      <c r="E30" s="44" t="s">
        <v>0</v>
      </c>
      <c r="F30" s="12"/>
      <c r="G30" s="44" t="s">
        <v>0</v>
      </c>
      <c r="H30" s="12"/>
      <c r="I30" s="12"/>
      <c r="J30" s="12"/>
      <c r="K30" s="46"/>
      <c r="L30" s="12"/>
      <c r="M30" s="46"/>
      <c r="N30" s="12"/>
      <c r="O30" s="46"/>
      <c r="P30" s="12"/>
      <c r="Q30" s="12"/>
      <c r="R30" s="12"/>
      <c r="S30" s="12"/>
      <c r="T30" s="12"/>
      <c r="U30" s="12"/>
    </row>
    <row r="31" spans="1:21">
      <c r="A31" t="s">
        <v>342</v>
      </c>
      <c r="B31" s="12">
        <f>+B71</f>
        <v>3282.2</v>
      </c>
      <c r="C31" s="43">
        <v>0</v>
      </c>
      <c r="D31" s="12">
        <f>+F71</f>
        <v>0</v>
      </c>
      <c r="E31" s="43">
        <v>0</v>
      </c>
      <c r="F31" s="12">
        <f>+J71</f>
        <v>0</v>
      </c>
      <c r="G31" s="43">
        <v>0</v>
      </c>
      <c r="H31" s="12">
        <f>+N71</f>
        <v>0</v>
      </c>
      <c r="I31" s="12"/>
      <c r="J31" s="12">
        <f>+D71</f>
        <v>2278.1</v>
      </c>
      <c r="K31" s="46">
        <f>+(-J31+L31)/ABS(J31)</f>
        <v>0.15438303849699322</v>
      </c>
      <c r="L31" s="12">
        <f>+H71</f>
        <v>2629.8</v>
      </c>
      <c r="M31" s="46">
        <f>+(-L31+N31)/ABS(L31)</f>
        <v>-5.5517529850180099E-3</v>
      </c>
      <c r="N31" s="12">
        <f>+L71</f>
        <v>2615.1999999999998</v>
      </c>
      <c r="O31" s="46">
        <f>+(-N31+P31)/ABS(N31)</f>
        <v>1.6748241052309647E-2</v>
      </c>
      <c r="P31" s="12">
        <f>+P71</f>
        <v>2659</v>
      </c>
      <c r="Q31" s="12"/>
      <c r="R31" s="12"/>
      <c r="S31" s="12"/>
      <c r="T31" s="12"/>
      <c r="U31" s="12"/>
    </row>
    <row r="32" spans="1:21">
      <c r="A32" t="s">
        <v>343</v>
      </c>
      <c r="B32" s="12">
        <f>+B72</f>
        <v>702.3</v>
      </c>
      <c r="C32" s="43">
        <v>0</v>
      </c>
      <c r="D32" s="12">
        <f>+F72</f>
        <v>0</v>
      </c>
      <c r="E32" s="43">
        <v>0</v>
      </c>
      <c r="F32" s="12">
        <f>+J72</f>
        <v>0</v>
      </c>
      <c r="G32" s="43">
        <v>0</v>
      </c>
      <c r="H32" s="12">
        <f>+N72</f>
        <v>0</v>
      </c>
      <c r="I32" s="12"/>
      <c r="J32" s="12">
        <f>+D72</f>
        <v>774.5</v>
      </c>
      <c r="K32" s="46">
        <f>+(-J32+L32)/ABS(J32)</f>
        <v>-7.7985797288573244E-2</v>
      </c>
      <c r="L32" s="12">
        <f>+H72</f>
        <v>714.1</v>
      </c>
      <c r="M32" s="46">
        <f>+(-L32+N32)/ABS(L32)</f>
        <v>-0.21859683517714609</v>
      </c>
      <c r="N32" s="12">
        <f>+L72</f>
        <v>558</v>
      </c>
      <c r="O32" s="46">
        <f>+(-N32+P32)/ABS(N32)</f>
        <v>0.45860215053763437</v>
      </c>
      <c r="P32" s="12">
        <f>+P72</f>
        <v>813.9</v>
      </c>
      <c r="Q32" s="12"/>
      <c r="R32" s="12"/>
      <c r="S32" s="12"/>
      <c r="T32" s="12"/>
      <c r="U32" s="12"/>
    </row>
    <row r="33" spans="1:22">
      <c r="A33" t="s">
        <v>344</v>
      </c>
      <c r="B33" s="12">
        <f>+B73</f>
        <v>556.20000000000005</v>
      </c>
      <c r="C33" s="43">
        <v>0</v>
      </c>
      <c r="D33" s="12">
        <f>+F73</f>
        <v>0</v>
      </c>
      <c r="E33" s="43">
        <v>0</v>
      </c>
      <c r="F33" s="12">
        <f>+J73</f>
        <v>0</v>
      </c>
      <c r="G33" s="43">
        <v>0</v>
      </c>
      <c r="H33" s="12">
        <f>+N73</f>
        <v>0</v>
      </c>
      <c r="I33" s="12"/>
      <c r="J33" s="12">
        <f>+D73</f>
        <v>533.5</v>
      </c>
      <c r="K33" s="46">
        <f>+(-J33+L33)/ABS(J33)</f>
        <v>3.3739456419868794E-2</v>
      </c>
      <c r="L33" s="12">
        <f>+H73</f>
        <v>551.5</v>
      </c>
      <c r="M33" s="46">
        <f>+(-L33+N33)/ABS(L33)</f>
        <v>5.9292837715321935E-2</v>
      </c>
      <c r="N33" s="12">
        <f>+L73</f>
        <v>584.20000000000005</v>
      </c>
      <c r="O33" s="46">
        <f>+(-N33+P33)/ABS(N33)</f>
        <v>-1.8144471071551069E-2</v>
      </c>
      <c r="P33" s="12">
        <f>+P73</f>
        <v>573.59999999999991</v>
      </c>
      <c r="Q33" s="12"/>
      <c r="R33" s="12"/>
      <c r="S33" s="12"/>
      <c r="T33" s="12"/>
      <c r="U33" s="12"/>
    </row>
    <row r="34" spans="1:22">
      <c r="A34" t="s">
        <v>345</v>
      </c>
      <c r="B34" s="240">
        <f>+B74</f>
        <v>2402.8000000000002</v>
      </c>
      <c r="C34" s="43">
        <v>0</v>
      </c>
      <c r="D34" s="240">
        <f>+F74</f>
        <v>0</v>
      </c>
      <c r="E34" s="43">
        <v>0</v>
      </c>
      <c r="F34" s="240">
        <f>+J74</f>
        <v>0</v>
      </c>
      <c r="G34" s="43">
        <v>0</v>
      </c>
      <c r="H34" s="12">
        <f>+N74</f>
        <v>0</v>
      </c>
      <c r="I34" s="12"/>
      <c r="J34" s="240">
        <f>+D74</f>
        <v>2359.7999999999997</v>
      </c>
      <c r="K34" s="46">
        <f>+(-J34+L34)/ABS(J34)</f>
        <v>-0.12378167641325515</v>
      </c>
      <c r="L34" s="240">
        <f>+H74</f>
        <v>2067.7000000000003</v>
      </c>
      <c r="M34" s="46">
        <f>+(-L34+N34)/ABS(L34)</f>
        <v>-0.16956038109977284</v>
      </c>
      <c r="N34" s="240">
        <f>+L74</f>
        <v>1717.1</v>
      </c>
      <c r="O34" s="46">
        <f>+(-N34+P34)/ABS(N34)</f>
        <v>0.27464911769844502</v>
      </c>
      <c r="P34" s="240">
        <f>+P74</f>
        <v>2188.6999999999998</v>
      </c>
      <c r="Q34" s="12"/>
      <c r="R34" s="12"/>
      <c r="S34" s="12"/>
      <c r="T34" s="12"/>
      <c r="U34" s="12"/>
    </row>
    <row r="35" spans="1:22">
      <c r="B35" s="12">
        <f>SUM(B31:B34)</f>
        <v>6943.5</v>
      </c>
      <c r="C35" s="43">
        <v>0</v>
      </c>
      <c r="D35" s="12">
        <f>SUM(D31:D34)</f>
        <v>0</v>
      </c>
      <c r="E35" s="43">
        <v>0</v>
      </c>
      <c r="F35" s="12">
        <f>SUM(F31:F34)</f>
        <v>0</v>
      </c>
      <c r="G35" s="43">
        <v>0</v>
      </c>
      <c r="H35" s="12">
        <f>SUM(H31:H34)</f>
        <v>0</v>
      </c>
      <c r="I35" s="12"/>
      <c r="J35" s="12">
        <f>SUM(J31:J34)</f>
        <v>5945.9</v>
      </c>
      <c r="K35" s="46">
        <f>+(-J35+L35)/ABS(J35)</f>
        <v>2.8927496257926855E-3</v>
      </c>
      <c r="L35" s="12">
        <f>SUM(L31:L34)</f>
        <v>5963.1</v>
      </c>
      <c r="M35" s="46">
        <f>+(-L35+N35)/ABS(L35)</f>
        <v>-8.1937247404873362E-2</v>
      </c>
      <c r="N35" s="12">
        <f>SUM(N31:N34)</f>
        <v>5474.5</v>
      </c>
      <c r="O35" s="46">
        <f>+(-N35+P35)/ABS(N35)</f>
        <v>0.13895332907114802</v>
      </c>
      <c r="P35" s="12">
        <f>SUM(P31:P34)</f>
        <v>6235.2</v>
      </c>
      <c r="Q35" s="12"/>
      <c r="R35" s="12"/>
      <c r="S35" s="12"/>
      <c r="T35" s="12"/>
      <c r="U35" s="12"/>
    </row>
    <row r="36" spans="1:22">
      <c r="B36" s="240"/>
      <c r="C36" s="210"/>
      <c r="D36" s="240"/>
      <c r="E36" s="210"/>
      <c r="F36" s="240"/>
      <c r="G36" s="210"/>
      <c r="H36" s="240"/>
      <c r="I36" s="12"/>
      <c r="J36" s="240"/>
      <c r="K36" s="46"/>
      <c r="L36" s="240"/>
      <c r="M36" s="46"/>
      <c r="N36" s="240"/>
      <c r="O36" s="46"/>
      <c r="P36" s="240"/>
      <c r="Q36" s="12"/>
      <c r="R36" s="12"/>
      <c r="S36" s="12"/>
      <c r="T36" s="12"/>
      <c r="U36" s="12"/>
    </row>
    <row r="37" spans="1:22">
      <c r="A37" t="s">
        <v>346</v>
      </c>
      <c r="B37" s="12">
        <f>+B28-B35</f>
        <v>5509.5000000000018</v>
      </c>
      <c r="C37" s="43">
        <v>0</v>
      </c>
      <c r="D37" s="12">
        <f>+D28-D35</f>
        <v>0</v>
      </c>
      <c r="E37" s="43">
        <v>0</v>
      </c>
      <c r="F37" s="12">
        <f>+F28-F35</f>
        <v>0</v>
      </c>
      <c r="G37" s="43">
        <v>0</v>
      </c>
      <c r="H37" s="12">
        <f>+H28-H35</f>
        <v>0</v>
      </c>
      <c r="I37" s="12"/>
      <c r="J37" s="12">
        <f>+J28-J35</f>
        <v>1749.8999999999996</v>
      </c>
      <c r="K37" s="46">
        <f>+(-J37+L37)/ABS(J37)</f>
        <v>1.6771244071089777</v>
      </c>
      <c r="L37" s="12">
        <f>+L28-L35</f>
        <v>4684.6999999999989</v>
      </c>
      <c r="M37" s="46">
        <f>+(-L37+N37)/ABS(L37)</f>
        <v>-4.68546545136291E-2</v>
      </c>
      <c r="N37" s="12">
        <f>+N28-N35</f>
        <v>4465.2000000000007</v>
      </c>
      <c r="O37" s="46">
        <f>+(-N37+P37)/ABS(N37)</f>
        <v>0.66762966944369806</v>
      </c>
      <c r="P37" s="12">
        <f>+P28-P35</f>
        <v>7446.300000000002</v>
      </c>
      <c r="Q37" s="12"/>
      <c r="R37" s="12"/>
      <c r="S37" s="12"/>
      <c r="T37" s="12"/>
      <c r="U37" s="12"/>
    </row>
    <row r="38" spans="1:22">
      <c r="B38" s="12"/>
      <c r="C38" s="44" t="s">
        <v>0</v>
      </c>
      <c r="D38" s="12"/>
      <c r="E38" s="44" t="s">
        <v>0</v>
      </c>
      <c r="F38" s="12"/>
      <c r="G38" s="44" t="s">
        <v>0</v>
      </c>
      <c r="H38" s="12"/>
      <c r="I38" s="12"/>
      <c r="J38" s="12"/>
      <c r="K38" s="46"/>
      <c r="L38" s="12"/>
      <c r="M38" s="47" t="s">
        <v>0</v>
      </c>
      <c r="N38" s="12"/>
      <c r="O38" s="46"/>
      <c r="P38" s="12"/>
      <c r="Q38" s="12"/>
      <c r="R38" s="12"/>
      <c r="S38" s="12"/>
      <c r="T38" s="12"/>
      <c r="U38" s="12"/>
    </row>
    <row r="39" spans="1:22">
      <c r="A39" t="s">
        <v>347</v>
      </c>
      <c r="B39" s="12">
        <f>+B79</f>
        <v>1666.9</v>
      </c>
      <c r="C39" s="43">
        <v>0</v>
      </c>
      <c r="D39" s="12">
        <f>+F79</f>
        <v>0</v>
      </c>
      <c r="E39" s="43">
        <v>0</v>
      </c>
      <c r="F39" s="12">
        <f>+J79</f>
        <v>0</v>
      </c>
      <c r="G39" s="43">
        <v>0</v>
      </c>
      <c r="H39" s="12">
        <f>+N79</f>
        <v>0</v>
      </c>
      <c r="I39" s="12"/>
      <c r="J39" s="12">
        <f>+D79</f>
        <v>482.8</v>
      </c>
      <c r="K39" s="43">
        <v>0</v>
      </c>
      <c r="L39" s="12">
        <f>+H79</f>
        <v>1475.6</v>
      </c>
      <c r="M39" s="46">
        <f>+(-L39+N39)/ABS(L39)</f>
        <v>-4.6828408782867925E-2</v>
      </c>
      <c r="N39" s="12">
        <f>+L79</f>
        <v>1406.5</v>
      </c>
      <c r="O39" s="46">
        <f>+(-N39+P39)/ABS(N39)</f>
        <v>0.66761464628510492</v>
      </c>
      <c r="P39" s="12">
        <f>+P79</f>
        <v>2345.5</v>
      </c>
      <c r="Q39" s="12"/>
      <c r="R39" s="12"/>
      <c r="S39" s="12"/>
      <c r="T39" s="12"/>
      <c r="U39" s="12"/>
    </row>
    <row r="40" spans="1:22" ht="16.5" thickBot="1">
      <c r="B40" s="76"/>
      <c r="C40" s="44" t="s">
        <v>0</v>
      </c>
      <c r="D40" s="76"/>
      <c r="E40" s="44" t="s">
        <v>0</v>
      </c>
      <c r="F40" s="76"/>
      <c r="G40" s="44" t="s">
        <v>0</v>
      </c>
      <c r="H40" s="76"/>
      <c r="I40" s="12"/>
      <c r="J40" s="76"/>
      <c r="K40" s="46"/>
      <c r="L40" s="76"/>
      <c r="M40" s="46"/>
      <c r="N40" s="76"/>
      <c r="O40" s="46"/>
      <c r="P40" s="76"/>
      <c r="Q40" s="12"/>
      <c r="R40" s="12"/>
      <c r="S40" s="12"/>
      <c r="T40" s="12"/>
      <c r="U40" s="12"/>
    </row>
    <row r="41" spans="1:22" s="2" customFormat="1">
      <c r="A41" s="2" t="s">
        <v>359</v>
      </c>
      <c r="B41" s="4">
        <f>+B37-B39</f>
        <v>3842.6000000000017</v>
      </c>
      <c r="C41" s="42">
        <v>0</v>
      </c>
      <c r="D41" s="4">
        <f>+D37-D39</f>
        <v>0</v>
      </c>
      <c r="E41" s="42">
        <v>0</v>
      </c>
      <c r="F41" s="4">
        <f>+F37-F39</f>
        <v>0</v>
      </c>
      <c r="G41" s="42">
        <v>0</v>
      </c>
      <c r="H41" s="4">
        <f>+H37-H39</f>
        <v>0</v>
      </c>
      <c r="I41" s="4"/>
      <c r="J41" s="4">
        <f>+J37-J39</f>
        <v>1267.0999999999997</v>
      </c>
      <c r="K41" s="112">
        <f>+(-J41+L41)/ABS(J41)</f>
        <v>1.5326335727251201</v>
      </c>
      <c r="L41" s="4">
        <f>+L37-L39</f>
        <v>3209.099999999999</v>
      </c>
      <c r="M41" s="112">
        <f>+(-L41+N41)/ABS(L41)</f>
        <v>-4.6866722757158807E-2</v>
      </c>
      <c r="N41" s="4">
        <f>+N37-N39</f>
        <v>3058.7000000000007</v>
      </c>
      <c r="O41" s="112">
        <f>+(-N41+P41)/ABS(N41)</f>
        <v>0.66763657763102002</v>
      </c>
      <c r="P41" s="4">
        <f>+P37-P39</f>
        <v>5100.800000000002</v>
      </c>
      <c r="Q41" s="4"/>
      <c r="R41" s="4"/>
      <c r="S41" s="4"/>
      <c r="T41" s="4"/>
      <c r="U41" s="4"/>
    </row>
    <row r="42" spans="1:22" ht="5.45" customHeight="1">
      <c r="B42" s="12"/>
      <c r="C42" s="16" t="s">
        <v>0</v>
      </c>
      <c r="D42" s="12"/>
      <c r="E42" s="12"/>
      <c r="F42" s="12"/>
      <c r="G42" s="12"/>
      <c r="H42" s="12"/>
      <c r="I42" s="12"/>
      <c r="J42" s="12"/>
      <c r="K42" s="12"/>
      <c r="L42" s="12"/>
      <c r="M42" s="12"/>
      <c r="N42" s="12"/>
      <c r="O42" s="12"/>
      <c r="P42" s="12"/>
      <c r="Q42" s="12"/>
      <c r="R42" s="12"/>
      <c r="S42" s="12"/>
      <c r="T42" s="12"/>
      <c r="U42" s="12"/>
    </row>
    <row r="43" spans="1:22" ht="7.9" customHeight="1" thickBot="1">
      <c r="A43" s="19"/>
      <c r="B43" s="76"/>
      <c r="C43" s="77" t="s">
        <v>0</v>
      </c>
      <c r="D43" s="76"/>
      <c r="E43" s="76"/>
      <c r="F43" s="76"/>
      <c r="G43" s="76"/>
      <c r="H43" s="76"/>
      <c r="I43" s="76"/>
      <c r="J43" s="76"/>
      <c r="K43" s="76"/>
      <c r="L43" s="76"/>
      <c r="M43" s="76"/>
      <c r="N43" s="76"/>
      <c r="O43" s="76"/>
      <c r="P43" s="76"/>
      <c r="Q43" s="76"/>
      <c r="R43" s="76"/>
      <c r="S43" s="76"/>
      <c r="T43" s="76"/>
      <c r="U43" s="12"/>
    </row>
    <row r="44" spans="1:22" ht="7.9" customHeight="1">
      <c r="A44" s="20"/>
      <c r="B44" s="78"/>
      <c r="C44" s="16" t="s">
        <v>0</v>
      </c>
      <c r="D44" s="78"/>
      <c r="E44" s="78"/>
      <c r="F44" s="78"/>
      <c r="G44" s="78"/>
      <c r="H44" s="78"/>
      <c r="I44" s="78"/>
      <c r="J44" s="78"/>
      <c r="K44" s="78"/>
      <c r="L44" s="78"/>
      <c r="M44" s="78"/>
      <c r="N44" s="78"/>
      <c r="O44" s="78"/>
      <c r="P44" s="12"/>
      <c r="Q44" s="12"/>
      <c r="R44" s="12"/>
      <c r="S44" s="12"/>
      <c r="T44" s="12"/>
      <c r="U44" s="12"/>
    </row>
    <row r="45" spans="1:22" ht="7.9" customHeight="1">
      <c r="A45" s="20"/>
      <c r="B45" s="78"/>
      <c r="C45" s="16" t="s">
        <v>0</v>
      </c>
      <c r="D45" s="78"/>
      <c r="E45" s="78"/>
      <c r="F45" s="78"/>
      <c r="G45" s="78"/>
      <c r="H45" s="78"/>
      <c r="I45" s="78"/>
      <c r="J45" s="78"/>
      <c r="K45" s="78"/>
      <c r="L45" s="78"/>
      <c r="M45" s="78"/>
      <c r="N45" s="78"/>
      <c r="O45" s="78"/>
      <c r="P45" s="12"/>
      <c r="Q45" s="12"/>
      <c r="R45" s="12"/>
      <c r="S45" s="12"/>
      <c r="T45" s="12"/>
      <c r="U45" s="12"/>
    </row>
    <row r="46" spans="1:22" s="2" customFormat="1">
      <c r="B46" s="81" t="s">
        <v>349</v>
      </c>
      <c r="C46" s="4" t="s">
        <v>0</v>
      </c>
      <c r="D46" s="81" t="s">
        <v>350</v>
      </c>
      <c r="E46" s="4"/>
      <c r="F46" s="81" t="s">
        <v>349</v>
      </c>
      <c r="G46" s="4" t="s">
        <v>0</v>
      </c>
      <c r="H46" s="81" t="s">
        <v>350</v>
      </c>
      <c r="I46" s="4"/>
      <c r="J46" s="81" t="s">
        <v>349</v>
      </c>
      <c r="K46" s="4" t="s">
        <v>0</v>
      </c>
      <c r="L46" s="81" t="s">
        <v>350</v>
      </c>
      <c r="M46" s="4"/>
      <c r="N46" s="81" t="s">
        <v>349</v>
      </c>
      <c r="O46" s="4" t="s">
        <v>0</v>
      </c>
      <c r="P46" s="81" t="s">
        <v>350</v>
      </c>
      <c r="Q46" s="4"/>
      <c r="R46" s="1047" t="s">
        <v>622</v>
      </c>
      <c r="S46" s="4"/>
      <c r="T46" s="1047" t="s">
        <v>623</v>
      </c>
      <c r="U46" s="81" t="s">
        <v>263</v>
      </c>
    </row>
    <row r="47" spans="1:22" ht="16.5" thickBot="1">
      <c r="B47" s="390" t="s">
        <v>353</v>
      </c>
      <c r="C47" s="223" t="s">
        <v>169</v>
      </c>
      <c r="D47" s="223" t="s">
        <v>186</v>
      </c>
      <c r="E47" s="80"/>
      <c r="F47" s="223" t="s">
        <v>187</v>
      </c>
      <c r="G47" s="223" t="s">
        <v>169</v>
      </c>
      <c r="H47" s="223" t="s">
        <v>187</v>
      </c>
      <c r="I47" s="80"/>
      <c r="J47" s="223" t="s">
        <v>188</v>
      </c>
      <c r="K47" s="223" t="s">
        <v>169</v>
      </c>
      <c r="L47" s="223" t="s">
        <v>188</v>
      </c>
      <c r="M47" s="80"/>
      <c r="N47" s="223" t="s">
        <v>189</v>
      </c>
      <c r="O47" s="223" t="s">
        <v>169</v>
      </c>
      <c r="P47" s="223" t="s">
        <v>189</v>
      </c>
      <c r="Q47" s="80"/>
      <c r="R47" s="223" t="s">
        <v>190</v>
      </c>
      <c r="S47" s="223" t="s">
        <v>169</v>
      </c>
      <c r="T47" s="223" t="s">
        <v>190</v>
      </c>
      <c r="U47" s="80" t="s">
        <v>190</v>
      </c>
      <c r="V47" s="18"/>
    </row>
    <row r="48" spans="1:22">
      <c r="A48" t="s">
        <v>328</v>
      </c>
      <c r="B48" s="16" t="s">
        <v>0</v>
      </c>
      <c r="C48" s="12"/>
      <c r="D48" s="12"/>
      <c r="E48" s="12"/>
      <c r="F48" s="12"/>
      <c r="G48" s="12"/>
      <c r="H48" s="12"/>
      <c r="I48" s="12"/>
      <c r="J48" s="12"/>
      <c r="K48" s="12"/>
      <c r="L48" s="12"/>
      <c r="M48" s="12"/>
      <c r="N48" s="12"/>
      <c r="O48" s="12"/>
      <c r="P48" s="12"/>
      <c r="Q48" s="12"/>
      <c r="R48" s="12"/>
      <c r="S48" s="12"/>
      <c r="T48" s="12"/>
      <c r="U48" s="12"/>
    </row>
    <row r="49" spans="1:24">
      <c r="A49" t="s">
        <v>329</v>
      </c>
      <c r="B49" s="16" t="s">
        <v>0</v>
      </c>
      <c r="C49" s="47" t="s">
        <v>0</v>
      </c>
      <c r="D49" s="16" t="s">
        <v>0</v>
      </c>
      <c r="E49" s="16" t="s">
        <v>0</v>
      </c>
      <c r="F49" s="16" t="s">
        <v>0</v>
      </c>
      <c r="G49" s="47" t="s">
        <v>0</v>
      </c>
      <c r="H49" s="16" t="s">
        <v>0</v>
      </c>
      <c r="I49" s="16" t="s">
        <v>0</v>
      </c>
      <c r="J49" s="16" t="s">
        <v>0</v>
      </c>
      <c r="K49" s="47" t="s">
        <v>0</v>
      </c>
      <c r="L49" s="16" t="s">
        <v>0</v>
      </c>
      <c r="M49" s="16" t="s">
        <v>0</v>
      </c>
      <c r="N49" s="16" t="s">
        <v>0</v>
      </c>
      <c r="O49" s="47" t="s">
        <v>0</v>
      </c>
      <c r="P49" s="16" t="s">
        <v>0</v>
      </c>
      <c r="Q49" s="16" t="s">
        <v>0</v>
      </c>
      <c r="R49" s="16" t="s">
        <v>0</v>
      </c>
      <c r="S49" s="47" t="s">
        <v>0</v>
      </c>
      <c r="T49" s="16" t="s">
        <v>0</v>
      </c>
      <c r="U49" s="12" t="str">
        <f>+D49</f>
        <v xml:space="preserve"> </v>
      </c>
      <c r="V49" t="s">
        <v>0</v>
      </c>
      <c r="W49" t="s">
        <v>0</v>
      </c>
      <c r="X49" t="s">
        <v>0</v>
      </c>
    </row>
    <row r="50" spans="1:24">
      <c r="A50" t="s">
        <v>330</v>
      </c>
      <c r="B50" s="12">
        <v>14599.9</v>
      </c>
      <c r="C50" s="46">
        <f t="shared" ref="C50:C55" si="2">+(B50-D50)/ABS(D50)</f>
        <v>6.2691977348492509E-2</v>
      </c>
      <c r="D50" s="12">
        <f>4449.2+4654.3+4635.1</f>
        <v>13738.6</v>
      </c>
      <c r="E50" s="16"/>
      <c r="F50" s="12">
        <v>0</v>
      </c>
      <c r="G50" s="43">
        <v>0</v>
      </c>
      <c r="H50" s="12">
        <f>5001.2+4744.8+4647.9</f>
        <v>14393.9</v>
      </c>
      <c r="I50" s="12"/>
      <c r="J50" s="12">
        <v>0</v>
      </c>
      <c r="K50" s="43">
        <v>0</v>
      </c>
      <c r="L50" s="12">
        <f>8576.7+4511.6</f>
        <v>13088.300000000001</v>
      </c>
      <c r="M50" s="16"/>
      <c r="N50" s="12">
        <v>0</v>
      </c>
      <c r="O50" s="43">
        <v>0</v>
      </c>
      <c r="P50" s="12">
        <f>6658.5+6113.5+4357.9</f>
        <v>17129.900000000001</v>
      </c>
      <c r="Q50" s="12"/>
      <c r="R50" s="12">
        <f>+B50</f>
        <v>14599.9</v>
      </c>
      <c r="S50" s="46">
        <f t="shared" ref="S50:S55" si="3">+(R50-T50)/ABS(T50)</f>
        <v>6.2691977348492509E-2</v>
      </c>
      <c r="T50" s="12">
        <f>+D50</f>
        <v>13738.6</v>
      </c>
      <c r="U50" s="12">
        <f>+D50+H50+L50+P50</f>
        <v>58350.700000000004</v>
      </c>
    </row>
    <row r="51" spans="1:24">
      <c r="A51" t="s">
        <v>354</v>
      </c>
      <c r="B51" s="12">
        <v>1369.2</v>
      </c>
      <c r="C51" s="46">
        <f t="shared" si="2"/>
        <v>-0.12900763358778622</v>
      </c>
      <c r="D51" s="12">
        <f>533.9+543.7+494.4</f>
        <v>1572</v>
      </c>
      <c r="E51" s="16"/>
      <c r="F51" s="12">
        <v>0</v>
      </c>
      <c r="G51" s="43">
        <v>0</v>
      </c>
      <c r="H51" s="12">
        <f>354.6+333.3+316.4</f>
        <v>1004.3000000000001</v>
      </c>
      <c r="I51" s="12"/>
      <c r="J51" s="12">
        <v>0</v>
      </c>
      <c r="K51" s="43">
        <v>0</v>
      </c>
      <c r="L51" s="12">
        <f>598.7+316.7</f>
        <v>915.40000000000009</v>
      </c>
      <c r="M51" s="16"/>
      <c r="N51" s="12">
        <v>0</v>
      </c>
      <c r="O51" s="43">
        <v>0</v>
      </c>
      <c r="P51" s="12">
        <f>322.5+316.5+291.3</f>
        <v>930.3</v>
      </c>
      <c r="Q51" s="12"/>
      <c r="R51" s="12">
        <f>+B51</f>
        <v>1369.2</v>
      </c>
      <c r="S51" s="46">
        <f t="shared" si="3"/>
        <v>-0.12900763358778622</v>
      </c>
      <c r="T51" s="12">
        <f>+D51</f>
        <v>1572</v>
      </c>
      <c r="U51" s="12">
        <f>+D51+H51+L51+P51</f>
        <v>4422</v>
      </c>
    </row>
    <row r="52" spans="1:24">
      <c r="A52" t="s">
        <v>332</v>
      </c>
      <c r="B52" s="221">
        <v>216.1</v>
      </c>
      <c r="C52" s="46">
        <f t="shared" si="2"/>
        <v>-0.40697036223929745</v>
      </c>
      <c r="D52" s="221">
        <f>64.2+113.6+186.6</f>
        <v>364.4</v>
      </c>
      <c r="E52" s="16"/>
      <c r="F52" s="221">
        <v>0</v>
      </c>
      <c r="G52" s="43">
        <v>0</v>
      </c>
      <c r="H52" s="221">
        <f>116.8+35.9+125.7</f>
        <v>278.39999999999998</v>
      </c>
      <c r="I52" s="12"/>
      <c r="J52" s="221">
        <v>0</v>
      </c>
      <c r="K52" s="43">
        <v>0</v>
      </c>
      <c r="L52" s="221">
        <f>582.2+341.3</f>
        <v>923.5</v>
      </c>
      <c r="M52" s="16"/>
      <c r="N52" s="221">
        <v>0</v>
      </c>
      <c r="O52" s="43">
        <v>0</v>
      </c>
      <c r="P52" s="221">
        <f>65.4+51.6-283.6</f>
        <v>-166.60000000000002</v>
      </c>
      <c r="Q52" s="12"/>
      <c r="R52" s="240">
        <f>+B52</f>
        <v>216.1</v>
      </c>
      <c r="S52" s="46">
        <f t="shared" si="3"/>
        <v>-0.40697036223929745</v>
      </c>
      <c r="T52" s="240">
        <f>+D52</f>
        <v>364.4</v>
      </c>
      <c r="U52" s="240">
        <f>+D52+H52+L52+P52</f>
        <v>1399.6999999999998</v>
      </c>
    </row>
    <row r="53" spans="1:24">
      <c r="B53" s="12">
        <f>SUM(B50:B52)</f>
        <v>16185.2</v>
      </c>
      <c r="C53" s="46">
        <f t="shared" si="2"/>
        <v>3.254864433811807E-2</v>
      </c>
      <c r="D53" s="12">
        <f>SUM(D50:D52)</f>
        <v>15675</v>
      </c>
      <c r="E53" s="16"/>
      <c r="F53" s="12">
        <f>SUM(F50:F52)</f>
        <v>0</v>
      </c>
      <c r="G53" s="43">
        <v>0</v>
      </c>
      <c r="H53" s="12">
        <f>SUM(H50:H52)</f>
        <v>15676.599999999999</v>
      </c>
      <c r="I53" s="12"/>
      <c r="J53" s="12">
        <f>SUM(J50:J52)</f>
        <v>0</v>
      </c>
      <c r="K53" s="43">
        <v>0</v>
      </c>
      <c r="L53" s="12">
        <f>SUM(L50:L52)</f>
        <v>14927.2</v>
      </c>
      <c r="M53" s="16"/>
      <c r="N53" s="12">
        <f>SUM(N50:N52)</f>
        <v>0</v>
      </c>
      <c r="O53" s="43">
        <v>0</v>
      </c>
      <c r="P53" s="12">
        <f>SUM(P50:P52)</f>
        <v>17893.600000000002</v>
      </c>
      <c r="Q53" s="12"/>
      <c r="R53" s="12">
        <f>SUM(R50:R52)</f>
        <v>16185.2</v>
      </c>
      <c r="S53" s="46">
        <f t="shared" si="3"/>
        <v>3.254864433811807E-2</v>
      </c>
      <c r="T53" s="12">
        <f>SUM(T50:T52)</f>
        <v>15675</v>
      </c>
      <c r="U53" s="12">
        <f>SUM(U50:U52)</f>
        <v>64172.4</v>
      </c>
    </row>
    <row r="54" spans="1:24">
      <c r="A54" t="s">
        <v>333</v>
      </c>
      <c r="B54" s="240">
        <v>4949.8</v>
      </c>
      <c r="C54" s="46">
        <f t="shared" si="2"/>
        <v>-0.4671733209899136</v>
      </c>
      <c r="D54" s="240">
        <f>3013.2+3148.4+3128.1</f>
        <v>9289.7000000000007</v>
      </c>
      <c r="E54" s="16" t="s">
        <v>0</v>
      </c>
      <c r="F54" s="240">
        <v>0</v>
      </c>
      <c r="G54" s="43">
        <v>0</v>
      </c>
      <c r="H54" s="240">
        <f>2649.6+1927.9+1804.5</f>
        <v>6382</v>
      </c>
      <c r="I54" s="12"/>
      <c r="J54" s="240">
        <v>0</v>
      </c>
      <c r="K54" s="43">
        <v>0</v>
      </c>
      <c r="L54" s="240">
        <f>3198.3+1442.1</f>
        <v>4640.3999999999996</v>
      </c>
      <c r="M54" s="16" t="s">
        <v>0</v>
      </c>
      <c r="N54" s="221">
        <v>0</v>
      </c>
      <c r="O54" s="43">
        <v>0</v>
      </c>
      <c r="P54" s="221">
        <f>1578.9+1496.3+1507.3</f>
        <v>4582.5</v>
      </c>
      <c r="Q54" s="12"/>
      <c r="R54" s="240">
        <f>+B54</f>
        <v>4949.8</v>
      </c>
      <c r="S54" s="46">
        <f t="shared" si="3"/>
        <v>-0.4671733209899136</v>
      </c>
      <c r="T54" s="240">
        <f>+D54</f>
        <v>9289.7000000000007</v>
      </c>
      <c r="U54" s="240">
        <f>+D54+H54+L54+P54</f>
        <v>24894.6</v>
      </c>
    </row>
    <row r="55" spans="1:24">
      <c r="B55" s="12">
        <f>+B53-B54</f>
        <v>11235.400000000001</v>
      </c>
      <c r="C55" s="46">
        <f t="shared" si="2"/>
        <v>0.75957276870311541</v>
      </c>
      <c r="D55" s="12">
        <f>+D53-D54</f>
        <v>6385.2999999999993</v>
      </c>
      <c r="E55" s="16" t="s">
        <v>0</v>
      </c>
      <c r="F55" s="12">
        <f>+F53-F54</f>
        <v>0</v>
      </c>
      <c r="G55" s="43">
        <v>0</v>
      </c>
      <c r="H55" s="12">
        <f>+H53-H54</f>
        <v>9294.5999999999985</v>
      </c>
      <c r="I55" s="12"/>
      <c r="J55" s="12">
        <f>+J53-J54</f>
        <v>0</v>
      </c>
      <c r="K55" s="43">
        <v>0</v>
      </c>
      <c r="L55" s="12">
        <f>+L53-L54</f>
        <v>10286.800000000001</v>
      </c>
      <c r="M55" s="16" t="s">
        <v>0</v>
      </c>
      <c r="N55" s="12">
        <f>+N53-N54</f>
        <v>0</v>
      </c>
      <c r="O55" s="43">
        <v>0</v>
      </c>
      <c r="P55" s="12">
        <f>+P53-P54</f>
        <v>13311.100000000002</v>
      </c>
      <c r="Q55" s="12"/>
      <c r="R55" s="12">
        <f>+R53-R54</f>
        <v>11235.400000000001</v>
      </c>
      <c r="S55" s="46">
        <f t="shared" si="3"/>
        <v>0.75957276870311541</v>
      </c>
      <c r="T55" s="12">
        <f>+T53-T54</f>
        <v>6385.2999999999993</v>
      </c>
      <c r="U55" s="12">
        <f>+U53-U54</f>
        <v>39277.800000000003</v>
      </c>
    </row>
    <row r="56" spans="1:24">
      <c r="B56" s="12"/>
      <c r="C56" s="47" t="s">
        <v>0</v>
      </c>
      <c r="D56" s="12"/>
      <c r="E56" s="16" t="s">
        <v>0</v>
      </c>
      <c r="F56" s="12"/>
      <c r="G56" s="44" t="s">
        <v>0</v>
      </c>
      <c r="H56" s="12"/>
      <c r="I56" s="12"/>
      <c r="J56" s="12"/>
      <c r="K56" s="44" t="s">
        <v>0</v>
      </c>
      <c r="L56" s="12"/>
      <c r="M56" s="16" t="s">
        <v>0</v>
      </c>
      <c r="N56" s="12"/>
      <c r="O56" s="44" t="s">
        <v>0</v>
      </c>
      <c r="P56" s="12"/>
      <c r="Q56" s="12"/>
      <c r="R56" s="12"/>
      <c r="S56" s="46"/>
      <c r="T56" s="12"/>
      <c r="U56" s="12"/>
    </row>
    <row r="57" spans="1:24">
      <c r="A57" t="s">
        <v>334</v>
      </c>
      <c r="B57" s="12"/>
      <c r="C57" s="47" t="s">
        <v>0</v>
      </c>
      <c r="D57" s="12"/>
      <c r="E57" s="16" t="s">
        <v>0</v>
      </c>
      <c r="F57" s="12"/>
      <c r="G57" s="44" t="s">
        <v>0</v>
      </c>
      <c r="H57" s="12"/>
      <c r="I57" s="12"/>
      <c r="J57" s="12"/>
      <c r="K57" s="44" t="s">
        <v>0</v>
      </c>
      <c r="L57" s="12"/>
      <c r="M57" s="16" t="s">
        <v>0</v>
      </c>
      <c r="N57" s="12"/>
      <c r="O57" s="44" t="s">
        <v>0</v>
      </c>
      <c r="P57" s="12"/>
      <c r="Q57" s="12"/>
      <c r="R57" s="12"/>
      <c r="S57" s="47" t="s">
        <v>0</v>
      </c>
      <c r="T57" s="12"/>
      <c r="U57" s="12"/>
    </row>
    <row r="58" spans="1:24">
      <c r="A58" t="s">
        <v>335</v>
      </c>
      <c r="B58" s="12">
        <v>748.4</v>
      </c>
      <c r="C58" s="46">
        <f>+(B58-D58)/ABS(D58)</f>
        <v>-0.31889333818711318</v>
      </c>
      <c r="D58" s="12">
        <f>488.5+349.4+260.9</f>
        <v>1098.8</v>
      </c>
      <c r="E58" s="16" t="s">
        <v>0</v>
      </c>
      <c r="F58" s="12">
        <v>0</v>
      </c>
      <c r="G58" s="43">
        <v>0</v>
      </c>
      <c r="H58" s="12">
        <f>239.1+191.9+418.3</f>
        <v>849.3</v>
      </c>
      <c r="I58" s="12"/>
      <c r="J58" s="12">
        <v>0</v>
      </c>
      <c r="K58" s="43">
        <v>0</v>
      </c>
      <c r="L58" s="12">
        <f>427+205.2</f>
        <v>632.20000000000005</v>
      </c>
      <c r="M58" s="16" t="s">
        <v>0</v>
      </c>
      <c r="N58" s="12">
        <v>0</v>
      </c>
      <c r="O58" s="43">
        <v>0</v>
      </c>
      <c r="P58" s="12">
        <f>421.7+287.9+392.7</f>
        <v>1102.3</v>
      </c>
      <c r="Q58" s="12"/>
      <c r="R58" s="12">
        <f>+B58</f>
        <v>748.4</v>
      </c>
      <c r="S58" s="46">
        <f>+(R58-T58)/ABS(T58)</f>
        <v>-0.31889333818711318</v>
      </c>
      <c r="T58" s="12">
        <f>+D58</f>
        <v>1098.8</v>
      </c>
      <c r="U58" s="12">
        <f>+D58+H58+L58+P58</f>
        <v>3682.6000000000004</v>
      </c>
    </row>
    <row r="59" spans="1:24">
      <c r="A59" t="s">
        <v>336</v>
      </c>
      <c r="B59" s="12">
        <v>1638.2</v>
      </c>
      <c r="C59" s="46">
        <f>+(B59-D59)/ABS(D59)</f>
        <v>1.4923170546173743</v>
      </c>
      <c r="D59" s="12">
        <f>164.1+285.4+207.8</f>
        <v>657.3</v>
      </c>
      <c r="E59" s="16" t="s">
        <v>0</v>
      </c>
      <c r="F59" s="12">
        <v>0</v>
      </c>
      <c r="G59" s="43">
        <v>0</v>
      </c>
      <c r="H59" s="12">
        <f>342.2+259.8+86.7</f>
        <v>688.7</v>
      </c>
      <c r="I59" s="12"/>
      <c r="J59" s="12">
        <v>0</v>
      </c>
      <c r="K59" s="43">
        <v>0</v>
      </c>
      <c r="L59" s="12">
        <f>316.6+135.6</f>
        <v>452.20000000000005</v>
      </c>
      <c r="M59" s="16" t="s">
        <v>0</v>
      </c>
      <c r="N59" s="12">
        <v>0</v>
      </c>
      <c r="O59" s="43">
        <v>0</v>
      </c>
      <c r="P59" s="12">
        <f>232.3+163.1+379.9</f>
        <v>775.3</v>
      </c>
      <c r="Q59" s="12"/>
      <c r="R59" s="12">
        <f>+B59</f>
        <v>1638.2</v>
      </c>
      <c r="S59" s="46">
        <f>+(R59-T59)/ABS(T59)</f>
        <v>1.4923170546173743</v>
      </c>
      <c r="T59" s="12">
        <f>+D59</f>
        <v>657.3</v>
      </c>
      <c r="U59" s="12">
        <f>+D59+H59+L59+P59</f>
        <v>2573.5</v>
      </c>
    </row>
    <row r="60" spans="1:24">
      <c r="A60" t="s">
        <v>284</v>
      </c>
      <c r="B60" s="240">
        <v>109.4</v>
      </c>
      <c r="C60" s="46">
        <f>+(B60-D60)/ABS(D60)</f>
        <v>1.7513736263736264</v>
      </c>
      <c r="D60" s="240">
        <f>-222.4+38.4+38.4</f>
        <v>-145.6</v>
      </c>
      <c r="E60" s="16" t="s">
        <v>0</v>
      </c>
      <c r="F60" s="240">
        <v>0</v>
      </c>
      <c r="G60" s="43">
        <v>0</v>
      </c>
      <c r="H60" s="240">
        <f>38.4+61.8+15</f>
        <v>115.19999999999999</v>
      </c>
      <c r="I60" s="12"/>
      <c r="J60" s="240">
        <v>0</v>
      </c>
      <c r="K60" s="43">
        <v>0</v>
      </c>
      <c r="L60" s="240">
        <f>79.4+70.9</f>
        <v>150.30000000000001</v>
      </c>
      <c r="M60" s="16" t="s">
        <v>0</v>
      </c>
      <c r="N60" s="240">
        <v>0</v>
      </c>
      <c r="O60" s="43">
        <v>0</v>
      </c>
      <c r="P60" s="240">
        <f>38.4+38.4+38.4</f>
        <v>115.19999999999999</v>
      </c>
      <c r="Q60" s="12"/>
      <c r="R60" s="240">
        <f>+B60</f>
        <v>109.4</v>
      </c>
      <c r="S60" s="46">
        <f>+(R60-T60)/ABS(T60)</f>
        <v>1.7513736263736264</v>
      </c>
      <c r="T60" s="240">
        <f>+D60</f>
        <v>-145.6</v>
      </c>
      <c r="U60" s="240">
        <f>+D60+H60+L60+P60</f>
        <v>235.1</v>
      </c>
    </row>
    <row r="61" spans="1:24">
      <c r="B61" s="12">
        <f>SUM(B58:B60)</f>
        <v>2496</v>
      </c>
      <c r="C61" s="46">
        <f>+(B61-D61)/ABS(D61)</f>
        <v>0.54982924557590807</v>
      </c>
      <c r="D61" s="12">
        <f>SUM(D58:D60)</f>
        <v>1610.5</v>
      </c>
      <c r="E61" s="16" t="s">
        <v>0</v>
      </c>
      <c r="F61" s="12">
        <f>SUM(F58:F60)</f>
        <v>0</v>
      </c>
      <c r="G61" s="43">
        <v>0</v>
      </c>
      <c r="H61" s="12">
        <f>SUM(H58:H60)</f>
        <v>1653.2</v>
      </c>
      <c r="I61" s="12"/>
      <c r="J61" s="12">
        <f>SUM(J58:J60)</f>
        <v>0</v>
      </c>
      <c r="K61" s="43">
        <v>0</v>
      </c>
      <c r="L61" s="12">
        <f>SUM(L58:L60)</f>
        <v>1234.7</v>
      </c>
      <c r="M61" s="16" t="s">
        <v>0</v>
      </c>
      <c r="N61" s="12">
        <f>SUM(N58:N60)</f>
        <v>0</v>
      </c>
      <c r="O61" s="43">
        <v>0</v>
      </c>
      <c r="P61" s="12">
        <f>SUM(P58:P60)</f>
        <v>1992.8</v>
      </c>
      <c r="Q61" s="12"/>
      <c r="R61" s="12">
        <f>SUM(R58:R60)</f>
        <v>2496</v>
      </c>
      <c r="S61" s="46">
        <f>+(R61-T61)/ABS(T61)</f>
        <v>0.54982924557590807</v>
      </c>
      <c r="T61" s="12">
        <f>SUM(T58:T60)</f>
        <v>1610.5</v>
      </c>
      <c r="U61" s="12">
        <f>SUM(U58:U60)</f>
        <v>6491.2000000000007</v>
      </c>
    </row>
    <row r="62" spans="1:24">
      <c r="B62" s="240"/>
      <c r="C62" s="47" t="s">
        <v>0</v>
      </c>
      <c r="D62" s="240"/>
      <c r="E62" s="16" t="s">
        <v>0</v>
      </c>
      <c r="F62" s="240"/>
      <c r="G62" s="44" t="s">
        <v>0</v>
      </c>
      <c r="H62" s="240"/>
      <c r="I62" s="12"/>
      <c r="J62" s="240"/>
      <c r="K62" s="44" t="s">
        <v>0</v>
      </c>
      <c r="L62" s="240"/>
      <c r="M62" s="16" t="s">
        <v>0</v>
      </c>
      <c r="N62" s="240"/>
      <c r="O62" s="44" t="s">
        <v>0</v>
      </c>
      <c r="P62" s="240"/>
      <c r="Q62" s="12"/>
      <c r="R62" s="240"/>
      <c r="S62" s="46"/>
      <c r="T62" s="240"/>
      <c r="U62" s="240"/>
    </row>
    <row r="63" spans="1:24">
      <c r="A63" t="s">
        <v>337</v>
      </c>
      <c r="B63" s="12">
        <f>+B55+B61</f>
        <v>13731.400000000001</v>
      </c>
      <c r="C63" s="46">
        <f>+(B63-D63)/ABS(D63)</f>
        <v>0.71732659646314345</v>
      </c>
      <c r="D63" s="12">
        <f>+D55+D61</f>
        <v>7995.7999999999993</v>
      </c>
      <c r="E63" s="16" t="s">
        <v>0</v>
      </c>
      <c r="F63" s="12">
        <f>+F55+F61</f>
        <v>0</v>
      </c>
      <c r="G63" s="43">
        <v>0</v>
      </c>
      <c r="H63" s="12">
        <f>+H55+H61</f>
        <v>10947.8</v>
      </c>
      <c r="I63" s="12"/>
      <c r="J63" s="12">
        <f>+J55+J61</f>
        <v>0</v>
      </c>
      <c r="K63" s="43">
        <v>0</v>
      </c>
      <c r="L63" s="12">
        <f>+L55+L61</f>
        <v>11521.500000000002</v>
      </c>
      <c r="M63" s="16" t="s">
        <v>0</v>
      </c>
      <c r="N63" s="12">
        <f>+N55+N61</f>
        <v>0</v>
      </c>
      <c r="O63" s="43">
        <v>0</v>
      </c>
      <c r="P63" s="12">
        <f>+P55+P61</f>
        <v>15303.900000000001</v>
      </c>
      <c r="Q63" s="12"/>
      <c r="R63" s="12">
        <f>+R55+R61</f>
        <v>13731.400000000001</v>
      </c>
      <c r="S63" s="46">
        <f>+(R63-T63)/ABS(T63)</f>
        <v>0.71732659646314345</v>
      </c>
      <c r="T63" s="12">
        <f>+T55+T61</f>
        <v>7995.7999999999993</v>
      </c>
      <c r="U63" s="12">
        <f>+U55+U61</f>
        <v>45769</v>
      </c>
    </row>
    <row r="64" spans="1:24">
      <c r="B64" s="12"/>
      <c r="C64" s="47" t="s">
        <v>0</v>
      </c>
      <c r="D64" s="12"/>
      <c r="E64" s="16" t="s">
        <v>0</v>
      </c>
      <c r="F64" s="12"/>
      <c r="G64" s="44" t="s">
        <v>0</v>
      </c>
      <c r="H64" s="12"/>
      <c r="I64" s="12"/>
      <c r="J64" s="12"/>
      <c r="K64" s="44" t="s">
        <v>0</v>
      </c>
      <c r="L64" s="12"/>
      <c r="M64" s="16" t="s">
        <v>0</v>
      </c>
      <c r="N64" s="12"/>
      <c r="O64" s="44" t="s">
        <v>0</v>
      </c>
      <c r="P64" s="12"/>
      <c r="Q64" s="12"/>
      <c r="R64" s="12"/>
      <c r="S64" s="46"/>
      <c r="T64" s="12"/>
      <c r="U64" s="12"/>
    </row>
    <row r="65" spans="1:21">
      <c r="A65" t="s">
        <v>338</v>
      </c>
      <c r="B65" s="12">
        <v>1278.4000000000001</v>
      </c>
      <c r="C65" s="46">
        <f>+(B65-D65)/ABS(D65)</f>
        <v>3.2613333333333334</v>
      </c>
      <c r="D65" s="12">
        <f>100+100+100</f>
        <v>300</v>
      </c>
      <c r="E65" s="16" t="s">
        <v>0</v>
      </c>
      <c r="F65" s="12">
        <v>0</v>
      </c>
      <c r="G65" s="43">
        <v>0</v>
      </c>
      <c r="H65" s="12">
        <f>100+100+100</f>
        <v>300</v>
      </c>
      <c r="I65" s="12"/>
      <c r="J65" s="12">
        <v>0</v>
      </c>
      <c r="K65" s="43">
        <v>0</v>
      </c>
      <c r="L65" s="12">
        <f>199.9+1381.9</f>
        <v>1581.8000000000002</v>
      </c>
      <c r="M65" s="16" t="s">
        <v>0</v>
      </c>
      <c r="N65" s="12">
        <v>0</v>
      </c>
      <c r="O65" s="43">
        <v>0</v>
      </c>
      <c r="P65" s="12">
        <f>575+541.3+506.1</f>
        <v>1622.4</v>
      </c>
      <c r="Q65" s="12"/>
      <c r="R65" s="12">
        <f>+B65</f>
        <v>1278.4000000000001</v>
      </c>
      <c r="S65" s="46">
        <f>+(R65-T65)/ABS(T65)</f>
        <v>3.2613333333333334</v>
      </c>
      <c r="T65" s="12">
        <f>+D65</f>
        <v>300</v>
      </c>
      <c r="U65" s="12">
        <f>+D65+H65+L65+P65</f>
        <v>3804.2000000000003</v>
      </c>
    </row>
    <row r="66" spans="1:21">
      <c r="B66" s="12"/>
      <c r="C66" s="47" t="s">
        <v>0</v>
      </c>
      <c r="D66" s="12"/>
      <c r="E66" s="16" t="s">
        <v>0</v>
      </c>
      <c r="F66" s="12"/>
      <c r="G66" s="44" t="s">
        <v>0</v>
      </c>
      <c r="H66" s="12"/>
      <c r="I66" s="12"/>
      <c r="J66" s="12"/>
      <c r="K66" s="44" t="s">
        <v>0</v>
      </c>
      <c r="L66" s="12"/>
      <c r="M66" s="16" t="s">
        <v>0</v>
      </c>
      <c r="N66" s="12"/>
      <c r="O66" s="44" t="s">
        <v>0</v>
      </c>
      <c r="P66" s="12"/>
      <c r="Q66" s="12"/>
      <c r="R66" s="12"/>
      <c r="S66" s="46"/>
      <c r="T66" s="12"/>
      <c r="U66" s="12"/>
    </row>
    <row r="67" spans="1:21">
      <c r="A67" t="s">
        <v>339</v>
      </c>
      <c r="B67" s="240"/>
      <c r="C67" s="47" t="s">
        <v>0</v>
      </c>
      <c r="D67" s="240"/>
      <c r="E67" s="16" t="s">
        <v>0</v>
      </c>
      <c r="F67" s="240"/>
      <c r="G67" s="44" t="s">
        <v>0</v>
      </c>
      <c r="H67" s="240"/>
      <c r="I67" s="12"/>
      <c r="J67" s="240"/>
      <c r="K67" s="44" t="s">
        <v>0</v>
      </c>
      <c r="L67" s="240"/>
      <c r="M67" s="16" t="s">
        <v>0</v>
      </c>
      <c r="N67" s="240"/>
      <c r="O67" s="44" t="s">
        <v>0</v>
      </c>
      <c r="P67" s="240"/>
      <c r="Q67" s="12"/>
      <c r="R67" s="240"/>
      <c r="S67" s="46"/>
      <c r="T67" s="240"/>
      <c r="U67" s="240"/>
    </row>
    <row r="68" spans="1:21">
      <c r="A68" t="s">
        <v>340</v>
      </c>
      <c r="B68" s="12">
        <f>+B63-B65</f>
        <v>12453.000000000002</v>
      </c>
      <c r="C68" s="46">
        <f>+(B68-D68)/ABS(D68)</f>
        <v>0.61815535746771</v>
      </c>
      <c r="D68" s="12">
        <f>+D63-D65</f>
        <v>7695.7999999999993</v>
      </c>
      <c r="E68" s="16" t="s">
        <v>0</v>
      </c>
      <c r="F68" s="12">
        <f>+F63-F65</f>
        <v>0</v>
      </c>
      <c r="G68" s="43">
        <v>0</v>
      </c>
      <c r="H68" s="12">
        <f>+H63-H65</f>
        <v>10647.8</v>
      </c>
      <c r="I68" s="12"/>
      <c r="J68" s="12">
        <f>+J63-J65</f>
        <v>0</v>
      </c>
      <c r="K68" s="43">
        <v>0</v>
      </c>
      <c r="L68" s="12">
        <f>+L63-L65</f>
        <v>9939.7000000000007</v>
      </c>
      <c r="M68" s="16" t="s">
        <v>0</v>
      </c>
      <c r="N68" s="12">
        <f>+N63-N65</f>
        <v>0</v>
      </c>
      <c r="O68" s="43">
        <v>0</v>
      </c>
      <c r="P68" s="12">
        <f>+P63-P65</f>
        <v>13681.500000000002</v>
      </c>
      <c r="Q68" s="12"/>
      <c r="R68" s="12">
        <f>+R63-R65</f>
        <v>12453.000000000002</v>
      </c>
      <c r="S68" s="46">
        <f>+(R68-T68)/ABS(T68)</f>
        <v>0.61815535746771</v>
      </c>
      <c r="T68" s="12">
        <f>+T63-T65</f>
        <v>7695.7999999999993</v>
      </c>
      <c r="U68" s="12">
        <f>+U63-U65</f>
        <v>41964.800000000003</v>
      </c>
    </row>
    <row r="69" spans="1:21">
      <c r="B69" s="12"/>
      <c r="C69" s="47" t="s">
        <v>0</v>
      </c>
      <c r="D69" s="12"/>
      <c r="E69" s="16" t="s">
        <v>0</v>
      </c>
      <c r="F69" s="12"/>
      <c r="G69" s="44" t="s">
        <v>0</v>
      </c>
      <c r="H69" s="12"/>
      <c r="I69" s="12"/>
      <c r="J69" s="12"/>
      <c r="K69" s="44" t="s">
        <v>0</v>
      </c>
      <c r="L69" s="12"/>
      <c r="M69" s="16" t="s">
        <v>0</v>
      </c>
      <c r="N69" s="12"/>
      <c r="O69" s="44" t="s">
        <v>0</v>
      </c>
      <c r="P69" s="12"/>
      <c r="Q69" s="12"/>
      <c r="R69" s="12"/>
      <c r="S69" s="46"/>
      <c r="T69" s="12"/>
      <c r="U69" s="12"/>
    </row>
    <row r="70" spans="1:21">
      <c r="A70" t="s">
        <v>341</v>
      </c>
      <c r="B70" s="12"/>
      <c r="C70" s="47" t="s">
        <v>0</v>
      </c>
      <c r="D70" s="12"/>
      <c r="E70" s="16" t="s">
        <v>0</v>
      </c>
      <c r="F70" s="12"/>
      <c r="G70" s="44" t="s">
        <v>0</v>
      </c>
      <c r="H70" s="12"/>
      <c r="I70" s="12"/>
      <c r="J70" s="12"/>
      <c r="K70" s="44" t="s">
        <v>0</v>
      </c>
      <c r="L70" s="12"/>
      <c r="M70" s="16" t="s">
        <v>0</v>
      </c>
      <c r="N70" s="16" t="s">
        <v>0</v>
      </c>
      <c r="O70" s="44" t="s">
        <v>0</v>
      </c>
      <c r="P70" s="16" t="s">
        <v>0</v>
      </c>
      <c r="Q70" s="12"/>
      <c r="R70" s="12"/>
      <c r="S70" s="46"/>
      <c r="T70" s="12"/>
      <c r="U70" s="12"/>
    </row>
    <row r="71" spans="1:21">
      <c r="A71" t="s">
        <v>342</v>
      </c>
      <c r="B71" s="12">
        <v>3282.2</v>
      </c>
      <c r="C71" s="46">
        <f>+(B71-D71)/ABS(D71)</f>
        <v>0.4407620385408893</v>
      </c>
      <c r="D71" s="12">
        <f>703.8+691.9+882.4</f>
        <v>2278.1</v>
      </c>
      <c r="E71" s="16" t="s">
        <v>0</v>
      </c>
      <c r="F71" s="12">
        <v>0</v>
      </c>
      <c r="G71" s="43">
        <v>0</v>
      </c>
      <c r="H71" s="12">
        <f>927.2+822.8+879.8</f>
        <v>2629.8</v>
      </c>
      <c r="I71" s="12"/>
      <c r="J71" s="12">
        <v>0</v>
      </c>
      <c r="K71" s="43">
        <v>0</v>
      </c>
      <c r="L71" s="12">
        <f>1717.1+898.1</f>
        <v>2615.1999999999998</v>
      </c>
      <c r="M71" s="16" t="s">
        <v>0</v>
      </c>
      <c r="N71" s="12">
        <v>0</v>
      </c>
      <c r="O71" s="43">
        <v>0</v>
      </c>
      <c r="P71" s="12">
        <f>923.4+928.9+806.7</f>
        <v>2659</v>
      </c>
      <c r="Q71" s="12"/>
      <c r="R71" s="12">
        <f>+B71</f>
        <v>3282.2</v>
      </c>
      <c r="S71" s="46">
        <f>+(R71-T71)/ABS(T71)</f>
        <v>0.4407620385408893</v>
      </c>
      <c r="T71" s="12">
        <f>+D71</f>
        <v>2278.1</v>
      </c>
      <c r="U71" s="12">
        <f>+D71+H71+L71+P71</f>
        <v>10182.099999999999</v>
      </c>
    </row>
    <row r="72" spans="1:21">
      <c r="A72" t="s">
        <v>343</v>
      </c>
      <c r="B72" s="12">
        <v>702.3</v>
      </c>
      <c r="C72" s="46">
        <f>+(B72-D72)/ABS(D72)</f>
        <v>-9.3221433182698571E-2</v>
      </c>
      <c r="D72" s="12">
        <f>248.6+199+326.9</f>
        <v>774.5</v>
      </c>
      <c r="E72" s="16" t="s">
        <v>0</v>
      </c>
      <c r="F72" s="12">
        <v>0</v>
      </c>
      <c r="G72" s="43">
        <v>0</v>
      </c>
      <c r="H72" s="12">
        <f>205.7+202.3+306.1</f>
        <v>714.1</v>
      </c>
      <c r="I72" s="12"/>
      <c r="J72" s="12">
        <v>0</v>
      </c>
      <c r="K72" s="43">
        <v>0</v>
      </c>
      <c r="L72" s="12">
        <f>362.1+195.9</f>
        <v>558</v>
      </c>
      <c r="M72" s="16" t="s">
        <v>0</v>
      </c>
      <c r="N72" s="12">
        <v>0</v>
      </c>
      <c r="O72" s="43">
        <v>0</v>
      </c>
      <c r="P72" s="12">
        <f>232.6+186.4+394.9</f>
        <v>813.9</v>
      </c>
      <c r="Q72" s="12"/>
      <c r="R72" s="12">
        <f>+B72</f>
        <v>702.3</v>
      </c>
      <c r="S72" s="46">
        <f>+(R72-T72)/ABS(T72)</f>
        <v>-9.3221433182698571E-2</v>
      </c>
      <c r="T72" s="12">
        <f>+D72</f>
        <v>774.5</v>
      </c>
      <c r="U72" s="12">
        <f>+D72+H72+L72+P72</f>
        <v>2860.5</v>
      </c>
    </row>
    <row r="73" spans="1:21">
      <c r="A73" t="s">
        <v>344</v>
      </c>
      <c r="B73" s="12">
        <v>556.20000000000005</v>
      </c>
      <c r="C73" s="46">
        <f>+(B73-D73)/ABS(D73)</f>
        <v>4.2549203373945729E-2</v>
      </c>
      <c r="D73" s="12">
        <f>202+202+129.5</f>
        <v>533.5</v>
      </c>
      <c r="E73" s="16" t="s">
        <v>0</v>
      </c>
      <c r="F73" s="12">
        <v>0</v>
      </c>
      <c r="G73" s="43">
        <v>0</v>
      </c>
      <c r="H73" s="12">
        <f>184.1+183.7+183.7</f>
        <v>551.5</v>
      </c>
      <c r="I73" s="12"/>
      <c r="J73" s="12">
        <v>0</v>
      </c>
      <c r="K73" s="43">
        <v>0</v>
      </c>
      <c r="L73" s="12">
        <f>384.4+199.8</f>
        <v>584.20000000000005</v>
      </c>
      <c r="M73" s="16" t="s">
        <v>0</v>
      </c>
      <c r="N73" s="12">
        <v>0</v>
      </c>
      <c r="O73" s="43">
        <v>0</v>
      </c>
      <c r="P73" s="12">
        <f>193.4+187.5+192.7</f>
        <v>573.59999999999991</v>
      </c>
      <c r="Q73" s="12"/>
      <c r="R73" s="12">
        <f>+B73</f>
        <v>556.20000000000005</v>
      </c>
      <c r="S73" s="46">
        <f>+(R73-T73)/ABS(T73)</f>
        <v>4.2549203373945729E-2</v>
      </c>
      <c r="T73" s="12">
        <f>+D73</f>
        <v>533.5</v>
      </c>
      <c r="U73" s="12">
        <f>+D73+H73+L73+P73</f>
        <v>2242.8000000000002</v>
      </c>
    </row>
    <row r="74" spans="1:21">
      <c r="A74" t="s">
        <v>345</v>
      </c>
      <c r="B74" s="240">
        <v>2402.8000000000002</v>
      </c>
      <c r="C74" s="46">
        <f>+(B74-D74)/ABS(D74)</f>
        <v>1.8221883210441759E-2</v>
      </c>
      <c r="D74" s="240">
        <f>618.9+655.3+1085.6</f>
        <v>2359.7999999999997</v>
      </c>
      <c r="E74" s="16" t="s">
        <v>0</v>
      </c>
      <c r="F74" s="240">
        <v>0</v>
      </c>
      <c r="G74" s="43">
        <v>0</v>
      </c>
      <c r="H74" s="240">
        <f>746.2+644.1+677.4</f>
        <v>2067.7000000000003</v>
      </c>
      <c r="I74" s="12"/>
      <c r="J74" s="240">
        <v>0</v>
      </c>
      <c r="K74" s="43">
        <v>0</v>
      </c>
      <c r="L74" s="240">
        <f>1229.7+487.4</f>
        <v>1717.1</v>
      </c>
      <c r="M74" s="16" t="s">
        <v>0</v>
      </c>
      <c r="N74" s="240">
        <v>0</v>
      </c>
      <c r="O74" s="43">
        <v>0</v>
      </c>
      <c r="P74" s="240">
        <f>567.2+663.3+958.2</f>
        <v>2188.6999999999998</v>
      </c>
      <c r="Q74" s="12"/>
      <c r="R74" s="240">
        <f>+B74</f>
        <v>2402.8000000000002</v>
      </c>
      <c r="S74" s="46">
        <f>+(R74-T74)/ABS(T74)</f>
        <v>1.8221883210441759E-2</v>
      </c>
      <c r="T74" s="240">
        <f>+D74</f>
        <v>2359.7999999999997</v>
      </c>
      <c r="U74" s="240">
        <f>+D74+H74+L74+P74</f>
        <v>8333.2999999999993</v>
      </c>
    </row>
    <row r="75" spans="1:21">
      <c r="B75" s="12">
        <f>SUM(B71:B74)</f>
        <v>6943.5</v>
      </c>
      <c r="C75" s="46">
        <f>+(B75-D75)/ABS(D75)</f>
        <v>0.16777947829596873</v>
      </c>
      <c r="D75" s="12">
        <f>SUM(D71:D74)</f>
        <v>5945.9</v>
      </c>
      <c r="E75" s="16" t="s">
        <v>0</v>
      </c>
      <c r="F75" s="12">
        <f>SUM(F71:F74)</f>
        <v>0</v>
      </c>
      <c r="G75" s="43">
        <v>0</v>
      </c>
      <c r="H75" s="12">
        <f>SUM(H71:H74)</f>
        <v>5963.1</v>
      </c>
      <c r="I75" s="12"/>
      <c r="J75" s="12">
        <f>SUM(J71:J74)</f>
        <v>0</v>
      </c>
      <c r="K75" s="43">
        <v>0</v>
      </c>
      <c r="L75" s="12">
        <f>SUM(L71:L74)</f>
        <v>5474.5</v>
      </c>
      <c r="M75" s="16" t="s">
        <v>0</v>
      </c>
      <c r="N75" s="12">
        <f>SUM(N71:N74)</f>
        <v>0</v>
      </c>
      <c r="O75" s="43">
        <v>0</v>
      </c>
      <c r="P75" s="12">
        <f>SUM(P71:P74)</f>
        <v>6235.2</v>
      </c>
      <c r="Q75" s="12"/>
      <c r="R75" s="12">
        <f>SUM(R71:R74)</f>
        <v>6943.5</v>
      </c>
      <c r="S75" s="46">
        <f>+(R75-T75)/ABS(T75)</f>
        <v>0.16777947829596873</v>
      </c>
      <c r="T75" s="12">
        <f>SUM(T71:T74)</f>
        <v>5945.9</v>
      </c>
      <c r="U75" s="12">
        <f>SUM(U71:U74)</f>
        <v>23618.699999999997</v>
      </c>
    </row>
    <row r="76" spans="1:21">
      <c r="B76" s="240"/>
      <c r="C76" s="46"/>
      <c r="D76" s="240"/>
      <c r="E76" s="16"/>
      <c r="F76" s="240"/>
      <c r="G76" s="43"/>
      <c r="H76" s="240"/>
      <c r="I76" s="12"/>
      <c r="J76" s="240"/>
      <c r="K76" s="43"/>
      <c r="L76" s="240"/>
      <c r="M76" s="16"/>
      <c r="N76" s="240"/>
      <c r="O76" s="43"/>
      <c r="P76" s="240"/>
      <c r="Q76" s="12"/>
      <c r="R76" s="240"/>
      <c r="S76" s="46"/>
      <c r="T76" s="240"/>
      <c r="U76" s="240"/>
    </row>
    <row r="77" spans="1:21">
      <c r="A77" t="s">
        <v>346</v>
      </c>
      <c r="B77" s="12">
        <f>+B68-B75</f>
        <v>5509.5000000000018</v>
      </c>
      <c r="C77" s="46">
        <f>+(B77-D77)/ABS(D77)</f>
        <v>2.1484656266072366</v>
      </c>
      <c r="D77" s="12">
        <f>+D68-D75</f>
        <v>1749.8999999999996</v>
      </c>
      <c r="E77" s="16" t="s">
        <v>0</v>
      </c>
      <c r="F77" s="12">
        <f>+F68-F75</f>
        <v>0</v>
      </c>
      <c r="G77" s="43">
        <v>0</v>
      </c>
      <c r="H77" s="12">
        <f>+H68-H75</f>
        <v>4684.6999999999989</v>
      </c>
      <c r="I77" s="12"/>
      <c r="J77" s="12">
        <f>+J68-J75</f>
        <v>0</v>
      </c>
      <c r="K77" s="43">
        <v>0</v>
      </c>
      <c r="L77" s="12">
        <f>+L68-L75</f>
        <v>4465.2000000000007</v>
      </c>
      <c r="M77" s="16" t="s">
        <v>0</v>
      </c>
      <c r="N77" s="12">
        <f>+N68-N75</f>
        <v>0</v>
      </c>
      <c r="O77" s="43">
        <v>0</v>
      </c>
      <c r="P77" s="12">
        <f>+P68-P75</f>
        <v>7446.300000000002</v>
      </c>
      <c r="Q77" s="12"/>
      <c r="R77" s="12">
        <f>+R68-R75</f>
        <v>5509.5000000000018</v>
      </c>
      <c r="S77" s="46">
        <f>+(R77-T77)/ABS(T77)</f>
        <v>2.1484656266072366</v>
      </c>
      <c r="T77" s="12">
        <f>+T68-T75</f>
        <v>1749.8999999999996</v>
      </c>
      <c r="U77" s="12">
        <f>+U68-U75</f>
        <v>18346.100000000006</v>
      </c>
    </row>
    <row r="78" spans="1:21">
      <c r="B78" s="12"/>
      <c r="C78" s="47" t="s">
        <v>0</v>
      </c>
      <c r="D78" s="12"/>
      <c r="E78" s="16" t="s">
        <v>0</v>
      </c>
      <c r="F78" s="12"/>
      <c r="G78" s="44" t="s">
        <v>0</v>
      </c>
      <c r="H78" s="12"/>
      <c r="I78" s="12"/>
      <c r="J78" s="12"/>
      <c r="K78" s="44" t="s">
        <v>0</v>
      </c>
      <c r="L78" s="12"/>
      <c r="M78" s="16" t="s">
        <v>0</v>
      </c>
      <c r="N78" s="12"/>
      <c r="O78" s="44" t="s">
        <v>0</v>
      </c>
      <c r="P78" s="12"/>
      <c r="Q78" s="12"/>
      <c r="R78" s="12"/>
      <c r="S78" s="46"/>
      <c r="T78" s="12"/>
      <c r="U78" s="12"/>
    </row>
    <row r="79" spans="1:21">
      <c r="A79" t="s">
        <v>347</v>
      </c>
      <c r="B79" s="12">
        <v>1666.9</v>
      </c>
      <c r="C79" s="46">
        <f>+(B79-D79)/ABS(D79)</f>
        <v>2.4525683512841758</v>
      </c>
      <c r="D79" s="12">
        <f>128.6+300.4+53.8</f>
        <v>482.8</v>
      </c>
      <c r="E79" s="16" t="s">
        <v>0</v>
      </c>
      <c r="F79" s="12">
        <v>0</v>
      </c>
      <c r="G79" s="43">
        <v>0</v>
      </c>
      <c r="H79" s="12">
        <f>403+550.2+522.4</f>
        <v>1475.6</v>
      </c>
      <c r="I79" s="12"/>
      <c r="J79" s="12">
        <v>0</v>
      </c>
      <c r="K79" s="43">
        <v>0</v>
      </c>
      <c r="L79" s="12">
        <f>1099+307.5</f>
        <v>1406.5</v>
      </c>
      <c r="M79" s="16" t="s">
        <v>0</v>
      </c>
      <c r="N79" s="12">
        <v>0</v>
      </c>
      <c r="O79" s="43">
        <v>0</v>
      </c>
      <c r="P79" s="12">
        <f>1155.5+934.7+255.3</f>
        <v>2345.5</v>
      </c>
      <c r="Q79" s="12"/>
      <c r="R79" s="12">
        <f>+B79</f>
        <v>1666.9</v>
      </c>
      <c r="S79" s="46">
        <f>+(R79-T79)/ABS(T79)</f>
        <v>2.4525683512841758</v>
      </c>
      <c r="T79" s="12">
        <f>+D79</f>
        <v>482.8</v>
      </c>
      <c r="U79" s="12">
        <f>+D79+H79+L79+P79</f>
        <v>5710.4</v>
      </c>
    </row>
    <row r="80" spans="1:21" ht="16.5" thickBot="1">
      <c r="B80" s="76"/>
      <c r="C80" s="47" t="s">
        <v>0</v>
      </c>
      <c r="D80" s="76"/>
      <c r="E80" s="16" t="s">
        <v>0</v>
      </c>
      <c r="F80" s="76"/>
      <c r="G80" s="44" t="s">
        <v>0</v>
      </c>
      <c r="H80" s="76"/>
      <c r="I80" s="12"/>
      <c r="J80" s="76"/>
      <c r="K80" s="44" t="s">
        <v>0</v>
      </c>
      <c r="L80" s="76"/>
      <c r="M80" s="16" t="s">
        <v>0</v>
      </c>
      <c r="N80" s="76"/>
      <c r="O80" s="44" t="s">
        <v>0</v>
      </c>
      <c r="P80" s="76"/>
      <c r="Q80" s="12"/>
      <c r="R80" s="76"/>
      <c r="S80" s="46"/>
      <c r="T80" s="76"/>
      <c r="U80" s="76"/>
    </row>
    <row r="81" spans="1:21" s="2" customFormat="1">
      <c r="A81" s="2" t="s">
        <v>359</v>
      </c>
      <c r="B81" s="4">
        <f>+B77-B79</f>
        <v>3842.6000000000017</v>
      </c>
      <c r="C81" s="112">
        <f>+(B81-D81)/ABS(D81)</f>
        <v>2.0325941125404485</v>
      </c>
      <c r="D81" s="4">
        <f>+D77-D79</f>
        <v>1267.0999999999997</v>
      </c>
      <c r="E81" s="4" t="s">
        <v>0</v>
      </c>
      <c r="F81" s="4">
        <f>+F77-F79</f>
        <v>0</v>
      </c>
      <c r="G81" s="42">
        <v>0</v>
      </c>
      <c r="H81" s="4">
        <f>+H77-H79</f>
        <v>3209.099999999999</v>
      </c>
      <c r="I81" s="4"/>
      <c r="J81" s="4">
        <f>+J77-J79</f>
        <v>0</v>
      </c>
      <c r="K81" s="42">
        <v>0</v>
      </c>
      <c r="L81" s="4">
        <f>+L77-L79</f>
        <v>3058.7000000000007</v>
      </c>
      <c r="M81" s="4" t="s">
        <v>0</v>
      </c>
      <c r="N81" s="4">
        <f>+N77-N79</f>
        <v>0</v>
      </c>
      <c r="O81" s="42">
        <v>0</v>
      </c>
      <c r="P81" s="4">
        <f>+P77-P79</f>
        <v>5100.800000000002</v>
      </c>
      <c r="Q81" s="4"/>
      <c r="R81" s="4">
        <f>+R77-R79</f>
        <v>3842.6000000000017</v>
      </c>
      <c r="S81" s="112">
        <f>+(R81-T81)/ABS(T81)</f>
        <v>2.0325941125404485</v>
      </c>
      <c r="T81" s="4">
        <f>+T77-T79</f>
        <v>1267.0999999999997</v>
      </c>
      <c r="U81" s="4">
        <f>+U77-U79</f>
        <v>12635.700000000006</v>
      </c>
    </row>
    <row r="82" spans="1:21">
      <c r="E82" s="29"/>
      <c r="M82" s="29"/>
    </row>
    <row r="83" spans="1:21">
      <c r="E83" s="29"/>
      <c r="F83" s="29" t="s">
        <v>0</v>
      </c>
      <c r="M83" s="29"/>
    </row>
    <row r="84" spans="1:21">
      <c r="B84" s="33" t="s">
        <v>262</v>
      </c>
      <c r="D84" s="33" t="s">
        <v>262</v>
      </c>
      <c r="E84" s="29" t="s">
        <v>0</v>
      </c>
      <c r="F84" s="33" t="s">
        <v>262</v>
      </c>
      <c r="H84" s="33" t="s">
        <v>262</v>
      </c>
      <c r="M84" s="29" t="s">
        <v>0</v>
      </c>
      <c r="N84" s="29" t="s">
        <v>0</v>
      </c>
    </row>
    <row r="85" spans="1:21">
      <c r="B85" s="26" t="s">
        <v>353</v>
      </c>
      <c r="D85" s="26" t="s">
        <v>533</v>
      </c>
      <c r="F85" s="26" t="s">
        <v>534</v>
      </c>
      <c r="H85" s="26" t="s">
        <v>535</v>
      </c>
      <c r="M85" s="29" t="s">
        <v>0</v>
      </c>
    </row>
    <row r="86" spans="1:21">
      <c r="A86" t="s">
        <v>536</v>
      </c>
      <c r="B86" s="29" t="s">
        <v>0</v>
      </c>
      <c r="D86" s="29" t="s">
        <v>0</v>
      </c>
      <c r="F86" s="29" t="s">
        <v>0</v>
      </c>
      <c r="H86" s="29" t="s">
        <v>0</v>
      </c>
      <c r="M86" s="29" t="s">
        <v>0</v>
      </c>
    </row>
    <row r="87" spans="1:21">
      <c r="A87" t="s">
        <v>329</v>
      </c>
      <c r="B87" s="16" t="s">
        <v>0</v>
      </c>
    </row>
    <row r="88" spans="1:21">
      <c r="A88" t="s">
        <v>330</v>
      </c>
      <c r="B88" s="12">
        <f>+(4138415.09+3880178.05+4015133)/1000</f>
        <v>12033.726140000001</v>
      </c>
      <c r="D88" s="12">
        <v>0</v>
      </c>
      <c r="F88" s="12">
        <v>0</v>
      </c>
      <c r="H88" s="12">
        <v>0</v>
      </c>
    </row>
    <row r="89" spans="1:21" ht="18">
      <c r="A89" t="s">
        <v>537</v>
      </c>
      <c r="B89" s="6">
        <f>+(529762.61+549971.32+484343)/1000</f>
        <v>1564.0769299999999</v>
      </c>
      <c r="D89" s="6">
        <v>0</v>
      </c>
      <c r="F89" s="6">
        <v>0</v>
      </c>
      <c r="H89" s="6">
        <v>0</v>
      </c>
    </row>
    <row r="90" spans="1:21">
      <c r="B90" s="12">
        <f>SUM(B88:B89)</f>
        <v>13597.80307</v>
      </c>
      <c r="D90" s="12">
        <f>SUM(D88:D89)</f>
        <v>0</v>
      </c>
      <c r="F90" s="12">
        <f>SUM(F88:F89)</f>
        <v>0</v>
      </c>
      <c r="H90" s="12">
        <f>SUM(H88:H89)</f>
        <v>0</v>
      </c>
    </row>
    <row r="91" spans="1:21">
      <c r="A91" t="s">
        <v>333</v>
      </c>
      <c r="B91" s="12">
        <f>+(2257180.51+2224776.43+2159990)/1000</f>
        <v>6641.9469399999998</v>
      </c>
      <c r="D91" s="12">
        <v>0</v>
      </c>
      <c r="F91" s="12">
        <v>0</v>
      </c>
      <c r="H91" s="12">
        <v>0</v>
      </c>
    </row>
    <row r="92" spans="1:21">
      <c r="B92" s="12">
        <f>+B90-B91</f>
        <v>6955.8561300000001</v>
      </c>
      <c r="D92" s="12">
        <f>+D90-D91</f>
        <v>0</v>
      </c>
      <c r="F92" s="12">
        <f>+F90-F91</f>
        <v>0</v>
      </c>
      <c r="H92" s="12">
        <f>+H90-H91</f>
        <v>0</v>
      </c>
    </row>
    <row r="93" spans="1:21">
      <c r="B93" s="12"/>
      <c r="D93" s="12"/>
      <c r="F93" s="12"/>
      <c r="H93" s="12"/>
    </row>
    <row r="94" spans="1:21">
      <c r="A94" t="s">
        <v>334</v>
      </c>
      <c r="B94" s="12"/>
      <c r="D94" s="12"/>
      <c r="F94" s="12"/>
      <c r="H94" s="12"/>
    </row>
    <row r="95" spans="1:21">
      <c r="A95" t="s">
        <v>335</v>
      </c>
      <c r="B95" s="16">
        <f>+(133396.17+327701.36+211338)/1000</f>
        <v>672.43552999999997</v>
      </c>
      <c r="D95" s="16">
        <v>0</v>
      </c>
      <c r="F95" s="16">
        <v>0</v>
      </c>
      <c r="H95" s="16">
        <v>0</v>
      </c>
    </row>
    <row r="96" spans="1:21">
      <c r="A96" t="s">
        <v>336</v>
      </c>
      <c r="B96" s="12">
        <v>0</v>
      </c>
      <c r="D96" s="12">
        <v>0</v>
      </c>
      <c r="F96" s="12">
        <v>0</v>
      </c>
      <c r="H96" s="12">
        <v>0</v>
      </c>
    </row>
    <row r="97" spans="1:8">
      <c r="A97" t="s">
        <v>284</v>
      </c>
      <c r="B97" s="12">
        <f>+(144026.71-49501.16+154457)/1000</f>
        <v>248.98254999999997</v>
      </c>
      <c r="D97" s="12">
        <v>0</v>
      </c>
      <c r="F97" s="12">
        <v>0</v>
      </c>
      <c r="H97" s="12">
        <v>0</v>
      </c>
    </row>
    <row r="98" spans="1:8">
      <c r="B98" s="12">
        <f>SUM(B95:B97)</f>
        <v>921.41807999999992</v>
      </c>
      <c r="D98" s="12">
        <f>SUM(D95:D97)</f>
        <v>0</v>
      </c>
      <c r="F98" s="12">
        <f>SUM(F95:F97)</f>
        <v>0</v>
      </c>
      <c r="H98" s="12">
        <f>SUM(H95:H97)</f>
        <v>0</v>
      </c>
    </row>
    <row r="99" spans="1:8">
      <c r="B99" s="12"/>
      <c r="D99" s="12"/>
      <c r="F99" s="12"/>
      <c r="H99" s="12"/>
    </row>
    <row r="100" spans="1:8">
      <c r="A100" t="s">
        <v>337</v>
      </c>
      <c r="B100" s="12">
        <f>+B92+B98</f>
        <v>7877.2742099999996</v>
      </c>
      <c r="D100" s="12">
        <f>+D92+D98</f>
        <v>0</v>
      </c>
      <c r="F100" s="12">
        <f>+F92+F98</f>
        <v>0</v>
      </c>
      <c r="H100" s="12">
        <f>+H92+H98</f>
        <v>0</v>
      </c>
    </row>
    <row r="101" spans="1:8">
      <c r="B101" s="12"/>
      <c r="D101" s="12"/>
      <c r="F101" s="12"/>
      <c r="H101" s="12"/>
    </row>
    <row r="102" spans="1:8">
      <c r="A102" t="s">
        <v>538</v>
      </c>
      <c r="B102" s="12">
        <f>+(70200+70200+70200)/1000</f>
        <v>210.6</v>
      </c>
      <c r="D102" s="12">
        <v>0</v>
      </c>
      <c r="F102" s="12">
        <v>0</v>
      </c>
      <c r="H102" s="12">
        <v>0</v>
      </c>
    </row>
    <row r="103" spans="1:8">
      <c r="B103" s="12"/>
      <c r="D103" s="12"/>
      <c r="F103" s="12"/>
      <c r="H103" s="12"/>
    </row>
    <row r="104" spans="1:8">
      <c r="A104" t="s">
        <v>339</v>
      </c>
      <c r="B104" s="12"/>
      <c r="D104" s="12"/>
      <c r="F104" s="12"/>
      <c r="H104" s="12"/>
    </row>
    <row r="105" spans="1:8">
      <c r="A105" t="s">
        <v>340</v>
      </c>
      <c r="B105" s="12">
        <f>+B100-B102</f>
        <v>7666.6742099999992</v>
      </c>
      <c r="D105" s="12">
        <f>+D100-D102</f>
        <v>0</v>
      </c>
      <c r="F105" s="12">
        <f>+F100-F102</f>
        <v>0</v>
      </c>
      <c r="H105" s="12">
        <f>+H100-H102</f>
        <v>0</v>
      </c>
    </row>
    <row r="106" spans="1:8">
      <c r="B106" s="12"/>
      <c r="D106" s="12"/>
      <c r="F106" s="12"/>
      <c r="H106" s="12"/>
    </row>
    <row r="107" spans="1:8">
      <c r="A107" t="s">
        <v>341</v>
      </c>
      <c r="B107" s="12"/>
      <c r="D107" s="12"/>
      <c r="F107" s="12"/>
      <c r="H107" s="12"/>
    </row>
    <row r="108" spans="1:8">
      <c r="A108" t="s">
        <v>342</v>
      </c>
      <c r="B108" s="12">
        <f>+(874263.6+666313.94+662282)/1000</f>
        <v>2202.8595399999999</v>
      </c>
      <c r="D108" s="12">
        <v>0</v>
      </c>
      <c r="F108" s="12">
        <v>0</v>
      </c>
      <c r="H108" s="12">
        <v>0</v>
      </c>
    </row>
    <row r="109" spans="1:8">
      <c r="A109" t="s">
        <v>343</v>
      </c>
      <c r="B109" s="12">
        <f>+(137028.53+7872.27+176156)/1000</f>
        <v>321.05680000000001</v>
      </c>
      <c r="D109" s="12">
        <v>0</v>
      </c>
      <c r="F109" s="12">
        <v>0</v>
      </c>
      <c r="H109" s="12">
        <v>0</v>
      </c>
    </row>
    <row r="110" spans="1:8">
      <c r="A110" t="s">
        <v>344</v>
      </c>
      <c r="B110" s="12">
        <f>+(193833.06+186031.81+187591)/1000</f>
        <v>567.45587</v>
      </c>
      <c r="D110" s="12">
        <v>0</v>
      </c>
      <c r="F110" s="12">
        <v>0</v>
      </c>
      <c r="H110" s="12">
        <v>0</v>
      </c>
    </row>
    <row r="111" spans="1:8">
      <c r="A111" t="s">
        <v>345</v>
      </c>
      <c r="B111" s="12">
        <f>+(601159.29+676062.04+490836)/1000</f>
        <v>1768.0573300000001</v>
      </c>
      <c r="D111" s="12">
        <v>0</v>
      </c>
      <c r="F111" s="12">
        <v>0</v>
      </c>
      <c r="H111" s="12">
        <v>0</v>
      </c>
    </row>
    <row r="112" spans="1:8">
      <c r="B112" s="12">
        <f>SUM(B108:B111)</f>
        <v>4859.4295399999992</v>
      </c>
      <c r="D112" s="12">
        <f>SUM(D108:D111)</f>
        <v>0</v>
      </c>
      <c r="F112" s="12">
        <f>SUM(F108:F111)</f>
        <v>0</v>
      </c>
      <c r="H112" s="12">
        <f>SUM(H108:H111)</f>
        <v>0</v>
      </c>
    </row>
    <row r="113" spans="1:8">
      <c r="B113" s="12"/>
      <c r="D113" s="12"/>
      <c r="F113" s="12"/>
      <c r="H113" s="12"/>
    </row>
    <row r="114" spans="1:8">
      <c r="A114" t="s">
        <v>346</v>
      </c>
      <c r="B114" s="12">
        <f>+B105-B112</f>
        <v>2807.24467</v>
      </c>
      <c r="D114" s="12">
        <f>+D105-D112</f>
        <v>0</v>
      </c>
      <c r="F114" s="12">
        <f>+F105-F112</f>
        <v>0</v>
      </c>
      <c r="H114" s="12">
        <f>+H105-H112</f>
        <v>0</v>
      </c>
    </row>
    <row r="115" spans="1:8">
      <c r="B115" s="12"/>
      <c r="D115" s="12"/>
      <c r="F115" s="12"/>
      <c r="H115" s="12"/>
    </row>
    <row r="116" spans="1:8">
      <c r="A116" t="s">
        <v>347</v>
      </c>
      <c r="B116" s="12">
        <v>0</v>
      </c>
      <c r="D116" s="12">
        <v>0</v>
      </c>
      <c r="F116" s="12">
        <v>0</v>
      </c>
      <c r="H116" s="12">
        <v>0</v>
      </c>
    </row>
    <row r="117" spans="1:8">
      <c r="B117" s="12"/>
      <c r="D117" s="12"/>
      <c r="F117" s="12"/>
      <c r="H117" s="12"/>
    </row>
    <row r="118" spans="1:8">
      <c r="A118" t="s">
        <v>539</v>
      </c>
      <c r="B118" s="12">
        <f>+B114-B116</f>
        <v>2807.24467</v>
      </c>
      <c r="D118" s="12">
        <f>+D114-D116</f>
        <v>0</v>
      </c>
      <c r="F118" s="12">
        <f>+F114-F116</f>
        <v>0</v>
      </c>
      <c r="H118" s="12">
        <f>+H114-H116</f>
        <v>0</v>
      </c>
    </row>
    <row r="120" spans="1:8">
      <c r="B120" s="29" t="s">
        <v>0</v>
      </c>
    </row>
  </sheetData>
  <pageMargins left="0.2" right="0.21" top="0.39" bottom="0.41" header="0.31" footer="0.2"/>
  <pageSetup scale="44" orientation="landscape" r:id="rId1"/>
  <headerFooter alignWithMargins="0">
    <oddFooter>&amp;R&amp;16&amp;P</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sheetViews>
  <sheetFormatPr defaultRowHeight="15.75"/>
  <cols>
    <col min="1" max="1" width="50" customWidth="1"/>
    <col min="2" max="2" width="15.75" customWidth="1"/>
    <col min="3" max="3" width="11" customWidth="1"/>
    <col min="4" max="4" width="15.75" customWidth="1"/>
    <col min="5" max="5" width="11.25" customWidth="1"/>
    <col min="6" max="6" width="16" customWidth="1"/>
    <col min="7" max="7" width="11"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652</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556</v>
      </c>
      <c r="C8" s="114"/>
      <c r="D8" s="34"/>
      <c r="E8" s="2"/>
      <c r="F8" s="114" t="s">
        <v>206</v>
      </c>
      <c r="G8" s="114"/>
      <c r="H8" s="114"/>
      <c r="I8" s="114"/>
      <c r="J8" s="114"/>
      <c r="K8" s="114"/>
      <c r="L8" s="114"/>
    </row>
    <row r="9" spans="1:14" ht="16.5" thickBot="1">
      <c r="B9" s="226">
        <v>2000</v>
      </c>
      <c r="C9" s="226" t="s">
        <v>169</v>
      </c>
      <c r="D9" s="226">
        <v>1999</v>
      </c>
      <c r="E9" s="2"/>
      <c r="F9" s="226">
        <v>1999</v>
      </c>
      <c r="G9" s="226" t="s">
        <v>169</v>
      </c>
      <c r="H9" s="226">
        <v>1998</v>
      </c>
      <c r="I9" s="226" t="s">
        <v>169</v>
      </c>
      <c r="J9" s="226">
        <v>1997</v>
      </c>
      <c r="K9" s="226" t="s">
        <v>169</v>
      </c>
      <c r="L9" s="226">
        <v>1996</v>
      </c>
    </row>
    <row r="10" spans="1:14">
      <c r="A10" t="s">
        <v>328</v>
      </c>
    </row>
    <row r="11" spans="1:14">
      <c r="A11" t="s">
        <v>329</v>
      </c>
      <c r="B11" s="16" t="s">
        <v>0</v>
      </c>
      <c r="C11" s="47" t="s">
        <v>0</v>
      </c>
      <c r="D11" s="16" t="s">
        <v>0</v>
      </c>
      <c r="E11" s="44" t="s">
        <v>0</v>
      </c>
      <c r="F11" s="16" t="s">
        <v>0</v>
      </c>
      <c r="G11" s="47" t="s">
        <v>0</v>
      </c>
      <c r="M11" s="43"/>
      <c r="N11" s="43"/>
    </row>
    <row r="12" spans="1:14">
      <c r="A12" t="s">
        <v>330</v>
      </c>
      <c r="B12" s="12">
        <f>+'SGBELRÉSULT       '!R50</f>
        <v>14599.9</v>
      </c>
      <c r="C12" s="46">
        <f t="shared" ref="C12:C17" si="0">+(B12-D12)/D12</f>
        <v>6.2691977348492509E-2</v>
      </c>
      <c r="D12" s="12">
        <f>+'SGBELRÉSULT       '!T50</f>
        <v>13738.6</v>
      </c>
      <c r="E12" s="44"/>
      <c r="F12" s="12">
        <f>+'SGBELRÉSULT       '!U50</f>
        <v>58350.700000000004</v>
      </c>
      <c r="G12" s="46">
        <f t="shared" ref="G12:G17" si="1">+(F12-H12)/ABS(H12)</f>
        <v>0.10713357354143782</v>
      </c>
      <c r="H12" s="12">
        <v>52704.3</v>
      </c>
      <c r="I12" s="46">
        <f>+(H12-J12)/ABS(J12)</f>
        <v>0.2470140354530054</v>
      </c>
      <c r="J12" s="12">
        <v>42264.4</v>
      </c>
      <c r="K12" s="46">
        <f>+(J12-L12)/ABS(L12)</f>
        <v>0.24007253052913266</v>
      </c>
      <c r="L12" s="12">
        <v>34082.199999999997</v>
      </c>
      <c r="M12" s="43"/>
      <c r="N12" s="43"/>
    </row>
    <row r="13" spans="1:14">
      <c r="A13" t="s">
        <v>354</v>
      </c>
      <c r="B13" s="12">
        <f>+'SGBELRÉSULT       '!R51</f>
        <v>1369.2</v>
      </c>
      <c r="C13" s="46">
        <f t="shared" si="0"/>
        <v>-0.12900763358778622</v>
      </c>
      <c r="D13" s="12">
        <f>+'SGBELRÉSULT       '!T51</f>
        <v>1572</v>
      </c>
      <c r="E13" s="44"/>
      <c r="F13" s="12">
        <f>+'SGBELRÉSULT       '!U51</f>
        <v>4422</v>
      </c>
      <c r="G13" s="46">
        <f t="shared" si="1"/>
        <v>-0.25038142057975926</v>
      </c>
      <c r="H13" s="12">
        <v>5899</v>
      </c>
      <c r="I13" s="43">
        <v>0</v>
      </c>
      <c r="J13" s="12">
        <v>0</v>
      </c>
      <c r="K13" s="43">
        <v>0</v>
      </c>
      <c r="L13" s="12">
        <v>0</v>
      </c>
      <c r="M13" s="43"/>
      <c r="N13" s="43"/>
    </row>
    <row r="14" spans="1:14">
      <c r="A14" t="s">
        <v>332</v>
      </c>
      <c r="B14" s="221">
        <f>+'SGBELRÉSULT       '!R52</f>
        <v>216.1</v>
      </c>
      <c r="C14" s="46">
        <f t="shared" si="0"/>
        <v>-0.40697036223929745</v>
      </c>
      <c r="D14" s="240">
        <f>+'SGBELRÉSULT       '!T52</f>
        <v>364.4</v>
      </c>
      <c r="E14" s="44" t="s">
        <v>0</v>
      </c>
      <c r="F14" s="240">
        <f>+'SGBELRÉSULT       '!U52</f>
        <v>1399.6999999999998</v>
      </c>
      <c r="G14" s="46">
        <f t="shared" si="1"/>
        <v>-0.49376107634995847</v>
      </c>
      <c r="H14" s="240">
        <v>2764.9</v>
      </c>
      <c r="I14" s="46">
        <f>+(H14-J14)/ABS(J14)</f>
        <v>-0.51165707018969231</v>
      </c>
      <c r="J14" s="240">
        <v>5661.8</v>
      </c>
      <c r="K14" s="43">
        <v>0</v>
      </c>
      <c r="L14" s="240">
        <v>0</v>
      </c>
      <c r="M14" s="43"/>
      <c r="N14" s="43"/>
    </row>
    <row r="15" spans="1:14">
      <c r="B15" s="12">
        <f>SUM(B12:B14)</f>
        <v>16185.2</v>
      </c>
      <c r="C15" s="46">
        <f t="shared" si="0"/>
        <v>3.254864433811807E-2</v>
      </c>
      <c r="D15" s="12">
        <f>SUM(D12:D14)</f>
        <v>15675</v>
      </c>
      <c r="E15" s="44"/>
      <c r="F15" s="12">
        <f>SUM(F12:F14)</f>
        <v>64172.4</v>
      </c>
      <c r="G15" s="46">
        <f t="shared" si="1"/>
        <v>4.5694675744114982E-2</v>
      </c>
      <c r="H15" s="12">
        <f>SUM(H12:H14)</f>
        <v>61368.200000000004</v>
      </c>
      <c r="I15" s="46">
        <f>+(H15-J15)/ABS(J15)</f>
        <v>0.28047289374079309</v>
      </c>
      <c r="J15" s="12">
        <f>SUM(J12:J14)</f>
        <v>47926.200000000004</v>
      </c>
      <c r="K15" s="46">
        <f>+(J15-L15)/ABS(L15)</f>
        <v>0.40619443580520059</v>
      </c>
      <c r="L15" s="12">
        <f>SUM(L12:L14)</f>
        <v>34082.199999999997</v>
      </c>
      <c r="M15" s="43"/>
      <c r="N15" s="43"/>
    </row>
    <row r="16" spans="1:14">
      <c r="A16" t="s">
        <v>333</v>
      </c>
      <c r="B16" s="240">
        <f>+'SGBELRÉSULT       '!R54</f>
        <v>4949.8</v>
      </c>
      <c r="C16" s="46">
        <f t="shared" si="0"/>
        <v>-0.4671733209899136</v>
      </c>
      <c r="D16" s="240">
        <f>+'SGBELRÉSULT       '!T54</f>
        <v>9289.7000000000007</v>
      </c>
      <c r="E16" s="44" t="s">
        <v>0</v>
      </c>
      <c r="F16" s="240">
        <f>+'SGBELRÉSULT       '!U54</f>
        <v>24894.6</v>
      </c>
      <c r="G16" s="46">
        <f t="shared" si="1"/>
        <v>-0.21009144619524178</v>
      </c>
      <c r="H16" s="240">
        <v>31515.8</v>
      </c>
      <c r="I16" s="46">
        <f>+(H16-J16)/ABS(J16)</f>
        <v>0.32552437111216731</v>
      </c>
      <c r="J16" s="240">
        <v>23776.1</v>
      </c>
      <c r="K16" s="46">
        <f>+(J16-L16)/ABS(L16)</f>
        <v>0.34135003243914125</v>
      </c>
      <c r="L16" s="240">
        <v>17725.5</v>
      </c>
      <c r="M16" s="43"/>
      <c r="N16" s="43"/>
    </row>
    <row r="17" spans="1:14" s="209" customFormat="1">
      <c r="B17" s="16">
        <f>+B15-B16</f>
        <v>11235.400000000001</v>
      </c>
      <c r="C17" s="47">
        <f t="shared" si="0"/>
        <v>0.75957276870311541</v>
      </c>
      <c r="D17" s="16">
        <f>+D15-D16</f>
        <v>6385.2999999999993</v>
      </c>
      <c r="E17" s="44" t="s">
        <v>0</v>
      </c>
      <c r="F17" s="16">
        <f>+F15-F16</f>
        <v>39277.800000000003</v>
      </c>
      <c r="G17" s="46">
        <f t="shared" si="1"/>
        <v>0.31573340836917624</v>
      </c>
      <c r="H17" s="16">
        <f>+H15-H16</f>
        <v>29852.400000000005</v>
      </c>
      <c r="I17" s="46">
        <f>+(H17-J17)/ABS(J17)</f>
        <v>0.23611910509687323</v>
      </c>
      <c r="J17" s="16">
        <f>+J15-J16</f>
        <v>24150.100000000006</v>
      </c>
      <c r="K17" s="46">
        <f>+(J17-L17)/ABS(L17)</f>
        <v>0.47646530168065748</v>
      </c>
      <c r="L17" s="16">
        <f>+L12-L16</f>
        <v>16356.699999999997</v>
      </c>
      <c r="M17" s="44"/>
      <c r="N17" s="44"/>
    </row>
    <row r="18" spans="1:14">
      <c r="B18" s="12"/>
      <c r="C18" s="46"/>
      <c r="D18" s="12"/>
      <c r="E18" s="44"/>
      <c r="F18" s="12"/>
      <c r="G18" s="46"/>
      <c r="H18" s="12"/>
      <c r="I18" s="46"/>
      <c r="J18" s="12"/>
      <c r="K18" s="46"/>
      <c r="L18" s="12"/>
      <c r="M18" s="43"/>
      <c r="N18" s="43"/>
    </row>
    <row r="19" spans="1:14">
      <c r="A19" t="s">
        <v>334</v>
      </c>
      <c r="B19" s="12"/>
      <c r="C19" s="46"/>
      <c r="D19" s="12"/>
      <c r="E19" s="44" t="s">
        <v>0</v>
      </c>
      <c r="F19" s="12"/>
      <c r="G19" s="46"/>
      <c r="H19" s="12"/>
      <c r="I19" s="46"/>
      <c r="J19" s="12"/>
      <c r="K19" s="46"/>
      <c r="L19" s="12"/>
      <c r="M19" s="43"/>
      <c r="N19" s="43"/>
    </row>
    <row r="20" spans="1:14">
      <c r="A20" t="s">
        <v>335</v>
      </c>
      <c r="B20" s="12">
        <f>+'SGBELRÉSULT       '!R58</f>
        <v>748.4</v>
      </c>
      <c r="C20" s="46">
        <f>+(B20-D20)/D20</f>
        <v>-0.31889333818711318</v>
      </c>
      <c r="D20" s="12">
        <f>+'SGBELRÉSULT       '!T58</f>
        <v>1098.8</v>
      </c>
      <c r="E20" s="44" t="s">
        <v>0</v>
      </c>
      <c r="F20" s="12">
        <f>+'SGBELRÉSULT       '!U58</f>
        <v>3682.6000000000004</v>
      </c>
      <c r="G20" s="46">
        <f>+(F20-H20)/ABS(H20)</f>
        <v>0.42053695417373871</v>
      </c>
      <c r="H20" s="12">
        <v>2592.4</v>
      </c>
      <c r="I20" s="46">
        <f>+(H20-J20)/ABS(J20)</f>
        <v>0.53669235328986375</v>
      </c>
      <c r="J20" s="12">
        <v>1687</v>
      </c>
      <c r="K20" s="46">
        <f>+(J20-L20)/ABS(L20)</f>
        <v>-0.24138861408400042</v>
      </c>
      <c r="L20" s="12">
        <v>2223.8000000000002</v>
      </c>
      <c r="M20" s="43"/>
      <c r="N20" s="43"/>
    </row>
    <row r="21" spans="1:14">
      <c r="A21" t="s">
        <v>336</v>
      </c>
      <c r="B21" s="12">
        <f>+'SGBELRÉSULT       '!R59</f>
        <v>1638.2</v>
      </c>
      <c r="C21" s="46">
        <f>+(B21-D21)/D21</f>
        <v>1.4923170546173743</v>
      </c>
      <c r="D21" s="12">
        <f>+'SGBELRÉSULT       '!T59</f>
        <v>657.3</v>
      </c>
      <c r="E21" s="44" t="s">
        <v>0</v>
      </c>
      <c r="F21" s="12">
        <f>+'SGBELRÉSULT       '!U59</f>
        <v>2573.5</v>
      </c>
      <c r="G21" s="43">
        <v>0</v>
      </c>
      <c r="H21" s="12">
        <v>1183.5999999999999</v>
      </c>
      <c r="I21" s="43">
        <v>0</v>
      </c>
      <c r="J21" s="12">
        <v>0</v>
      </c>
      <c r="K21" s="43">
        <v>0</v>
      </c>
      <c r="L21" s="12">
        <v>0</v>
      </c>
      <c r="M21" s="43"/>
      <c r="N21" s="43"/>
    </row>
    <row r="22" spans="1:14">
      <c r="A22" t="s">
        <v>284</v>
      </c>
      <c r="B22" s="240">
        <f>+'SGBELRÉSULT       '!R60</f>
        <v>109.4</v>
      </c>
      <c r="C22" s="46">
        <f>+(B22-D22)/D22</f>
        <v>-1.7513736263736264</v>
      </c>
      <c r="D22" s="240">
        <f>+'SGBELRÉSULT       '!T60</f>
        <v>-145.6</v>
      </c>
      <c r="E22" s="44" t="s">
        <v>0</v>
      </c>
      <c r="F22" s="240">
        <f>+'SGBELRÉSULT       '!U60</f>
        <v>235.1</v>
      </c>
      <c r="G22" s="46">
        <f>+(F22-H22)/ABS(H22)</f>
        <v>-0.7026309132304579</v>
      </c>
      <c r="H22" s="240">
        <v>790.6</v>
      </c>
      <c r="I22" s="46">
        <f>+(H22-J22)/ABS(J22)</f>
        <v>-0.77703198149923858</v>
      </c>
      <c r="J22" s="240">
        <v>3545.8</v>
      </c>
      <c r="K22" s="46">
        <f>+(J22-L22)/ABS(L22)</f>
        <v>0.13338660700015989</v>
      </c>
      <c r="L22" s="240">
        <v>3128.5</v>
      </c>
      <c r="M22" s="43"/>
      <c r="N22" s="43"/>
    </row>
    <row r="23" spans="1:14" s="209" customFormat="1">
      <c r="B23" s="16">
        <f>SUM(B20:B22)</f>
        <v>2496</v>
      </c>
      <c r="C23" s="47">
        <f>+(B23-D23)/D23</f>
        <v>0.54982924557590807</v>
      </c>
      <c r="D23" s="16">
        <f>SUM(D20:D22)</f>
        <v>1610.5</v>
      </c>
      <c r="E23" s="44" t="s">
        <v>0</v>
      </c>
      <c r="F23" s="16">
        <f>SUM(F20:F22)</f>
        <v>6491.2000000000007</v>
      </c>
      <c r="G23" s="46">
        <f>+(F23-H23)/ABS(H23)</f>
        <v>0.42145140804975262</v>
      </c>
      <c r="H23" s="16">
        <f>SUM(H20:H22)</f>
        <v>4566.6000000000004</v>
      </c>
      <c r="I23" s="46">
        <f>+(H23-J23)/ABS(J23)</f>
        <v>-0.1273123375630637</v>
      </c>
      <c r="J23" s="16">
        <f>SUM(J20:J22)</f>
        <v>5232.8</v>
      </c>
      <c r="K23" s="46">
        <f>+(J23-L23)/ABS(L23)</f>
        <v>-2.2326850139192497E-2</v>
      </c>
      <c r="L23" s="16">
        <f>SUM(L20:L22)</f>
        <v>5352.3</v>
      </c>
      <c r="M23" s="44"/>
      <c r="N23" s="44"/>
    </row>
    <row r="24" spans="1:14">
      <c r="B24" s="240"/>
      <c r="C24" s="46"/>
      <c r="D24" s="240"/>
      <c r="E24" s="44"/>
      <c r="F24" s="240"/>
      <c r="G24" s="46"/>
      <c r="H24" s="240"/>
      <c r="I24" s="46"/>
      <c r="J24" s="240"/>
      <c r="K24" s="46"/>
      <c r="L24" s="240"/>
      <c r="M24" s="43"/>
      <c r="N24" s="43"/>
    </row>
    <row r="25" spans="1:14" s="209" customFormat="1">
      <c r="A25" s="209" t="s">
        <v>337</v>
      </c>
      <c r="B25" s="16">
        <f>+B17+B23</f>
        <v>13731.400000000001</v>
      </c>
      <c r="C25" s="47">
        <f>+(B25-D25)/D25</f>
        <v>0.71732659646314345</v>
      </c>
      <c r="D25" s="16">
        <f>+D17+D23</f>
        <v>7995.7999999999993</v>
      </c>
      <c r="E25" s="44" t="s">
        <v>0</v>
      </c>
      <c r="F25" s="16">
        <f>+F17+F23</f>
        <v>45769</v>
      </c>
      <c r="G25" s="46">
        <f>+(F25-H25)/ABS(H25)</f>
        <v>0.32975972573287982</v>
      </c>
      <c r="H25" s="16">
        <f>+H17+H23</f>
        <v>34419.000000000007</v>
      </c>
      <c r="I25" s="46">
        <f>+(H25-J25)/ABS(J25)</f>
        <v>0.17139560764934711</v>
      </c>
      <c r="J25" s="16">
        <f>+J17+J23</f>
        <v>29382.900000000005</v>
      </c>
      <c r="K25" s="46">
        <f>+(J25-L25)/ABS(L25)</f>
        <v>0.35348933622000139</v>
      </c>
      <c r="L25" s="16">
        <f>+L17+L23</f>
        <v>21708.999999999996</v>
      </c>
      <c r="M25" s="44"/>
      <c r="N25" s="44"/>
    </row>
    <row r="26" spans="1:14">
      <c r="B26" s="12"/>
      <c r="C26" s="46"/>
      <c r="D26" s="12"/>
      <c r="E26" s="44" t="s">
        <v>0</v>
      </c>
      <c r="F26" s="12"/>
      <c r="G26" s="46"/>
      <c r="H26" s="12"/>
      <c r="I26" s="46"/>
      <c r="J26" s="12"/>
      <c r="K26" s="46"/>
      <c r="L26" s="12"/>
      <c r="M26" s="43"/>
      <c r="N26" s="43"/>
    </row>
    <row r="27" spans="1:14">
      <c r="A27" t="s">
        <v>338</v>
      </c>
      <c r="B27" s="12">
        <f>+'SGBELRÉSULT       '!R65</f>
        <v>1278.4000000000001</v>
      </c>
      <c r="C27" s="46">
        <f>+(B27-D27)/D27</f>
        <v>3.2613333333333334</v>
      </c>
      <c r="D27" s="12">
        <f>+'SGBELRÉSULT       '!T65</f>
        <v>300</v>
      </c>
      <c r="E27" s="44" t="s">
        <v>0</v>
      </c>
      <c r="F27" s="12">
        <f>+'SGBELRÉSULT       '!U65</f>
        <v>3804.2000000000003</v>
      </c>
      <c r="G27" s="46">
        <f>+(F27-H27)/ABS(H27)</f>
        <v>3.5159069325735994</v>
      </c>
      <c r="H27" s="12">
        <v>842.4</v>
      </c>
      <c r="I27" s="46">
        <f>+(H27-J27)/ABS(J27)</f>
        <v>0.18049327354260084</v>
      </c>
      <c r="J27" s="12">
        <v>713.6</v>
      </c>
      <c r="K27" s="46">
        <f>+(J27-L27)/ABS(L27)</f>
        <v>0.18145695364238415</v>
      </c>
      <c r="L27" s="12">
        <v>604</v>
      </c>
      <c r="M27" s="43"/>
      <c r="N27" s="43"/>
    </row>
    <row r="28" spans="1:14">
      <c r="B28" s="12"/>
      <c r="C28" s="46"/>
      <c r="D28" s="12"/>
      <c r="E28" s="44" t="s">
        <v>0</v>
      </c>
      <c r="F28" s="12"/>
      <c r="G28" s="46"/>
      <c r="H28" s="12"/>
      <c r="I28" s="46"/>
      <c r="J28" s="12"/>
      <c r="K28" s="46"/>
      <c r="L28" s="12"/>
      <c r="M28" s="43"/>
      <c r="N28" s="43"/>
    </row>
    <row r="29" spans="1:14">
      <c r="A29" t="s">
        <v>339</v>
      </c>
      <c r="B29" s="240"/>
      <c r="C29" s="46"/>
      <c r="D29" s="240"/>
      <c r="E29" s="44" t="s">
        <v>0</v>
      </c>
      <c r="F29" s="240"/>
      <c r="G29" s="46"/>
      <c r="H29" s="240"/>
      <c r="I29" s="46"/>
      <c r="J29" s="240"/>
      <c r="K29" s="46"/>
      <c r="L29" s="240"/>
      <c r="M29" s="43"/>
      <c r="N29" s="43"/>
    </row>
    <row r="30" spans="1:14" s="209" customFormat="1">
      <c r="A30" s="209" t="s">
        <v>340</v>
      </c>
      <c r="B30" s="16">
        <f>+B25-B27</f>
        <v>12453.000000000002</v>
      </c>
      <c r="C30" s="47">
        <f>+(B30-D30)/D30</f>
        <v>0.61815535746771</v>
      </c>
      <c r="D30" s="16">
        <f>+D25-D27</f>
        <v>7695.7999999999993</v>
      </c>
      <c r="E30" s="44" t="s">
        <v>0</v>
      </c>
      <c r="F30" s="16">
        <f>+F25-F27</f>
        <v>41964.800000000003</v>
      </c>
      <c r="G30" s="46">
        <f>+(F30-H30)/ABS(H30)</f>
        <v>0.24982279325482615</v>
      </c>
      <c r="H30" s="16">
        <f>+H25-H27</f>
        <v>33576.600000000006</v>
      </c>
      <c r="I30" s="46">
        <f>+(H30-J30)/ABS(J30)</f>
        <v>0.17116916004227511</v>
      </c>
      <c r="J30" s="16">
        <f>+J25-J27</f>
        <v>28669.300000000007</v>
      </c>
      <c r="K30" s="46">
        <f>+(J30-L30)/ABS(L30)</f>
        <v>0.35841269841269896</v>
      </c>
      <c r="L30" s="16">
        <f>+L25-L27</f>
        <v>21104.999999999996</v>
      </c>
      <c r="M30" s="44"/>
      <c r="N30" s="44"/>
    </row>
    <row r="31" spans="1:14">
      <c r="B31" s="12"/>
      <c r="C31" s="46"/>
      <c r="D31" s="12"/>
      <c r="E31" s="44" t="s">
        <v>0</v>
      </c>
      <c r="F31" s="12"/>
      <c r="G31" s="46"/>
      <c r="H31" s="12"/>
      <c r="I31" s="46"/>
      <c r="J31" s="12"/>
      <c r="K31" s="46"/>
      <c r="L31" s="12"/>
      <c r="M31" s="43"/>
      <c r="N31" s="43"/>
    </row>
    <row r="32" spans="1:14">
      <c r="A32" t="s">
        <v>341</v>
      </c>
      <c r="B32" s="12"/>
      <c r="C32" s="46"/>
      <c r="D32" s="12"/>
      <c r="E32" s="44" t="s">
        <v>0</v>
      </c>
      <c r="F32" s="12"/>
      <c r="G32" s="46"/>
      <c r="H32" s="12"/>
      <c r="I32" s="46"/>
      <c r="J32" s="12"/>
      <c r="K32" s="46"/>
      <c r="L32" s="12"/>
      <c r="M32" s="43"/>
      <c r="N32" s="43"/>
    </row>
    <row r="33" spans="1:14">
      <c r="A33" t="s">
        <v>342</v>
      </c>
      <c r="B33" s="12">
        <f>+'SGBELRÉSULT       '!R71</f>
        <v>3282.2</v>
      </c>
      <c r="C33" s="46">
        <f>+(B33-D33)/D33</f>
        <v>0.4407620385408893</v>
      </c>
      <c r="D33" s="12">
        <f>+'SGBELRÉSULT       '!T71</f>
        <v>2278.1</v>
      </c>
      <c r="E33" s="44" t="s">
        <v>0</v>
      </c>
      <c r="F33" s="12">
        <f>+'SGBELRÉSULT       '!U71</f>
        <v>10182.099999999999</v>
      </c>
      <c r="G33" s="46">
        <f>+(F33-H33)/ABS(H33)</f>
        <v>0.22448709623108917</v>
      </c>
      <c r="H33" s="12">
        <v>8315.4</v>
      </c>
      <c r="I33" s="46">
        <f>+(H33-J33)/ABS(J33)</f>
        <v>0.10108580508474571</v>
      </c>
      <c r="J33" s="12">
        <v>7552</v>
      </c>
      <c r="K33" s="46">
        <f>+(J33-L33)/ABS(L33)</f>
        <v>0.34650358378204893</v>
      </c>
      <c r="L33" s="12">
        <v>5608.6</v>
      </c>
      <c r="M33" s="43"/>
      <c r="N33" s="43"/>
    </row>
    <row r="34" spans="1:14">
      <c r="A34" t="s">
        <v>343</v>
      </c>
      <c r="B34" s="12">
        <f>+'SGBELRÉSULT       '!R72</f>
        <v>702.3</v>
      </c>
      <c r="C34" s="46">
        <f>+(B34-D34)/D34</f>
        <v>-9.3221433182698571E-2</v>
      </c>
      <c r="D34" s="12">
        <f>+'SGBELRÉSULT       '!T72</f>
        <v>774.5</v>
      </c>
      <c r="E34" s="44" t="s">
        <v>0</v>
      </c>
      <c r="F34" s="12">
        <f>+'SGBELRÉSULT       '!U72</f>
        <v>2860.5</v>
      </c>
      <c r="G34" s="46">
        <f>+(F34-H34)/ABS(H34)</f>
        <v>0.2411055189170426</v>
      </c>
      <c r="H34" s="12">
        <v>2304.8000000000002</v>
      </c>
      <c r="I34" s="46">
        <f>+(H34-J34)/ABS(J34)</f>
        <v>1.1528115075658514</v>
      </c>
      <c r="J34" s="12">
        <v>1070.5999999999999</v>
      </c>
      <c r="K34" s="46">
        <f>+(J34-L34)/ABS(L34)</f>
        <v>5.8191082802547767</v>
      </c>
      <c r="L34" s="12">
        <v>157</v>
      </c>
      <c r="M34" s="43"/>
      <c r="N34" s="43"/>
    </row>
    <row r="35" spans="1:14">
      <c r="A35" t="s">
        <v>344</v>
      </c>
      <c r="B35" s="12">
        <f>+'SGBELRÉSULT       '!R73</f>
        <v>556.20000000000005</v>
      </c>
      <c r="C35" s="46">
        <f>+(B35-D35)/D35</f>
        <v>4.2549203373945729E-2</v>
      </c>
      <c r="D35" s="12">
        <f>+'SGBELRÉSULT       '!T73</f>
        <v>533.5</v>
      </c>
      <c r="E35" s="44" t="s">
        <v>0</v>
      </c>
      <c r="F35" s="12">
        <f>+'SGBELRÉSULT       '!U73</f>
        <v>2242.8000000000002</v>
      </c>
      <c r="G35" s="46">
        <f>+(F35-H35)/ABS(H35)</f>
        <v>-6.245297215951829E-2</v>
      </c>
      <c r="H35" s="12">
        <v>2392.1999999999998</v>
      </c>
      <c r="I35" s="46">
        <f>+(H35-J35)/ABS(J35)</f>
        <v>9.3927199561002206E-2</v>
      </c>
      <c r="J35" s="12">
        <v>2186.8000000000002</v>
      </c>
      <c r="K35" s="46">
        <f>+(J35-L35)/ABS(L35)</f>
        <v>-5.6315539636646095E-2</v>
      </c>
      <c r="L35" s="12">
        <v>2317.3000000000002</v>
      </c>
      <c r="M35" s="43"/>
      <c r="N35" s="43"/>
    </row>
    <row r="36" spans="1:14">
      <c r="A36" t="s">
        <v>345</v>
      </c>
      <c r="B36" s="240">
        <f>+'SGBELRÉSULT       '!R74</f>
        <v>2402.8000000000002</v>
      </c>
      <c r="C36" s="46">
        <f>+(B36-D36)/D36</f>
        <v>1.8221883210441759E-2</v>
      </c>
      <c r="D36" s="240">
        <f>+'SGBELRÉSULT       '!T74</f>
        <v>2359.7999999999997</v>
      </c>
      <c r="E36" s="44" t="s">
        <v>0</v>
      </c>
      <c r="F36" s="240">
        <f>+'SGBELRÉSULT       '!U74</f>
        <v>8333.2999999999993</v>
      </c>
      <c r="G36" s="46">
        <f>+(F36-H36)/ABS(H36)</f>
        <v>5.9461452400325326E-2</v>
      </c>
      <c r="H36" s="240">
        <v>7865.6</v>
      </c>
      <c r="I36" s="46">
        <f>+(H36-J36)/ABS(J36)</f>
        <v>-2.874641904573734E-2</v>
      </c>
      <c r="J36" s="240">
        <v>8098.4</v>
      </c>
      <c r="K36" s="46">
        <f>+(J36-L36)/ABS(L36)</f>
        <v>-3.6730421543439085E-2</v>
      </c>
      <c r="L36" s="240">
        <v>8407.2000000000007</v>
      </c>
      <c r="M36" s="43"/>
      <c r="N36" s="43"/>
    </row>
    <row r="37" spans="1:14" s="209" customFormat="1">
      <c r="B37" s="16">
        <f>SUM(B33:B36)</f>
        <v>6943.5</v>
      </c>
      <c r="C37" s="47">
        <f>+(B37-D37)/D37</f>
        <v>0.16777947829596873</v>
      </c>
      <c r="D37" s="16">
        <f>SUM(D33:D36)</f>
        <v>5945.9</v>
      </c>
      <c r="E37" s="44" t="s">
        <v>0</v>
      </c>
      <c r="F37" s="16">
        <f>SUM(F33:F36)</f>
        <v>23618.699999999997</v>
      </c>
      <c r="G37" s="46">
        <f>+(F37-H37)/ABS(H37)</f>
        <v>0.13127215250502908</v>
      </c>
      <c r="H37" s="16">
        <f>SUM(H33:H36)</f>
        <v>20878</v>
      </c>
      <c r="I37" s="46">
        <f>+(H37-J37)/ABS(J37)</f>
        <v>0.10420038291075624</v>
      </c>
      <c r="J37" s="16">
        <f>SUM(J33:J36)</f>
        <v>18907.800000000003</v>
      </c>
      <c r="K37" s="46">
        <f>+(J37-L37)/ABS(L37)</f>
        <v>0.14661524187239619</v>
      </c>
      <c r="L37" s="16">
        <f>SUM(L33:L36)</f>
        <v>16490.100000000002</v>
      </c>
      <c r="M37" s="44"/>
      <c r="N37" s="44"/>
    </row>
    <row r="38" spans="1:14">
      <c r="B38" s="249"/>
      <c r="C38" s="112"/>
      <c r="D38" s="249"/>
      <c r="E38" s="42"/>
      <c r="F38" s="249"/>
      <c r="G38" s="112"/>
      <c r="H38" s="249"/>
      <c r="I38" s="112"/>
      <c r="J38" s="249"/>
      <c r="K38" s="112"/>
      <c r="L38" s="249"/>
      <c r="M38" s="43"/>
      <c r="N38" s="43"/>
    </row>
    <row r="39" spans="1:14" s="209" customFormat="1">
      <c r="A39" s="209" t="s">
        <v>346</v>
      </c>
      <c r="B39" s="16">
        <f>+B30-B37</f>
        <v>5509.5000000000018</v>
      </c>
      <c r="C39" s="47">
        <f>+(B39-D39)/D39</f>
        <v>2.1484656266072366</v>
      </c>
      <c r="D39" s="16">
        <f>+D30-D37</f>
        <v>1749.8999999999996</v>
      </c>
      <c r="E39" s="44" t="s">
        <v>0</v>
      </c>
      <c r="F39" s="16">
        <f>+F30-F37</f>
        <v>18346.100000000006</v>
      </c>
      <c r="G39" s="46">
        <f>+(F39-H39)/ABS(H39)</f>
        <v>0.4447340651725385</v>
      </c>
      <c r="H39" s="16">
        <f>+H30-H37</f>
        <v>12698.600000000006</v>
      </c>
      <c r="I39" s="46">
        <f>+(H39-J39)/ABS(J39)</f>
        <v>0.30088613430312977</v>
      </c>
      <c r="J39" s="16">
        <f>+J30-J37</f>
        <v>9761.5000000000036</v>
      </c>
      <c r="K39" s="46">
        <f>+(J39-L39)/ABS(L39)</f>
        <v>1.1152137641119018</v>
      </c>
      <c r="L39" s="16">
        <f>+L30-L37</f>
        <v>4614.8999999999942</v>
      </c>
      <c r="M39" s="44"/>
      <c r="N39" s="44"/>
    </row>
    <row r="40" spans="1:14">
      <c r="B40" s="12"/>
      <c r="C40" s="46"/>
      <c r="D40" s="12"/>
      <c r="E40" s="44" t="s">
        <v>0</v>
      </c>
      <c r="F40" s="12"/>
      <c r="G40" s="46"/>
      <c r="H40" s="12"/>
      <c r="I40" s="46"/>
      <c r="J40" s="12"/>
      <c r="K40" s="46"/>
      <c r="L40" s="12"/>
      <c r="M40" s="43"/>
      <c r="N40" s="43"/>
    </row>
    <row r="41" spans="1:14">
      <c r="A41" t="s">
        <v>347</v>
      </c>
      <c r="B41" s="12">
        <f>+'SGBELRÉSULT       '!R79</f>
        <v>1666.9</v>
      </c>
      <c r="C41" s="46">
        <f>+(B41-D41)/D41</f>
        <v>2.4525683512841758</v>
      </c>
      <c r="D41" s="12">
        <f>+'SGBELRÉSULT       '!T79</f>
        <v>482.8</v>
      </c>
      <c r="E41" s="44" t="s">
        <v>0</v>
      </c>
      <c r="F41" s="12">
        <f>+'SGBELRÉSULT       '!U79</f>
        <v>5710.4</v>
      </c>
      <c r="G41" s="46">
        <f>+(F41-H41)/ABS(H41)</f>
        <v>0.91444280541772804</v>
      </c>
      <c r="H41" s="12">
        <v>2982.8</v>
      </c>
      <c r="I41" s="46">
        <f>+(H41-J41)/ABS(J41)</f>
        <v>40.19889502762431</v>
      </c>
      <c r="J41" s="12">
        <v>72.400000000000006</v>
      </c>
      <c r="K41" s="43">
        <v>0</v>
      </c>
      <c r="L41" s="12">
        <v>0</v>
      </c>
      <c r="M41" s="43"/>
      <c r="N41" s="43"/>
    </row>
    <row r="42" spans="1:14" ht="16.5" thickBot="1">
      <c r="B42" s="76"/>
      <c r="C42" s="46"/>
      <c r="D42" s="76"/>
      <c r="E42" s="44" t="s">
        <v>0</v>
      </c>
      <c r="F42" s="76"/>
      <c r="G42" s="46"/>
      <c r="H42" s="76"/>
      <c r="I42" s="46"/>
      <c r="J42" s="76"/>
      <c r="K42" s="46"/>
      <c r="L42" s="76"/>
      <c r="M42" s="43"/>
      <c r="N42" s="43"/>
    </row>
    <row r="43" spans="1:14">
      <c r="A43" s="2" t="s">
        <v>359</v>
      </c>
      <c r="B43" s="4">
        <f>+B39-B41</f>
        <v>3842.6000000000017</v>
      </c>
      <c r="C43" s="112">
        <f>+(B43-D43)/D43</f>
        <v>2.0325941125404485</v>
      </c>
      <c r="D43" s="4">
        <f>+D39-D41</f>
        <v>1267.0999999999997</v>
      </c>
      <c r="E43" s="42" t="s">
        <v>0</v>
      </c>
      <c r="F43" s="4">
        <f>+F39-F41</f>
        <v>12635.700000000006</v>
      </c>
      <c r="G43" s="112">
        <f>+(F43-H43)/ABS(H43)</f>
        <v>0.30053109368245512</v>
      </c>
      <c r="H43" s="4">
        <f>+H39-H41</f>
        <v>9715.8000000000065</v>
      </c>
      <c r="I43" s="112">
        <f>+(H43-J43)/ABS(J43)</f>
        <v>2.7556739016010297E-3</v>
      </c>
      <c r="J43" s="4">
        <f>+J39-J41</f>
        <v>9689.100000000004</v>
      </c>
      <c r="K43" s="112">
        <f>+(J43-L43)/ABS(L43)</f>
        <v>1.0995254501722715</v>
      </c>
      <c r="L43" s="4">
        <f>+L39-L41</f>
        <v>4614.8999999999942</v>
      </c>
      <c r="M43" s="43"/>
      <c r="N43" s="43"/>
    </row>
    <row r="44" spans="1:14">
      <c r="E44" t="s">
        <v>0</v>
      </c>
    </row>
    <row r="45" spans="1:14">
      <c r="E45" t="s">
        <v>0</v>
      </c>
    </row>
  </sheetData>
  <pageMargins left="0.31" right="0.25" top="0.68" bottom="0.62" header="0.43" footer="0.36"/>
  <pageSetup scale="62" orientation="landscape" r:id="rId1"/>
  <headerFooter alignWithMargins="0">
    <oddFooter>&amp;R&amp;P</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77"/>
  <sheetViews>
    <sheetView workbookViewId="0">
      <selection activeCell="C18" sqref="C18"/>
    </sheetView>
  </sheetViews>
  <sheetFormatPr defaultRowHeight="15.75"/>
  <cols>
    <col min="1" max="1" width="33.5" customWidth="1"/>
    <col min="2" max="2" width="14.875" customWidth="1"/>
    <col min="3" max="3" width="12.75" customWidth="1"/>
    <col min="4" max="4" width="13.875" customWidth="1"/>
    <col min="5" max="5" width="14.625" customWidth="1"/>
    <col min="6" max="6" width="14.75" customWidth="1"/>
    <col min="7" max="7" width="11" customWidth="1"/>
    <col min="8" max="8" width="14.75" customWidth="1"/>
    <col min="9" max="9" width="13" customWidth="1"/>
    <col min="10" max="10" width="13.75" customWidth="1"/>
    <col min="11" max="11" width="13.25" customWidth="1"/>
    <col min="12" max="12" width="14.5" customWidth="1"/>
    <col min="13" max="13" width="8.75" customWidth="1"/>
    <col min="14" max="14" width="14.25" customWidth="1"/>
    <col min="15" max="15" width="13.75" customWidth="1"/>
    <col min="16" max="16" width="15.125" customWidth="1"/>
    <col min="17" max="17" width="11" customWidth="1"/>
    <col min="18" max="18" width="15.875" customWidth="1"/>
    <col min="19" max="19" width="11" customWidth="1"/>
    <col min="20" max="20" width="15.875" customWidth="1"/>
    <col min="21" max="256" width="11" customWidth="1"/>
  </cols>
  <sheetData>
    <row r="1" spans="1:27">
      <c r="A1" s="114" t="s">
        <v>653</v>
      </c>
      <c r="B1" s="34"/>
      <c r="C1" s="34"/>
      <c r="D1" s="34"/>
      <c r="E1" s="34"/>
      <c r="F1" s="34"/>
      <c r="G1" s="34"/>
      <c r="H1" s="34"/>
      <c r="I1" s="34"/>
      <c r="J1" s="34"/>
      <c r="K1" s="34"/>
      <c r="L1" s="34"/>
      <c r="M1" s="34"/>
      <c r="N1" s="34"/>
      <c r="O1" s="34"/>
      <c r="P1" s="34"/>
      <c r="Q1" s="34"/>
      <c r="R1" s="34"/>
      <c r="S1" s="34"/>
      <c r="T1" s="34"/>
    </row>
    <row r="2" spans="1:27">
      <c r="A2" s="114" t="s">
        <v>165</v>
      </c>
      <c r="B2" s="34"/>
      <c r="C2" s="34"/>
      <c r="D2" s="34"/>
      <c r="E2" s="34"/>
      <c r="F2" s="34"/>
      <c r="G2" s="34"/>
      <c r="H2" s="34"/>
      <c r="I2" s="34"/>
      <c r="J2" s="34"/>
      <c r="K2" s="34"/>
      <c r="L2" s="34"/>
      <c r="M2" s="34"/>
      <c r="N2" s="34"/>
      <c r="O2" s="34"/>
      <c r="P2" s="34"/>
      <c r="Q2" s="34"/>
      <c r="R2" s="34"/>
      <c r="S2" s="34"/>
      <c r="T2" s="34"/>
    </row>
    <row r="4" spans="1:27" ht="16.5" thickBot="1">
      <c r="I4" s="18" t="s">
        <v>654</v>
      </c>
      <c r="J4" s="175" t="s">
        <v>167</v>
      </c>
      <c r="K4" s="176"/>
      <c r="L4" s="176"/>
      <c r="M4" s="176"/>
      <c r="N4" s="176"/>
      <c r="O4" s="176"/>
      <c r="P4" s="176"/>
    </row>
    <row r="5" spans="1:27" ht="16.5" thickBot="1">
      <c r="B5" s="174" t="s">
        <v>168</v>
      </c>
      <c r="C5" s="174" t="s">
        <v>169</v>
      </c>
      <c r="D5" s="173" t="s">
        <v>170</v>
      </c>
      <c r="E5" s="174" t="s">
        <v>169</v>
      </c>
      <c r="F5" s="173" t="s">
        <v>171</v>
      </c>
      <c r="G5" s="174" t="s">
        <v>169</v>
      </c>
      <c r="H5" s="174" t="s">
        <v>172</v>
      </c>
      <c r="I5" s="173" t="s">
        <v>568</v>
      </c>
      <c r="J5" s="173" t="s">
        <v>174</v>
      </c>
      <c r="K5" s="174" t="s">
        <v>169</v>
      </c>
      <c r="L5" s="173" t="s">
        <v>175</v>
      </c>
      <c r="M5" s="174" t="s">
        <v>169</v>
      </c>
      <c r="N5" s="173" t="s">
        <v>176</v>
      </c>
      <c r="O5" s="174" t="s">
        <v>169</v>
      </c>
      <c r="P5" s="173" t="s">
        <v>177</v>
      </c>
    </row>
    <row r="6" spans="1:27">
      <c r="B6" s="18"/>
      <c r="D6" s="18"/>
      <c r="F6" s="18"/>
      <c r="H6" s="18"/>
      <c r="J6" s="48"/>
      <c r="L6" s="48"/>
      <c r="N6" s="48"/>
      <c r="P6" s="48"/>
    </row>
    <row r="7" spans="1:27">
      <c r="A7" s="2" t="s">
        <v>178</v>
      </c>
    </row>
    <row r="8" spans="1:27">
      <c r="A8" s="2" t="s">
        <v>179</v>
      </c>
    </row>
    <row r="10" spans="1:27">
      <c r="A10" s="2" t="s">
        <v>48</v>
      </c>
    </row>
    <row r="11" spans="1:27">
      <c r="A11" t="s">
        <v>180</v>
      </c>
      <c r="B11" s="12">
        <f>+unibkvar!B22</f>
        <v>3742086.6999999997</v>
      </c>
      <c r="C11" s="43">
        <v>0</v>
      </c>
      <c r="D11" s="12">
        <f>+unibkvar!D22</f>
        <v>0</v>
      </c>
      <c r="E11" s="43">
        <v>0</v>
      </c>
      <c r="F11" s="12">
        <f>+unibkvar!F22</f>
        <v>0</v>
      </c>
      <c r="G11" s="43">
        <v>0</v>
      </c>
      <c r="H11" s="12">
        <f>+unibkvar!H22</f>
        <v>0</v>
      </c>
      <c r="I11" s="46">
        <f>+(-J11+B11)/ABS(J11)</f>
        <v>0.10033661228203009</v>
      </c>
      <c r="J11" s="12">
        <f>+unibkvar!J22</f>
        <v>3400856.3000000003</v>
      </c>
      <c r="K11" s="46">
        <f>+(-L11+J11)/ABS(L11)</f>
        <v>0.19372869664977016</v>
      </c>
      <c r="L11" s="12">
        <f>+unibkvar!L22</f>
        <v>2848935.6999999997</v>
      </c>
      <c r="M11" s="46">
        <f>+(-N11+L11)/ABS(N11)</f>
        <v>0.25524904434354312</v>
      </c>
      <c r="N11" s="12">
        <f>+unibkvar!N22</f>
        <v>2269617.9000000004</v>
      </c>
      <c r="O11" s="46">
        <f>+(-P11+N11)/ABS(P11)</f>
        <v>0.30335620318200823</v>
      </c>
      <c r="P11" s="12">
        <f>+unibkvar!P22</f>
        <v>1741364.2521199998</v>
      </c>
      <c r="Q11" s="43"/>
      <c r="R11" s="43"/>
      <c r="S11" s="43"/>
      <c r="T11" s="43"/>
      <c r="U11" s="43"/>
      <c r="V11" s="43"/>
      <c r="W11" s="43"/>
      <c r="X11" s="43"/>
      <c r="Y11" s="43"/>
      <c r="Z11" s="43"/>
      <c r="AA11" s="43"/>
    </row>
    <row r="12" spans="1:27">
      <c r="A12" t="s">
        <v>181</v>
      </c>
      <c r="B12" s="12">
        <f>+unibkvar!B17</f>
        <v>270000</v>
      </c>
      <c r="C12" s="43">
        <v>0</v>
      </c>
      <c r="D12" s="12">
        <f>+unibkvar!D17</f>
        <v>0</v>
      </c>
      <c r="E12" s="43">
        <v>0</v>
      </c>
      <c r="F12" s="12">
        <f>+unibkvar!F17</f>
        <v>0</v>
      </c>
      <c r="G12" s="43">
        <v>0</v>
      </c>
      <c r="H12" s="12">
        <f>+unibkvar!H17</f>
        <v>0</v>
      </c>
      <c r="I12" s="46">
        <f>+(-J12+B12)/ABS(J12)</f>
        <v>-0.32500000000000001</v>
      </c>
      <c r="J12" s="12">
        <f>+unibkvar!J17</f>
        <v>400000</v>
      </c>
      <c r="K12" s="46">
        <f>+(-L12+J12)/ABS(L12)</f>
        <v>1.1052631578947369</v>
      </c>
      <c r="L12" s="12">
        <f>+unibkvar!L17</f>
        <v>190000</v>
      </c>
      <c r="M12" s="43">
        <v>0</v>
      </c>
      <c r="N12" s="12">
        <v>0</v>
      </c>
      <c r="O12" s="43">
        <v>0</v>
      </c>
      <c r="P12" s="12">
        <v>0</v>
      </c>
      <c r="Q12" s="43"/>
      <c r="R12" s="43"/>
      <c r="S12" s="43"/>
      <c r="T12" s="43"/>
      <c r="U12" s="43"/>
      <c r="V12" s="43"/>
      <c r="W12" s="43"/>
      <c r="X12" s="43"/>
      <c r="Y12" s="43"/>
      <c r="Z12" s="43"/>
      <c r="AA12" s="43"/>
    </row>
    <row r="13" spans="1:27">
      <c r="A13" t="s">
        <v>182</v>
      </c>
      <c r="B13" s="12">
        <f>+unibkvar!B19</f>
        <v>1489899</v>
      </c>
      <c r="C13" s="43">
        <v>0</v>
      </c>
      <c r="D13" s="12">
        <f>+unibkvar!D19</f>
        <v>0</v>
      </c>
      <c r="E13" s="43">
        <v>0</v>
      </c>
      <c r="F13" s="12">
        <f>+unibkvar!F19</f>
        <v>0</v>
      </c>
      <c r="G13" s="43">
        <v>0</v>
      </c>
      <c r="H13" s="12">
        <f>+unibkvar!H19</f>
        <v>0</v>
      </c>
      <c r="I13" s="46">
        <f>+(-J13+B13)/ABS(J13)</f>
        <v>-1.2258438553172109E-2</v>
      </c>
      <c r="J13" s="12">
        <f>+unibkvar!J19</f>
        <v>1508389.5</v>
      </c>
      <c r="K13" s="46">
        <f>+(-L13+J13)/ABS(L13)</f>
        <v>0.20727969753447179</v>
      </c>
      <c r="L13" s="12">
        <f>+unibkvar!L19</f>
        <v>1249411.8</v>
      </c>
      <c r="M13" s="46">
        <f>+(-N13+L13)/ABS(N13)</f>
        <v>0.34988057656448385</v>
      </c>
      <c r="N13" s="12">
        <f>+unibkvar!N19</f>
        <v>925572.1</v>
      </c>
      <c r="O13" s="46">
        <f>+(-P13+N13)/ABS(P13)</f>
        <v>0.79538041259121239</v>
      </c>
      <c r="P13" s="12">
        <f>+unibkvar!P19</f>
        <v>515529.79719999997</v>
      </c>
      <c r="Q13" s="43"/>
      <c r="R13" s="43"/>
      <c r="S13" s="43"/>
      <c r="T13" s="43"/>
      <c r="U13" s="43"/>
      <c r="V13" s="43"/>
      <c r="W13" s="43"/>
      <c r="X13" s="43"/>
      <c r="Y13" s="43"/>
      <c r="Z13" s="43"/>
      <c r="AA13" s="43"/>
    </row>
    <row r="14" spans="1:27">
      <c r="A14" t="s">
        <v>183</v>
      </c>
      <c r="B14" s="12">
        <f>+unibkvar!B29</f>
        <v>3371393</v>
      </c>
      <c r="C14" s="43">
        <v>0</v>
      </c>
      <c r="D14" s="12">
        <f>+unibkvar!D29</f>
        <v>0</v>
      </c>
      <c r="E14" s="43">
        <v>0</v>
      </c>
      <c r="F14" s="12">
        <f>+unibkvar!F29</f>
        <v>0</v>
      </c>
      <c r="G14" s="43">
        <v>0</v>
      </c>
      <c r="H14" s="12">
        <f>+unibkvar!H29</f>
        <v>0</v>
      </c>
      <c r="I14" s="46">
        <f>+(-J14+B14)/ABS(J14)</f>
        <v>0.10205197705540933</v>
      </c>
      <c r="J14" s="12">
        <f>+unibkvar!J29</f>
        <v>3059196</v>
      </c>
      <c r="K14" s="46">
        <f>+(-L14+J14)/ABS(L14)</f>
        <v>0.21087499527990863</v>
      </c>
      <c r="L14" s="12">
        <f>+unibkvar!L29</f>
        <v>2526434.2000000002</v>
      </c>
      <c r="M14" s="46">
        <f>+(-N14+L14)/ABS(N14)</f>
        <v>0.27060963391105813</v>
      </c>
      <c r="N14" s="12">
        <f>+unibkvar!N29</f>
        <v>1988363.7999999998</v>
      </c>
      <c r="O14" s="46">
        <f>+(-P14+N14)/ABS(P14)</f>
        <v>0.3722725810755666</v>
      </c>
      <c r="P14" s="12">
        <f>+unibkvar!P29</f>
        <v>1448956.88176</v>
      </c>
      <c r="Q14" s="43"/>
      <c r="R14" s="43"/>
      <c r="S14" s="43"/>
      <c r="T14" s="43"/>
      <c r="U14" s="43"/>
      <c r="V14" s="43"/>
      <c r="W14" s="43"/>
      <c r="X14" s="43"/>
      <c r="Y14" s="43"/>
      <c r="Z14" s="43"/>
      <c r="AA14" s="43"/>
    </row>
    <row r="15" spans="1:27">
      <c r="A15" t="s">
        <v>184</v>
      </c>
      <c r="B15" s="12">
        <f>+unibkvar!B51</f>
        <v>200094.7</v>
      </c>
      <c r="C15" s="43">
        <v>0</v>
      </c>
      <c r="D15" s="12">
        <f>+unibkvar!D51</f>
        <v>0</v>
      </c>
      <c r="E15" s="43">
        <v>0</v>
      </c>
      <c r="F15" s="12">
        <f>+unibkvar!F51</f>
        <v>0</v>
      </c>
      <c r="G15" s="43">
        <v>0</v>
      </c>
      <c r="H15" s="12">
        <f>+unibkvar!H51</f>
        <v>0</v>
      </c>
      <c r="I15" s="46">
        <f>+(-J15+B15)/ABS(J15)</f>
        <v>4.9241180844470121E-2</v>
      </c>
      <c r="J15" s="12">
        <f>+unibkvar!J51</f>
        <v>190704.2</v>
      </c>
      <c r="K15" s="46">
        <f>+(-L15+J15)/ABS(L15)</f>
        <v>0.37820631879587768</v>
      </c>
      <c r="L15" s="12">
        <f>+unibkvar!L51</f>
        <v>138371.29999999999</v>
      </c>
      <c r="M15" s="46">
        <f>+(-N15+L15)/ABS(N15)</f>
        <v>0.36966570849368852</v>
      </c>
      <c r="N15" s="12">
        <f>+unibkvar!N51</f>
        <v>101025.60000000001</v>
      </c>
      <c r="O15" s="46">
        <f>+(-P15+N15)/ABS(P15)</f>
        <v>0.43329937899783572</v>
      </c>
      <c r="P15" s="12">
        <f>+unibkvar!P51</f>
        <v>70484.646460000004</v>
      </c>
      <c r="Q15" s="43"/>
      <c r="R15" s="43"/>
      <c r="S15" s="43"/>
      <c r="T15" s="43"/>
      <c r="U15" s="43"/>
      <c r="V15" s="43"/>
      <c r="W15" s="43"/>
      <c r="X15" s="43"/>
      <c r="Y15" s="43"/>
      <c r="Z15" s="43"/>
      <c r="AA15" s="43"/>
    </row>
    <row r="16" spans="1:27">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row>
    <row r="17" spans="1:27" ht="16.5" thickBot="1">
      <c r="A17" s="19"/>
      <c r="B17" s="187"/>
      <c r="C17" s="187"/>
      <c r="D17" s="187"/>
      <c r="E17" s="187"/>
      <c r="F17" s="187"/>
      <c r="G17" s="187"/>
      <c r="H17" s="187"/>
      <c r="I17" s="187"/>
      <c r="J17" s="187"/>
      <c r="K17" s="187"/>
      <c r="L17" s="187"/>
      <c r="M17" s="187"/>
      <c r="N17" s="187"/>
      <c r="O17" s="187"/>
      <c r="P17" s="187"/>
      <c r="Q17" s="43"/>
      <c r="R17" s="43"/>
      <c r="S17" s="43"/>
      <c r="T17" s="43"/>
      <c r="U17" s="43"/>
      <c r="V17" s="43"/>
      <c r="W17" s="43"/>
      <c r="X17" s="43"/>
      <c r="Y17" s="43"/>
      <c r="Z17" s="43"/>
      <c r="AA17" s="43"/>
    </row>
    <row r="18" spans="1:27">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row>
    <row r="19" spans="1:27">
      <c r="B19" s="51" t="s">
        <v>185</v>
      </c>
      <c r="C19" s="43"/>
      <c r="D19" s="51" t="s">
        <v>174</v>
      </c>
      <c r="E19" s="43"/>
      <c r="F19" s="51" t="s">
        <v>185</v>
      </c>
      <c r="G19" s="43"/>
      <c r="H19" s="51" t="s">
        <v>174</v>
      </c>
      <c r="I19" s="43"/>
      <c r="J19" s="51" t="s">
        <v>185</v>
      </c>
      <c r="K19" s="43"/>
      <c r="L19" s="51" t="s">
        <v>174</v>
      </c>
      <c r="M19" s="43"/>
      <c r="N19" s="51" t="s">
        <v>185</v>
      </c>
      <c r="O19" s="43"/>
      <c r="P19" s="51" t="s">
        <v>174</v>
      </c>
      <c r="Q19" s="43"/>
      <c r="R19" s="51" t="s">
        <v>185</v>
      </c>
      <c r="S19" s="43"/>
      <c r="T19" s="51" t="s">
        <v>174</v>
      </c>
      <c r="U19" s="43"/>
      <c r="V19" s="43"/>
      <c r="W19" s="43"/>
      <c r="X19" s="43"/>
      <c r="Y19" s="43"/>
      <c r="Z19" s="43"/>
      <c r="AA19" s="43"/>
    </row>
    <row r="20" spans="1:27">
      <c r="B20" s="50" t="s">
        <v>186</v>
      </c>
      <c r="C20" s="50" t="s">
        <v>169</v>
      </c>
      <c r="D20" s="50" t="s">
        <v>186</v>
      </c>
      <c r="E20" s="43"/>
      <c r="F20" s="50" t="s">
        <v>187</v>
      </c>
      <c r="G20" s="50" t="s">
        <v>169</v>
      </c>
      <c r="H20" s="50" t="s">
        <v>187</v>
      </c>
      <c r="I20" s="43"/>
      <c r="J20" s="50" t="s">
        <v>188</v>
      </c>
      <c r="K20" s="50" t="s">
        <v>169</v>
      </c>
      <c r="L20" s="50" t="s">
        <v>188</v>
      </c>
      <c r="M20" s="43"/>
      <c r="N20" s="50" t="s">
        <v>189</v>
      </c>
      <c r="O20" s="50" t="s">
        <v>169</v>
      </c>
      <c r="P20" s="50" t="s">
        <v>189</v>
      </c>
      <c r="Q20" s="43"/>
      <c r="R20" s="50" t="s">
        <v>190</v>
      </c>
      <c r="S20" s="50" t="s">
        <v>169</v>
      </c>
      <c r="T20" s="50" t="s">
        <v>190</v>
      </c>
      <c r="U20" s="43"/>
      <c r="V20" s="43"/>
      <c r="W20" s="43"/>
      <c r="X20" s="43"/>
      <c r="Y20" s="43"/>
      <c r="Z20" s="43"/>
      <c r="AA20" s="43"/>
    </row>
    <row r="21" spans="1:27" ht="16.5" thickBot="1">
      <c r="B21" s="326" t="s">
        <v>191</v>
      </c>
      <c r="C21" s="326"/>
      <c r="D21" s="326" t="s">
        <v>192</v>
      </c>
      <c r="E21" s="208"/>
      <c r="F21" s="326" t="s">
        <v>193</v>
      </c>
      <c r="G21" s="326"/>
      <c r="H21" s="326" t="s">
        <v>194</v>
      </c>
      <c r="I21" s="208"/>
      <c r="J21" s="326" t="s">
        <v>195</v>
      </c>
      <c r="K21" s="326"/>
      <c r="L21" s="326" t="s">
        <v>196</v>
      </c>
      <c r="M21" s="208"/>
      <c r="N21" s="326" t="s">
        <v>197</v>
      </c>
      <c r="O21" s="326"/>
      <c r="P21" s="326" t="s">
        <v>198</v>
      </c>
      <c r="Q21" s="208"/>
      <c r="R21" s="326" t="s">
        <v>199</v>
      </c>
      <c r="S21" s="326"/>
      <c r="T21" s="326" t="s">
        <v>200</v>
      </c>
      <c r="U21" s="43"/>
      <c r="V21" s="43"/>
      <c r="W21" s="43"/>
      <c r="X21" s="43"/>
      <c r="Y21" s="43"/>
      <c r="Z21" s="43"/>
      <c r="AA21" s="43"/>
    </row>
    <row r="22" spans="1:27">
      <c r="A22" s="2" t="s">
        <v>52</v>
      </c>
      <c r="B22" s="43"/>
      <c r="C22" s="43"/>
      <c r="D22" s="43"/>
      <c r="E22" s="43"/>
      <c r="F22" s="43"/>
      <c r="G22" s="43"/>
      <c r="H22" s="43"/>
      <c r="I22" s="43"/>
      <c r="J22" s="43"/>
      <c r="K22" s="43"/>
      <c r="L22" s="43"/>
      <c r="M22" s="43"/>
      <c r="N22" s="43"/>
      <c r="O22" s="43"/>
      <c r="P22" s="43"/>
      <c r="Q22" s="43"/>
      <c r="R22" s="43"/>
      <c r="S22" s="47" t="s">
        <v>0</v>
      </c>
      <c r="T22" s="43"/>
      <c r="U22" s="43"/>
      <c r="V22" s="43"/>
      <c r="W22" s="43"/>
      <c r="X22" s="43"/>
      <c r="Y22" s="43"/>
      <c r="Z22" s="43"/>
      <c r="AA22" s="43"/>
    </row>
    <row r="23" spans="1:27">
      <c r="A23" t="s">
        <v>201</v>
      </c>
      <c r="B23" s="12">
        <f>+'UNIBKRÉSULT   '!B15</f>
        <v>53749.7</v>
      </c>
      <c r="C23" s="46">
        <f>+(-D23+B23)/ABS(D23)</f>
        <v>0.44221321262500329</v>
      </c>
      <c r="D23" s="12">
        <f>+'UNIBKRÉSULT   '!D55</f>
        <v>37268.900000000009</v>
      </c>
      <c r="E23" s="43"/>
      <c r="F23" s="12">
        <f>+'UNIBKRÉSULT   '!D15</f>
        <v>0</v>
      </c>
      <c r="G23" s="43">
        <v>0</v>
      </c>
      <c r="H23" s="12">
        <f>+'UNIBKRÉSULT   '!H55</f>
        <v>38497</v>
      </c>
      <c r="I23" s="43"/>
      <c r="J23" s="12">
        <f>+'UNIBKRÉSULT   '!F15</f>
        <v>0</v>
      </c>
      <c r="K23" s="43">
        <v>0</v>
      </c>
      <c r="L23" s="12">
        <f>+'UNIBKRÉSULT   '!L55</f>
        <v>46537.700000000004</v>
      </c>
      <c r="M23" s="43"/>
      <c r="N23" s="12">
        <f>+'UNIBKRÉSULT   '!H15</f>
        <v>0</v>
      </c>
      <c r="O23" s="43">
        <v>0</v>
      </c>
      <c r="P23" s="12">
        <f>+'UNIBKRÉSULT   '!P55</f>
        <v>51264.9</v>
      </c>
      <c r="Q23" s="43"/>
      <c r="R23" s="12">
        <f>+'UNIBKRÉSULT   '!R55</f>
        <v>53749.7</v>
      </c>
      <c r="S23" s="46">
        <f>+(-T23+R23)/ABS(T23)</f>
        <v>0.44221321262500329</v>
      </c>
      <c r="T23" s="12">
        <f>+'UNIBKRÉSULT   '!T55</f>
        <v>37268.900000000009</v>
      </c>
      <c r="U23" s="43"/>
      <c r="V23" s="43"/>
      <c r="W23" s="43"/>
      <c r="X23" s="43"/>
      <c r="Y23" s="43"/>
      <c r="Z23" s="43"/>
      <c r="AA23" s="43"/>
    </row>
    <row r="24" spans="1:27">
      <c r="A24" t="s">
        <v>202</v>
      </c>
      <c r="B24" s="12">
        <f>+'UNIBKRÉSULT   '!B21</f>
        <v>27620.5</v>
      </c>
      <c r="C24" s="46">
        <f>+(-D24+B24)/ABS(D24)</f>
        <v>0.64292342283396198</v>
      </c>
      <c r="D24" s="12">
        <f>+'UNIBKRÉSULT   '!D61</f>
        <v>16811.8</v>
      </c>
      <c r="E24" s="43"/>
      <c r="F24" s="12">
        <f>+'UNIBKRÉSULT   '!D21</f>
        <v>0</v>
      </c>
      <c r="G24" s="43">
        <v>0</v>
      </c>
      <c r="H24" s="12">
        <f>+'UNIBKRÉSULT   '!H61</f>
        <v>17680</v>
      </c>
      <c r="I24" s="43"/>
      <c r="J24" s="12">
        <f>+'UNIBKRÉSULT   '!F21</f>
        <v>0</v>
      </c>
      <c r="K24" s="43">
        <v>0</v>
      </c>
      <c r="L24" s="12">
        <f>+'UNIBKRÉSULT   '!L61</f>
        <v>17940.3</v>
      </c>
      <c r="M24" s="43"/>
      <c r="N24" s="12">
        <f>+'UNIBKRÉSULT   '!H21</f>
        <v>0</v>
      </c>
      <c r="O24" s="43">
        <v>0</v>
      </c>
      <c r="P24" s="12">
        <f>+'UNIBKRÉSULT   '!P61</f>
        <v>23624</v>
      </c>
      <c r="Q24" s="43"/>
      <c r="R24" s="12">
        <f>+'UNIBKRÉSULT   '!R61</f>
        <v>27620.5</v>
      </c>
      <c r="S24" s="46">
        <f>+(-T24+R24)/ABS(T24)</f>
        <v>0.64292342283396198</v>
      </c>
      <c r="T24" s="12">
        <f>+'UNIBKRÉSULT   '!T61</f>
        <v>16811.8</v>
      </c>
      <c r="U24" s="43"/>
      <c r="V24" s="43"/>
      <c r="W24" s="43"/>
      <c r="X24" s="43"/>
      <c r="Y24" s="43"/>
      <c r="Z24" s="43"/>
      <c r="AA24" s="43"/>
    </row>
    <row r="25" spans="1:27">
      <c r="A25" t="s">
        <v>447</v>
      </c>
      <c r="B25" s="12">
        <f>+'UNIBKRÉSULT   '!B25</f>
        <v>4350</v>
      </c>
      <c r="C25" s="46">
        <f>+(-D25+B25)/ABS(D25)</f>
        <v>2.7826086956521738</v>
      </c>
      <c r="D25" s="12">
        <f>+'UNIBKRÉSULT   '!D65</f>
        <v>1150</v>
      </c>
      <c r="E25" s="43"/>
      <c r="F25" s="12">
        <f>+'UNIBKRÉSULT   '!D25</f>
        <v>0</v>
      </c>
      <c r="G25" s="43">
        <v>0</v>
      </c>
      <c r="H25" s="12">
        <f>+'UNIBKRÉSULT   '!H65</f>
        <v>3432</v>
      </c>
      <c r="I25" s="43"/>
      <c r="J25" s="12">
        <f>+'UNIBKRÉSULT   '!F25</f>
        <v>0</v>
      </c>
      <c r="K25" s="43">
        <v>0</v>
      </c>
      <c r="L25" s="12">
        <f>+'UNIBKRÉSULT   '!L65</f>
        <v>3432</v>
      </c>
      <c r="M25" s="43"/>
      <c r="N25" s="12">
        <f>+'UNIBKRÉSULT   '!H25</f>
        <v>0</v>
      </c>
      <c r="O25" s="43">
        <v>0</v>
      </c>
      <c r="P25" s="12">
        <f>+'UNIBKRÉSULT   '!P65</f>
        <v>3432</v>
      </c>
      <c r="Q25" s="43"/>
      <c r="R25" s="12">
        <f>+'UNIBKRÉSULT   '!R65</f>
        <v>4350</v>
      </c>
      <c r="S25" s="46">
        <f>+(-T25+R25)/ABS(T25)</f>
        <v>2.7826086956521738</v>
      </c>
      <c r="T25" s="12">
        <f>+'UNIBKRÉSULT   '!T65</f>
        <v>1150</v>
      </c>
      <c r="U25" s="43"/>
      <c r="V25" s="43"/>
      <c r="W25" s="43"/>
      <c r="X25" s="43"/>
      <c r="Y25" s="43"/>
      <c r="Z25" s="43"/>
      <c r="AA25" s="43"/>
    </row>
    <row r="26" spans="1:27">
      <c r="A26" t="s">
        <v>204</v>
      </c>
      <c r="B26" s="12">
        <f>+'UNIBKRÉSULT   '!B35</f>
        <v>60475.4</v>
      </c>
      <c r="C26" s="46">
        <f>+(-D26+B26)/ABS(D26)</f>
        <v>0.44462678830355734</v>
      </c>
      <c r="D26" s="12">
        <f>+'UNIBKRÉSULT   '!D75</f>
        <v>41862.299999999996</v>
      </c>
      <c r="E26" s="43"/>
      <c r="F26" s="12">
        <f>+'UNIBKRÉSULT   '!D35</f>
        <v>0</v>
      </c>
      <c r="G26" s="43">
        <v>0</v>
      </c>
      <c r="H26" s="12">
        <f>+'UNIBKRÉSULT   '!H75</f>
        <v>49077</v>
      </c>
      <c r="I26" s="43"/>
      <c r="J26" s="12">
        <f>+'UNIBKRÉSULT   '!F35</f>
        <v>0</v>
      </c>
      <c r="K26" s="43">
        <v>0</v>
      </c>
      <c r="L26" s="12">
        <f>+'UNIBKRÉSULT   '!L75</f>
        <v>49694.8</v>
      </c>
      <c r="M26" s="43"/>
      <c r="N26" s="12">
        <f>+'UNIBKRÉSULT   '!H35</f>
        <v>0</v>
      </c>
      <c r="O26" s="43">
        <v>0</v>
      </c>
      <c r="P26" s="12">
        <f>+'UNIBKRÉSULT   '!P75</f>
        <v>54470.899999999994</v>
      </c>
      <c r="Q26" s="43"/>
      <c r="R26" s="12">
        <f>+'UNIBKRÉSULT   '!R75</f>
        <v>60475.4</v>
      </c>
      <c r="S26" s="46">
        <f>+(-T26+R26)/ABS(T26)</f>
        <v>0.44462678830355734</v>
      </c>
      <c r="T26" s="12">
        <f>+'UNIBKRÉSULT   '!T75</f>
        <v>41862.299999999996</v>
      </c>
      <c r="U26" s="43"/>
      <c r="V26" s="43"/>
      <c r="W26" s="43"/>
      <c r="X26" s="43"/>
      <c r="Y26" s="43"/>
      <c r="Z26" s="43"/>
      <c r="AA26" s="43"/>
    </row>
    <row r="27" spans="1:27">
      <c r="A27" t="s">
        <v>448</v>
      </c>
      <c r="B27" s="12">
        <f>+'UNIBKRÉSULT   '!B41</f>
        <v>11401.699999999995</v>
      </c>
      <c r="C27" s="46">
        <f>+(-D27+B27)/ABS(D27)</f>
        <v>0.49034037435950689</v>
      </c>
      <c r="D27" s="12">
        <f>+'UNIBKRÉSULT   '!D81</f>
        <v>7650.400000000016</v>
      </c>
      <c r="E27" s="43"/>
      <c r="F27" s="12">
        <f>+'UNIBKRÉSULT   '!D41</f>
        <v>0</v>
      </c>
      <c r="G27" s="43">
        <v>0</v>
      </c>
      <c r="H27" s="12">
        <f>+'UNIBKRÉSULT   '!H81</f>
        <v>2512.5</v>
      </c>
      <c r="I27" s="43"/>
      <c r="J27" s="12">
        <f>+'UNIBKRÉSULT   '!F41</f>
        <v>0</v>
      </c>
      <c r="K27" s="43">
        <v>0</v>
      </c>
      <c r="L27" s="12">
        <f>+'UNIBKRÉSULT   '!L81</f>
        <v>8072.4999999999973</v>
      </c>
      <c r="M27" s="43"/>
      <c r="N27" s="12">
        <f>+'UNIBKRÉSULT   '!H41</f>
        <v>0</v>
      </c>
      <c r="O27" s="43">
        <v>0</v>
      </c>
      <c r="P27" s="12">
        <f>+'UNIBKRÉSULT   '!P81</f>
        <v>12987</v>
      </c>
      <c r="Q27" s="43"/>
      <c r="R27" s="12">
        <f>+'UNIBKRÉSULT   '!R81</f>
        <v>11401.699999999995</v>
      </c>
      <c r="S27" s="46">
        <f>+(-T27+R27)/ABS(T27)</f>
        <v>0.49034037435950689</v>
      </c>
      <c r="T27" s="12">
        <f>+'UNIBKRÉSULT   '!T81</f>
        <v>7650.400000000016</v>
      </c>
      <c r="U27" s="43"/>
      <c r="V27" s="43"/>
      <c r="W27" s="43"/>
      <c r="X27" s="43"/>
      <c r="Y27" s="43"/>
      <c r="Z27" s="43"/>
      <c r="AA27" s="43"/>
    </row>
    <row r="28" spans="1:27">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ht="16.5" thickBot="1">
      <c r="B29" s="187"/>
      <c r="C29" s="187"/>
      <c r="D29" s="187"/>
      <c r="E29" s="187"/>
      <c r="F29" s="187"/>
      <c r="G29" s="187"/>
      <c r="H29" s="187"/>
      <c r="I29" s="187"/>
      <c r="J29" s="187"/>
      <c r="K29" s="187"/>
      <c r="L29" s="187"/>
      <c r="M29" s="187"/>
      <c r="N29" s="187"/>
      <c r="O29" s="187"/>
      <c r="P29" s="187"/>
      <c r="Q29" s="187"/>
      <c r="R29" s="187"/>
      <c r="S29" s="187"/>
      <c r="T29" s="187"/>
      <c r="U29" s="43"/>
      <c r="V29" s="43"/>
      <c r="W29" s="43"/>
      <c r="X29" s="43"/>
      <c r="Y29" s="43"/>
      <c r="Z29" s="43"/>
      <c r="AA29" s="43"/>
    </row>
    <row r="30" spans="1:27">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c r="B31" s="51" t="s">
        <v>185</v>
      </c>
      <c r="C31" s="51" t="s">
        <v>174</v>
      </c>
      <c r="D31" s="43"/>
      <c r="E31" s="51" t="s">
        <v>185</v>
      </c>
      <c r="F31" s="51" t="s">
        <v>174</v>
      </c>
      <c r="G31" s="43"/>
      <c r="H31" s="51" t="s">
        <v>185</v>
      </c>
      <c r="I31" s="51" t="s">
        <v>174</v>
      </c>
      <c r="J31" s="43"/>
      <c r="K31" s="51" t="s">
        <v>185</v>
      </c>
      <c r="L31" s="51" t="s">
        <v>174</v>
      </c>
      <c r="M31" s="43"/>
      <c r="N31" s="51" t="s">
        <v>185</v>
      </c>
      <c r="O31" s="51" t="s">
        <v>174</v>
      </c>
      <c r="P31" s="43"/>
      <c r="U31" s="43"/>
      <c r="V31" s="43"/>
      <c r="W31" s="43"/>
      <c r="X31" s="43"/>
      <c r="Y31" s="43"/>
      <c r="Z31" s="43"/>
      <c r="AA31" s="43"/>
    </row>
    <row r="32" spans="1:27" ht="16.5" thickBot="1">
      <c r="B32" s="50" t="s">
        <v>186</v>
      </c>
      <c r="C32" s="50" t="s">
        <v>186</v>
      </c>
      <c r="D32" s="43"/>
      <c r="E32" s="50" t="s">
        <v>187</v>
      </c>
      <c r="F32" s="50" t="s">
        <v>187</v>
      </c>
      <c r="G32" s="43"/>
      <c r="H32" s="50" t="s">
        <v>188</v>
      </c>
      <c r="I32" s="50" t="s">
        <v>188</v>
      </c>
      <c r="J32" s="43"/>
      <c r="K32" s="50" t="s">
        <v>189</v>
      </c>
      <c r="L32" s="50" t="s">
        <v>189</v>
      </c>
      <c r="M32" s="43"/>
      <c r="N32" s="50" t="s">
        <v>190</v>
      </c>
      <c r="O32" s="50" t="s">
        <v>190</v>
      </c>
      <c r="P32" s="43"/>
      <c r="Q32" s="114" t="s">
        <v>206</v>
      </c>
      <c r="R32" s="114"/>
      <c r="S32" s="114"/>
      <c r="T32" s="114"/>
      <c r="U32" s="43"/>
      <c r="V32" s="43"/>
      <c r="W32" s="43"/>
      <c r="X32" s="43"/>
      <c r="Y32" s="43"/>
      <c r="Z32" s="43"/>
      <c r="AA32" s="43"/>
    </row>
    <row r="33" spans="1:27" ht="16.5" thickBot="1">
      <c r="B33" s="326" t="s">
        <v>191</v>
      </c>
      <c r="C33" s="326" t="s">
        <v>192</v>
      </c>
      <c r="D33" s="208"/>
      <c r="E33" s="326" t="s">
        <v>193</v>
      </c>
      <c r="F33" s="326" t="s">
        <v>194</v>
      </c>
      <c r="G33" s="208"/>
      <c r="H33" s="326" t="s">
        <v>195</v>
      </c>
      <c r="I33" s="326" t="s">
        <v>196</v>
      </c>
      <c r="J33" s="208"/>
      <c r="K33" s="326" t="s">
        <v>197</v>
      </c>
      <c r="L33" s="326" t="s">
        <v>198</v>
      </c>
      <c r="M33" s="208"/>
      <c r="N33" s="181" t="s">
        <v>199</v>
      </c>
      <c r="O33" s="181" t="s">
        <v>200</v>
      </c>
      <c r="P33" s="43"/>
      <c r="Q33" s="182" t="s">
        <v>174</v>
      </c>
      <c r="R33" s="182" t="s">
        <v>175</v>
      </c>
      <c r="S33" s="182" t="s">
        <v>176</v>
      </c>
      <c r="T33" s="182" t="s">
        <v>177</v>
      </c>
      <c r="U33" s="43"/>
      <c r="V33" s="43"/>
      <c r="W33" s="43"/>
      <c r="X33" s="43"/>
      <c r="Y33" s="43"/>
      <c r="Z33" s="43"/>
      <c r="AA33" s="43"/>
    </row>
    <row r="34" spans="1:27">
      <c r="B34" s="355"/>
      <c r="C34" s="355"/>
      <c r="D34" s="208"/>
      <c r="E34" s="355"/>
      <c r="F34" s="355"/>
      <c r="G34" s="208"/>
      <c r="H34" s="355"/>
      <c r="I34" s="355"/>
      <c r="J34" s="208"/>
      <c r="K34" s="355"/>
      <c r="L34" s="355"/>
      <c r="M34" s="208"/>
      <c r="N34" s="355"/>
      <c r="O34" s="355"/>
      <c r="P34" s="43"/>
      <c r="Q34" s="356"/>
      <c r="R34" s="356"/>
      <c r="S34" s="356"/>
      <c r="T34" s="356"/>
      <c r="U34" s="43"/>
      <c r="V34" s="43"/>
      <c r="W34" s="43"/>
      <c r="X34" s="43"/>
      <c r="Y34" s="43"/>
      <c r="Z34" s="43"/>
      <c r="AA34" s="43"/>
    </row>
    <row r="35" spans="1:27">
      <c r="A35" s="2" t="s">
        <v>207</v>
      </c>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row>
    <row r="36" spans="1:27">
      <c r="A36" s="183" t="s">
        <v>208</v>
      </c>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c r="A37" s="2" t="s">
        <v>209</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c r="A39" s="2" t="s">
        <v>210</v>
      </c>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c r="A40" s="2"/>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row>
    <row r="41" spans="1:27">
      <c r="A41" t="s">
        <v>211</v>
      </c>
      <c r="B41" s="57"/>
      <c r="C41" s="57"/>
      <c r="D41" s="57"/>
      <c r="E41" s="57"/>
      <c r="F41" s="57"/>
      <c r="G41" s="57"/>
      <c r="H41" s="57"/>
      <c r="I41" s="57"/>
      <c r="J41" s="57"/>
      <c r="K41" s="57"/>
      <c r="L41" s="57"/>
      <c r="M41" s="57"/>
      <c r="N41" s="57"/>
      <c r="O41" s="57"/>
      <c r="P41" s="57"/>
      <c r="Q41" s="57"/>
      <c r="R41" s="57"/>
      <c r="S41" s="57"/>
      <c r="T41" s="57"/>
      <c r="U41" s="43"/>
      <c r="V41" s="43"/>
      <c r="W41" s="43"/>
      <c r="X41" s="43"/>
      <c r="Y41" s="43"/>
      <c r="Z41" s="43"/>
      <c r="AA41" s="43"/>
    </row>
    <row r="42" spans="1:27">
      <c r="A42" t="s">
        <v>212</v>
      </c>
      <c r="B42" s="58">
        <f>+unibkvar!B51/unibkvar!B22</f>
        <v>5.3471422775960807E-2</v>
      </c>
      <c r="C42" s="59">
        <v>4.9500000000000002E-2</v>
      </c>
      <c r="D42" s="59"/>
      <c r="E42" s="364">
        <v>0</v>
      </c>
      <c r="F42" s="59">
        <v>4.9500000000000002E-2</v>
      </c>
      <c r="G42" s="59"/>
      <c r="H42" s="364">
        <v>0</v>
      </c>
      <c r="I42" s="59">
        <v>4.9500000000000002E-2</v>
      </c>
      <c r="J42" s="59"/>
      <c r="K42" s="364">
        <v>0</v>
      </c>
      <c r="L42" s="59">
        <v>5.6099999999999997E-2</v>
      </c>
      <c r="M42" s="57"/>
      <c r="N42" s="59">
        <f>+B42</f>
        <v>5.3471422775960807E-2</v>
      </c>
      <c r="O42" s="59">
        <f>+C42</f>
        <v>4.9500000000000002E-2</v>
      </c>
      <c r="P42" s="59"/>
      <c r="Q42" s="59">
        <f>+unibkvar!J51/unibkvar!J22</f>
        <v>5.6075347846952547E-2</v>
      </c>
      <c r="R42" s="59">
        <v>4.8599999999999997E-2</v>
      </c>
      <c r="S42" s="59">
        <v>4.4499999999999998E-2</v>
      </c>
      <c r="T42" s="59">
        <v>4.0500000000000001E-2</v>
      </c>
      <c r="U42" s="43"/>
      <c r="V42" s="43"/>
      <c r="W42" s="43"/>
      <c r="X42" s="43"/>
      <c r="Y42" s="43"/>
      <c r="Z42" s="43"/>
      <c r="AA42" s="43"/>
    </row>
    <row r="43" spans="1:27">
      <c r="B43" s="58"/>
      <c r="C43" s="57"/>
      <c r="D43" s="59"/>
      <c r="E43" s="57"/>
      <c r="F43" s="59"/>
      <c r="G43" s="59"/>
      <c r="H43" s="57"/>
      <c r="I43" s="59"/>
      <c r="J43" s="59"/>
      <c r="K43" s="57"/>
      <c r="L43" s="59"/>
      <c r="M43" s="57"/>
      <c r="N43" s="59"/>
      <c r="O43" s="59"/>
      <c r="P43" s="59"/>
      <c r="Q43" s="59"/>
      <c r="R43" s="59"/>
      <c r="S43" s="59"/>
      <c r="T43" s="59"/>
      <c r="U43" s="43"/>
      <c r="V43" s="43"/>
      <c r="W43" s="43"/>
      <c r="X43" s="43"/>
      <c r="Y43" s="43"/>
      <c r="Z43" s="43"/>
      <c r="AA43" s="43"/>
    </row>
    <row r="44" spans="1:27">
      <c r="A44" t="s">
        <v>213</v>
      </c>
      <c r="B44" s="58">
        <f>+unibkvar!B29/unibkvar!B22</f>
        <v>0.90093930747248596</v>
      </c>
      <c r="C44" s="59">
        <v>0.88139999999999996</v>
      </c>
      <c r="D44" s="59"/>
      <c r="E44" s="364">
        <v>0</v>
      </c>
      <c r="F44" s="59">
        <v>0.91020000000000001</v>
      </c>
      <c r="G44" s="59"/>
      <c r="H44" s="364">
        <v>0</v>
      </c>
      <c r="I44" s="59">
        <v>0.90369999999999995</v>
      </c>
      <c r="J44" s="59"/>
      <c r="K44" s="364">
        <v>0</v>
      </c>
      <c r="L44" s="59">
        <v>0.89949999999999997</v>
      </c>
      <c r="M44" s="57"/>
      <c r="N44" s="59">
        <f>+B44</f>
        <v>0.90093930747248596</v>
      </c>
      <c r="O44" s="59">
        <f>+C44</f>
        <v>0.88139999999999996</v>
      </c>
      <c r="P44" s="59"/>
      <c r="Q44" s="59">
        <f>+unibkvar!J29/unibkvar!J22</f>
        <v>0.89953697837806312</v>
      </c>
      <c r="R44" s="59">
        <v>0.88680000000000003</v>
      </c>
      <c r="S44" s="59">
        <v>0.87609999999999999</v>
      </c>
      <c r="T44" s="59">
        <v>0.83209999999999995</v>
      </c>
      <c r="U44" s="43"/>
      <c r="V44" s="43"/>
      <c r="W44" s="43"/>
      <c r="X44" s="43"/>
      <c r="Y44" s="43"/>
      <c r="Z44" s="43"/>
      <c r="AA44" s="43"/>
    </row>
    <row r="45" spans="1:27">
      <c r="A45" t="s">
        <v>0</v>
      </c>
      <c r="B45" s="57"/>
      <c r="C45" s="57"/>
      <c r="D45" s="59"/>
      <c r="E45" s="57"/>
      <c r="F45" s="59"/>
      <c r="G45" s="59"/>
      <c r="H45" s="57"/>
      <c r="I45" s="59"/>
      <c r="J45" s="59"/>
      <c r="K45" s="57"/>
      <c r="L45" s="59"/>
      <c r="M45" s="57"/>
      <c r="N45" s="59"/>
      <c r="O45" s="59"/>
      <c r="P45" s="59"/>
      <c r="Q45" s="59"/>
      <c r="R45" s="59"/>
      <c r="S45" s="59"/>
      <c r="T45" s="59"/>
      <c r="U45" s="43"/>
      <c r="V45" s="43"/>
      <c r="W45" s="43"/>
      <c r="X45" s="43"/>
      <c r="Y45" s="43"/>
      <c r="Z45" s="43"/>
      <c r="AA45" s="43"/>
    </row>
    <row r="46" spans="1:27">
      <c r="A46" s="2" t="s">
        <v>214</v>
      </c>
      <c r="B46" s="57"/>
      <c r="C46" s="57"/>
      <c r="D46" s="59"/>
      <c r="E46" s="57"/>
      <c r="F46" s="59"/>
      <c r="G46" s="59"/>
      <c r="H46" s="57"/>
      <c r="I46" s="59"/>
      <c r="J46" s="59"/>
      <c r="K46" s="57"/>
      <c r="L46" s="59"/>
      <c r="M46" s="57"/>
      <c r="N46" s="59"/>
      <c r="O46" s="59"/>
      <c r="P46" s="59"/>
      <c r="Q46" s="59"/>
      <c r="R46" s="59"/>
      <c r="S46" s="59"/>
      <c r="T46" s="59"/>
      <c r="U46" s="43"/>
      <c r="V46" s="43"/>
      <c r="W46" s="43"/>
      <c r="X46" s="43"/>
      <c r="Y46" s="43"/>
      <c r="Z46" s="43"/>
      <c r="AA46" s="43"/>
    </row>
    <row r="47" spans="1:27">
      <c r="A47" s="2"/>
      <c r="B47" s="57"/>
      <c r="C47" s="57"/>
      <c r="D47" s="59"/>
      <c r="E47" s="57"/>
      <c r="F47" s="59"/>
      <c r="G47" s="59"/>
      <c r="H47" s="57"/>
      <c r="I47" s="59"/>
      <c r="J47" s="59"/>
      <c r="K47" s="57"/>
      <c r="L47" s="59"/>
      <c r="M47" s="57"/>
      <c r="N47" s="59"/>
      <c r="O47" s="59"/>
      <c r="P47" s="59"/>
      <c r="Q47" s="59"/>
      <c r="R47" s="59"/>
      <c r="S47" s="59"/>
      <c r="T47" s="59"/>
      <c r="U47" s="43"/>
      <c r="V47" s="43"/>
      <c r="W47" s="43"/>
      <c r="X47" s="43"/>
      <c r="Y47" s="43"/>
      <c r="Z47" s="43"/>
      <c r="AA47" s="43"/>
    </row>
    <row r="48" spans="1:27">
      <c r="A48" t="s">
        <v>215</v>
      </c>
      <c r="B48" s="57"/>
      <c r="C48" s="59"/>
      <c r="D48" s="59"/>
      <c r="E48" s="57"/>
      <c r="F48" s="59"/>
      <c r="G48" s="59"/>
      <c r="H48" s="57"/>
      <c r="I48" s="59"/>
      <c r="J48" s="59"/>
      <c r="K48" s="57"/>
      <c r="L48" s="59"/>
      <c r="M48" s="57"/>
      <c r="N48" s="59"/>
      <c r="O48" s="59"/>
      <c r="P48" s="59"/>
      <c r="Q48" s="59"/>
      <c r="R48" s="59"/>
      <c r="S48" s="59"/>
      <c r="T48" s="59"/>
      <c r="U48" s="43"/>
      <c r="V48" s="43"/>
      <c r="W48" s="43"/>
      <c r="X48" s="43"/>
      <c r="Y48" s="43"/>
      <c r="Z48" s="43"/>
      <c r="AA48" s="43"/>
    </row>
    <row r="49" spans="1:27">
      <c r="A49" t="s">
        <v>216</v>
      </c>
      <c r="B49" s="59">
        <f>+unibkvar!B62/unibkvar!B60</f>
        <v>1.0908227926891971E-2</v>
      </c>
      <c r="C49" s="59">
        <v>3.8E-3</v>
      </c>
      <c r="D49" s="59"/>
      <c r="E49" s="57">
        <v>0</v>
      </c>
      <c r="F49" s="59">
        <v>1.8E-3</v>
      </c>
      <c r="G49" s="59"/>
      <c r="H49" s="364">
        <v>0</v>
      </c>
      <c r="I49" s="59">
        <v>4.7999999999999996E-3</v>
      </c>
      <c r="J49" s="59"/>
      <c r="K49" s="57">
        <v>0</v>
      </c>
      <c r="L49" s="59">
        <v>4.4999999999999997E-3</v>
      </c>
      <c r="M49" s="57"/>
      <c r="N49" s="59">
        <f>+B49</f>
        <v>1.0908227926891971E-2</v>
      </c>
      <c r="O49" s="59">
        <f>+C49</f>
        <v>3.8E-3</v>
      </c>
      <c r="P49" s="59"/>
      <c r="Q49" s="59">
        <f>+unibkvar!J62/unibkvar!J60</f>
        <v>4.5035958214156369E-3</v>
      </c>
      <c r="R49" s="59">
        <v>7.7999999999999996E-3</v>
      </c>
      <c r="S49" s="59">
        <v>5.0000000000000001E-4</v>
      </c>
      <c r="T49" s="57">
        <v>0</v>
      </c>
      <c r="U49" s="43"/>
      <c r="V49" s="43"/>
      <c r="W49" s="43"/>
      <c r="X49" s="43"/>
      <c r="Y49" s="43"/>
      <c r="Z49" s="43"/>
      <c r="AA49" s="43"/>
    </row>
    <row r="50" spans="1:27">
      <c r="B50" s="57"/>
      <c r="C50" s="59"/>
      <c r="D50" s="59"/>
      <c r="E50" s="57"/>
      <c r="F50" s="57"/>
      <c r="G50" s="59"/>
      <c r="H50" s="57"/>
      <c r="I50" s="59"/>
      <c r="J50" s="59"/>
      <c r="K50" s="57"/>
      <c r="L50" s="59"/>
      <c r="M50" s="57"/>
      <c r="N50" s="59"/>
      <c r="O50" s="59"/>
      <c r="P50" s="59"/>
      <c r="Q50" s="59"/>
      <c r="R50" s="59"/>
      <c r="S50" s="59"/>
      <c r="T50" s="57"/>
      <c r="U50" s="43"/>
      <c r="V50" s="43"/>
      <c r="W50" s="43"/>
      <c r="X50" s="43"/>
      <c r="Y50" s="43"/>
      <c r="Z50" s="43"/>
      <c r="AA50" s="43"/>
    </row>
    <row r="51" spans="1:27">
      <c r="A51" t="s">
        <v>217</v>
      </c>
      <c r="B51" s="57"/>
      <c r="C51" s="59"/>
      <c r="D51" s="59"/>
      <c r="E51" s="57"/>
      <c r="F51" s="57"/>
      <c r="G51" s="59"/>
      <c r="H51" s="57"/>
      <c r="I51" s="59"/>
      <c r="J51" s="59"/>
      <c r="K51" s="57"/>
      <c r="L51" s="59"/>
      <c r="M51" s="57"/>
      <c r="N51" s="58" t="s">
        <v>0</v>
      </c>
      <c r="O51" s="59"/>
      <c r="P51" s="59"/>
      <c r="Q51" s="59"/>
      <c r="R51" s="59"/>
      <c r="S51" s="59"/>
      <c r="T51" s="57"/>
      <c r="U51" s="43"/>
      <c r="V51" s="43"/>
      <c r="W51" s="43"/>
      <c r="X51" s="43"/>
      <c r="Y51" s="43"/>
      <c r="Z51" s="43"/>
      <c r="AA51" s="43"/>
    </row>
    <row r="52" spans="1:27">
      <c r="A52" t="s">
        <v>218</v>
      </c>
      <c r="B52" s="59">
        <f>+unibkvar!B61/unibkvar!B62</f>
        <v>1.7090617055836335</v>
      </c>
      <c r="C52" s="59">
        <v>3.0777999999999999</v>
      </c>
      <c r="D52" s="59"/>
      <c r="E52" s="57">
        <v>0</v>
      </c>
      <c r="F52" s="59">
        <v>7.5666000000000002</v>
      </c>
      <c r="G52" s="59"/>
      <c r="H52" s="364">
        <v>0</v>
      </c>
      <c r="I52" s="59">
        <v>3.1772</v>
      </c>
      <c r="J52" s="59"/>
      <c r="K52" s="57">
        <v>0</v>
      </c>
      <c r="L52" s="59">
        <v>3.2473999999999998</v>
      </c>
      <c r="M52" s="57"/>
      <c r="N52" s="59">
        <f>+B52</f>
        <v>1.7090617055836335</v>
      </c>
      <c r="O52" s="59">
        <f>+C52</f>
        <v>3.0777999999999999</v>
      </c>
      <c r="P52" s="59"/>
      <c r="Q52" s="360">
        <f>+unibkvar!J61/unibkvar!J62</f>
        <v>3.2473745285755733</v>
      </c>
      <c r="R52" s="360">
        <v>1.3642000000000001</v>
      </c>
      <c r="S52" s="1158">
        <v>19.3109</v>
      </c>
      <c r="T52" s="57">
        <v>0</v>
      </c>
      <c r="U52" s="43"/>
      <c r="V52" s="43"/>
      <c r="W52" s="43"/>
      <c r="X52" s="43"/>
      <c r="Y52" s="43"/>
      <c r="Z52" s="43"/>
      <c r="AA52" s="43"/>
    </row>
    <row r="53" spans="1:27">
      <c r="B53" s="57"/>
      <c r="C53" s="59"/>
      <c r="D53" s="59"/>
      <c r="E53" s="57"/>
      <c r="F53" s="57"/>
      <c r="G53" s="59"/>
      <c r="H53" s="57"/>
      <c r="I53" s="59"/>
      <c r="J53" s="59"/>
      <c r="K53" s="57"/>
      <c r="L53" s="59"/>
      <c r="M53" s="57"/>
      <c r="N53" s="59"/>
      <c r="O53" s="59"/>
      <c r="P53" s="59"/>
      <c r="Q53" s="59"/>
      <c r="R53" s="59"/>
      <c r="S53" s="59"/>
      <c r="T53" s="57"/>
      <c r="U53" s="43"/>
      <c r="V53" s="43"/>
      <c r="W53" s="43"/>
      <c r="X53" s="43"/>
      <c r="Y53" s="43"/>
      <c r="Z53" s="43"/>
      <c r="AA53" s="43"/>
    </row>
    <row r="54" spans="1:27">
      <c r="A54" t="s">
        <v>219</v>
      </c>
      <c r="B54" s="57"/>
      <c r="C54" s="59"/>
      <c r="D54" s="59"/>
      <c r="E54" s="57"/>
      <c r="F54" s="57"/>
      <c r="G54" s="59"/>
      <c r="H54" s="57"/>
      <c r="I54" s="59"/>
      <c r="J54" s="59"/>
      <c r="K54" s="57"/>
      <c r="L54" s="59"/>
      <c r="M54" s="57"/>
      <c r="N54" s="59"/>
      <c r="O54" s="59"/>
      <c r="P54" s="59"/>
      <c r="Q54" s="59"/>
      <c r="R54" s="59"/>
      <c r="S54" s="59"/>
      <c r="T54" s="57"/>
      <c r="U54" s="43"/>
      <c r="V54" s="43"/>
      <c r="W54" s="43"/>
      <c r="X54" s="43"/>
      <c r="Y54" s="43"/>
      <c r="Z54" s="43"/>
      <c r="AA54" s="43"/>
    </row>
    <row r="55" spans="1:27">
      <c r="A55" t="s">
        <v>220</v>
      </c>
      <c r="B55" s="59">
        <f>+(unibkvar!B62-unibkvar!B61)/unibkvar!B51</f>
        <v>-5.8685712315218727E-2</v>
      </c>
      <c r="C55" s="59">
        <v>-6.7199999999999996E-2</v>
      </c>
      <c r="D55" s="59"/>
      <c r="E55" s="57">
        <v>0</v>
      </c>
      <c r="F55" s="59">
        <v>-0.1008</v>
      </c>
      <c r="G55" s="59"/>
      <c r="H55" s="364">
        <v>0</v>
      </c>
      <c r="I55" s="59">
        <v>-9.11E-2</v>
      </c>
      <c r="J55" s="59"/>
      <c r="K55" s="57">
        <v>0</v>
      </c>
      <c r="L55" s="59">
        <v>-8.1199999999999994E-2</v>
      </c>
      <c r="M55" s="57"/>
      <c r="N55" s="59">
        <f>+B55</f>
        <v>-5.8685712315218727E-2</v>
      </c>
      <c r="O55" s="59">
        <f>+C55</f>
        <v>-6.7199999999999996E-2</v>
      </c>
      <c r="P55" s="59"/>
      <c r="Q55" s="59">
        <f>+(unibkvar!J62-unibkvar!J61)/unibkvar!J51</f>
        <v>-8.1243097949599441E-2</v>
      </c>
      <c r="R55" s="59">
        <v>-2.5899999999999999E-2</v>
      </c>
      <c r="S55" s="59">
        <v>-8.8200000000000001E-2</v>
      </c>
      <c r="T55" s="57">
        <v>0</v>
      </c>
      <c r="U55" s="43"/>
      <c r="V55" s="43"/>
      <c r="W55" s="43"/>
      <c r="X55" s="43"/>
      <c r="Y55" s="43"/>
      <c r="Z55" s="43"/>
      <c r="AA55" s="43"/>
    </row>
    <row r="56" spans="1:27">
      <c r="A56" t="s">
        <v>0</v>
      </c>
      <c r="B56" s="57"/>
      <c r="C56" s="59"/>
      <c r="D56" s="59"/>
      <c r="E56" s="57"/>
      <c r="F56" s="59"/>
      <c r="G56" s="59"/>
      <c r="H56" s="57"/>
      <c r="I56" s="59"/>
      <c r="J56" s="59"/>
      <c r="K56" s="57"/>
      <c r="L56" s="59"/>
      <c r="M56" s="57"/>
      <c r="N56" s="57"/>
      <c r="O56" s="59"/>
      <c r="P56" s="59"/>
      <c r="Q56" s="59"/>
      <c r="R56" s="59"/>
      <c r="S56" s="59"/>
      <c r="T56" s="59"/>
      <c r="U56" s="43"/>
      <c r="V56" s="43"/>
      <c r="W56" s="43"/>
      <c r="X56" s="43"/>
      <c r="Y56" s="43"/>
      <c r="Z56" s="43"/>
      <c r="AA56" s="43"/>
    </row>
    <row r="57" spans="1:27">
      <c r="A57" s="2" t="s">
        <v>221</v>
      </c>
      <c r="B57" s="57"/>
      <c r="C57" s="59"/>
      <c r="D57" s="59"/>
      <c r="E57" s="57"/>
      <c r="F57" s="59"/>
      <c r="G57" s="59"/>
      <c r="H57" s="57"/>
      <c r="I57" s="59"/>
      <c r="J57" s="59"/>
      <c r="K57" s="57"/>
      <c r="L57" s="59"/>
      <c r="M57" s="57"/>
      <c r="N57" s="57"/>
      <c r="O57" s="59"/>
      <c r="P57" s="59"/>
      <c r="Q57" s="59"/>
      <c r="R57" s="59"/>
      <c r="S57" s="59"/>
      <c r="T57" s="59"/>
      <c r="U57" s="43"/>
      <c r="V57" s="43"/>
      <c r="W57" s="43"/>
      <c r="X57" s="43"/>
      <c r="Y57" s="43"/>
      <c r="Z57" s="43"/>
      <c r="AA57" s="43"/>
    </row>
    <row r="58" spans="1:27">
      <c r="A58" s="2"/>
      <c r="B58" s="57"/>
      <c r="C58" s="59"/>
      <c r="D58" s="59"/>
      <c r="E58" s="57"/>
      <c r="F58" s="59"/>
      <c r="G58" s="59"/>
      <c r="H58" s="57"/>
      <c r="I58" s="59"/>
      <c r="J58" s="59"/>
      <c r="K58" s="57"/>
      <c r="L58" s="59"/>
      <c r="M58" s="57"/>
      <c r="N58" s="57"/>
      <c r="O58" s="59"/>
      <c r="P58" s="59"/>
      <c r="Q58" s="59"/>
      <c r="R58" s="59"/>
      <c r="S58" s="59"/>
      <c r="T58" s="59"/>
      <c r="U58" s="43"/>
      <c r="V58" s="43"/>
      <c r="W58" s="43"/>
      <c r="X58" s="43"/>
      <c r="Y58" s="43"/>
      <c r="Z58" s="43"/>
      <c r="AA58" s="43"/>
    </row>
    <row r="59" spans="1:27">
      <c r="A59" t="s">
        <v>222</v>
      </c>
      <c r="B59" s="59">
        <f>+('UNIBKRÉSULT   '!B41/((unibkvar!B22+unibkvar!J22)/2)*4)</f>
        <v>1.2769750507598893E-2</v>
      </c>
      <c r="C59" s="59">
        <v>1.06E-2</v>
      </c>
      <c r="D59" s="59"/>
      <c r="E59" s="57">
        <v>0</v>
      </c>
      <c r="F59" s="59">
        <v>3.3E-3</v>
      </c>
      <c r="G59" s="59"/>
      <c r="H59" s="364">
        <v>0</v>
      </c>
      <c r="I59" s="59">
        <v>1.0200000000000001E-2</v>
      </c>
      <c r="J59" s="59"/>
      <c r="K59" s="57">
        <v>0</v>
      </c>
      <c r="L59" s="58">
        <v>1.5699999999999999E-2</v>
      </c>
      <c r="M59" s="57"/>
      <c r="N59" s="59">
        <f>+'sysratfinclé '!J37</f>
        <v>1.2769750507598893E-2</v>
      </c>
      <c r="O59" s="59">
        <f>+'sysratfinclé '!J38</f>
        <v>1.06E-2</v>
      </c>
      <c r="P59" s="59"/>
      <c r="Q59" s="59">
        <f>+'UNIBKVARAN     '!F43/((unibkvar!J22+unibkvar!L22)/2)</f>
        <v>9.9915005171372119E-3</v>
      </c>
      <c r="R59" s="59">
        <v>1.2200000000000001E-2</v>
      </c>
      <c r="S59" s="59">
        <v>1.2200000000000001E-2</v>
      </c>
      <c r="T59" s="59">
        <v>8.5000000000000006E-3</v>
      </c>
      <c r="U59" s="43"/>
      <c r="V59" s="43"/>
      <c r="W59" s="43"/>
      <c r="X59" s="43"/>
      <c r="Y59" s="43"/>
      <c r="Z59" s="43"/>
      <c r="AA59" s="43"/>
    </row>
    <row r="60" spans="1:27" ht="7.15" customHeight="1">
      <c r="B60" s="57"/>
      <c r="C60" s="59"/>
      <c r="D60" s="59"/>
      <c r="E60" s="57"/>
      <c r="F60" s="58" t="s">
        <v>0</v>
      </c>
      <c r="G60" s="59"/>
      <c r="H60" s="57"/>
      <c r="I60" s="59"/>
      <c r="J60" s="59"/>
      <c r="K60" s="57"/>
      <c r="L60" s="59"/>
      <c r="M60" s="57"/>
      <c r="N60" s="57"/>
      <c r="O60" s="57"/>
      <c r="P60" s="59"/>
      <c r="Q60" s="59"/>
      <c r="R60" s="59"/>
      <c r="S60" s="59"/>
      <c r="T60" s="59"/>
      <c r="U60" s="43"/>
      <c r="V60" s="43"/>
      <c r="W60" s="43"/>
      <c r="X60" s="43"/>
      <c r="Y60" s="43"/>
      <c r="Z60" s="43"/>
      <c r="AA60" s="43"/>
    </row>
    <row r="61" spans="1:27">
      <c r="A61" t="s">
        <v>547</v>
      </c>
      <c r="B61" s="59">
        <f>+('UNIBKRÉSULT   '!B41/((unibkvar!J51+unibkvar!B51)/2)*4)</f>
        <v>0.2334029087594667</v>
      </c>
      <c r="C61" s="59">
        <v>0.2157</v>
      </c>
      <c r="D61" s="59"/>
      <c r="E61" s="57">
        <v>0</v>
      </c>
      <c r="F61" s="59">
        <v>6.7199999999999996E-2</v>
      </c>
      <c r="G61" s="59"/>
      <c r="H61" s="364">
        <v>0</v>
      </c>
      <c r="I61" s="59">
        <v>0.20580000000000001</v>
      </c>
      <c r="J61" s="59"/>
      <c r="K61" s="57">
        <v>0</v>
      </c>
      <c r="L61" s="59">
        <v>0.29609999999999997</v>
      </c>
      <c r="M61" s="57"/>
      <c r="N61" s="59">
        <f>+'sysratfinclé '!J43</f>
        <v>0.2334029087594667</v>
      </c>
      <c r="O61" s="59">
        <f>+'sysratfinclé '!J44</f>
        <v>0.2157</v>
      </c>
      <c r="P61" s="59"/>
      <c r="Q61" s="59">
        <f>+'UNIBKVARAN     '!F43/((unibkvar!J51+unibkvar!L51)/2)</f>
        <v>0.18975827735580439</v>
      </c>
      <c r="R61" s="59">
        <v>0.26079999999999998</v>
      </c>
      <c r="S61" s="59">
        <v>0.28420000000000001</v>
      </c>
      <c r="T61" s="59">
        <v>0.22420000000000001</v>
      </c>
      <c r="U61" s="43"/>
      <c r="V61" s="43"/>
      <c r="W61" s="43"/>
      <c r="X61" s="43"/>
      <c r="Y61" s="43"/>
      <c r="Z61" s="43"/>
      <c r="AA61" s="43"/>
    </row>
    <row r="62" spans="1:27" ht="7.15" customHeight="1">
      <c r="B62" s="57"/>
      <c r="C62" s="59"/>
      <c r="D62" s="59"/>
      <c r="E62" s="57"/>
      <c r="F62" s="59"/>
      <c r="G62" s="59"/>
      <c r="H62" s="57"/>
      <c r="I62" s="59"/>
      <c r="J62" s="59"/>
      <c r="K62" s="57"/>
      <c r="L62" s="59"/>
      <c r="M62" s="57"/>
      <c r="N62" s="57"/>
      <c r="O62" s="57"/>
      <c r="P62" s="59"/>
      <c r="Q62" s="59"/>
      <c r="R62" s="59"/>
      <c r="S62" s="59"/>
      <c r="T62" s="59"/>
      <c r="U62" s="43"/>
      <c r="V62" s="43"/>
      <c r="W62" s="43"/>
      <c r="X62" s="43"/>
      <c r="Y62" s="43"/>
      <c r="Z62" s="43"/>
      <c r="AA62" s="43"/>
    </row>
    <row r="63" spans="1:27">
      <c r="A63" t="s">
        <v>201</v>
      </c>
      <c r="B63" s="57"/>
      <c r="C63" s="59"/>
      <c r="D63" s="59"/>
      <c r="E63" s="57"/>
      <c r="F63" s="59"/>
      <c r="G63" s="59"/>
      <c r="H63" s="57"/>
      <c r="I63" s="59"/>
      <c r="J63" s="59"/>
      <c r="K63" s="57"/>
      <c r="L63" s="59"/>
      <c r="M63" s="57"/>
      <c r="N63" s="57"/>
      <c r="O63" s="57"/>
      <c r="P63" s="59"/>
      <c r="Q63" s="59"/>
      <c r="R63" s="59"/>
      <c r="S63" s="59"/>
      <c r="T63" s="59"/>
      <c r="U63" s="43"/>
      <c r="V63" s="43"/>
      <c r="W63" s="43"/>
      <c r="X63" s="43"/>
      <c r="Y63" s="43"/>
      <c r="Z63" s="43"/>
      <c r="AA63" s="43"/>
    </row>
    <row r="64" spans="1:27">
      <c r="A64" t="s">
        <v>225</v>
      </c>
      <c r="B64" s="59">
        <f>+'UNIBKRÉSULT   '!B15/'UNIBKRÉSULT   '!B13</f>
        <v>0.71138042984823358</v>
      </c>
      <c r="C64" s="59">
        <v>0.52139999999999997</v>
      </c>
      <c r="D64" s="59"/>
      <c r="E64" s="57">
        <v>0</v>
      </c>
      <c r="F64" s="59">
        <v>0.61619999999999997</v>
      </c>
      <c r="G64" s="59"/>
      <c r="H64" s="364">
        <v>0</v>
      </c>
      <c r="I64" s="59">
        <v>0.70350000000000001</v>
      </c>
      <c r="J64" s="59"/>
      <c r="K64" s="57">
        <v>0</v>
      </c>
      <c r="L64" s="59">
        <v>0.76390000000000002</v>
      </c>
      <c r="M64" s="57"/>
      <c r="N64" s="59">
        <f>+'sysratfinclé '!J50</f>
        <v>0.71138042984823358</v>
      </c>
      <c r="O64" s="59">
        <f>+'sysratfinclé '!J51</f>
        <v>0.52138628211369831</v>
      </c>
      <c r="P64" s="59"/>
      <c r="Q64" s="59">
        <f>+'UNIBKVARAN     '!F17/'UNIBKVARAN     '!F15</f>
        <v>0.64953773784374957</v>
      </c>
      <c r="R64" s="59">
        <v>0.51529999999999998</v>
      </c>
      <c r="S64" s="59">
        <v>0.57679999999999998</v>
      </c>
      <c r="T64" s="59">
        <v>0.4879</v>
      </c>
      <c r="U64" s="43"/>
      <c r="V64" s="43"/>
      <c r="W64" s="43"/>
      <c r="X64" s="43"/>
      <c r="Y64" s="43"/>
      <c r="Z64" s="43"/>
      <c r="AA64" s="43"/>
    </row>
    <row r="65" spans="1:27" ht="7.15" customHeight="1">
      <c r="B65" s="57"/>
      <c r="C65" s="59"/>
      <c r="D65" s="59"/>
      <c r="E65" s="57"/>
      <c r="F65" s="59"/>
      <c r="G65" s="59"/>
      <c r="H65" s="57"/>
      <c r="I65" s="59"/>
      <c r="J65" s="59"/>
      <c r="K65" s="57"/>
      <c r="L65" s="59"/>
      <c r="M65" s="57"/>
      <c r="N65" s="57"/>
      <c r="O65" s="57"/>
      <c r="P65" s="59"/>
      <c r="Q65" s="59"/>
      <c r="R65" s="59"/>
      <c r="S65" s="59"/>
      <c r="T65" s="59"/>
      <c r="U65" s="43"/>
      <c r="V65" s="43"/>
      <c r="W65" s="43"/>
      <c r="X65" s="43"/>
      <c r="Y65" s="43"/>
      <c r="Z65" s="43"/>
      <c r="AA65" s="43"/>
    </row>
    <row r="66" spans="1:27">
      <c r="A66" t="s">
        <v>226</v>
      </c>
      <c r="B66" s="59">
        <f>+('UNIBKRÉSULT   '!B10/((unibkvar!B60+unibkvar!J60)/2)*4)</f>
        <v>0.15302353305502817</v>
      </c>
      <c r="C66" s="56">
        <v>0.17799999999999999</v>
      </c>
      <c r="D66" s="56"/>
      <c r="E66" s="57">
        <v>0</v>
      </c>
      <c r="F66" s="56">
        <v>0.16139999999999999</v>
      </c>
      <c r="G66" s="56"/>
      <c r="H66" s="364">
        <v>0</v>
      </c>
      <c r="I66" s="56">
        <v>0.15509999999999999</v>
      </c>
      <c r="J66" s="56"/>
      <c r="K66" s="57">
        <v>0</v>
      </c>
      <c r="L66" s="56">
        <v>0.15129999999999999</v>
      </c>
      <c r="M66" s="9"/>
      <c r="N66" s="59">
        <f>+'sysratfinclé '!J56</f>
        <v>0.15302353305502817</v>
      </c>
      <c r="O66" s="59">
        <f>+'sysratfinclé '!J57</f>
        <v>0.17979999999999999</v>
      </c>
      <c r="P66" s="56"/>
      <c r="Q66" s="56">
        <f>+'UNIBKVARAN     '!F12/((unibkvar!J60+unibkvar!L60)/2)</f>
        <v>0.15429417499836501</v>
      </c>
      <c r="R66" s="56">
        <v>0.17530000000000001</v>
      </c>
      <c r="S66" s="56">
        <v>0.1762</v>
      </c>
      <c r="T66" s="56">
        <v>0.24929999999999999</v>
      </c>
    </row>
    <row r="67" spans="1:27" ht="7.15" customHeight="1">
      <c r="B67" s="9"/>
      <c r="C67" s="56"/>
      <c r="D67" s="56"/>
      <c r="E67" s="49"/>
      <c r="F67" s="56"/>
      <c r="G67" s="56"/>
      <c r="H67" s="49"/>
      <c r="I67" s="56"/>
      <c r="J67" s="56"/>
      <c r="K67" s="49"/>
      <c r="L67" s="56"/>
      <c r="M67" s="9"/>
      <c r="N67" s="9"/>
      <c r="O67" s="9"/>
      <c r="P67" s="56"/>
      <c r="Q67" s="56"/>
      <c r="R67" s="56"/>
      <c r="S67" s="56"/>
      <c r="T67" s="56"/>
    </row>
    <row r="68" spans="1:27">
      <c r="A68" t="s">
        <v>227</v>
      </c>
      <c r="B68" s="59">
        <f>+('UNIBKRÉSULT   '!B14/((unibkvar!J29+unibkvar!B29)/2)*4)</f>
        <v>2.7129334497975225E-2</v>
      </c>
      <c r="C68" s="56">
        <v>5.3499999999999999E-2</v>
      </c>
      <c r="D68" s="56"/>
      <c r="E68" s="57">
        <v>0</v>
      </c>
      <c r="F68" s="56">
        <v>3.5400000000000001E-2</v>
      </c>
      <c r="G68" s="56"/>
      <c r="H68" s="364">
        <v>0</v>
      </c>
      <c r="I68" s="56">
        <v>2.7300000000000001E-2</v>
      </c>
      <c r="J68" s="56"/>
      <c r="K68" s="57">
        <v>0</v>
      </c>
      <c r="L68" s="56">
        <v>2.12E-2</v>
      </c>
      <c r="M68" s="9"/>
      <c r="N68" s="59">
        <f>+'sysratfinclé '!J62</f>
        <v>2.7129334497975225E-2</v>
      </c>
      <c r="O68" s="59">
        <f>+'sysratfinclé '!J63</f>
        <v>5.3499999999999999E-2</v>
      </c>
      <c r="P68" s="56"/>
      <c r="Q68" s="56">
        <f>+'UNIBKVARAN     '!F16/((unibkvar!J29+unibkvar!L29)/2)</f>
        <v>3.3532474097551244E-2</v>
      </c>
      <c r="R68" s="56">
        <v>5.4300000000000001E-2</v>
      </c>
      <c r="S68" s="56">
        <v>4.2999999999999997E-2</v>
      </c>
      <c r="T68" s="56">
        <v>5.2499999999999998E-2</v>
      </c>
    </row>
    <row r="69" spans="1:27" ht="6" customHeight="1">
      <c r="B69" s="9"/>
      <c r="C69" s="56"/>
      <c r="D69" s="56"/>
      <c r="E69" s="49"/>
      <c r="F69" s="56"/>
      <c r="G69" s="56"/>
      <c r="H69" s="364" t="s">
        <v>0</v>
      </c>
      <c r="I69" s="56"/>
      <c r="J69" s="56"/>
      <c r="K69" s="49"/>
      <c r="L69" s="56"/>
      <c r="M69" s="9"/>
      <c r="N69" s="9"/>
      <c r="O69" s="9"/>
      <c r="P69" s="56"/>
      <c r="Q69" s="56"/>
      <c r="R69" s="56"/>
      <c r="S69" s="56"/>
      <c r="T69" s="56"/>
    </row>
    <row r="70" spans="1:27">
      <c r="A70" t="s">
        <v>204</v>
      </c>
      <c r="B70" s="9"/>
      <c r="C70" s="56"/>
      <c r="D70" s="56"/>
      <c r="E70" s="49"/>
      <c r="F70" s="56"/>
      <c r="G70" s="56"/>
      <c r="H70" s="49"/>
      <c r="I70" s="56"/>
      <c r="J70" s="56"/>
      <c r="K70" s="49"/>
      <c r="L70" s="56"/>
      <c r="M70" s="9"/>
      <c r="N70" s="9"/>
      <c r="O70" s="9"/>
      <c r="P70" s="56"/>
      <c r="Q70" s="56"/>
      <c r="R70" s="56"/>
      <c r="S70" s="56"/>
      <c r="T70" s="56"/>
    </row>
    <row r="71" spans="1:27">
      <c r="A71" t="s">
        <v>228</v>
      </c>
      <c r="B71" s="59">
        <f>+'UNIBKRÉSULT   '!B35/'UNIBKRÉSULT   '!B23</f>
        <v>0.74321311733288109</v>
      </c>
      <c r="C71" s="56">
        <v>0.77410000000000001</v>
      </c>
      <c r="D71" s="56"/>
      <c r="E71" s="57">
        <v>0</v>
      </c>
      <c r="F71" s="56">
        <v>0.87360000000000004</v>
      </c>
      <c r="G71" s="56"/>
      <c r="H71" s="364">
        <v>0</v>
      </c>
      <c r="I71" s="56">
        <v>0.77070000000000005</v>
      </c>
      <c r="J71" s="56"/>
      <c r="K71" s="57">
        <v>0</v>
      </c>
      <c r="L71" s="56">
        <v>0.72740000000000005</v>
      </c>
      <c r="M71" s="9"/>
      <c r="N71" s="59">
        <f>+'sysratfinclé '!J70</f>
        <v>0.74321311733288109</v>
      </c>
      <c r="O71" s="59">
        <f>+'sysratfinclé '!J71</f>
        <v>0.77407097171449313</v>
      </c>
      <c r="P71" s="56"/>
      <c r="Q71" s="56">
        <f>+'UNIBKVARAN     '!F37/'UNIBKVARAN     '!F25</f>
        <v>0.78159364101134265</v>
      </c>
      <c r="R71" s="56">
        <v>0.76300000000000001</v>
      </c>
      <c r="S71" s="56">
        <v>0.72770000000000001</v>
      </c>
      <c r="T71" s="56">
        <v>0.80879999999999996</v>
      </c>
    </row>
    <row r="72" spans="1:27">
      <c r="A72" t="s">
        <v>452</v>
      </c>
      <c r="B72" s="9"/>
      <c r="C72" s="9"/>
      <c r="D72" s="56"/>
      <c r="E72" s="49"/>
      <c r="F72" s="56"/>
      <c r="G72" s="56"/>
      <c r="H72" s="49"/>
      <c r="I72" s="56"/>
      <c r="J72" s="56"/>
      <c r="K72" s="49"/>
      <c r="L72" s="56"/>
      <c r="M72" s="9"/>
      <c r="N72" s="9"/>
      <c r="O72" s="9"/>
      <c r="P72" s="9"/>
      <c r="Q72" s="9"/>
      <c r="R72" s="9"/>
      <c r="S72" s="9"/>
      <c r="T72" s="9"/>
    </row>
    <row r="73" spans="1:27">
      <c r="B73" s="9"/>
      <c r="C73" s="9"/>
      <c r="D73" s="56"/>
      <c r="E73" s="49"/>
      <c r="F73" s="56"/>
      <c r="G73" s="56"/>
      <c r="H73" s="49"/>
      <c r="I73" s="56"/>
      <c r="J73" s="56"/>
      <c r="K73" s="49"/>
      <c r="L73" s="56"/>
      <c r="M73" s="9"/>
      <c r="N73" s="9"/>
      <c r="O73" s="9"/>
      <c r="P73" s="9"/>
      <c r="Q73" s="9"/>
      <c r="R73" s="9"/>
      <c r="S73" s="9"/>
      <c r="T73" s="9"/>
    </row>
    <row r="74" spans="1:27">
      <c r="A74" t="s">
        <v>453</v>
      </c>
      <c r="B74" s="49">
        <f>+('UNIBKRÉSULT   '!B23/((412+455)/2)*4)</f>
        <v>750.8207612456747</v>
      </c>
      <c r="C74" s="49">
        <v>623.41</v>
      </c>
      <c r="D74" s="56"/>
      <c r="E74" s="49">
        <v>0</v>
      </c>
      <c r="F74" s="49">
        <v>591.34</v>
      </c>
      <c r="G74" s="56"/>
      <c r="H74" s="364">
        <v>0</v>
      </c>
      <c r="I74" s="49">
        <v>667.3</v>
      </c>
      <c r="J74" s="56"/>
      <c r="K74" s="49">
        <v>0</v>
      </c>
      <c r="L74" s="49">
        <v>755.5</v>
      </c>
      <c r="M74" s="9"/>
      <c r="N74" s="57">
        <f>+'sysratfinclé '!J76</f>
        <v>750.8207612456747</v>
      </c>
      <c r="O74" s="57">
        <f>+'sysratfinclé '!J77</f>
        <v>623.41</v>
      </c>
      <c r="P74" s="9"/>
      <c r="Q74" s="49">
        <f>+'UNIBKVARAN     '!F25/((412+326)/2)</f>
        <v>676.48943089430895</v>
      </c>
      <c r="R74" s="49">
        <v>619.53</v>
      </c>
      <c r="S74" s="49">
        <v>521.23</v>
      </c>
      <c r="T74" s="49">
        <v>467.33</v>
      </c>
    </row>
    <row r="75" spans="1:27" ht="16.5" thickBot="1">
      <c r="B75" s="19"/>
      <c r="C75" s="19"/>
      <c r="D75" s="19"/>
      <c r="E75" s="19"/>
      <c r="F75" s="19"/>
      <c r="G75" s="19"/>
      <c r="H75" s="19"/>
      <c r="I75" s="19"/>
      <c r="J75" s="19"/>
      <c r="K75" s="19"/>
      <c r="L75" s="19"/>
      <c r="M75" s="19"/>
      <c r="N75" s="19"/>
      <c r="O75" s="19"/>
      <c r="P75" s="19"/>
      <c r="Q75" s="19"/>
      <c r="R75" s="19"/>
      <c r="S75" s="19"/>
      <c r="T75" s="19"/>
    </row>
    <row r="77" spans="1:27">
      <c r="A77" t="s">
        <v>0</v>
      </c>
    </row>
  </sheetData>
  <pageMargins left="0.2" right="0.2" top="0.59" bottom="0.43" header="0.43" footer="0.2"/>
  <pageSetup scale="44" orientation="landscape" r:id="rId1"/>
  <headerFooter alignWithMargins="0">
    <oddFooter>&amp;L&amp;14A partir du Trim.2 1998, les prêts improductifs désignent les prêts dont le principal ou les intérêts sont dus et impayés depuis 90 jours ou plus. Avant cette date, ce rapport considérait les prêts échus depuis plus de 15 jours.&amp;R&amp;16&amp;P</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3"/>
  <sheetViews>
    <sheetView workbookViewId="0"/>
  </sheetViews>
  <sheetFormatPr defaultRowHeight="15.75"/>
  <cols>
    <col min="1" max="1" width="33.25" customWidth="1"/>
    <col min="2" max="2" width="19.25"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11.2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8" width="15.75" style="12" customWidth="1"/>
    <col min="19" max="21" width="15.75" customWidth="1"/>
    <col min="22" max="256" width="11" customWidth="1"/>
  </cols>
  <sheetData>
    <row r="1" spans="1:21">
      <c r="A1" s="114" t="s">
        <v>653</v>
      </c>
      <c r="B1" s="37"/>
      <c r="C1" s="38"/>
      <c r="D1" s="37"/>
      <c r="E1" s="38"/>
      <c r="F1" s="37"/>
      <c r="G1" s="38"/>
      <c r="H1" s="37"/>
      <c r="I1" s="38"/>
      <c r="J1" s="37"/>
      <c r="K1" s="38"/>
      <c r="L1" s="37"/>
      <c r="M1" s="38"/>
      <c r="N1" s="37"/>
      <c r="O1" s="38"/>
      <c r="P1" s="37"/>
    </row>
    <row r="2" spans="1:21">
      <c r="A2" s="114" t="s">
        <v>305</v>
      </c>
      <c r="B2" s="37"/>
      <c r="C2" s="38"/>
      <c r="D2" s="37"/>
      <c r="E2" s="38"/>
      <c r="F2" s="37"/>
      <c r="G2" s="38"/>
      <c r="H2" s="37"/>
      <c r="I2" s="38"/>
      <c r="J2" s="37"/>
      <c r="K2" s="38"/>
      <c r="L2" s="37"/>
      <c r="M2" s="38"/>
      <c r="N2" s="37"/>
      <c r="O2" s="38"/>
      <c r="P2" s="37"/>
    </row>
    <row r="3" spans="1:21">
      <c r="A3" s="114" t="s">
        <v>454</v>
      </c>
      <c r="B3" s="37"/>
      <c r="C3" s="38"/>
      <c r="D3" s="37"/>
      <c r="E3" s="38"/>
      <c r="F3" s="37"/>
      <c r="G3" s="38"/>
      <c r="H3" s="37"/>
      <c r="I3" s="38"/>
      <c r="J3" s="37"/>
      <c r="K3" s="38"/>
      <c r="L3" s="37"/>
      <c r="M3" s="38"/>
      <c r="N3" s="37"/>
      <c r="O3" s="38"/>
      <c r="P3" s="37"/>
    </row>
    <row r="4" spans="1:21">
      <c r="A4" s="114" t="s">
        <v>179</v>
      </c>
      <c r="B4" s="37"/>
      <c r="C4" s="38"/>
      <c r="D4" s="37"/>
      <c r="E4" s="38"/>
      <c r="F4" s="37"/>
      <c r="G4" s="38"/>
      <c r="H4" s="37"/>
      <c r="I4" s="38"/>
      <c r="J4" s="37"/>
      <c r="K4" s="38"/>
      <c r="L4" s="37"/>
      <c r="M4" s="38"/>
      <c r="N4" s="37"/>
      <c r="O4" s="38"/>
      <c r="P4" s="37"/>
    </row>
    <row r="6" spans="1:21" s="2" customFormat="1" ht="16.5" thickBot="1">
      <c r="B6" s="400" t="s">
        <v>0</v>
      </c>
      <c r="C6" s="399"/>
      <c r="D6" s="400"/>
      <c r="E6" s="399"/>
      <c r="F6" s="400"/>
      <c r="G6" s="399"/>
      <c r="H6" s="400"/>
      <c r="I6" s="67" t="s">
        <v>166</v>
      </c>
      <c r="J6" s="123" t="s">
        <v>167</v>
      </c>
      <c r="K6" s="230"/>
      <c r="L6" s="123"/>
      <c r="M6" s="230"/>
      <c r="N6" s="123"/>
      <c r="O6" s="230"/>
      <c r="P6" s="123"/>
      <c r="Q6" s="4"/>
      <c r="R6" s="4"/>
    </row>
    <row r="7" spans="1:21" s="2" customFormat="1" ht="16.5" thickBot="1">
      <c r="B7" s="223" t="s">
        <v>168</v>
      </c>
      <c r="C7" s="224" t="s">
        <v>169</v>
      </c>
      <c r="D7" s="225" t="s">
        <v>170</v>
      </c>
      <c r="E7" s="224" t="s">
        <v>169</v>
      </c>
      <c r="F7" s="225" t="s">
        <v>171</v>
      </c>
      <c r="G7" s="224" t="s">
        <v>169</v>
      </c>
      <c r="H7" s="225" t="s">
        <v>172</v>
      </c>
      <c r="I7" s="445" t="s">
        <v>173</v>
      </c>
      <c r="J7" s="228" t="s">
        <v>174</v>
      </c>
      <c r="K7" s="227" t="s">
        <v>169</v>
      </c>
      <c r="L7" s="228" t="s">
        <v>175</v>
      </c>
      <c r="M7" s="227" t="s">
        <v>169</v>
      </c>
      <c r="N7" s="228" t="s">
        <v>176</v>
      </c>
      <c r="O7" s="227" t="s">
        <v>169</v>
      </c>
      <c r="P7" s="228" t="s">
        <v>177</v>
      </c>
      <c r="Q7" s="80"/>
      <c r="R7" s="80"/>
      <c r="S7" s="18"/>
      <c r="T7" s="18"/>
      <c r="U7" s="18"/>
    </row>
    <row r="8" spans="1:21">
      <c r="A8" s="87" t="s">
        <v>243</v>
      </c>
      <c r="B8" s="125"/>
      <c r="C8" s="124"/>
      <c r="D8" s="125"/>
      <c r="E8" s="124"/>
      <c r="F8" s="125"/>
      <c r="G8" s="124"/>
      <c r="H8" s="125"/>
      <c r="I8" s="124"/>
      <c r="J8" s="219"/>
      <c r="K8" s="124"/>
      <c r="L8" s="219"/>
      <c r="M8" s="124"/>
      <c r="N8" s="219"/>
      <c r="O8" s="124"/>
      <c r="P8" s="219"/>
      <c r="Q8" s="14"/>
      <c r="R8" s="14"/>
      <c r="S8" s="9"/>
      <c r="T8" s="9"/>
      <c r="U8" s="9"/>
    </row>
    <row r="9" spans="1:21">
      <c r="A9" s="1" t="s">
        <v>264</v>
      </c>
      <c r="B9"/>
    </row>
    <row r="10" spans="1:21">
      <c r="A10" s="1" t="s">
        <v>265</v>
      </c>
      <c r="B10" s="12">
        <v>203597.6</v>
      </c>
      <c r="C10" s="44">
        <v>0</v>
      </c>
      <c r="D10" s="12">
        <v>0</v>
      </c>
      <c r="E10" s="44">
        <v>0</v>
      </c>
      <c r="F10" s="12">
        <v>0</v>
      </c>
      <c r="G10" s="44">
        <v>0</v>
      </c>
      <c r="H10" s="12">
        <v>0</v>
      </c>
      <c r="I10" s="47">
        <f t="shared" ref="I10:I15" si="0">+(B10-J10)/ABS(J10)</f>
        <v>1.9142282142412395</v>
      </c>
      <c r="J10" s="12">
        <v>69863.3</v>
      </c>
      <c r="K10" s="47">
        <f t="shared" ref="K10:K15" si="1">+(J10-L10)/ABS(L10)</f>
        <v>-0.2281031857746115</v>
      </c>
      <c r="L10" s="12">
        <v>90508.6</v>
      </c>
      <c r="M10" s="47">
        <f>+(L10-N10)/ABS(N10)</f>
        <v>0.86880771073192509</v>
      </c>
      <c r="N10" s="12">
        <v>48431.199999999997</v>
      </c>
      <c r="O10" s="113">
        <f>+(N10-P10)/ABS(P10)</f>
        <v>7.2236754087098079E-2</v>
      </c>
      <c r="P10" s="12">
        <f>45168382.65/1000</f>
        <v>45168.38265</v>
      </c>
    </row>
    <row r="11" spans="1:21">
      <c r="A11" s="1" t="s">
        <v>266</v>
      </c>
      <c r="B11" s="12">
        <v>538430.19999999995</v>
      </c>
      <c r="C11" s="44">
        <v>0</v>
      </c>
      <c r="D11" s="12">
        <v>0</v>
      </c>
      <c r="E11" s="44">
        <v>0</v>
      </c>
      <c r="F11" s="12">
        <v>0</v>
      </c>
      <c r="G11" s="44">
        <v>0</v>
      </c>
      <c r="H11" s="12">
        <v>0</v>
      </c>
      <c r="I11" s="47">
        <f t="shared" si="0"/>
        <v>0.31388691299037691</v>
      </c>
      <c r="J11" s="12">
        <v>409799.5</v>
      </c>
      <c r="K11" s="47">
        <f t="shared" si="1"/>
        <v>-0.20003002331198902</v>
      </c>
      <c r="L11" s="12">
        <v>512268.6</v>
      </c>
      <c r="M11" s="47">
        <f>+(L11-N11)/ABS(N11)</f>
        <v>0.52226391725128196</v>
      </c>
      <c r="N11" s="12">
        <v>336517.6</v>
      </c>
      <c r="O11" s="113">
        <f>+(N11-P11)/ABS(P11)</f>
        <v>-0.11905429505264893</v>
      </c>
      <c r="P11" s="12">
        <f>381995846.18/1000</f>
        <v>381995.84617999999</v>
      </c>
    </row>
    <row r="12" spans="1:21">
      <c r="A12" s="1" t="s">
        <v>267</v>
      </c>
      <c r="B12" s="12">
        <v>268205.5</v>
      </c>
      <c r="C12" s="44">
        <v>0</v>
      </c>
      <c r="D12" s="12">
        <v>0</v>
      </c>
      <c r="E12" s="44">
        <v>0</v>
      </c>
      <c r="F12" s="12">
        <v>0</v>
      </c>
      <c r="G12" s="44">
        <v>0</v>
      </c>
      <c r="H12" s="12">
        <v>0</v>
      </c>
      <c r="I12" s="47">
        <f t="shared" si="0"/>
        <v>0.59063938003106498</v>
      </c>
      <c r="J12" s="12">
        <v>168614.9</v>
      </c>
      <c r="K12" s="47">
        <f t="shared" si="1"/>
        <v>14.995797442416421</v>
      </c>
      <c r="L12" s="12">
        <v>10541.2</v>
      </c>
      <c r="M12" s="47">
        <f>+(L12-N12)/ABS(N12)</f>
        <v>-0.92594460809556689</v>
      </c>
      <c r="N12" s="12">
        <v>142342.1</v>
      </c>
      <c r="O12" s="113">
        <f>+(N12-P12)/ABS(P12)</f>
        <v>-0.45852387377035886</v>
      </c>
      <c r="P12" s="12">
        <f>262877887.14/1000</f>
        <v>262877.88714000001</v>
      </c>
    </row>
    <row r="13" spans="1:21">
      <c r="A13" s="1" t="s">
        <v>268</v>
      </c>
      <c r="B13" s="12">
        <v>11593.6</v>
      </c>
      <c r="C13" s="44">
        <v>0</v>
      </c>
      <c r="D13" s="12">
        <v>0</v>
      </c>
      <c r="E13" s="44">
        <v>0</v>
      </c>
      <c r="F13" s="12">
        <v>0</v>
      </c>
      <c r="G13" s="44">
        <v>0</v>
      </c>
      <c r="H13" s="12">
        <v>0</v>
      </c>
      <c r="I13" s="47">
        <f t="shared" si="0"/>
        <v>0.60810042305291634</v>
      </c>
      <c r="J13" s="12">
        <v>7209.5</v>
      </c>
      <c r="K13" s="47">
        <f t="shared" si="1"/>
        <v>-0.28998424266298994</v>
      </c>
      <c r="L13" s="12">
        <v>10154</v>
      </c>
      <c r="M13" s="44">
        <v>0</v>
      </c>
      <c r="N13" s="12">
        <v>0</v>
      </c>
      <c r="O13" s="208">
        <v>0</v>
      </c>
      <c r="P13" s="12">
        <v>0</v>
      </c>
    </row>
    <row r="14" spans="1:21">
      <c r="A14" s="1" t="s">
        <v>269</v>
      </c>
      <c r="B14" s="221">
        <v>99475.1</v>
      </c>
      <c r="C14" s="44">
        <v>0</v>
      </c>
      <c r="D14" s="221">
        <v>0</v>
      </c>
      <c r="E14" s="44">
        <v>0</v>
      </c>
      <c r="F14" s="221">
        <v>0</v>
      </c>
      <c r="G14" s="44">
        <v>0</v>
      </c>
      <c r="H14" s="221">
        <v>0</v>
      </c>
      <c r="I14" s="47">
        <f t="shared" si="0"/>
        <v>0.20093611955866927</v>
      </c>
      <c r="J14" s="221">
        <v>82831.3</v>
      </c>
      <c r="K14" s="47">
        <f t="shared" si="1"/>
        <v>-3.3509886920674277E-3</v>
      </c>
      <c r="L14" s="221">
        <f>47471.6+34848.8+789.4</f>
        <v>83109.799999999988</v>
      </c>
      <c r="M14" s="47">
        <f>+(L14-N14)/ABS(N14)</f>
        <v>0.24896758176692271</v>
      </c>
      <c r="N14" s="221">
        <v>66542.8</v>
      </c>
      <c r="O14" s="113">
        <f>+(N14-P14)/ABS(P14)</f>
        <v>0.63606960902381382</v>
      </c>
      <c r="P14" s="221">
        <f>40672352.59/1000</f>
        <v>40672.352590000002</v>
      </c>
    </row>
    <row r="15" spans="1:21" ht="15.6" customHeight="1">
      <c r="A15" s="1"/>
      <c r="B15" s="12">
        <f>SUM(B10:B14)</f>
        <v>1121302</v>
      </c>
      <c r="C15" s="44">
        <v>0</v>
      </c>
      <c r="D15" s="12">
        <f>SUM(D10:D14)</f>
        <v>0</v>
      </c>
      <c r="E15" s="44">
        <v>0</v>
      </c>
      <c r="F15" s="12">
        <f>SUM(F10:F14)</f>
        <v>0</v>
      </c>
      <c r="G15" s="44">
        <v>0</v>
      </c>
      <c r="H15" s="12">
        <f>SUM(H10:H14)</f>
        <v>0</v>
      </c>
      <c r="I15" s="47">
        <f t="shared" si="0"/>
        <v>0.51872396533474374</v>
      </c>
      <c r="J15" s="12">
        <f>SUM(J10:J14)</f>
        <v>738318.5</v>
      </c>
      <c r="K15" s="47">
        <f t="shared" si="1"/>
        <v>4.4915227131393981E-2</v>
      </c>
      <c r="L15" s="12">
        <f>SUM(L10:L14)</f>
        <v>706582.2</v>
      </c>
      <c r="M15" s="47">
        <f>+(L15-N15)/ABS(N15)</f>
        <v>0.1898654454942518</v>
      </c>
      <c r="N15" s="12">
        <f>SUM(N10:N14)</f>
        <v>593833.70000000007</v>
      </c>
      <c r="O15" s="113">
        <f>+(N15-P15)/ABS(P15)</f>
        <v>-0.18732456308104486</v>
      </c>
      <c r="P15" s="12">
        <f>SUM(P10:P14)</f>
        <v>730714.46855999995</v>
      </c>
    </row>
    <row r="16" spans="1:21" ht="7.9" customHeight="1">
      <c r="A16" s="1"/>
      <c r="C16" s="44" t="s">
        <v>0</v>
      </c>
      <c r="E16" s="44" t="s">
        <v>0</v>
      </c>
      <c r="G16" s="44" t="s">
        <v>0</v>
      </c>
      <c r="I16" s="47" t="s">
        <v>0</v>
      </c>
      <c r="K16" s="47" t="s">
        <v>0</v>
      </c>
      <c r="M16" s="47" t="s">
        <v>0</v>
      </c>
      <c r="O16" s="47" t="s">
        <v>0</v>
      </c>
    </row>
    <row r="17" spans="1:16" ht="15.6" customHeight="1">
      <c r="A17" s="1" t="s">
        <v>270</v>
      </c>
      <c r="B17" s="12">
        <v>270000</v>
      </c>
      <c r="C17" s="44">
        <v>0</v>
      </c>
      <c r="D17" s="12">
        <v>0</v>
      </c>
      <c r="E17" s="44">
        <v>0</v>
      </c>
      <c r="F17" s="12">
        <v>0</v>
      </c>
      <c r="G17" s="44">
        <v>0</v>
      </c>
      <c r="H17" s="12">
        <v>0</v>
      </c>
      <c r="I17" s="47">
        <f t="shared" ref="I17:I22" si="2">+(B17-J17)/ABS(J17)</f>
        <v>-0.32500000000000001</v>
      </c>
      <c r="J17" s="12">
        <v>400000</v>
      </c>
      <c r="K17" s="47">
        <f t="shared" ref="K17:K22" si="3">+(J17-L17)/ABS(L17)</f>
        <v>1.1052631578947369</v>
      </c>
      <c r="L17" s="12">
        <v>190000</v>
      </c>
      <c r="M17" s="44">
        <v>0</v>
      </c>
      <c r="N17" s="12">
        <v>0</v>
      </c>
      <c r="O17" s="44">
        <v>0</v>
      </c>
      <c r="P17" s="12">
        <v>0</v>
      </c>
    </row>
    <row r="18" spans="1:16">
      <c r="A18" s="1" t="s">
        <v>271</v>
      </c>
      <c r="B18" s="12">
        <v>583444.80000000005</v>
      </c>
      <c r="C18" s="44">
        <v>0</v>
      </c>
      <c r="D18" s="12">
        <v>0</v>
      </c>
      <c r="E18" s="44">
        <v>0</v>
      </c>
      <c r="F18" s="12">
        <v>0</v>
      </c>
      <c r="G18" s="44">
        <v>0</v>
      </c>
      <c r="H18" s="12">
        <v>0</v>
      </c>
      <c r="I18" s="47">
        <f t="shared" si="2"/>
        <v>7.5049022082693317E-2</v>
      </c>
      <c r="J18" s="12">
        <v>542714.6</v>
      </c>
      <c r="K18" s="47">
        <f t="shared" si="3"/>
        <v>6.2163569180666629E-2</v>
      </c>
      <c r="L18" s="12">
        <f>456567.2+54384.8</f>
        <v>510952</v>
      </c>
      <c r="M18" s="47">
        <f>+(L18-N18)/ABS(N18)</f>
        <v>-7.9557317351073784E-2</v>
      </c>
      <c r="N18" s="12">
        <v>555115.5</v>
      </c>
      <c r="O18" s="113">
        <f>+(N18-P18)/ABS(P18)</f>
        <v>0.41628436378174349</v>
      </c>
      <c r="P18" s="12">
        <f>391952007.8/1000</f>
        <v>391952.00780000002</v>
      </c>
    </row>
    <row r="19" spans="1:16">
      <c r="A19" s="1" t="s">
        <v>272</v>
      </c>
      <c r="B19" s="12">
        <v>1489899</v>
      </c>
      <c r="C19" s="44">
        <v>0</v>
      </c>
      <c r="D19" s="12">
        <v>0</v>
      </c>
      <c r="E19" s="44">
        <v>0</v>
      </c>
      <c r="F19" s="12">
        <v>0</v>
      </c>
      <c r="G19" s="44">
        <v>0</v>
      </c>
      <c r="H19" s="12">
        <v>0</v>
      </c>
      <c r="I19" s="47">
        <f t="shared" si="2"/>
        <v>-1.2258438553172109E-2</v>
      </c>
      <c r="J19" s="12">
        <v>1508389.5</v>
      </c>
      <c r="K19" s="47">
        <f t="shared" si="3"/>
        <v>0.20727969753447179</v>
      </c>
      <c r="L19" s="12">
        <v>1249411.8</v>
      </c>
      <c r="M19" s="47">
        <f>+(L19-N19)/ABS(N19)</f>
        <v>0.34988057656448385</v>
      </c>
      <c r="N19" s="12">
        <v>925572.1</v>
      </c>
      <c r="O19" s="113">
        <f>+(N19-P19)/ABS(P19)</f>
        <v>0.79538041259121239</v>
      </c>
      <c r="P19" s="12">
        <f>515529797.2/1000</f>
        <v>515529.79719999997</v>
      </c>
    </row>
    <row r="20" spans="1:16">
      <c r="A20" s="1" t="s">
        <v>273</v>
      </c>
      <c r="B20" s="12">
        <v>139126.29999999999</v>
      </c>
      <c r="C20" s="44">
        <v>0</v>
      </c>
      <c r="D20" s="12">
        <v>0</v>
      </c>
      <c r="E20" s="44">
        <v>0</v>
      </c>
      <c r="F20" s="12">
        <v>0</v>
      </c>
      <c r="G20" s="44">
        <v>0</v>
      </c>
      <c r="H20" s="12">
        <v>0</v>
      </c>
      <c r="I20" s="47">
        <f t="shared" si="2"/>
        <v>0.10214675981782749</v>
      </c>
      <c r="J20" s="12">
        <v>126232.1</v>
      </c>
      <c r="K20" s="47">
        <f t="shared" si="3"/>
        <v>0.22451650203274315</v>
      </c>
      <c r="L20" s="12">
        <v>103087.3</v>
      </c>
      <c r="M20" s="47">
        <f>+(L20-N20)/ABS(N20)</f>
        <v>0.48318727438316428</v>
      </c>
      <c r="N20" s="12">
        <v>69503.899999999994</v>
      </c>
      <c r="O20" s="113">
        <f>+(N20-P20)/ABS(P20)</f>
        <v>0.19114942450758265</v>
      </c>
      <c r="P20" s="12">
        <f>58350277.95/1000</f>
        <v>58350.277950000003</v>
      </c>
    </row>
    <row r="21" spans="1:16" ht="16.5" thickBot="1">
      <c r="A21" s="1" t="s">
        <v>274</v>
      </c>
      <c r="B21" s="99">
        <v>138314.6</v>
      </c>
      <c r="C21" s="44">
        <v>0</v>
      </c>
      <c r="D21" s="99">
        <v>0</v>
      </c>
      <c r="E21" s="44">
        <v>0</v>
      </c>
      <c r="F21" s="99">
        <v>0</v>
      </c>
      <c r="G21" s="44">
        <v>0</v>
      </c>
      <c r="H21" s="99">
        <v>0</v>
      </c>
      <c r="I21" s="47">
        <f t="shared" si="2"/>
        <v>0.62338031210681488</v>
      </c>
      <c r="J21" s="99">
        <v>85201.600000000006</v>
      </c>
      <c r="K21" s="47">
        <f t="shared" si="3"/>
        <v>-4.1627672593765618E-2</v>
      </c>
      <c r="L21" s="99">
        <v>88902.399999999994</v>
      </c>
      <c r="M21" s="47">
        <f>+(L21-N21)/ABS(N21)</f>
        <v>-0.29213720224185008</v>
      </c>
      <c r="N21" s="99">
        <v>125592.7</v>
      </c>
      <c r="O21" s="113">
        <f>+(N21-P21)/ABS(P21)</f>
        <v>1.8023012847735651</v>
      </c>
      <c r="P21" s="99">
        <f>44817700.61/1000</f>
        <v>44817.70061</v>
      </c>
    </row>
    <row r="22" spans="1:16">
      <c r="A22" s="1" t="s">
        <v>275</v>
      </c>
      <c r="B22" s="4">
        <f>SUM(B15:B21)</f>
        <v>3742086.6999999997</v>
      </c>
      <c r="C22" s="44">
        <v>0</v>
      </c>
      <c r="D22" s="4">
        <f>SUM(D15:D21)</f>
        <v>0</v>
      </c>
      <c r="E22" s="44">
        <v>0</v>
      </c>
      <c r="F22" s="4">
        <f>SUM(F15:F21)</f>
        <v>0</v>
      </c>
      <c r="G22" s="44">
        <v>0</v>
      </c>
      <c r="H22" s="4">
        <f>SUM(H15:H21)</f>
        <v>0</v>
      </c>
      <c r="I22" s="47">
        <f t="shared" si="2"/>
        <v>0.10033661228203009</v>
      </c>
      <c r="J22" s="4">
        <f>SUM(J15:J21)</f>
        <v>3400856.3000000003</v>
      </c>
      <c r="K22" s="47">
        <f t="shared" si="3"/>
        <v>0.19372869664977016</v>
      </c>
      <c r="L22" s="4">
        <f>SUM(L15:L21)</f>
        <v>2848935.6999999997</v>
      </c>
      <c r="M22" s="47">
        <f>+(L22-N22)/ABS(N22)</f>
        <v>0.25524904434354312</v>
      </c>
      <c r="N22" s="4">
        <f>SUM(N15:N21)</f>
        <v>2269617.9000000004</v>
      </c>
      <c r="O22" s="113">
        <f>+(N22-P22)/ABS(P22)</f>
        <v>0.30335620318200823</v>
      </c>
      <c r="P22" s="4">
        <f>SUM(P15:P21)</f>
        <v>1741364.2521199998</v>
      </c>
    </row>
    <row r="23" spans="1:16" ht="7.9" customHeight="1">
      <c r="A23" s="1"/>
      <c r="C23" s="44" t="s">
        <v>0</v>
      </c>
      <c r="E23" s="44" t="s">
        <v>0</v>
      </c>
      <c r="G23" s="44" t="s">
        <v>0</v>
      </c>
      <c r="I23" s="47" t="s">
        <v>0</v>
      </c>
      <c r="K23" s="47" t="s">
        <v>0</v>
      </c>
      <c r="M23" s="47" t="s">
        <v>0</v>
      </c>
      <c r="O23" s="47" t="s">
        <v>0</v>
      </c>
    </row>
    <row r="24" spans="1:16">
      <c r="A24" s="87" t="s">
        <v>276</v>
      </c>
      <c r="C24" s="44" t="s">
        <v>0</v>
      </c>
      <c r="E24" s="44" t="s">
        <v>0</v>
      </c>
      <c r="G24" s="44" t="s">
        <v>0</v>
      </c>
      <c r="I24" s="47" t="s">
        <v>0</v>
      </c>
      <c r="K24" s="47" t="s">
        <v>0</v>
      </c>
      <c r="M24" s="47" t="s">
        <v>0</v>
      </c>
      <c r="O24" s="47" t="s">
        <v>0</v>
      </c>
    </row>
    <row r="25" spans="1:16">
      <c r="A25" s="1" t="s">
        <v>277</v>
      </c>
      <c r="C25" s="44" t="s">
        <v>0</v>
      </c>
      <c r="E25" s="44" t="s">
        <v>0</v>
      </c>
      <c r="G25" s="44" t="s">
        <v>0</v>
      </c>
      <c r="I25" s="47" t="s">
        <v>0</v>
      </c>
      <c r="K25" s="47" t="s">
        <v>0</v>
      </c>
      <c r="M25" s="47" t="s">
        <v>0</v>
      </c>
      <c r="O25" s="47" t="s">
        <v>0</v>
      </c>
    </row>
    <row r="26" spans="1:16">
      <c r="A26" s="1" t="s">
        <v>278</v>
      </c>
      <c r="B26" s="12">
        <v>829983.4</v>
      </c>
      <c r="C26" s="44">
        <v>0</v>
      </c>
      <c r="D26" s="12">
        <v>0</v>
      </c>
      <c r="E26" s="44">
        <v>0</v>
      </c>
      <c r="F26" s="12">
        <v>0</v>
      </c>
      <c r="G26" s="44">
        <v>0</v>
      </c>
      <c r="H26" s="12">
        <v>0</v>
      </c>
      <c r="I26" s="47">
        <f>+(B26-J26)/ABS(J26)</f>
        <v>-6.5419152692057669E-2</v>
      </c>
      <c r="J26" s="12">
        <v>888080.9</v>
      </c>
      <c r="K26" s="47">
        <f>+(J26-L26)/ABS(L26)</f>
        <v>0.54189679434480997</v>
      </c>
      <c r="L26" s="12">
        <v>575966.5</v>
      </c>
      <c r="M26" s="47">
        <f>+(L26-N26)/ABS(N26)</f>
        <v>0.15897563132128689</v>
      </c>
      <c r="N26" s="12">
        <v>496961.7</v>
      </c>
      <c r="O26" s="113">
        <f>+(N26-P26)/ABS(P26)</f>
        <v>0.20370856124705083</v>
      </c>
      <c r="P26" s="12">
        <f>412858823.14/1000</f>
        <v>412858.82313999999</v>
      </c>
    </row>
    <row r="27" spans="1:16">
      <c r="A27" s="1" t="s">
        <v>279</v>
      </c>
      <c r="B27" s="12">
        <v>1528320.2</v>
      </c>
      <c r="C27" s="44">
        <v>0</v>
      </c>
      <c r="D27" s="12">
        <v>0</v>
      </c>
      <c r="E27" s="44">
        <v>0</v>
      </c>
      <c r="F27" s="12">
        <v>0</v>
      </c>
      <c r="G27" s="44">
        <v>0</v>
      </c>
      <c r="H27" s="12">
        <v>0</v>
      </c>
      <c r="I27" s="47">
        <f>+(B27-J27)/ABS(J27)</f>
        <v>6.7205846504128239E-2</v>
      </c>
      <c r="J27" s="12">
        <v>1432076.3</v>
      </c>
      <c r="K27" s="47">
        <f>+(J27-L27)/ABS(L27)</f>
        <v>0.35119753408266069</v>
      </c>
      <c r="L27" s="12">
        <v>1059857.1000000001</v>
      </c>
      <c r="M27" s="47">
        <f>+(L27-N27)/ABS(N27)</f>
        <v>0.21862015202611429</v>
      </c>
      <c r="N27" s="12">
        <v>869719</v>
      </c>
      <c r="O27" s="113">
        <f>+(N27-P27)/ABS(P27)</f>
        <v>0.40434934052722482</v>
      </c>
      <c r="P27" s="12">
        <f>619303883.23/1000</f>
        <v>619303.88323000004</v>
      </c>
    </row>
    <row r="28" spans="1:16">
      <c r="A28" s="1" t="s">
        <v>280</v>
      </c>
      <c r="B28" s="221">
        <v>1013089.4</v>
      </c>
      <c r="C28" s="44">
        <v>0</v>
      </c>
      <c r="D28" s="221">
        <v>0</v>
      </c>
      <c r="E28" s="44">
        <v>0</v>
      </c>
      <c r="F28" s="221">
        <v>0</v>
      </c>
      <c r="G28" s="44">
        <v>0</v>
      </c>
      <c r="H28" s="221">
        <v>0</v>
      </c>
      <c r="I28" s="47">
        <f>+(B28-J28)/ABS(J28)</f>
        <v>0.3708203141702438</v>
      </c>
      <c r="J28" s="221">
        <v>739038.8</v>
      </c>
      <c r="K28" s="47">
        <f>+(J28-L28)/ABS(L28)</f>
        <v>-0.17018863238322104</v>
      </c>
      <c r="L28" s="221">
        <v>890610.6</v>
      </c>
      <c r="M28" s="47">
        <f>+(L28-N28)/ABS(N28)</f>
        <v>0.4325797178659031</v>
      </c>
      <c r="N28" s="221">
        <v>621683.1</v>
      </c>
      <c r="O28" s="113">
        <f>+(N28-P28)/ABS(P28)</f>
        <v>0.49158298437899867</v>
      </c>
      <c r="P28" s="221">
        <f>416794175.39/1000</f>
        <v>416794.17538999999</v>
      </c>
    </row>
    <row r="29" spans="1:16">
      <c r="A29" s="1"/>
      <c r="B29" s="12">
        <f>SUM(B26:B28)</f>
        <v>3371393</v>
      </c>
      <c r="C29" s="44">
        <v>0</v>
      </c>
      <c r="D29" s="12">
        <f>SUM(D26:D28)</f>
        <v>0</v>
      </c>
      <c r="E29" s="44">
        <v>0</v>
      </c>
      <c r="F29" s="12">
        <f>SUM(F26:F28)</f>
        <v>0</v>
      </c>
      <c r="G29" s="44">
        <v>0</v>
      </c>
      <c r="H29" s="12">
        <f>SUM(H26:H28)</f>
        <v>0</v>
      </c>
      <c r="I29" s="47">
        <f>+(B29-J29)/ABS(J29)</f>
        <v>0.10205197705540933</v>
      </c>
      <c r="J29" s="12">
        <f>SUM(J26:J28)</f>
        <v>3059196</v>
      </c>
      <c r="K29" s="47">
        <f>+(J29-L29)/ABS(L29)</f>
        <v>0.21087499527990863</v>
      </c>
      <c r="L29" s="12">
        <f>SUM(L26:L28)</f>
        <v>2526434.2000000002</v>
      </c>
      <c r="M29" s="47">
        <f>+(L29-N29)/ABS(N29)</f>
        <v>0.27060963391105813</v>
      </c>
      <c r="N29" s="12">
        <f>SUM(N26:N28)</f>
        <v>1988363.7999999998</v>
      </c>
      <c r="O29" s="113">
        <f>+(N29-P29)/ABS(P29)</f>
        <v>0.3722725810755666</v>
      </c>
      <c r="P29" s="12">
        <f>SUM(P26:P28)</f>
        <v>1448956.88176</v>
      </c>
    </row>
    <row r="30" spans="1:16" ht="7.9" customHeight="1">
      <c r="A30" s="1"/>
      <c r="C30" s="44" t="s">
        <v>0</v>
      </c>
      <c r="E30" s="44" t="s">
        <v>0</v>
      </c>
      <c r="G30" s="44" t="s">
        <v>0</v>
      </c>
      <c r="I30" s="47" t="s">
        <v>0</v>
      </c>
      <c r="K30" s="47" t="s">
        <v>0</v>
      </c>
      <c r="M30" s="47" t="s">
        <v>0</v>
      </c>
      <c r="O30" s="47" t="s">
        <v>0</v>
      </c>
    </row>
    <row r="31" spans="1:16">
      <c r="A31" s="1" t="s">
        <v>281</v>
      </c>
      <c r="C31" s="44" t="s">
        <v>0</v>
      </c>
      <c r="E31" s="44" t="s">
        <v>0</v>
      </c>
      <c r="G31" s="44" t="s">
        <v>0</v>
      </c>
      <c r="I31" s="47" t="s">
        <v>0</v>
      </c>
      <c r="K31" s="47" t="s">
        <v>0</v>
      </c>
      <c r="M31" s="47" t="s">
        <v>0</v>
      </c>
      <c r="O31" s="47" t="s">
        <v>0</v>
      </c>
    </row>
    <row r="32" spans="1:16">
      <c r="A32" s="1" t="s">
        <v>282</v>
      </c>
      <c r="B32" s="12">
        <f>+B141</f>
        <v>0</v>
      </c>
      <c r="C32" s="44">
        <v>0</v>
      </c>
      <c r="D32" s="12">
        <f>+D141</f>
        <v>0</v>
      </c>
      <c r="E32" s="44">
        <v>0</v>
      </c>
      <c r="F32" s="12">
        <f>+F141</f>
        <v>0</v>
      </c>
      <c r="G32" s="44">
        <v>0</v>
      </c>
      <c r="H32" s="12">
        <f>+H141</f>
        <v>0</v>
      </c>
      <c r="I32" s="44">
        <v>0</v>
      </c>
      <c r="J32" s="12">
        <f>+J141</f>
        <v>0</v>
      </c>
      <c r="K32" s="44">
        <v>0</v>
      </c>
      <c r="L32" s="12">
        <f>+L141</f>
        <v>0</v>
      </c>
      <c r="M32" s="208">
        <v>0</v>
      </c>
      <c r="N32" s="12">
        <v>0</v>
      </c>
      <c r="O32" s="208">
        <v>0</v>
      </c>
      <c r="P32" s="12">
        <v>0</v>
      </c>
    </row>
    <row r="33" spans="1:21">
      <c r="A33" s="1" t="s">
        <v>283</v>
      </c>
      <c r="B33" s="12">
        <f>+B142</f>
        <v>0</v>
      </c>
      <c r="C33" s="44">
        <v>0</v>
      </c>
      <c r="D33" s="12">
        <f>+D142</f>
        <v>0</v>
      </c>
      <c r="E33" s="44">
        <v>0</v>
      </c>
      <c r="F33" s="12">
        <f>+F142</f>
        <v>0</v>
      </c>
      <c r="G33" s="44">
        <v>0</v>
      </c>
      <c r="H33" s="12">
        <f>+H142</f>
        <v>0</v>
      </c>
      <c r="I33" s="44">
        <v>0</v>
      </c>
      <c r="J33" s="12">
        <f>+J142</f>
        <v>0</v>
      </c>
      <c r="K33" s="44">
        <v>0</v>
      </c>
      <c r="L33" s="12">
        <f>+L142</f>
        <v>0</v>
      </c>
      <c r="M33" s="208">
        <v>0</v>
      </c>
      <c r="N33" s="12">
        <v>0</v>
      </c>
      <c r="O33" s="208">
        <v>0</v>
      </c>
      <c r="P33" s="12">
        <v>0</v>
      </c>
    </row>
    <row r="34" spans="1:21" ht="18">
      <c r="A34" s="1" t="s">
        <v>284</v>
      </c>
      <c r="B34" s="221">
        <v>88075.8</v>
      </c>
      <c r="C34" s="44">
        <v>0</v>
      </c>
      <c r="D34" s="221">
        <v>0</v>
      </c>
      <c r="E34" s="44">
        <v>0</v>
      </c>
      <c r="F34" s="221">
        <v>0</v>
      </c>
      <c r="G34" s="44">
        <v>0</v>
      </c>
      <c r="H34" s="221">
        <v>0</v>
      </c>
      <c r="I34" s="47">
        <f>+(B34-J34)/ABS(J34)</f>
        <v>-4.8566678585355939E-2</v>
      </c>
      <c r="J34" s="221">
        <v>92571.7</v>
      </c>
      <c r="K34" s="47">
        <f>+(J34-L34)/ABS(L34)</f>
        <v>-5.1809947567292368E-2</v>
      </c>
      <c r="L34" s="221">
        <v>97629.9</v>
      </c>
      <c r="M34" s="47">
        <f>+(L34-N34)/ABS(N34)</f>
        <v>0.54295562516396778</v>
      </c>
      <c r="N34" s="221">
        <v>63274.6</v>
      </c>
      <c r="O34" s="113">
        <f>+(N34-P34)/ABS(P34)</f>
        <v>-0.65568915637584846</v>
      </c>
      <c r="P34" s="221">
        <f>183771731.77/1000</f>
        <v>183771.73177000001</v>
      </c>
      <c r="Q34" s="6"/>
      <c r="R34" s="6"/>
      <c r="S34" s="7"/>
      <c r="T34" s="7"/>
      <c r="U34" s="7"/>
    </row>
    <row r="35" spans="1:21">
      <c r="A35" s="1"/>
      <c r="B35" s="12">
        <f>SUM(B32:B34)</f>
        <v>88075.8</v>
      </c>
      <c r="C35" s="44">
        <v>0</v>
      </c>
      <c r="D35" s="12">
        <f>SUM(D32:D34)</f>
        <v>0</v>
      </c>
      <c r="E35" s="44">
        <v>0</v>
      </c>
      <c r="F35" s="12">
        <f>SUM(F32:F34)</f>
        <v>0</v>
      </c>
      <c r="G35" s="44">
        <v>0</v>
      </c>
      <c r="H35" s="12">
        <f>SUM(H32:H34)</f>
        <v>0</v>
      </c>
      <c r="I35" s="47">
        <f>+(B35-J35)/ABS(J35)</f>
        <v>-4.8566678585355939E-2</v>
      </c>
      <c r="J35" s="12">
        <f>SUM(J32:J34)</f>
        <v>92571.7</v>
      </c>
      <c r="K35" s="47">
        <f>+(J35-L35)/ABS(L35)</f>
        <v>-5.1809947567292368E-2</v>
      </c>
      <c r="L35" s="12">
        <f>SUM(L32:L34)</f>
        <v>97629.9</v>
      </c>
      <c r="M35" s="47">
        <f>+(L35-N35)/ABS(N35)</f>
        <v>0.54295562516396778</v>
      </c>
      <c r="N35" s="12">
        <f>SUM(N32:N34)</f>
        <v>63274.6</v>
      </c>
      <c r="O35" s="113">
        <f>+(N35-P35)/ABS(P35)</f>
        <v>-0.65568915637584846</v>
      </c>
      <c r="P35" s="12">
        <f>SUM(P32:P34)</f>
        <v>183771.73177000001</v>
      </c>
    </row>
    <row r="36" spans="1:21" ht="7.15" customHeight="1">
      <c r="A36" s="1"/>
      <c r="C36" s="44" t="s">
        <v>0</v>
      </c>
      <c r="E36" s="44" t="s">
        <v>0</v>
      </c>
      <c r="G36" s="44" t="s">
        <v>0</v>
      </c>
      <c r="I36" s="47" t="s">
        <v>0</v>
      </c>
      <c r="K36" s="47" t="s">
        <v>0</v>
      </c>
      <c r="M36" s="47" t="s">
        <v>0</v>
      </c>
      <c r="O36" s="47" t="s">
        <v>0</v>
      </c>
    </row>
    <row r="37" spans="1:21">
      <c r="A37" s="1" t="s">
        <v>285</v>
      </c>
      <c r="C37" s="44" t="s">
        <v>0</v>
      </c>
      <c r="E37" s="44" t="s">
        <v>0</v>
      </c>
      <c r="G37" s="44" t="s">
        <v>0</v>
      </c>
      <c r="I37" s="47" t="s">
        <v>0</v>
      </c>
      <c r="K37" s="47" t="s">
        <v>0</v>
      </c>
      <c r="M37" s="47" t="s">
        <v>0</v>
      </c>
      <c r="O37" s="47" t="s">
        <v>0</v>
      </c>
    </row>
    <row r="38" spans="1:21">
      <c r="A38" s="1" t="s">
        <v>282</v>
      </c>
      <c r="B38" s="12">
        <v>0</v>
      </c>
      <c r="C38" s="44">
        <v>0</v>
      </c>
      <c r="D38" s="12">
        <f>+D149</f>
        <v>0</v>
      </c>
      <c r="E38" s="44">
        <v>0</v>
      </c>
      <c r="F38" s="12">
        <f>+F149</f>
        <v>0</v>
      </c>
      <c r="G38" s="44">
        <v>0</v>
      </c>
      <c r="H38" s="12">
        <f>+H149</f>
        <v>0</v>
      </c>
      <c r="I38" s="44">
        <v>0</v>
      </c>
      <c r="J38" s="12">
        <f>+J149</f>
        <v>0</v>
      </c>
      <c r="K38" s="44">
        <v>0</v>
      </c>
      <c r="L38" s="12">
        <f>+L149</f>
        <v>0</v>
      </c>
      <c r="M38" s="208">
        <v>0</v>
      </c>
      <c r="N38" s="12">
        <v>0</v>
      </c>
      <c r="O38" s="208">
        <v>0</v>
      </c>
      <c r="P38" s="12">
        <v>0</v>
      </c>
    </row>
    <row r="39" spans="1:21">
      <c r="A39" s="1" t="s">
        <v>286</v>
      </c>
      <c r="B39" s="12">
        <f>+B150</f>
        <v>0</v>
      </c>
      <c r="C39" s="44">
        <v>0</v>
      </c>
      <c r="D39" s="12">
        <f>+D150</f>
        <v>0</v>
      </c>
      <c r="E39" s="44">
        <v>0</v>
      </c>
      <c r="F39" s="12">
        <f>+F150</f>
        <v>0</v>
      </c>
      <c r="G39" s="44">
        <v>0</v>
      </c>
      <c r="H39" s="12">
        <f>+H150</f>
        <v>0</v>
      </c>
      <c r="I39" s="44">
        <v>0</v>
      </c>
      <c r="J39" s="12">
        <f>+J150</f>
        <v>0</v>
      </c>
      <c r="K39" s="44">
        <v>0</v>
      </c>
      <c r="L39" s="12">
        <f>+L150</f>
        <v>0</v>
      </c>
      <c r="M39" s="208">
        <v>0</v>
      </c>
      <c r="N39" s="12">
        <v>0</v>
      </c>
      <c r="O39" s="208">
        <v>0</v>
      </c>
      <c r="P39" s="12">
        <v>0</v>
      </c>
    </row>
    <row r="40" spans="1:21">
      <c r="A40" s="1" t="s">
        <v>284</v>
      </c>
      <c r="B40" s="221">
        <v>41665.4</v>
      </c>
      <c r="C40" s="44">
        <v>0</v>
      </c>
      <c r="D40" s="221">
        <v>0</v>
      </c>
      <c r="E40" s="44">
        <v>0</v>
      </c>
      <c r="F40" s="221">
        <v>0</v>
      </c>
      <c r="G40" s="44">
        <v>0</v>
      </c>
      <c r="H40" s="221">
        <v>0</v>
      </c>
      <c r="I40" s="47">
        <f>+(B40-J40)/ABS(J40)</f>
        <v>0.16010814392831993</v>
      </c>
      <c r="J40" s="221">
        <v>35915.1</v>
      </c>
      <c r="K40" s="47">
        <f>+(J40-L40)/ABS(L40)</f>
        <v>0.12818877751356239</v>
      </c>
      <c r="L40" s="221">
        <v>31834.3</v>
      </c>
      <c r="M40" s="47">
        <f>+(L40-N40)/ABS(N40)</f>
        <v>0.38706711748610073</v>
      </c>
      <c r="N40" s="221">
        <v>22950.799999999999</v>
      </c>
      <c r="O40" s="113">
        <f>+(N40-P40)/ABS(P40)</f>
        <v>1.1319645222145933</v>
      </c>
      <c r="P40" s="221">
        <f>10765094.71/1000</f>
        <v>10765.094710000001</v>
      </c>
    </row>
    <row r="41" spans="1:21">
      <c r="A41" s="1"/>
      <c r="B41" s="12">
        <f>SUM(B38:B40)</f>
        <v>41665.4</v>
      </c>
      <c r="C41" s="44">
        <v>0</v>
      </c>
      <c r="D41" s="12">
        <f>SUM(D38:D40)</f>
        <v>0</v>
      </c>
      <c r="E41" s="44">
        <v>0</v>
      </c>
      <c r="F41" s="12">
        <f>SUM(F38:F40)</f>
        <v>0</v>
      </c>
      <c r="G41" s="44">
        <v>0</v>
      </c>
      <c r="H41" s="12">
        <f>SUM(H38:H40)</f>
        <v>0</v>
      </c>
      <c r="I41" s="47">
        <f>+(B41-J41)/ABS(J41)</f>
        <v>0.16010814392831993</v>
      </c>
      <c r="J41" s="12">
        <f>SUM(J38:J40)</f>
        <v>35915.1</v>
      </c>
      <c r="K41" s="47">
        <f>+(J41-L41)/ABS(L41)</f>
        <v>0.12818877751356239</v>
      </c>
      <c r="L41" s="12">
        <f>SUM(L38:L40)</f>
        <v>31834.3</v>
      </c>
      <c r="M41" s="47">
        <f>+(L41-N41)/ABS(N41)</f>
        <v>0.38706711748610073</v>
      </c>
      <c r="N41" s="12">
        <f>SUM(N38:N40)</f>
        <v>22950.799999999999</v>
      </c>
      <c r="O41" s="113">
        <f>+(N41-P41)/ABS(P41)</f>
        <v>1.1319645222145933</v>
      </c>
      <c r="P41" s="12">
        <f>SUM(P38:P40)</f>
        <v>10765.094710000001</v>
      </c>
    </row>
    <row r="42" spans="1:21" ht="8.4499999999999993" customHeight="1">
      <c r="A42" s="1"/>
      <c r="C42" s="44" t="s">
        <v>0</v>
      </c>
      <c r="E42" s="44" t="s">
        <v>0</v>
      </c>
      <c r="G42" s="44" t="s">
        <v>0</v>
      </c>
      <c r="I42" s="47" t="s">
        <v>0</v>
      </c>
      <c r="K42" s="47" t="s">
        <v>0</v>
      </c>
      <c r="M42" s="47" t="s">
        <v>0</v>
      </c>
      <c r="O42" s="44" t="s">
        <v>0</v>
      </c>
    </row>
    <row r="43" spans="1:21" ht="18">
      <c r="A43" s="1" t="s">
        <v>287</v>
      </c>
      <c r="B43" s="221">
        <v>40857.800000000003</v>
      </c>
      <c r="C43" s="44">
        <v>0</v>
      </c>
      <c r="D43" s="221">
        <v>0</v>
      </c>
      <c r="E43" s="44">
        <v>0</v>
      </c>
      <c r="F43" s="221">
        <v>0</v>
      </c>
      <c r="G43" s="44">
        <v>0</v>
      </c>
      <c r="H43" s="221">
        <v>0</v>
      </c>
      <c r="I43" s="47">
        <f>+(B43-J43)/ABS(J43)</f>
        <v>0.81838330522090164</v>
      </c>
      <c r="J43" s="221">
        <v>22469.3</v>
      </c>
      <c r="K43" s="47">
        <f>+(J43-L43)/ABS(L43)</f>
        <v>-0.58897120696593863</v>
      </c>
      <c r="L43" s="221">
        <v>54666</v>
      </c>
      <c r="M43" s="47">
        <f>+(L43-N43)/ABS(N43)</f>
        <v>-0.41846598676001112</v>
      </c>
      <c r="N43" s="221">
        <v>94003.1</v>
      </c>
      <c r="O43" s="113">
        <f>+(N43-P43)/ABS(P43)</f>
        <v>2.4325367746155826</v>
      </c>
      <c r="P43" s="221">
        <f>27385897.42/1000</f>
        <v>27385.897420000001</v>
      </c>
      <c r="Q43" s="6"/>
      <c r="R43" s="6"/>
    </row>
    <row r="44" spans="1:21">
      <c r="A44" s="1"/>
      <c r="B44" s="12">
        <f>+B29+B35+B41+B43</f>
        <v>3541991.9999999995</v>
      </c>
      <c r="C44" s="44">
        <v>0</v>
      </c>
      <c r="D44" s="12">
        <f>+D29+D35+D41+D43</f>
        <v>0</v>
      </c>
      <c r="E44" s="44">
        <v>0</v>
      </c>
      <c r="F44" s="12">
        <f>+F29+F35+F41+F43</f>
        <v>0</v>
      </c>
      <c r="G44" s="44">
        <v>0</v>
      </c>
      <c r="H44" s="12">
        <f>+H29+H35+H41+H43</f>
        <v>0</v>
      </c>
      <c r="I44" s="47">
        <f>+(B44-J44)/ABS(J44)</f>
        <v>0.10337201779317541</v>
      </c>
      <c r="J44" s="12">
        <f>+J29+J35+J41+J43</f>
        <v>3210152.1</v>
      </c>
      <c r="K44" s="47">
        <f>+(J44-L44)/ABS(L44)</f>
        <v>0.18431131907435963</v>
      </c>
      <c r="L44" s="12">
        <f>+L29+L35+L41+L43</f>
        <v>2710564.4</v>
      </c>
      <c r="M44" s="47">
        <f>+(L44-N44)/ABS(N44)</f>
        <v>0.24991885288903781</v>
      </c>
      <c r="N44" s="12">
        <f>+N29+N35+N41+N43</f>
        <v>2168592.2999999998</v>
      </c>
      <c r="O44" s="113">
        <f>+(N44-P44)/ABS(P44)</f>
        <v>0.29787465994200246</v>
      </c>
      <c r="P44" s="12">
        <f>+P29+P35+P41+P43</f>
        <v>1670879.6056600001</v>
      </c>
    </row>
    <row r="45" spans="1:21" ht="8.4499999999999993" customHeight="1">
      <c r="A45" s="1"/>
      <c r="C45" s="44" t="s">
        <v>0</v>
      </c>
      <c r="E45" s="44" t="s">
        <v>0</v>
      </c>
      <c r="G45" s="44" t="s">
        <v>0</v>
      </c>
      <c r="I45" s="47" t="s">
        <v>0</v>
      </c>
      <c r="K45" s="47" t="s">
        <v>0</v>
      </c>
      <c r="M45" s="47" t="s">
        <v>0</v>
      </c>
      <c r="O45" s="47" t="s">
        <v>0</v>
      </c>
    </row>
    <row r="46" spans="1:21">
      <c r="A46" s="87" t="s">
        <v>288</v>
      </c>
      <c r="C46" s="44" t="s">
        <v>0</v>
      </c>
      <c r="E46" s="44" t="s">
        <v>0</v>
      </c>
      <c r="G46" s="44" t="s">
        <v>0</v>
      </c>
      <c r="I46" s="47" t="s">
        <v>0</v>
      </c>
      <c r="K46" s="47" t="s">
        <v>0</v>
      </c>
      <c r="M46" s="47" t="s">
        <v>0</v>
      </c>
      <c r="O46" s="47" t="s">
        <v>0</v>
      </c>
    </row>
    <row r="47" spans="1:21">
      <c r="A47" s="1" t="s">
        <v>289</v>
      </c>
      <c r="B47" s="12">
        <v>100000</v>
      </c>
      <c r="C47" s="44">
        <v>0</v>
      </c>
      <c r="D47" s="12">
        <v>0</v>
      </c>
      <c r="E47" s="44">
        <v>0</v>
      </c>
      <c r="F47" s="12">
        <v>0</v>
      </c>
      <c r="G47" s="44">
        <v>0</v>
      </c>
      <c r="H47" s="12">
        <v>0</v>
      </c>
      <c r="I47" s="47">
        <f t="shared" ref="I47:I52" si="4">+(B47-J47)/ABS(J47)</f>
        <v>0</v>
      </c>
      <c r="J47" s="12">
        <v>100000</v>
      </c>
      <c r="K47" s="47">
        <f t="shared" ref="K47:K52" si="5">+(J47-L47)/ABS(L47)</f>
        <v>0.25156288915783576</v>
      </c>
      <c r="L47" s="12">
        <v>79900.100000000006</v>
      </c>
      <c r="M47" s="47">
        <f>+(L47-N47)/ABS(N47)</f>
        <v>0.25778796460567061</v>
      </c>
      <c r="N47" s="12">
        <v>63524.3</v>
      </c>
      <c r="O47" s="113">
        <f>+(N47-P47)/ABS(P47)</f>
        <v>0.17811036618725723</v>
      </c>
      <c r="P47" s="12">
        <f>53920500/1000</f>
        <v>53920.5</v>
      </c>
    </row>
    <row r="48" spans="1:21">
      <c r="A48" s="1" t="s">
        <v>290</v>
      </c>
      <c r="B48" s="12">
        <v>17415.2</v>
      </c>
      <c r="C48" s="44">
        <v>0</v>
      </c>
      <c r="D48" s="12">
        <v>0</v>
      </c>
      <c r="E48" s="44">
        <v>0</v>
      </c>
      <c r="F48" s="12">
        <v>0</v>
      </c>
      <c r="G48" s="44">
        <v>0</v>
      </c>
      <c r="H48" s="12">
        <v>0</v>
      </c>
      <c r="I48" s="47">
        <f t="shared" si="4"/>
        <v>0.32860336133171608</v>
      </c>
      <c r="J48" s="12">
        <v>13107.9</v>
      </c>
      <c r="K48" s="47">
        <f t="shared" si="5"/>
        <v>0.72747400466532242</v>
      </c>
      <c r="L48" s="12">
        <v>7587.9</v>
      </c>
      <c r="M48" s="47">
        <f>+(L48-N48)/ABS(N48)</f>
        <v>-4.9992487980769253E-2</v>
      </c>
      <c r="N48" s="12">
        <v>7987.2</v>
      </c>
      <c r="O48" s="113">
        <f>+(N48-P48)/ABS(P48)</f>
        <v>0.84960673325025515</v>
      </c>
      <c r="P48" s="12">
        <f>4318323.38/1000</f>
        <v>4318.3233799999998</v>
      </c>
    </row>
    <row r="49" spans="1:21">
      <c r="A49" s="1" t="s">
        <v>302</v>
      </c>
      <c r="B49" s="12">
        <v>11786.3</v>
      </c>
      <c r="C49" s="44">
        <v>0</v>
      </c>
      <c r="D49" s="12">
        <v>0</v>
      </c>
      <c r="E49" s="44">
        <v>0</v>
      </c>
      <c r="F49" s="12">
        <v>0</v>
      </c>
      <c r="G49" s="44">
        <v>0</v>
      </c>
      <c r="H49" s="12">
        <v>0</v>
      </c>
      <c r="I49" s="47">
        <f t="shared" si="4"/>
        <v>0</v>
      </c>
      <c r="J49" s="12">
        <v>11786.3</v>
      </c>
      <c r="K49" s="47">
        <f t="shared" si="5"/>
        <v>29.051759306476285</v>
      </c>
      <c r="L49" s="12">
        <v>392.2</v>
      </c>
      <c r="M49" s="208">
        <v>0</v>
      </c>
      <c r="N49" s="12">
        <v>0</v>
      </c>
      <c r="O49" s="208">
        <v>0</v>
      </c>
      <c r="P49" s="12">
        <v>0</v>
      </c>
    </row>
    <row r="50" spans="1:21" ht="18">
      <c r="A50" s="1" t="s">
        <v>292</v>
      </c>
      <c r="B50" s="221">
        <v>70893.2</v>
      </c>
      <c r="C50" s="44">
        <v>0</v>
      </c>
      <c r="D50" s="221">
        <v>0</v>
      </c>
      <c r="E50" s="44">
        <v>0</v>
      </c>
      <c r="F50" s="221">
        <v>0</v>
      </c>
      <c r="G50" s="44">
        <v>0</v>
      </c>
      <c r="H50" s="221">
        <v>0</v>
      </c>
      <c r="I50" s="47">
        <f t="shared" si="4"/>
        <v>7.724054095122318E-2</v>
      </c>
      <c r="J50" s="221">
        <v>65810</v>
      </c>
      <c r="K50" s="47">
        <f t="shared" si="5"/>
        <v>0.30339802460235571</v>
      </c>
      <c r="L50" s="221">
        <f>31500.3+31220.3-12229.5</f>
        <v>50491.1</v>
      </c>
      <c r="M50" s="47">
        <f>+(L50-N50)/ABS(N50)</f>
        <v>0.71074503372964115</v>
      </c>
      <c r="N50" s="221">
        <v>29514.1</v>
      </c>
      <c r="O50" s="113">
        <f>+(N50-P50)/ABS(P50)</f>
        <v>1.4101360771904927</v>
      </c>
      <c r="P50" s="221">
        <f>12245823.08/1000</f>
        <v>12245.82308</v>
      </c>
      <c r="Q50" s="6"/>
      <c r="R50" s="6"/>
      <c r="S50" s="7"/>
      <c r="T50" s="7"/>
      <c r="U50" s="7"/>
    </row>
    <row r="51" spans="1:21" ht="16.5" thickBot="1">
      <c r="A51" s="1" t="s">
        <v>275</v>
      </c>
      <c r="B51" s="76">
        <f>SUM(B47:B50)</f>
        <v>200094.7</v>
      </c>
      <c r="C51" s="44">
        <v>0</v>
      </c>
      <c r="D51" s="76">
        <f>SUM(D47:D50)</f>
        <v>0</v>
      </c>
      <c r="E51" s="44">
        <v>0</v>
      </c>
      <c r="F51" s="76">
        <f>SUM(F47:F50)</f>
        <v>0</v>
      </c>
      <c r="G51" s="44">
        <v>0</v>
      </c>
      <c r="H51" s="76">
        <f>SUM(H47:H50)</f>
        <v>0</v>
      </c>
      <c r="I51" s="47">
        <f t="shared" si="4"/>
        <v>4.9241180844470121E-2</v>
      </c>
      <c r="J51" s="76">
        <f>SUM(J47:J50)</f>
        <v>190704.2</v>
      </c>
      <c r="K51" s="47">
        <f t="shared" si="5"/>
        <v>0.37820631879587768</v>
      </c>
      <c r="L51" s="76">
        <f>SUM(L47:L50)</f>
        <v>138371.29999999999</v>
      </c>
      <c r="M51" s="47">
        <f>+(L51-N51)/ABS(N51)</f>
        <v>0.36966570849368852</v>
      </c>
      <c r="N51" s="76">
        <f>SUM(N47:N50)</f>
        <v>101025.60000000001</v>
      </c>
      <c r="O51" s="113">
        <f>+(N51-P51)/ABS(P51)</f>
        <v>0.43329937899783572</v>
      </c>
      <c r="P51" s="76">
        <f>SUM(P47:P50)</f>
        <v>70484.646460000004</v>
      </c>
    </row>
    <row r="52" spans="1:21">
      <c r="A52" s="1" t="s">
        <v>0</v>
      </c>
      <c r="B52" s="4">
        <f>+B29+B35+B41+B43+B51</f>
        <v>3742086.6999999997</v>
      </c>
      <c r="C52" s="44">
        <v>0</v>
      </c>
      <c r="D52" s="4">
        <f>+D29+D35+D41+D43+D51</f>
        <v>0</v>
      </c>
      <c r="E52" s="44">
        <v>0</v>
      </c>
      <c r="F52" s="4">
        <f>+F29+F35+F41+F43+F51</f>
        <v>0</v>
      </c>
      <c r="G52" s="44">
        <v>0</v>
      </c>
      <c r="H52" s="4">
        <f>+H29+H35+H41+H43+H51</f>
        <v>0</v>
      </c>
      <c r="I52" s="47">
        <f t="shared" si="4"/>
        <v>0.10033661228203009</v>
      </c>
      <c r="J52" s="4">
        <f>+J29+J35+J41+J43+J51</f>
        <v>3400856.3000000003</v>
      </c>
      <c r="K52" s="47">
        <f t="shared" si="5"/>
        <v>0.19372869664977016</v>
      </c>
      <c r="L52" s="4">
        <f>+L29+L35+L41+L43+L51</f>
        <v>2848935.6999999997</v>
      </c>
      <c r="M52" s="47">
        <f>+(L52-N52)/ABS(N52)</f>
        <v>0.2552490443435434</v>
      </c>
      <c r="N52" s="4">
        <f>+N29+N35+N41+N43+N51</f>
        <v>2269617.9</v>
      </c>
      <c r="O52" s="113">
        <f>+(N52-P52)/ABS(P52)</f>
        <v>0.30335620318200784</v>
      </c>
      <c r="P52" s="4">
        <f>+P29+P35+P41+P43+P51</f>
        <v>1741364.2521200001</v>
      </c>
    </row>
    <row r="55" spans="1:21">
      <c r="A55" s="185" t="s">
        <v>293</v>
      </c>
    </row>
    <row r="56" spans="1:21">
      <c r="A56" t="s">
        <v>294</v>
      </c>
      <c r="B56" s="12">
        <v>4082.4</v>
      </c>
      <c r="C56" s="43"/>
      <c r="D56" s="12">
        <v>0</v>
      </c>
      <c r="E56" s="43"/>
      <c r="F56" s="12">
        <v>0</v>
      </c>
      <c r="G56" s="43"/>
      <c r="H56" s="12">
        <v>0</v>
      </c>
      <c r="I56" s="43"/>
      <c r="J56" s="12">
        <v>4292.8</v>
      </c>
      <c r="K56" s="12"/>
      <c r="L56" s="12">
        <v>3994.2</v>
      </c>
      <c r="M56" s="12"/>
      <c r="N56" s="12">
        <v>745.5</v>
      </c>
      <c r="O56" s="12"/>
      <c r="P56" s="12">
        <f>630606.28/1000</f>
        <v>630.60628000000008</v>
      </c>
    </row>
    <row r="57" spans="1:21">
      <c r="A57" t="s">
        <v>295</v>
      </c>
      <c r="B57" s="12">
        <v>180243.1</v>
      </c>
      <c r="C57" s="43"/>
      <c r="D57" s="12">
        <v>0</v>
      </c>
      <c r="E57" s="43"/>
      <c r="F57" s="12">
        <v>0</v>
      </c>
      <c r="G57" s="43"/>
      <c r="H57" s="12">
        <v>0</v>
      </c>
      <c r="I57" s="43"/>
      <c r="J57" s="12">
        <v>117892.2</v>
      </c>
      <c r="K57" s="12"/>
      <c r="L57" s="12">
        <v>101487.3</v>
      </c>
      <c r="M57" s="12"/>
      <c r="N57" s="12">
        <v>59699.9</v>
      </c>
      <c r="O57" s="12"/>
      <c r="P57" s="12">
        <f>59941580.88/1000</f>
        <v>59941.580880000001</v>
      </c>
    </row>
    <row r="58" spans="1:21">
      <c r="A58" t="s">
        <v>284</v>
      </c>
      <c r="B58" s="12">
        <v>40723.1</v>
      </c>
      <c r="C58" s="43"/>
      <c r="D58" s="12">
        <v>0</v>
      </c>
      <c r="E58" s="43"/>
      <c r="F58" s="12">
        <v>0</v>
      </c>
      <c r="G58" s="43"/>
      <c r="H58" s="12">
        <v>0</v>
      </c>
      <c r="I58" s="43"/>
      <c r="J58" s="12">
        <v>36661.300000000003</v>
      </c>
      <c r="K58" s="12"/>
      <c r="L58" s="12">
        <f>27147.6+447.7+29913+2639.3</f>
        <v>60147.600000000006</v>
      </c>
      <c r="M58" s="12"/>
      <c r="N58" s="12">
        <v>74455.399999999994</v>
      </c>
      <c r="O58" s="12"/>
      <c r="P58" s="12">
        <f>10209899.72/1000</f>
        <v>10209.899720000001</v>
      </c>
    </row>
    <row r="59" spans="1:21">
      <c r="C59" s="43"/>
      <c r="D59" s="43"/>
      <c r="E59" s="43"/>
      <c r="F59" s="43"/>
      <c r="G59" s="43"/>
      <c r="H59" s="43"/>
      <c r="I59" s="43"/>
      <c r="J59" s="43"/>
      <c r="K59" s="12"/>
      <c r="L59" s="43"/>
      <c r="M59" s="12"/>
      <c r="O59" s="12"/>
    </row>
    <row r="60" spans="1:21" ht="18.75">
      <c r="A60" s="122" t="s">
        <v>303</v>
      </c>
      <c r="B60" s="12">
        <v>1518202.6</v>
      </c>
      <c r="C60" s="43"/>
      <c r="D60" s="12">
        <v>0</v>
      </c>
      <c r="E60" s="43"/>
      <c r="F60" s="12">
        <v>0</v>
      </c>
      <c r="G60" s="43"/>
      <c r="H60" s="12">
        <v>0</v>
      </c>
      <c r="I60" s="43"/>
      <c r="J60" s="12">
        <v>1530776.8</v>
      </c>
      <c r="K60" s="12"/>
      <c r="L60" s="12">
        <v>1262841.3</v>
      </c>
      <c r="M60" s="12"/>
      <c r="N60" s="12">
        <v>934976.8</v>
      </c>
      <c r="O60" s="12"/>
      <c r="P60" s="12">
        <f>520326720.67/1000</f>
        <v>520326.72067000001</v>
      </c>
    </row>
    <row r="61" spans="1:21">
      <c r="A61" t="s">
        <v>217</v>
      </c>
      <c r="B61" s="12">
        <v>28303.599999999999</v>
      </c>
      <c r="C61" s="43"/>
      <c r="D61" s="12">
        <v>0</v>
      </c>
      <c r="E61" s="43"/>
      <c r="F61" s="12">
        <v>0</v>
      </c>
      <c r="G61" s="43"/>
      <c r="H61" s="12">
        <v>0</v>
      </c>
      <c r="I61" s="43"/>
      <c r="J61" s="12">
        <v>22387.4</v>
      </c>
      <c r="K61" s="12"/>
      <c r="L61" s="12">
        <v>13429.5</v>
      </c>
      <c r="M61" s="12"/>
      <c r="N61" s="16">
        <v>9404.7000000000007</v>
      </c>
      <c r="O61" s="12"/>
      <c r="P61" s="16">
        <f>4796923.47/1000</f>
        <v>4796.9234699999997</v>
      </c>
    </row>
    <row r="62" spans="1:21">
      <c r="A62" t="s">
        <v>297</v>
      </c>
      <c r="B62" s="12">
        <v>16560.900000000001</v>
      </c>
      <c r="C62" s="43"/>
      <c r="D62" s="12">
        <v>0</v>
      </c>
      <c r="E62" s="43"/>
      <c r="F62" s="12">
        <v>0</v>
      </c>
      <c r="G62" s="43"/>
      <c r="H62" s="12">
        <v>0</v>
      </c>
      <c r="I62" s="43"/>
      <c r="J62" s="12">
        <v>6894</v>
      </c>
      <c r="K62" s="12"/>
      <c r="L62" s="12">
        <f>32.8+9777.9+33.2</f>
        <v>9843.9</v>
      </c>
      <c r="M62" s="12"/>
      <c r="N62" s="12">
        <v>491.6</v>
      </c>
      <c r="O62" s="12"/>
      <c r="P62" s="12">
        <v>0</v>
      </c>
    </row>
    <row r="67" spans="1:15">
      <c r="B67" s="17" t="s">
        <v>548</v>
      </c>
      <c r="D67" s="427" t="s">
        <v>616</v>
      </c>
      <c r="F67" s="17" t="s">
        <v>138</v>
      </c>
      <c r="H67" s="17" t="s">
        <v>528</v>
      </c>
    </row>
    <row r="69" spans="1:15">
      <c r="A69" t="s">
        <v>414</v>
      </c>
      <c r="B69" s="4">
        <f t="shared" ref="B69:M69" si="6">SUM(B70:B78)</f>
        <v>793144.40367000003</v>
      </c>
      <c r="C69" s="11" t="s">
        <v>0</v>
      </c>
      <c r="D69" s="4">
        <f t="shared" si="6"/>
        <v>0</v>
      </c>
      <c r="E69" s="11" t="s">
        <v>0</v>
      </c>
      <c r="F69" s="4">
        <f t="shared" si="6"/>
        <v>0</v>
      </c>
      <c r="G69" s="11">
        <f t="shared" si="6"/>
        <v>0</v>
      </c>
      <c r="H69" s="4">
        <f t="shared" si="6"/>
        <v>0</v>
      </c>
      <c r="I69" s="11">
        <f t="shared" si="6"/>
        <v>0</v>
      </c>
      <c r="J69" s="4">
        <f t="shared" si="6"/>
        <v>0</v>
      </c>
      <c r="K69" s="11">
        <f t="shared" si="6"/>
        <v>0</v>
      </c>
      <c r="L69" s="4">
        <f t="shared" si="6"/>
        <v>0</v>
      </c>
      <c r="M69" s="11">
        <f t="shared" si="6"/>
        <v>0</v>
      </c>
      <c r="O69" s="11">
        <f>SUM(O70:O78)</f>
        <v>0</v>
      </c>
    </row>
    <row r="70" spans="1:15">
      <c r="A70" t="s">
        <v>461</v>
      </c>
      <c r="B70" s="12">
        <f>65796223.2/1000</f>
        <v>65796.223200000008</v>
      </c>
      <c r="D70" s="12">
        <v>0</v>
      </c>
      <c r="F70" s="12">
        <v>0</v>
      </c>
      <c r="H70" s="12">
        <v>0</v>
      </c>
    </row>
    <row r="71" spans="1:15">
      <c r="A71" t="s">
        <v>462</v>
      </c>
      <c r="B71" s="12">
        <f>16810312.84/1000</f>
        <v>16810.312839999999</v>
      </c>
      <c r="D71" s="12">
        <v>0</v>
      </c>
      <c r="F71" s="12">
        <v>0</v>
      </c>
      <c r="H71" s="12">
        <v>0</v>
      </c>
    </row>
    <row r="72" spans="1:15">
      <c r="A72" t="s">
        <v>463</v>
      </c>
      <c r="B72" s="12">
        <f>+(2232745.25+22272651.38)/1000</f>
        <v>24505.396629999999</v>
      </c>
      <c r="D72" s="12">
        <v>0</v>
      </c>
      <c r="F72" s="12">
        <v>0</v>
      </c>
      <c r="H72" s="12">
        <v>0</v>
      </c>
    </row>
    <row r="73" spans="1:15">
      <c r="A73" t="s">
        <v>464</v>
      </c>
      <c r="B73" s="12">
        <f>+(36646043.32+385285112.94)/1000</f>
        <v>421931.15626000002</v>
      </c>
      <c r="D73" s="12">
        <v>0</v>
      </c>
      <c r="F73" s="12">
        <v>0</v>
      </c>
      <c r="H73" s="12">
        <v>0</v>
      </c>
    </row>
    <row r="74" spans="1:15">
      <c r="A74" t="s">
        <v>465</v>
      </c>
      <c r="B74" s="12">
        <v>120000</v>
      </c>
      <c r="D74" s="12">
        <v>0</v>
      </c>
      <c r="F74" s="12">
        <v>0</v>
      </c>
      <c r="H74" s="12">
        <v>0</v>
      </c>
    </row>
    <row r="75" spans="1:15">
      <c r="A75" t="s">
        <v>466</v>
      </c>
      <c r="B75" s="12">
        <v>0</v>
      </c>
      <c r="D75" s="12">
        <v>0</v>
      </c>
      <c r="F75" s="12">
        <v>0</v>
      </c>
      <c r="H75" s="12">
        <v>0</v>
      </c>
    </row>
    <row r="76" spans="1:15">
      <c r="A76" t="s">
        <v>467</v>
      </c>
      <c r="B76" s="12">
        <f>114472800.8/1000</f>
        <v>114472.8008</v>
      </c>
      <c r="D76" s="12">
        <v>0</v>
      </c>
      <c r="F76" s="12">
        <v>0</v>
      </c>
      <c r="H76" s="12">
        <v>0</v>
      </c>
    </row>
    <row r="77" spans="1:15">
      <c r="A77" t="s">
        <v>468</v>
      </c>
      <c r="B77" s="12">
        <v>0</v>
      </c>
      <c r="D77" s="12">
        <v>0</v>
      </c>
      <c r="F77" s="12">
        <v>0</v>
      </c>
      <c r="H77" s="12">
        <v>0</v>
      </c>
    </row>
    <row r="78" spans="1:15">
      <c r="A78" t="s">
        <v>469</v>
      </c>
      <c r="B78" s="12">
        <f>29628513.94/1000</f>
        <v>29628.513940000001</v>
      </c>
      <c r="D78" s="12">
        <v>0</v>
      </c>
      <c r="F78" s="12">
        <v>0</v>
      </c>
      <c r="H78" s="12">
        <v>0</v>
      </c>
    </row>
    <row r="79" spans="1:15">
      <c r="B79" s="16" t="s">
        <v>0</v>
      </c>
      <c r="D79" s="16" t="s">
        <v>0</v>
      </c>
      <c r="F79" s="16" t="s">
        <v>0</v>
      </c>
      <c r="H79" s="16" t="s">
        <v>0</v>
      </c>
    </row>
    <row r="80" spans="1:15">
      <c r="A80" t="s">
        <v>470</v>
      </c>
      <c r="B80" s="4">
        <f>SUM(B81:B82)</f>
        <v>697206.74119000009</v>
      </c>
      <c r="C80" s="11" t="s">
        <v>0</v>
      </c>
      <c r="D80" s="4">
        <f>SUM(D81:D82)</f>
        <v>0</v>
      </c>
      <c r="E80" s="11" t="s">
        <v>0</v>
      </c>
      <c r="F80" s="4">
        <f>SUM(F81:F82)</f>
        <v>0</v>
      </c>
      <c r="G80" s="11">
        <f t="shared" ref="G80:M80" si="7">SUM(G81:G82)</f>
        <v>0</v>
      </c>
      <c r="H80" s="4">
        <f>SUM(H81:H82)</f>
        <v>0</v>
      </c>
      <c r="I80" s="11">
        <f t="shared" si="7"/>
        <v>0</v>
      </c>
      <c r="J80" s="4">
        <f t="shared" si="7"/>
        <v>0</v>
      </c>
      <c r="K80" s="11">
        <f t="shared" si="7"/>
        <v>0</v>
      </c>
      <c r="L80" s="4">
        <f t="shared" si="7"/>
        <v>0</v>
      </c>
      <c r="M80" s="11">
        <f t="shared" si="7"/>
        <v>0</v>
      </c>
      <c r="O80" s="11">
        <f>SUM(O81:O82)</f>
        <v>0</v>
      </c>
    </row>
    <row r="81" spans="1:15">
      <c r="A81" t="s">
        <v>471</v>
      </c>
      <c r="B81" s="12">
        <f>+(538372100+158834641.19)/1000</f>
        <v>697206.74119000009</v>
      </c>
      <c r="D81" s="12">
        <v>0</v>
      </c>
      <c r="F81" s="12">
        <v>0</v>
      </c>
      <c r="H81" s="12">
        <v>0</v>
      </c>
    </row>
    <row r="82" spans="1:15">
      <c r="A82" t="s">
        <v>472</v>
      </c>
      <c r="B82" s="12">
        <v>0</v>
      </c>
      <c r="D82" s="12">
        <v>0</v>
      </c>
      <c r="F82" s="12">
        <v>0</v>
      </c>
      <c r="H82" s="12">
        <v>0</v>
      </c>
    </row>
    <row r="84" spans="1:15">
      <c r="A84" t="s">
        <v>473</v>
      </c>
      <c r="B84" s="4">
        <f t="shared" ref="B84:M84" si="8">SUM(B85:B95)</f>
        <v>990307.12235999992</v>
      </c>
      <c r="C84" s="11" t="s">
        <v>0</v>
      </c>
      <c r="D84" s="4">
        <f t="shared" si="8"/>
        <v>0</v>
      </c>
      <c r="E84" s="11" t="s">
        <v>0</v>
      </c>
      <c r="F84" s="4">
        <f t="shared" si="8"/>
        <v>0</v>
      </c>
      <c r="G84" s="11">
        <f t="shared" si="8"/>
        <v>0</v>
      </c>
      <c r="H84" s="4">
        <f t="shared" si="8"/>
        <v>0</v>
      </c>
      <c r="I84" s="11">
        <f t="shared" si="8"/>
        <v>0</v>
      </c>
      <c r="J84" s="4">
        <f t="shared" si="8"/>
        <v>0</v>
      </c>
      <c r="K84" s="11">
        <f t="shared" si="8"/>
        <v>0</v>
      </c>
      <c r="L84" s="4">
        <f t="shared" si="8"/>
        <v>0</v>
      </c>
      <c r="M84" s="11">
        <f t="shared" si="8"/>
        <v>0</v>
      </c>
      <c r="O84" s="11">
        <f>SUM(O85:O95)</f>
        <v>0</v>
      </c>
    </row>
    <row r="85" spans="1:15">
      <c r="A85" t="s">
        <v>474</v>
      </c>
      <c r="B85" s="12">
        <v>0</v>
      </c>
      <c r="D85" s="12">
        <v>0</v>
      </c>
      <c r="F85" s="12">
        <v>0</v>
      </c>
      <c r="H85" s="12">
        <v>0</v>
      </c>
    </row>
    <row r="86" spans="1:15">
      <c r="A86" t="s">
        <v>475</v>
      </c>
      <c r="B86" s="12">
        <f>+(61569690.42+366170620.4)/1000</f>
        <v>427740.31082000001</v>
      </c>
      <c r="D86" s="12">
        <v>0</v>
      </c>
      <c r="F86" s="12">
        <v>0</v>
      </c>
      <c r="H86" s="12">
        <v>0</v>
      </c>
    </row>
    <row r="87" spans="1:15">
      <c r="A87" t="s">
        <v>476</v>
      </c>
      <c r="B87" s="12">
        <f>+(337846017.36+225927976.43)/1000</f>
        <v>563773.99378999998</v>
      </c>
      <c r="D87" s="12">
        <v>0</v>
      </c>
      <c r="F87" s="12">
        <v>0</v>
      </c>
      <c r="H87" s="12">
        <v>0</v>
      </c>
    </row>
    <row r="88" spans="1:15">
      <c r="A88" t="s">
        <v>477</v>
      </c>
      <c r="B88" s="12">
        <v>0</v>
      </c>
      <c r="D88" s="12">
        <v>0</v>
      </c>
      <c r="F88" s="12">
        <v>0</v>
      </c>
      <c r="H88" s="12">
        <v>0</v>
      </c>
    </row>
    <row r="89" spans="1:15">
      <c r="A89" t="s">
        <v>478</v>
      </c>
      <c r="B89" s="12">
        <v>0</v>
      </c>
      <c r="D89" s="12">
        <v>0</v>
      </c>
      <c r="F89" s="12">
        <v>0</v>
      </c>
      <c r="H89" s="12">
        <v>0</v>
      </c>
    </row>
    <row r="90" spans="1:15">
      <c r="A90" t="s">
        <v>479</v>
      </c>
      <c r="B90" s="12">
        <v>0</v>
      </c>
      <c r="D90" s="12">
        <v>0</v>
      </c>
      <c r="F90" s="12">
        <v>0</v>
      </c>
      <c r="H90" s="12">
        <v>0</v>
      </c>
    </row>
    <row r="91" spans="1:15">
      <c r="A91" t="s">
        <v>480</v>
      </c>
      <c r="B91" s="12">
        <v>0</v>
      </c>
      <c r="D91" s="12">
        <v>0</v>
      </c>
      <c r="F91" s="12">
        <v>0</v>
      </c>
      <c r="H91" s="12">
        <v>0</v>
      </c>
    </row>
    <row r="92" spans="1:15">
      <c r="A92" t="s">
        <v>481</v>
      </c>
      <c r="B92" s="12">
        <v>0</v>
      </c>
      <c r="D92" s="12">
        <v>0</v>
      </c>
      <c r="F92" s="12">
        <v>0</v>
      </c>
      <c r="H92" s="12">
        <v>0</v>
      </c>
    </row>
    <row r="93" spans="1:15">
      <c r="A93" t="s">
        <v>482</v>
      </c>
      <c r="B93" s="12">
        <v>0</v>
      </c>
      <c r="D93" s="12">
        <v>0</v>
      </c>
      <c r="F93" s="12">
        <v>0</v>
      </c>
      <c r="H93" s="12">
        <v>0</v>
      </c>
    </row>
    <row r="94" spans="1:15">
      <c r="A94" t="s">
        <v>483</v>
      </c>
      <c r="B94" s="12">
        <f>+(437921.91+8803509.82)/1000</f>
        <v>9241.4317300000002</v>
      </c>
      <c r="D94" s="12">
        <v>0</v>
      </c>
      <c r="F94" s="12">
        <v>0</v>
      </c>
      <c r="H94" s="12">
        <v>0</v>
      </c>
    </row>
    <row r="95" spans="1:15">
      <c r="A95" t="s">
        <v>484</v>
      </c>
      <c r="B95" s="12">
        <f>-10448613.98/1000</f>
        <v>-10448.61398</v>
      </c>
      <c r="D95" s="12">
        <v>0</v>
      </c>
      <c r="F95" s="12">
        <v>0</v>
      </c>
      <c r="H95" s="12">
        <v>0</v>
      </c>
    </row>
    <row r="97" spans="1:17">
      <c r="A97" t="s">
        <v>485</v>
      </c>
      <c r="B97" s="4">
        <f t="shared" ref="B97:M97" si="9">SUM(B98:B101)</f>
        <v>24550.074329999999</v>
      </c>
      <c r="C97" s="11" t="s">
        <v>0</v>
      </c>
      <c r="D97" s="4">
        <f t="shared" si="9"/>
        <v>0</v>
      </c>
      <c r="E97" s="11" t="s">
        <v>0</v>
      </c>
      <c r="F97" s="4">
        <f t="shared" si="9"/>
        <v>0</v>
      </c>
      <c r="G97" s="11">
        <f t="shared" si="9"/>
        <v>0</v>
      </c>
      <c r="H97" s="4">
        <f t="shared" si="9"/>
        <v>0</v>
      </c>
      <c r="I97" s="11">
        <f t="shared" si="9"/>
        <v>0</v>
      </c>
      <c r="J97" s="4">
        <f t="shared" si="9"/>
        <v>0</v>
      </c>
      <c r="K97" s="11">
        <f t="shared" si="9"/>
        <v>0</v>
      </c>
      <c r="L97" s="4">
        <f t="shared" si="9"/>
        <v>0</v>
      </c>
      <c r="M97" s="11">
        <f t="shared" si="9"/>
        <v>0</v>
      </c>
      <c r="O97" s="11">
        <f>SUM(O98:O101)</f>
        <v>0</v>
      </c>
    </row>
    <row r="98" spans="1:17">
      <c r="A98" t="s">
        <v>486</v>
      </c>
      <c r="B98" s="12">
        <f>+(4582541.78+3985683.76)/1000</f>
        <v>8568.2255399999995</v>
      </c>
      <c r="D98" s="12">
        <v>0</v>
      </c>
      <c r="F98" s="12">
        <v>0</v>
      </c>
      <c r="H98" s="12">
        <v>0</v>
      </c>
    </row>
    <row r="99" spans="1:17">
      <c r="A99" t="s">
        <v>487</v>
      </c>
      <c r="B99" s="12">
        <f>+(13839590.03+3033939.18)/1000</f>
        <v>16873.529210000001</v>
      </c>
      <c r="D99" s="12">
        <v>0</v>
      </c>
      <c r="F99" s="12">
        <v>0</v>
      </c>
      <c r="H99" s="12">
        <v>0</v>
      </c>
    </row>
    <row r="100" spans="1:17">
      <c r="A100" t="s">
        <v>488</v>
      </c>
      <c r="B100" s="12">
        <v>0</v>
      </c>
      <c r="D100" s="12">
        <v>0</v>
      </c>
      <c r="F100" s="12">
        <v>0</v>
      </c>
      <c r="H100" s="12">
        <v>0</v>
      </c>
    </row>
    <row r="101" spans="1:17">
      <c r="A101" t="s">
        <v>489</v>
      </c>
      <c r="B101" s="12">
        <f>+(3332280.95-4223961.37)/1000</f>
        <v>-891.68041999999991</v>
      </c>
      <c r="D101" s="12">
        <v>0</v>
      </c>
      <c r="F101" s="12">
        <v>0</v>
      </c>
      <c r="H101" s="12">
        <v>0</v>
      </c>
    </row>
    <row r="103" spans="1:17">
      <c r="A103" t="s">
        <v>490</v>
      </c>
      <c r="B103" s="4">
        <f>17810536.48/1000</f>
        <v>17810.536479999999</v>
      </c>
      <c r="C103" s="11" t="s">
        <v>0</v>
      </c>
      <c r="D103" s="4">
        <v>0</v>
      </c>
      <c r="E103" s="11" t="s">
        <v>0</v>
      </c>
      <c r="F103" s="4">
        <v>0</v>
      </c>
      <c r="G103" s="11">
        <v>0</v>
      </c>
      <c r="H103" s="4">
        <v>0</v>
      </c>
      <c r="I103" s="11">
        <v>0</v>
      </c>
      <c r="J103" s="4">
        <v>0</v>
      </c>
      <c r="K103" s="11">
        <v>0</v>
      </c>
      <c r="L103" s="4">
        <v>0</v>
      </c>
      <c r="M103" s="11">
        <v>0</v>
      </c>
      <c r="N103" s="12">
        <v>0</v>
      </c>
      <c r="O103" s="11">
        <v>0</v>
      </c>
      <c r="P103" s="12">
        <v>0</v>
      </c>
      <c r="Q103" s="16" t="s">
        <v>0</v>
      </c>
    </row>
    <row r="104" spans="1:17">
      <c r="B104" s="16" t="s">
        <v>0</v>
      </c>
      <c r="D104" s="16" t="s">
        <v>0</v>
      </c>
      <c r="F104" s="16" t="s">
        <v>0</v>
      </c>
      <c r="H104" s="16" t="s">
        <v>0</v>
      </c>
    </row>
    <row r="105" spans="1:17">
      <c r="A105" t="s">
        <v>491</v>
      </c>
      <c r="B105" s="4">
        <v>0</v>
      </c>
      <c r="D105" s="4">
        <v>0</v>
      </c>
      <c r="F105" s="4">
        <v>0</v>
      </c>
      <c r="H105" s="4">
        <v>0</v>
      </c>
    </row>
    <row r="107" spans="1:17">
      <c r="A107" t="s">
        <v>492</v>
      </c>
      <c r="B107" s="4">
        <f t="shared" ref="B107:M107" si="10">SUM(B108:B113)</f>
        <v>78261.301760000017</v>
      </c>
      <c r="C107" s="11" t="s">
        <v>0</v>
      </c>
      <c r="D107" s="4">
        <f t="shared" si="10"/>
        <v>0</v>
      </c>
      <c r="E107" s="11" t="s">
        <v>0</v>
      </c>
      <c r="F107" s="4">
        <f t="shared" si="10"/>
        <v>0</v>
      </c>
      <c r="G107" s="11">
        <f t="shared" si="10"/>
        <v>0</v>
      </c>
      <c r="H107" s="4">
        <f t="shared" si="10"/>
        <v>0</v>
      </c>
      <c r="I107" s="11">
        <f t="shared" si="10"/>
        <v>0</v>
      </c>
      <c r="J107" s="4">
        <f t="shared" si="10"/>
        <v>0</v>
      </c>
      <c r="K107" s="11">
        <f t="shared" si="10"/>
        <v>0</v>
      </c>
      <c r="L107" s="4">
        <f t="shared" si="10"/>
        <v>0</v>
      </c>
      <c r="M107" s="11">
        <f t="shared" si="10"/>
        <v>0</v>
      </c>
      <c r="O107" s="11">
        <f>SUM(O108:O113)</f>
        <v>0</v>
      </c>
    </row>
    <row r="108" spans="1:17">
      <c r="A108" t="s">
        <v>493</v>
      </c>
      <c r="B108" s="12">
        <f>114370935.45/1000</f>
        <v>114370.93545</v>
      </c>
      <c r="D108" s="12">
        <v>0</v>
      </c>
      <c r="F108" s="12">
        <v>0</v>
      </c>
      <c r="H108" s="12">
        <v>0</v>
      </c>
    </row>
    <row r="109" spans="1:17">
      <c r="A109" t="s">
        <v>655</v>
      </c>
      <c r="B109" s="12">
        <v>0</v>
      </c>
      <c r="D109" s="12">
        <v>0</v>
      </c>
      <c r="F109" s="12">
        <v>0</v>
      </c>
      <c r="H109" s="12">
        <v>0</v>
      </c>
    </row>
    <row r="110" spans="1:17">
      <c r="A110" t="s">
        <v>656</v>
      </c>
      <c r="B110" s="12">
        <v>0</v>
      </c>
      <c r="D110" s="12">
        <v>0</v>
      </c>
      <c r="F110" s="12">
        <v>0</v>
      </c>
      <c r="H110" s="12">
        <v>0</v>
      </c>
    </row>
    <row r="111" spans="1:17">
      <c r="A111" t="s">
        <v>494</v>
      </c>
      <c r="B111" s="12">
        <f>1934912.04/1000</f>
        <v>1934.9120399999999</v>
      </c>
      <c r="D111" s="12">
        <v>0</v>
      </c>
      <c r="F111" s="12">
        <v>0</v>
      </c>
      <c r="H111" s="12">
        <v>0</v>
      </c>
    </row>
    <row r="112" spans="1:17">
      <c r="A112" t="s">
        <v>495</v>
      </c>
      <c r="B112" s="12">
        <f>-38391108.68/1000</f>
        <v>-38391.108679999998</v>
      </c>
      <c r="D112" s="12">
        <v>0</v>
      </c>
      <c r="F112" s="12">
        <v>0</v>
      </c>
      <c r="H112" s="12">
        <v>0</v>
      </c>
    </row>
    <row r="113" spans="1:15">
      <c r="A113" t="s">
        <v>496</v>
      </c>
      <c r="B113" s="12">
        <f>346562.95/1000</f>
        <v>346.56295</v>
      </c>
      <c r="D113" s="12">
        <v>0</v>
      </c>
      <c r="F113" s="12">
        <v>0</v>
      </c>
      <c r="H113" s="12">
        <v>0</v>
      </c>
    </row>
    <row r="115" spans="1:15">
      <c r="A115" t="s">
        <v>497</v>
      </c>
      <c r="B115" s="12">
        <f>74092915.83/1000</f>
        <v>74092.915829999998</v>
      </c>
      <c r="D115" s="12">
        <v>0</v>
      </c>
      <c r="F115" s="12">
        <v>0</v>
      </c>
      <c r="H115" s="12">
        <v>0</v>
      </c>
    </row>
    <row r="117" spans="1:15">
      <c r="A117" s="2" t="s">
        <v>498</v>
      </c>
      <c r="B117" s="4">
        <f t="shared" ref="B117:M117" si="11">+B69+B80+B84+B97+B103+B105+B107+B115</f>
        <v>2675373.0956199998</v>
      </c>
      <c r="C117" s="11" t="s">
        <v>0</v>
      </c>
      <c r="D117" s="4">
        <f t="shared" si="11"/>
        <v>0</v>
      </c>
      <c r="E117" s="11" t="s">
        <v>0</v>
      </c>
      <c r="F117" s="4">
        <f t="shared" si="11"/>
        <v>0</v>
      </c>
      <c r="G117" s="11">
        <f t="shared" si="11"/>
        <v>0</v>
      </c>
      <c r="H117" s="4">
        <f t="shared" si="11"/>
        <v>0</v>
      </c>
      <c r="I117" s="11">
        <f t="shared" si="11"/>
        <v>0</v>
      </c>
      <c r="J117" s="4">
        <f t="shared" si="11"/>
        <v>0</v>
      </c>
      <c r="K117" s="11">
        <f t="shared" si="11"/>
        <v>0</v>
      </c>
      <c r="L117" s="4">
        <f t="shared" si="11"/>
        <v>0</v>
      </c>
      <c r="M117" s="11">
        <f t="shared" si="11"/>
        <v>0</v>
      </c>
      <c r="O117" s="11">
        <f>+O69+O80+O84+O97+O103+O105+O107+O115</f>
        <v>0</v>
      </c>
    </row>
    <row r="120" spans="1:15">
      <c r="A120" t="s">
        <v>276</v>
      </c>
    </row>
    <row r="122" spans="1:15">
      <c r="A122" t="s">
        <v>499</v>
      </c>
      <c r="B122" s="4">
        <f>SUM(B123:B124)</f>
        <v>519058.79394999996</v>
      </c>
      <c r="C122" s="11"/>
      <c r="D122" s="4">
        <f>SUM(D123:D124)</f>
        <v>0</v>
      </c>
      <c r="E122" s="11"/>
      <c r="F122" s="4">
        <f>SUM(F123:F124)</f>
        <v>0</v>
      </c>
      <c r="G122" s="11"/>
      <c r="H122" s="4">
        <f>SUM(H123:H124)</f>
        <v>0</v>
      </c>
      <c r="I122" s="11"/>
      <c r="J122" s="4"/>
      <c r="K122" s="11"/>
      <c r="L122" s="4"/>
      <c r="M122" s="11"/>
      <c r="O122" s="11"/>
    </row>
    <row r="123" spans="1:15">
      <c r="A123" t="s">
        <v>500</v>
      </c>
      <c r="B123" s="12">
        <f>+(230827133.43+283356586.71)/1000</f>
        <v>514183.72013999999</v>
      </c>
      <c r="D123" s="12">
        <v>0</v>
      </c>
      <c r="F123" s="12">
        <v>0</v>
      </c>
      <c r="H123" s="12">
        <v>0</v>
      </c>
    </row>
    <row r="124" spans="1:15">
      <c r="A124" t="s">
        <v>501</v>
      </c>
      <c r="B124" s="12">
        <f>+(1332081.45+3542992.36)/1000</f>
        <v>4875.0738099999999</v>
      </c>
      <c r="D124" s="12">
        <v>0</v>
      </c>
      <c r="F124" s="12">
        <v>0</v>
      </c>
      <c r="H124" s="12">
        <v>0</v>
      </c>
    </row>
    <row r="125" spans="1:15">
      <c r="A125" t="s">
        <v>0</v>
      </c>
    </row>
    <row r="126" spans="1:15">
      <c r="A126" t="s">
        <v>502</v>
      </c>
      <c r="B126" s="4">
        <f>+(522977943.74+459908667.14)/1000</f>
        <v>982886.61088000005</v>
      </c>
      <c r="C126" s="11"/>
      <c r="D126" s="4">
        <v>0</v>
      </c>
      <c r="E126" s="11"/>
      <c r="F126" s="4">
        <v>0</v>
      </c>
      <c r="G126" s="11"/>
      <c r="H126" s="4">
        <v>0</v>
      </c>
      <c r="I126" s="11"/>
      <c r="J126" s="4"/>
      <c r="K126" s="11"/>
      <c r="L126" s="4"/>
      <c r="M126" s="11"/>
      <c r="O126" s="11"/>
    </row>
    <row r="128" spans="1:15">
      <c r="A128" t="s">
        <v>503</v>
      </c>
      <c r="B128" s="4">
        <f>+(332062504.88+366713582.39)/1000</f>
        <v>698776.08727000002</v>
      </c>
      <c r="C128" s="11"/>
      <c r="D128" s="4">
        <v>0</v>
      </c>
      <c r="E128" s="11"/>
      <c r="F128" s="4">
        <v>0</v>
      </c>
      <c r="G128" s="11"/>
      <c r="H128" s="4">
        <v>0</v>
      </c>
      <c r="I128" s="11"/>
      <c r="J128" s="4"/>
      <c r="K128" s="11"/>
      <c r="L128" s="4"/>
      <c r="M128" s="11"/>
      <c r="O128" s="11"/>
    </row>
    <row r="130" spans="1:15">
      <c r="A130" t="s">
        <v>504</v>
      </c>
      <c r="B130" s="4">
        <f>SUM(B131:B144)</f>
        <v>74359.971090000006</v>
      </c>
      <c r="C130" s="11"/>
      <c r="D130" s="4">
        <f>SUM(D131:D144)</f>
        <v>0</v>
      </c>
      <c r="E130" s="11"/>
      <c r="F130" s="4">
        <f>SUM(F131:F144)</f>
        <v>0</v>
      </c>
      <c r="G130" s="11"/>
      <c r="H130" s="4">
        <f>SUM(H131:H144)</f>
        <v>0</v>
      </c>
      <c r="I130" s="11"/>
      <c r="J130" s="4"/>
      <c r="K130" s="11"/>
      <c r="L130" s="4"/>
      <c r="M130" s="11"/>
      <c r="O130" s="11"/>
    </row>
    <row r="131" spans="1:15">
      <c r="A131" t="s">
        <v>505</v>
      </c>
      <c r="B131" s="12">
        <f>52723547.45/1000</f>
        <v>52723.547450000005</v>
      </c>
      <c r="D131" s="12">
        <v>0</v>
      </c>
      <c r="F131" s="12">
        <v>0</v>
      </c>
      <c r="H131" s="12">
        <v>0</v>
      </c>
    </row>
    <row r="132" spans="1:15">
      <c r="A132" t="s">
        <v>506</v>
      </c>
      <c r="B132" s="12">
        <f>5381618.93/1000</f>
        <v>5381.6189299999996</v>
      </c>
      <c r="D132" s="12">
        <v>0</v>
      </c>
      <c r="F132" s="12">
        <v>0</v>
      </c>
      <c r="H132" s="12">
        <v>0</v>
      </c>
    </row>
    <row r="133" spans="1:15">
      <c r="A133" t="s">
        <v>507</v>
      </c>
      <c r="B133" s="12">
        <v>0</v>
      </c>
      <c r="D133" s="12">
        <v>0</v>
      </c>
      <c r="F133" s="12">
        <v>0</v>
      </c>
      <c r="H133" s="12">
        <v>0</v>
      </c>
    </row>
    <row r="134" spans="1:15">
      <c r="A134" t="s">
        <v>508</v>
      </c>
      <c r="B134" s="12">
        <f>+(1746.33+798812.51)/1000</f>
        <v>800.55883999999992</v>
      </c>
      <c r="D134" s="12">
        <v>0</v>
      </c>
      <c r="F134" s="12">
        <v>0</v>
      </c>
      <c r="H134" s="12">
        <v>0</v>
      </c>
    </row>
    <row r="135" spans="1:15">
      <c r="A135" t="s">
        <v>509</v>
      </c>
      <c r="B135" s="12">
        <v>0</v>
      </c>
      <c r="D135" s="12">
        <v>0</v>
      </c>
      <c r="F135" s="12">
        <v>0</v>
      </c>
      <c r="H135" s="12">
        <v>0</v>
      </c>
    </row>
    <row r="136" spans="1:15">
      <c r="A136" t="s">
        <v>510</v>
      </c>
      <c r="B136" s="12">
        <f>+(3243413.54+10428658.01)/1000</f>
        <v>13672.071550000001</v>
      </c>
      <c r="D136" s="12">
        <v>0</v>
      </c>
      <c r="F136" s="12">
        <v>0</v>
      </c>
      <c r="H136" s="12">
        <v>0</v>
      </c>
    </row>
    <row r="137" spans="1:15">
      <c r="A137" t="s">
        <v>511</v>
      </c>
      <c r="B137" s="12">
        <v>0</v>
      </c>
      <c r="D137" s="12">
        <v>0</v>
      </c>
      <c r="F137" s="12">
        <v>0</v>
      </c>
      <c r="H137" s="12">
        <v>0</v>
      </c>
    </row>
    <row r="138" spans="1:15">
      <c r="A138" t="s">
        <v>512</v>
      </c>
      <c r="B138" s="12">
        <f>+(375610.62+1406563.7)/1000</f>
        <v>1782.1743199999999</v>
      </c>
      <c r="D138" s="12">
        <v>0</v>
      </c>
      <c r="F138" s="12">
        <v>0</v>
      </c>
      <c r="H138" s="12">
        <v>0</v>
      </c>
    </row>
    <row r="139" spans="1:15">
      <c r="A139" t="s">
        <v>513</v>
      </c>
      <c r="B139" s="12">
        <v>0</v>
      </c>
      <c r="D139" s="12">
        <v>0</v>
      </c>
      <c r="F139" s="12">
        <v>0</v>
      </c>
      <c r="H139" s="12">
        <v>0</v>
      </c>
    </row>
    <row r="140" spans="1:15">
      <c r="A140" t="s">
        <v>514</v>
      </c>
      <c r="B140" s="12">
        <v>0</v>
      </c>
      <c r="D140" s="12">
        <v>0</v>
      </c>
      <c r="F140" s="12">
        <v>0</v>
      </c>
      <c r="H140" s="12">
        <v>0</v>
      </c>
    </row>
    <row r="141" spans="1:15">
      <c r="A141" t="s">
        <v>515</v>
      </c>
      <c r="B141" s="12">
        <v>0</v>
      </c>
      <c r="D141" s="12">
        <v>0</v>
      </c>
      <c r="F141" s="12">
        <v>0</v>
      </c>
      <c r="H141" s="12">
        <v>0</v>
      </c>
    </row>
    <row r="142" spans="1:15">
      <c r="A142" t="s">
        <v>516</v>
      </c>
      <c r="B142" s="12">
        <v>0</v>
      </c>
      <c r="D142" s="12">
        <v>0</v>
      </c>
      <c r="F142" s="12">
        <v>0</v>
      </c>
      <c r="H142" s="12">
        <v>0</v>
      </c>
    </row>
    <row r="143" spans="1:15">
      <c r="A143" t="s">
        <v>657</v>
      </c>
      <c r="B143" s="12">
        <v>0</v>
      </c>
      <c r="D143" s="12">
        <v>0</v>
      </c>
      <c r="F143" s="12">
        <v>0</v>
      </c>
      <c r="H143" s="12">
        <v>0</v>
      </c>
    </row>
    <row r="144" spans="1:15">
      <c r="A144" t="s">
        <v>273</v>
      </c>
      <c r="B144" s="12">
        <v>0</v>
      </c>
      <c r="D144" s="12">
        <v>0</v>
      </c>
      <c r="F144" s="12">
        <v>0</v>
      </c>
      <c r="H144" s="12">
        <v>0</v>
      </c>
    </row>
    <row r="146" spans="1:15">
      <c r="A146" t="s">
        <v>517</v>
      </c>
      <c r="B146" s="4">
        <f>SUM(B147:B153)</f>
        <v>95635.56882</v>
      </c>
      <c r="C146" s="11"/>
      <c r="D146" s="4">
        <f>SUM(D147:D153)</f>
        <v>0</v>
      </c>
      <c r="E146" s="11"/>
      <c r="F146" s="4">
        <f>SUM(F147:F153)</f>
        <v>0</v>
      </c>
      <c r="G146" s="11"/>
      <c r="H146" s="4">
        <f>SUM(H147:H153)</f>
        <v>0</v>
      </c>
      <c r="I146" s="11"/>
      <c r="J146" s="4"/>
      <c r="K146" s="11"/>
      <c r="L146" s="4"/>
      <c r="M146" s="11"/>
      <c r="O146" s="11"/>
    </row>
    <row r="147" spans="1:15">
      <c r="A147" t="s">
        <v>518</v>
      </c>
      <c r="B147" s="12">
        <f>20000000/1000</f>
        <v>20000</v>
      </c>
      <c r="D147" s="12">
        <v>0</v>
      </c>
      <c r="F147" s="12">
        <v>0</v>
      </c>
      <c r="H147" s="12">
        <v>0</v>
      </c>
    </row>
    <row r="148" spans="1:15">
      <c r="A148" t="s">
        <v>519</v>
      </c>
      <c r="B148" s="12">
        <v>0</v>
      </c>
      <c r="D148" s="12">
        <v>0</v>
      </c>
      <c r="F148" s="12">
        <v>0</v>
      </c>
      <c r="H148" s="12">
        <v>0</v>
      </c>
    </row>
    <row r="149" spans="1:15">
      <c r="A149" t="s">
        <v>520</v>
      </c>
      <c r="B149" s="12">
        <f>50000000/1000</f>
        <v>50000</v>
      </c>
      <c r="D149" s="12">
        <v>0</v>
      </c>
      <c r="F149" s="12">
        <v>0</v>
      </c>
      <c r="H149" s="12">
        <v>0</v>
      </c>
    </row>
    <row r="150" spans="1:15">
      <c r="A150" t="s">
        <v>521</v>
      </c>
      <c r="B150" s="12">
        <v>0</v>
      </c>
      <c r="D150" s="12">
        <v>0</v>
      </c>
      <c r="F150" s="12">
        <v>0</v>
      </c>
      <c r="H150" s="12">
        <v>0</v>
      </c>
    </row>
    <row r="151" spans="1:15">
      <c r="A151" t="s">
        <v>522</v>
      </c>
      <c r="B151" s="12">
        <f>178.6/1000</f>
        <v>0.17859999999999998</v>
      </c>
      <c r="D151" s="12">
        <v>0</v>
      </c>
      <c r="F151" s="12">
        <v>0</v>
      </c>
      <c r="H151" s="12">
        <v>0</v>
      </c>
    </row>
    <row r="152" spans="1:15">
      <c r="A152" t="s">
        <v>523</v>
      </c>
      <c r="B152" s="12">
        <f>5779638.46/1000</f>
        <v>5779.6384600000001</v>
      </c>
      <c r="D152" s="12">
        <v>0</v>
      </c>
      <c r="F152" s="12">
        <v>0</v>
      </c>
      <c r="H152" s="12">
        <v>0</v>
      </c>
    </row>
    <row r="153" spans="1:15">
      <c r="A153" t="s">
        <v>524</v>
      </c>
      <c r="B153" s="12">
        <f>+(2430148.13+17425603.63)/1000</f>
        <v>19855.751759999999</v>
      </c>
      <c r="D153" s="12">
        <v>0</v>
      </c>
      <c r="F153" s="12">
        <v>0</v>
      </c>
      <c r="H153" s="12">
        <v>0</v>
      </c>
    </row>
    <row r="155" spans="1:15">
      <c r="A155" t="s">
        <v>525</v>
      </c>
      <c r="B155" s="4">
        <v>0</v>
      </c>
      <c r="C155" s="11"/>
      <c r="D155" s="4">
        <v>0</v>
      </c>
      <c r="E155" s="11"/>
      <c r="F155" s="4">
        <v>0</v>
      </c>
      <c r="G155" s="11"/>
      <c r="H155" s="4">
        <v>0</v>
      </c>
      <c r="I155" s="11"/>
      <c r="J155" s="4"/>
      <c r="K155" s="11"/>
      <c r="L155" s="4"/>
      <c r="M155" s="11"/>
      <c r="O155" s="11"/>
    </row>
    <row r="157" spans="1:15">
      <c r="A157" t="s">
        <v>609</v>
      </c>
      <c r="B157" s="4">
        <f>3842037.42/1000</f>
        <v>3842.0374200000001</v>
      </c>
      <c r="C157" s="11"/>
      <c r="D157" s="4">
        <v>0</v>
      </c>
      <c r="E157" s="11"/>
      <c r="F157" s="4">
        <v>0</v>
      </c>
      <c r="G157" s="11"/>
      <c r="H157" s="4">
        <v>0</v>
      </c>
      <c r="I157" s="11"/>
      <c r="J157" s="4"/>
      <c r="K157" s="11"/>
      <c r="L157" s="4"/>
      <c r="M157" s="11"/>
      <c r="O157" s="11"/>
    </row>
    <row r="159" spans="1:15">
      <c r="A159" t="s">
        <v>375</v>
      </c>
      <c r="B159" s="4">
        <f>74092915.83/1000</f>
        <v>74092.915829999998</v>
      </c>
      <c r="C159" s="11"/>
      <c r="D159" s="4">
        <v>0</v>
      </c>
      <c r="E159" s="11"/>
      <c r="F159" s="4">
        <v>0</v>
      </c>
      <c r="G159" s="11"/>
      <c r="H159" s="4">
        <v>0</v>
      </c>
      <c r="I159" s="11"/>
      <c r="J159" s="4"/>
      <c r="K159" s="11"/>
      <c r="L159" s="4"/>
      <c r="M159" s="11"/>
      <c r="O159" s="11"/>
    </row>
    <row r="161" spans="1:15">
      <c r="A161" t="s">
        <v>376</v>
      </c>
      <c r="B161" s="4">
        <f>+B165+B166+B167</f>
        <v>99106.797019999998</v>
      </c>
      <c r="C161" s="11"/>
      <c r="D161" s="4">
        <f>+D165+D166+D167</f>
        <v>0</v>
      </c>
      <c r="E161" s="11"/>
      <c r="F161" s="4">
        <f>+F165+F166+F167</f>
        <v>0</v>
      </c>
      <c r="G161" s="11"/>
      <c r="H161" s="4">
        <f>+H165+H166+H167</f>
        <v>0</v>
      </c>
      <c r="I161" s="11"/>
      <c r="J161" s="4"/>
      <c r="K161" s="11"/>
      <c r="L161" s="4"/>
      <c r="M161" s="11"/>
      <c r="O161" s="11"/>
    </row>
    <row r="162" spans="1:15">
      <c r="A162" t="s">
        <v>377</v>
      </c>
      <c r="B162" s="12">
        <f>100000000/1000</f>
        <v>100000</v>
      </c>
      <c r="D162" s="12">
        <v>0</v>
      </c>
      <c r="F162" s="12">
        <v>0</v>
      </c>
      <c r="H162" s="12">
        <v>0</v>
      </c>
    </row>
    <row r="163" spans="1:15">
      <c r="A163" t="s">
        <v>378</v>
      </c>
      <c r="B163" s="12">
        <f>-36332530/1000</f>
        <v>-36332.53</v>
      </c>
      <c r="D163" s="12">
        <v>0</v>
      </c>
      <c r="F163" s="12">
        <v>0</v>
      </c>
      <c r="H163" s="12">
        <v>0</v>
      </c>
    </row>
    <row r="164" spans="1:15">
      <c r="A164" t="s">
        <v>302</v>
      </c>
      <c r="B164" s="12">
        <v>0</v>
      </c>
      <c r="D164" s="12">
        <v>0</v>
      </c>
      <c r="F164" s="12">
        <v>0</v>
      </c>
      <c r="H164" s="12">
        <v>0</v>
      </c>
    </row>
    <row r="165" spans="1:15">
      <c r="A165" t="s">
        <v>289</v>
      </c>
      <c r="B165" s="4">
        <f>+B162+B163</f>
        <v>63667.47</v>
      </c>
      <c r="D165" s="4">
        <f>+D162+D163</f>
        <v>0</v>
      </c>
      <c r="F165" s="4">
        <f>+F162+F163</f>
        <v>0</v>
      </c>
      <c r="H165" s="4">
        <f>+H162+H163</f>
        <v>0</v>
      </c>
    </row>
    <row r="166" spans="1:15">
      <c r="A166" t="s">
        <v>379</v>
      </c>
      <c r="B166" s="12">
        <f>29434356.42/1000</f>
        <v>29434.35642</v>
      </c>
      <c r="D166" s="12">
        <v>0</v>
      </c>
      <c r="F166" s="12">
        <v>0</v>
      </c>
      <c r="H166" s="12">
        <v>0</v>
      </c>
    </row>
    <row r="167" spans="1:15">
      <c r="A167" t="s">
        <v>380</v>
      </c>
      <c r="B167" s="12">
        <f>6004970.6/1000</f>
        <v>6004.9705999999996</v>
      </c>
      <c r="D167" s="12">
        <v>0</v>
      </c>
      <c r="F167" s="12">
        <v>0</v>
      </c>
      <c r="H167" s="12">
        <v>0</v>
      </c>
    </row>
    <row r="169" spans="1:15">
      <c r="A169" t="s">
        <v>381</v>
      </c>
      <c r="B169" s="4">
        <f>SUM(B170:B171)</f>
        <v>7614.3133600000001</v>
      </c>
      <c r="C169" s="11"/>
      <c r="D169" s="4">
        <f>SUM(D170:D171)</f>
        <v>0</v>
      </c>
      <c r="E169" s="11"/>
      <c r="F169" s="4">
        <f>SUM(F170:F171)</f>
        <v>0</v>
      </c>
      <c r="G169" s="11"/>
      <c r="H169" s="4">
        <f>SUM(H170:H171)</f>
        <v>0</v>
      </c>
      <c r="I169" s="11"/>
      <c r="J169" s="4"/>
      <c r="K169" s="11"/>
      <c r="L169" s="4"/>
      <c r="M169" s="11"/>
      <c r="O169" s="11"/>
    </row>
    <row r="170" spans="1:15">
      <c r="A170" t="s">
        <v>382</v>
      </c>
      <c r="B170" s="12">
        <f>7614313.36/1000</f>
        <v>7614.3133600000001</v>
      </c>
      <c r="D170" s="12">
        <v>0</v>
      </c>
      <c r="F170" s="12">
        <v>0</v>
      </c>
      <c r="H170" s="12">
        <v>0</v>
      </c>
    </row>
    <row r="171" spans="1:15">
      <c r="A171" t="s">
        <v>383</v>
      </c>
      <c r="B171" s="12">
        <v>0</v>
      </c>
      <c r="D171" s="12">
        <v>0</v>
      </c>
      <c r="F171" s="12">
        <v>0</v>
      </c>
      <c r="H171" s="12">
        <v>0</v>
      </c>
    </row>
    <row r="173" spans="1:15">
      <c r="A173" t="s">
        <v>384</v>
      </c>
      <c r="B173" s="109">
        <f>+B122+B126+B128+B130+B146+B155+B157+B159+B161+B169</f>
        <v>2555373.09564</v>
      </c>
      <c r="C173" s="11" t="s">
        <v>0</v>
      </c>
      <c r="D173" s="109">
        <f>+D122+D126+D128+D130+D146+D155+D157+D159+D161+D169</f>
        <v>0</v>
      </c>
      <c r="E173" s="11" t="s">
        <v>0</v>
      </c>
      <c r="F173" s="109">
        <f>+F122+F126+F128+F130+F146+F155+F157+F159+F161+F169</f>
        <v>0</v>
      </c>
      <c r="G173" s="11">
        <f t="shared" ref="G173:M173" si="12">+G122+G126+G128+G130+G146+G155+G157+G159+G161+G169</f>
        <v>0</v>
      </c>
      <c r="H173" s="109">
        <f>+H122+H126+H128+H130+H146+H155+H157+H159+H161+H169</f>
        <v>0</v>
      </c>
      <c r="I173" s="11">
        <f t="shared" si="12"/>
        <v>0</v>
      </c>
      <c r="J173" s="4">
        <f t="shared" si="12"/>
        <v>0</v>
      </c>
      <c r="K173" s="11">
        <f t="shared" si="12"/>
        <v>0</v>
      </c>
      <c r="L173" s="4">
        <f t="shared" si="12"/>
        <v>0</v>
      </c>
      <c r="M173" s="11">
        <f t="shared" si="12"/>
        <v>0</v>
      </c>
      <c r="O173" s="11">
        <f>+O122+O126+O128+O130+O146+O155+O157+O159+O161+O169</f>
        <v>0</v>
      </c>
    </row>
  </sheetData>
  <pageMargins left="0.25" right="0.27" top="0.5" bottom="0.59" header="0.32" footer="0.28999999999999998"/>
  <pageSetup scale="53" orientation="landscape" r:id="rId1"/>
  <headerFooter alignWithMargins="0">
    <oddFooter>&amp;R&amp;P</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56"/>
  <sheetViews>
    <sheetView workbookViewId="0"/>
  </sheetViews>
  <sheetFormatPr defaultRowHeight="15.75"/>
  <cols>
    <col min="1" max="1" width="33.25" customWidth="1"/>
    <col min="2" max="2" width="17" style="12" customWidth="1"/>
    <col min="3" max="3" width="9.75" style="13" customWidth="1"/>
    <col min="4" max="4" width="15.75" style="12" customWidth="1"/>
    <col min="5" max="5" width="9.75" style="13" customWidth="1"/>
    <col min="6" max="6" width="15.75" style="12" customWidth="1"/>
    <col min="7" max="7" width="9.75" style="13" customWidth="1"/>
    <col min="8" max="8" width="15.75" style="12" customWidth="1"/>
    <col min="9" max="9" width="9.75" style="13" customWidth="1"/>
    <col min="10" max="10" width="15.75" style="12" customWidth="1"/>
    <col min="11" max="11" width="9.75" style="13" customWidth="1"/>
    <col min="12" max="12" width="15.75" style="12" customWidth="1"/>
    <col min="13" max="13" width="9.75" style="13" customWidth="1"/>
    <col min="14" max="14" width="15.75" style="12" customWidth="1"/>
    <col min="15" max="15" width="9.75" style="13" customWidth="1"/>
    <col min="16" max="16" width="15.75" style="12" customWidth="1"/>
    <col min="17" max="17" width="9.75" style="13" customWidth="1"/>
    <col min="18" max="18" width="15.75" style="12" customWidth="1"/>
    <col min="19" max="21" width="15.75" customWidth="1"/>
    <col min="22" max="256" width="11" customWidth="1"/>
  </cols>
  <sheetData>
    <row r="1" spans="1:21">
      <c r="A1" s="114" t="s">
        <v>653</v>
      </c>
      <c r="B1" s="37"/>
      <c r="C1" s="38"/>
      <c r="D1" s="37"/>
      <c r="E1" s="38"/>
      <c r="F1" s="37"/>
      <c r="G1" s="38"/>
      <c r="H1" s="37"/>
      <c r="I1" s="38"/>
      <c r="J1" s="37"/>
      <c r="K1" s="38"/>
      <c r="L1" s="37"/>
      <c r="M1" s="38"/>
      <c r="N1" s="37"/>
      <c r="O1" s="38"/>
      <c r="P1" s="37"/>
      <c r="Q1" s="38"/>
    </row>
    <row r="2" spans="1:21">
      <c r="A2" s="114" t="s">
        <v>305</v>
      </c>
      <c r="B2" s="37"/>
      <c r="C2" s="38"/>
      <c r="D2" s="37"/>
      <c r="E2" s="38"/>
      <c r="F2" s="37"/>
      <c r="G2" s="38"/>
      <c r="H2" s="37"/>
      <c r="I2" s="38"/>
      <c r="J2" s="37"/>
      <c r="K2" s="38"/>
      <c r="L2" s="37"/>
      <c r="M2" s="38"/>
      <c r="N2" s="37"/>
      <c r="O2" s="38"/>
      <c r="P2" s="37"/>
      <c r="Q2" s="38"/>
    </row>
    <row r="3" spans="1:21">
      <c r="A3" s="114" t="s">
        <v>526</v>
      </c>
      <c r="B3" s="37"/>
      <c r="C3" s="38"/>
      <c r="D3" s="37"/>
      <c r="E3" s="38"/>
      <c r="F3" s="37"/>
      <c r="G3" s="38"/>
      <c r="H3" s="37"/>
      <c r="I3" s="38"/>
      <c r="J3" s="37"/>
      <c r="K3" s="38"/>
      <c r="L3" s="37"/>
      <c r="M3" s="38"/>
      <c r="N3" s="37"/>
      <c r="O3" s="38"/>
      <c r="P3" s="37"/>
      <c r="Q3" s="38"/>
    </row>
    <row r="4" spans="1:21">
      <c r="A4" s="114" t="s">
        <v>179</v>
      </c>
      <c r="B4" s="37"/>
      <c r="C4" s="38"/>
      <c r="D4" s="37"/>
      <c r="E4" s="38"/>
      <c r="F4" s="37"/>
      <c r="G4" s="38"/>
      <c r="H4" s="37"/>
      <c r="I4" s="38"/>
      <c r="J4" s="37"/>
      <c r="K4" s="38"/>
      <c r="L4" s="37"/>
      <c r="M4" s="38"/>
      <c r="N4" s="37"/>
      <c r="O4" s="38"/>
      <c r="P4" s="37"/>
      <c r="Q4" s="38"/>
    </row>
    <row r="6" spans="1:21" s="2" customFormat="1" ht="16.5" thickBot="1">
      <c r="B6" s="400" t="s">
        <v>0</v>
      </c>
      <c r="C6" s="399"/>
      <c r="D6" s="400"/>
      <c r="E6" s="399"/>
      <c r="F6" s="400"/>
      <c r="G6" s="399"/>
      <c r="H6" s="400"/>
      <c r="I6" s="11"/>
      <c r="J6" s="123" t="s">
        <v>167</v>
      </c>
      <c r="K6" s="230"/>
      <c r="L6" s="123"/>
      <c r="M6" s="230"/>
      <c r="N6" s="123"/>
      <c r="O6" s="230"/>
      <c r="P6" s="123"/>
      <c r="Q6" s="230"/>
      <c r="R6" s="4"/>
    </row>
    <row r="7" spans="1:21" s="2" customFormat="1" ht="16.5" thickBot="1">
      <c r="B7" s="223" t="s">
        <v>168</v>
      </c>
      <c r="C7" s="224" t="s">
        <v>301</v>
      </c>
      <c r="D7" s="225" t="s">
        <v>170</v>
      </c>
      <c r="E7" s="224" t="s">
        <v>301</v>
      </c>
      <c r="F7" s="225" t="s">
        <v>171</v>
      </c>
      <c r="G7" s="224" t="s">
        <v>301</v>
      </c>
      <c r="H7" s="225" t="s">
        <v>172</v>
      </c>
      <c r="I7" s="224" t="s">
        <v>301</v>
      </c>
      <c r="J7" s="228" t="s">
        <v>174</v>
      </c>
      <c r="K7" s="227" t="s">
        <v>301</v>
      </c>
      <c r="L7" s="228" t="s">
        <v>175</v>
      </c>
      <c r="M7" s="227" t="s">
        <v>301</v>
      </c>
      <c r="N7" s="228" t="s">
        <v>176</v>
      </c>
      <c r="O7" s="227" t="s">
        <v>301</v>
      </c>
      <c r="P7" s="228" t="s">
        <v>177</v>
      </c>
      <c r="Q7" s="227" t="s">
        <v>301</v>
      </c>
      <c r="R7" s="80"/>
      <c r="S7" s="18"/>
      <c r="T7" s="18"/>
      <c r="U7" s="18"/>
    </row>
    <row r="8" spans="1:21">
      <c r="A8" s="87" t="s">
        <v>243</v>
      </c>
      <c r="B8" s="125"/>
      <c r="C8" s="124"/>
      <c r="D8" s="125"/>
      <c r="E8" s="124"/>
      <c r="F8" s="125"/>
      <c r="G8" s="124"/>
      <c r="H8" s="125"/>
      <c r="I8" s="124"/>
      <c r="J8" s="219"/>
      <c r="K8" s="124"/>
      <c r="L8" s="219"/>
      <c r="M8" s="124"/>
      <c r="N8" s="219"/>
      <c r="O8" s="124"/>
      <c r="P8" s="219"/>
      <c r="Q8" s="124"/>
      <c r="R8" s="14"/>
      <c r="S8" s="9"/>
      <c r="T8" s="9"/>
      <c r="U8" s="9"/>
    </row>
    <row r="9" spans="1:21">
      <c r="A9" s="1" t="s">
        <v>264</v>
      </c>
      <c r="B9"/>
    </row>
    <row r="10" spans="1:21">
      <c r="A10" s="1" t="s">
        <v>265</v>
      </c>
      <c r="B10" s="12">
        <f>+unibkvar!B10</f>
        <v>203597.6</v>
      </c>
      <c r="C10" s="47">
        <f t="shared" ref="C10:C15" si="0">+B10/$B$22</f>
        <v>5.4407504775343667E-2</v>
      </c>
      <c r="D10" s="12">
        <f>+unibkvar!D10</f>
        <v>0</v>
      </c>
      <c r="E10" s="44">
        <v>0</v>
      </c>
      <c r="F10" s="12">
        <f>+unibkvar!F10</f>
        <v>0</v>
      </c>
      <c r="G10" s="44">
        <v>0</v>
      </c>
      <c r="H10" s="12">
        <f>+unibkvar!H10</f>
        <v>0</v>
      </c>
      <c r="I10" s="44">
        <v>0</v>
      </c>
      <c r="J10" s="12">
        <f>+unibkvar!J10</f>
        <v>69863.3</v>
      </c>
      <c r="K10" s="47">
        <f t="shared" ref="K10:K15" si="1">+J10/$J$22</f>
        <v>2.0542855633153331E-2</v>
      </c>
      <c r="L10" s="12">
        <f>+unibkvar!L10</f>
        <v>90508.6</v>
      </c>
      <c r="M10" s="47">
        <f t="shared" ref="M10:M15" si="2">+L10/$L$22</f>
        <v>3.1769267379393652E-2</v>
      </c>
      <c r="N10" s="12">
        <f>+unibkvar!N10</f>
        <v>48431.199999999997</v>
      </c>
      <c r="O10" s="47">
        <f t="shared" ref="O10:O15" si="3">+N10/$N$22</f>
        <v>2.1338922291721435E-2</v>
      </c>
      <c r="P10" s="12">
        <f>+unibkvar!P10</f>
        <v>45168.38265</v>
      </c>
      <c r="Q10" s="47">
        <f t="shared" ref="Q10:Q15" si="4">+P10/$P$22</f>
        <v>2.5938503443498611E-2</v>
      </c>
    </row>
    <row r="11" spans="1:21">
      <c r="A11" s="1" t="s">
        <v>266</v>
      </c>
      <c r="B11" s="12">
        <f>+unibkvar!B11</f>
        <v>538430.19999999995</v>
      </c>
      <c r="C11" s="47">
        <f t="shared" si="0"/>
        <v>0.14388501474324472</v>
      </c>
      <c r="D11" s="12">
        <f>+unibkvar!D11</f>
        <v>0</v>
      </c>
      <c r="E11" s="44">
        <v>0</v>
      </c>
      <c r="F11" s="12">
        <f>+unibkvar!F11</f>
        <v>0</v>
      </c>
      <c r="G11" s="44">
        <v>0</v>
      </c>
      <c r="H11" s="12">
        <f>+unibkvar!H11</f>
        <v>0</v>
      </c>
      <c r="I11" s="44">
        <v>0</v>
      </c>
      <c r="J11" s="12">
        <f>+unibkvar!J11</f>
        <v>409799.5</v>
      </c>
      <c r="K11" s="47">
        <f t="shared" si="1"/>
        <v>0.12049891669930304</v>
      </c>
      <c r="L11" s="12">
        <f>+unibkvar!L11</f>
        <v>512268.6</v>
      </c>
      <c r="M11" s="47">
        <f t="shared" si="2"/>
        <v>0.17981051660800909</v>
      </c>
      <c r="N11" s="12">
        <f>+unibkvar!N11</f>
        <v>336517.6</v>
      </c>
      <c r="O11" s="47">
        <f t="shared" si="3"/>
        <v>0.14827059656165029</v>
      </c>
      <c r="P11" s="12">
        <f>+unibkvar!P11</f>
        <v>381995.84617999999</v>
      </c>
      <c r="Q11" s="47">
        <f t="shared" si="4"/>
        <v>0.21936584819341756</v>
      </c>
    </row>
    <row r="12" spans="1:21">
      <c r="A12" s="1" t="s">
        <v>267</v>
      </c>
      <c r="B12" s="12">
        <f>+unibkvar!B12</f>
        <v>268205.5</v>
      </c>
      <c r="C12" s="47">
        <f t="shared" si="0"/>
        <v>7.1672711377852374E-2</v>
      </c>
      <c r="D12" s="12">
        <f>+unibkvar!D12</f>
        <v>0</v>
      </c>
      <c r="E12" s="44">
        <v>0</v>
      </c>
      <c r="F12" s="12">
        <f>+unibkvar!F12</f>
        <v>0</v>
      </c>
      <c r="G12" s="44">
        <v>0</v>
      </c>
      <c r="H12" s="12">
        <f>+unibkvar!H12</f>
        <v>0</v>
      </c>
      <c r="I12" s="44">
        <v>0</v>
      </c>
      <c r="J12" s="12">
        <f>+unibkvar!J12</f>
        <v>168614.9</v>
      </c>
      <c r="K12" s="47">
        <f t="shared" si="1"/>
        <v>4.9580130745306698E-2</v>
      </c>
      <c r="L12" s="12">
        <f>+unibkvar!L12</f>
        <v>10541.2</v>
      </c>
      <c r="M12" s="47">
        <f t="shared" si="2"/>
        <v>3.7000484075509327E-3</v>
      </c>
      <c r="N12" s="12">
        <f>+unibkvar!N12</f>
        <v>142342.1</v>
      </c>
      <c r="O12" s="47">
        <f t="shared" si="3"/>
        <v>6.2716327713136205E-2</v>
      </c>
      <c r="P12" s="12">
        <f>+unibkvar!P12</f>
        <v>262877.88714000001</v>
      </c>
      <c r="Q12" s="47">
        <f t="shared" si="4"/>
        <v>0.15096088415732833</v>
      </c>
    </row>
    <row r="13" spans="1:21">
      <c r="A13" s="1" t="s">
        <v>268</v>
      </c>
      <c r="B13" s="12">
        <f>+unibkvar!B13</f>
        <v>11593.6</v>
      </c>
      <c r="C13" s="47">
        <f t="shared" si="0"/>
        <v>3.0981644546076393E-3</v>
      </c>
      <c r="D13" s="12">
        <f>+unibkvar!D13</f>
        <v>0</v>
      </c>
      <c r="E13" s="44">
        <v>0</v>
      </c>
      <c r="F13" s="12">
        <f>+unibkvar!F13</f>
        <v>0</v>
      </c>
      <c r="G13" s="44">
        <v>0</v>
      </c>
      <c r="H13" s="12">
        <f>+unibkvar!H13</f>
        <v>0</v>
      </c>
      <c r="I13" s="44">
        <v>0</v>
      </c>
      <c r="J13" s="12">
        <f>+unibkvar!J13</f>
        <v>7209.5</v>
      </c>
      <c r="K13" s="47">
        <f t="shared" si="1"/>
        <v>2.1199072715892171E-3</v>
      </c>
      <c r="L13" s="12">
        <f>+unibkvar!L13</f>
        <v>10154</v>
      </c>
      <c r="M13" s="47">
        <f t="shared" si="2"/>
        <v>3.5641380042378636E-3</v>
      </c>
      <c r="N13" s="12">
        <f>+unibkvar!N13</f>
        <v>0</v>
      </c>
      <c r="O13" s="47">
        <f t="shared" si="3"/>
        <v>0</v>
      </c>
      <c r="P13" s="12">
        <f>+unibkvar!P13</f>
        <v>0</v>
      </c>
      <c r="Q13" s="47">
        <f t="shared" si="4"/>
        <v>0</v>
      </c>
    </row>
    <row r="14" spans="1:21">
      <c r="A14" s="1" t="s">
        <v>269</v>
      </c>
      <c r="B14" s="221">
        <f>+unibkvar!B14</f>
        <v>99475.1</v>
      </c>
      <c r="C14" s="236">
        <f t="shared" si="0"/>
        <v>2.6582788688460909E-2</v>
      </c>
      <c r="D14" s="221">
        <f>+unibkvar!D14</f>
        <v>0</v>
      </c>
      <c r="E14" s="545">
        <v>0</v>
      </c>
      <c r="F14" s="221">
        <f>+unibkvar!F14</f>
        <v>0</v>
      </c>
      <c r="G14" s="545">
        <v>0</v>
      </c>
      <c r="H14" s="221">
        <f>+unibkvar!H14</f>
        <v>0</v>
      </c>
      <c r="I14" s="545">
        <v>0</v>
      </c>
      <c r="J14" s="221">
        <f>+unibkvar!J14</f>
        <v>82831.3</v>
      </c>
      <c r="K14" s="236">
        <f t="shared" si="1"/>
        <v>2.4356012925332952E-2</v>
      </c>
      <c r="L14" s="221">
        <f>+unibkvar!L14</f>
        <v>83109.799999999988</v>
      </c>
      <c r="M14" s="236">
        <f t="shared" si="2"/>
        <v>2.9172227368978527E-2</v>
      </c>
      <c r="N14" s="221">
        <f>+unibkvar!N14</f>
        <v>66542.8</v>
      </c>
      <c r="O14" s="236">
        <f t="shared" si="3"/>
        <v>2.9318943950873842E-2</v>
      </c>
      <c r="P14" s="221">
        <f>+unibkvar!P14</f>
        <v>40672.352590000002</v>
      </c>
      <c r="Q14" s="236">
        <f t="shared" si="4"/>
        <v>2.3356602468716129E-2</v>
      </c>
    </row>
    <row r="15" spans="1:21" ht="15.6" customHeight="1">
      <c r="A15" s="1"/>
      <c r="B15" s="12">
        <f>SUM(B10:B14)</f>
        <v>1121302</v>
      </c>
      <c r="C15" s="47">
        <f t="shared" si="0"/>
        <v>0.29964618403950932</v>
      </c>
      <c r="D15" s="12">
        <f>SUM(D10:D14)</f>
        <v>0</v>
      </c>
      <c r="E15" s="44">
        <v>0</v>
      </c>
      <c r="F15" s="12">
        <f>SUM(F10:F14)</f>
        <v>0</v>
      </c>
      <c r="G15" s="44">
        <v>0</v>
      </c>
      <c r="H15" s="12">
        <f>SUM(H10:H14)</f>
        <v>0</v>
      </c>
      <c r="I15" s="44">
        <v>0</v>
      </c>
      <c r="J15" s="12">
        <f>SUM(J10:J14)</f>
        <v>738318.5</v>
      </c>
      <c r="K15" s="47">
        <f t="shared" si="1"/>
        <v>0.21709782327468524</v>
      </c>
      <c r="L15" s="12">
        <f>SUM(L10:L14)</f>
        <v>706582.2</v>
      </c>
      <c r="M15" s="47">
        <f t="shared" si="2"/>
        <v>0.24801619776817008</v>
      </c>
      <c r="N15" s="12">
        <f>SUM(N10:N14)</f>
        <v>593833.70000000007</v>
      </c>
      <c r="O15" s="47">
        <f t="shared" si="3"/>
        <v>0.26164479051738176</v>
      </c>
      <c r="P15" s="12">
        <f>SUM(P10:P14)</f>
        <v>730714.46855999995</v>
      </c>
      <c r="Q15" s="47">
        <f t="shared" si="4"/>
        <v>0.41962183826296062</v>
      </c>
    </row>
    <row r="16" spans="1:21" ht="7.9" customHeight="1">
      <c r="A16" s="1"/>
      <c r="C16" s="47" t="s">
        <v>0</v>
      </c>
      <c r="E16" s="44" t="s">
        <v>0</v>
      </c>
      <c r="G16" s="44" t="s">
        <v>0</v>
      </c>
      <c r="I16" s="44" t="s">
        <v>0</v>
      </c>
      <c r="K16" s="47" t="s">
        <v>0</v>
      </c>
      <c r="M16" s="47" t="s">
        <v>0</v>
      </c>
      <c r="O16" s="47" t="s">
        <v>0</v>
      </c>
      <c r="Q16" s="47" t="s">
        <v>0</v>
      </c>
    </row>
    <row r="17" spans="1:17" ht="15.6" customHeight="1">
      <c r="A17" s="1" t="s">
        <v>270</v>
      </c>
      <c r="B17" s="12">
        <f>+unibkvar!B17</f>
        <v>270000</v>
      </c>
      <c r="C17" s="47">
        <f t="shared" ref="C17:C22" si="5">+B17/$B$22</f>
        <v>7.2152256654021404E-2</v>
      </c>
      <c r="D17" s="12">
        <f>+unibkvar!D17</f>
        <v>0</v>
      </c>
      <c r="E17" s="44">
        <v>0</v>
      </c>
      <c r="F17" s="12">
        <f>+unibkvar!F17</f>
        <v>0</v>
      </c>
      <c r="G17" s="44">
        <v>0</v>
      </c>
      <c r="H17" s="12">
        <f>+unibkvar!H17</f>
        <v>0</v>
      </c>
      <c r="I17" s="44">
        <v>0</v>
      </c>
      <c r="J17" s="12">
        <f>+unibkvar!J17</f>
        <v>400000</v>
      </c>
      <c r="K17" s="47">
        <f t="shared" ref="K17:K22" si="6">+J17/$J$22</f>
        <v>0.11761743652620664</v>
      </c>
      <c r="L17" s="12">
        <f>+unibkvar!L17</f>
        <v>190000</v>
      </c>
      <c r="M17" s="47">
        <f t="shared" ref="M17:M22" si="7">+L17/$L$22</f>
        <v>6.6691571873664965E-2</v>
      </c>
      <c r="N17" s="12">
        <f>+unibkvar!N17</f>
        <v>0</v>
      </c>
      <c r="O17" s="47">
        <f t="shared" ref="O17:O22" si="8">+N17/$N$22</f>
        <v>0</v>
      </c>
      <c r="P17" s="12">
        <f>+unibkvar!P17</f>
        <v>0</v>
      </c>
      <c r="Q17" s="47">
        <f t="shared" ref="Q17:Q22" si="9">+P17/$P$22</f>
        <v>0</v>
      </c>
    </row>
    <row r="18" spans="1:17">
      <c r="A18" s="1" t="s">
        <v>271</v>
      </c>
      <c r="B18" s="12">
        <f>+unibkvar!B18</f>
        <v>583444.80000000005</v>
      </c>
      <c r="C18" s="47">
        <f t="shared" si="5"/>
        <v>0.15591429241871924</v>
      </c>
      <c r="D18" s="12">
        <f>+unibkvar!D18</f>
        <v>0</v>
      </c>
      <c r="E18" s="44">
        <v>0</v>
      </c>
      <c r="F18" s="12">
        <f>+unibkvar!F18</f>
        <v>0</v>
      </c>
      <c r="G18" s="44">
        <v>0</v>
      </c>
      <c r="H18" s="12">
        <f>+unibkvar!H18</f>
        <v>0</v>
      </c>
      <c r="I18" s="44">
        <v>0</v>
      </c>
      <c r="J18" s="12">
        <f>+unibkvar!J18</f>
        <v>542714.6</v>
      </c>
      <c r="K18" s="47">
        <f t="shared" si="6"/>
        <v>0.15958175004336406</v>
      </c>
      <c r="L18" s="12">
        <f>+unibkvar!L18</f>
        <v>510952</v>
      </c>
      <c r="M18" s="47">
        <f t="shared" si="7"/>
        <v>0.17934837911575191</v>
      </c>
      <c r="N18" s="12">
        <f>+unibkvar!N18</f>
        <v>555115.5</v>
      </c>
      <c r="O18" s="47">
        <f t="shared" si="8"/>
        <v>0.24458544321491291</v>
      </c>
      <c r="P18" s="12">
        <f>+unibkvar!P18</f>
        <v>391952.00780000002</v>
      </c>
      <c r="Q18" s="47">
        <f t="shared" si="9"/>
        <v>0.22508329737607941</v>
      </c>
    </row>
    <row r="19" spans="1:17">
      <c r="A19" s="1" t="s">
        <v>272</v>
      </c>
      <c r="B19" s="12">
        <f>+unibkvar!B19</f>
        <v>1489899</v>
      </c>
      <c r="C19" s="47">
        <f t="shared" si="5"/>
        <v>0.39814657420951793</v>
      </c>
      <c r="D19" s="12">
        <f>+unibkvar!D19</f>
        <v>0</v>
      </c>
      <c r="E19" s="44">
        <v>0</v>
      </c>
      <c r="F19" s="12">
        <f>+unibkvar!F19</f>
        <v>0</v>
      </c>
      <c r="G19" s="44">
        <v>0</v>
      </c>
      <c r="H19" s="12">
        <f>+unibkvar!H19</f>
        <v>0</v>
      </c>
      <c r="I19" s="44">
        <v>0</v>
      </c>
      <c r="J19" s="12">
        <f>+unibkvar!J19</f>
        <v>1508389.5</v>
      </c>
      <c r="K19" s="47">
        <f t="shared" si="6"/>
        <v>0.44353226568261644</v>
      </c>
      <c r="L19" s="12">
        <f>+unibkvar!L19</f>
        <v>1249411.8</v>
      </c>
      <c r="M19" s="47">
        <f t="shared" si="7"/>
        <v>0.43855387820792169</v>
      </c>
      <c r="N19" s="12">
        <f>+unibkvar!N19</f>
        <v>925572.1</v>
      </c>
      <c r="O19" s="47">
        <f t="shared" si="8"/>
        <v>0.40780965818078885</v>
      </c>
      <c r="P19" s="12">
        <f>+unibkvar!P19</f>
        <v>515529.79719999997</v>
      </c>
      <c r="Q19" s="47">
        <f t="shared" si="9"/>
        <v>0.29604937426065531</v>
      </c>
    </row>
    <row r="20" spans="1:17">
      <c r="A20" s="1" t="s">
        <v>273</v>
      </c>
      <c r="B20" s="12">
        <f>+unibkvar!B20</f>
        <v>139126.29999999999</v>
      </c>
      <c r="C20" s="47">
        <f t="shared" si="5"/>
        <v>3.7178801870090289E-2</v>
      </c>
      <c r="D20" s="12">
        <f>+unibkvar!D20</f>
        <v>0</v>
      </c>
      <c r="E20" s="44">
        <v>0</v>
      </c>
      <c r="F20" s="12">
        <f>+unibkvar!F20</f>
        <v>0</v>
      </c>
      <c r="G20" s="44">
        <v>0</v>
      </c>
      <c r="H20" s="12">
        <f>+unibkvar!H20</f>
        <v>0</v>
      </c>
      <c r="I20" s="44">
        <v>0</v>
      </c>
      <c r="J20" s="12">
        <f>+unibkvar!J20</f>
        <v>126232.1</v>
      </c>
      <c r="K20" s="47">
        <f t="shared" si="6"/>
        <v>3.7117740023299428E-2</v>
      </c>
      <c r="L20" s="12">
        <f>+unibkvar!L20</f>
        <v>103087.3</v>
      </c>
      <c r="M20" s="47">
        <f t="shared" si="7"/>
        <v>3.6184495143221383E-2</v>
      </c>
      <c r="N20" s="12">
        <f>+unibkvar!N20</f>
        <v>69503.899999999994</v>
      </c>
      <c r="O20" s="47">
        <f t="shared" si="8"/>
        <v>3.0623612899774885E-2</v>
      </c>
      <c r="P20" s="12">
        <f>+unibkvar!P20</f>
        <v>58350.277950000003</v>
      </c>
      <c r="Q20" s="47">
        <f t="shared" si="9"/>
        <v>3.3508370163773754E-2</v>
      </c>
    </row>
    <row r="21" spans="1:17" ht="16.5" thickBot="1">
      <c r="A21" s="1" t="s">
        <v>274</v>
      </c>
      <c r="B21" s="99">
        <f>+unibkvar!B21</f>
        <v>138314.6</v>
      </c>
      <c r="C21" s="231">
        <f t="shared" si="5"/>
        <v>3.6961890808141891E-2</v>
      </c>
      <c r="D21" s="99">
        <f>+unibkvar!D21</f>
        <v>0</v>
      </c>
      <c r="E21" s="232">
        <v>0</v>
      </c>
      <c r="F21" s="99">
        <f>+unibkvar!F21</f>
        <v>0</v>
      </c>
      <c r="G21" s="232">
        <v>0</v>
      </c>
      <c r="H21" s="99">
        <f>+unibkvar!H21</f>
        <v>0</v>
      </c>
      <c r="I21" s="232">
        <v>0</v>
      </c>
      <c r="J21" s="99">
        <f>+unibkvar!J21</f>
        <v>85201.600000000006</v>
      </c>
      <c r="K21" s="231">
        <f t="shared" si="6"/>
        <v>2.505298444982812E-2</v>
      </c>
      <c r="L21" s="99">
        <f>+unibkvar!L21</f>
        <v>88902.399999999994</v>
      </c>
      <c r="M21" s="231">
        <f t="shared" si="7"/>
        <v>3.1205477891270064E-2</v>
      </c>
      <c r="N21" s="99">
        <f>+unibkvar!N21</f>
        <v>125592.7</v>
      </c>
      <c r="O21" s="231">
        <f t="shared" si="8"/>
        <v>5.5336495187141399E-2</v>
      </c>
      <c r="P21" s="99">
        <f>+unibkvar!P21</f>
        <v>44817.70061</v>
      </c>
      <c r="Q21" s="231">
        <f t="shared" si="9"/>
        <v>2.5737119936530977E-2</v>
      </c>
    </row>
    <row r="22" spans="1:17">
      <c r="A22" s="1" t="s">
        <v>275</v>
      </c>
      <c r="B22" s="4">
        <f>SUM(B15:B21)</f>
        <v>3742086.6999999997</v>
      </c>
      <c r="C22" s="112">
        <f t="shared" si="5"/>
        <v>1</v>
      </c>
      <c r="D22" s="4">
        <f>SUM(D15:D21)</f>
        <v>0</v>
      </c>
      <c r="E22" s="42">
        <v>0</v>
      </c>
      <c r="F22" s="4">
        <f>SUM(F15:F21)</f>
        <v>0</v>
      </c>
      <c r="G22" s="42">
        <v>0</v>
      </c>
      <c r="H22" s="4">
        <f>SUM(H15:H21)</f>
        <v>0</v>
      </c>
      <c r="I22" s="42">
        <v>0</v>
      </c>
      <c r="J22" s="4">
        <f>SUM(J15:J21)</f>
        <v>3400856.3000000003</v>
      </c>
      <c r="K22" s="47">
        <f t="shared" si="6"/>
        <v>1</v>
      </c>
      <c r="L22" s="4">
        <f>SUM(L15:L21)</f>
        <v>2848935.6999999997</v>
      </c>
      <c r="M22" s="47">
        <f t="shared" si="7"/>
        <v>1</v>
      </c>
      <c r="N22" s="4">
        <f>SUM(N15:N21)</f>
        <v>2269617.9000000004</v>
      </c>
      <c r="O22" s="47">
        <f t="shared" si="8"/>
        <v>1</v>
      </c>
      <c r="P22" s="4">
        <f>SUM(P15:P21)</f>
        <v>1741364.2521199998</v>
      </c>
      <c r="Q22" s="47">
        <f t="shared" si="9"/>
        <v>1</v>
      </c>
    </row>
    <row r="23" spans="1:17" ht="7.9" customHeight="1">
      <c r="A23" s="1"/>
      <c r="C23" s="47" t="s">
        <v>0</v>
      </c>
      <c r="E23" s="44" t="s">
        <v>0</v>
      </c>
      <c r="G23" s="44" t="s">
        <v>0</v>
      </c>
      <c r="I23" s="44" t="s">
        <v>0</v>
      </c>
      <c r="K23" s="47" t="s">
        <v>0</v>
      </c>
      <c r="M23" s="47" t="s">
        <v>0</v>
      </c>
      <c r="O23" s="47" t="s">
        <v>0</v>
      </c>
      <c r="Q23" s="47" t="s">
        <v>0</v>
      </c>
    </row>
    <row r="24" spans="1:17">
      <c r="A24" s="87" t="s">
        <v>276</v>
      </c>
      <c r="C24" s="47" t="s">
        <v>0</v>
      </c>
      <c r="E24" s="44" t="s">
        <v>0</v>
      </c>
      <c r="G24" s="44" t="s">
        <v>0</v>
      </c>
      <c r="I24" s="44" t="s">
        <v>0</v>
      </c>
      <c r="K24" s="47" t="s">
        <v>0</v>
      </c>
      <c r="M24" s="47" t="s">
        <v>0</v>
      </c>
      <c r="O24" s="47" t="s">
        <v>0</v>
      </c>
      <c r="Q24" s="47" t="s">
        <v>0</v>
      </c>
    </row>
    <row r="25" spans="1:17">
      <c r="A25" s="1" t="s">
        <v>277</v>
      </c>
      <c r="C25" s="47" t="s">
        <v>0</v>
      </c>
      <c r="E25" s="44" t="s">
        <v>0</v>
      </c>
      <c r="G25" s="44" t="s">
        <v>0</v>
      </c>
      <c r="I25" s="44" t="s">
        <v>0</v>
      </c>
      <c r="K25" s="47" t="s">
        <v>0</v>
      </c>
      <c r="M25" s="47" t="s">
        <v>0</v>
      </c>
      <c r="O25" s="47" t="s">
        <v>0</v>
      </c>
      <c r="Q25" s="47" t="s">
        <v>0</v>
      </c>
    </row>
    <row r="26" spans="1:17">
      <c r="A26" s="1" t="s">
        <v>278</v>
      </c>
      <c r="B26" s="12">
        <f>+unibkvar!B26</f>
        <v>829983.4</v>
      </c>
      <c r="C26" s="47">
        <f>+B26/$B$22</f>
        <v>0.22179694553843451</v>
      </c>
      <c r="D26" s="12">
        <f>+unibkvar!D26</f>
        <v>0</v>
      </c>
      <c r="E26" s="44">
        <v>0</v>
      </c>
      <c r="F26" s="12">
        <f>+unibkvar!F26</f>
        <v>0</v>
      </c>
      <c r="G26" s="44">
        <v>0</v>
      </c>
      <c r="H26" s="12">
        <f>+unibkvar!H26</f>
        <v>0</v>
      </c>
      <c r="I26" s="44">
        <v>0</v>
      </c>
      <c r="J26" s="12">
        <f>+unibkvar!J26</f>
        <v>888080.9</v>
      </c>
      <c r="K26" s="47">
        <f>+J26/$J$22</f>
        <v>0.26113449721471615</v>
      </c>
      <c r="L26" s="12">
        <f>+unibkvar!L26</f>
        <v>575966.5</v>
      </c>
      <c r="M26" s="47">
        <f>+L26/$L$22</f>
        <v>0.20216900648196451</v>
      </c>
      <c r="N26" s="12">
        <f>+unibkvar!N26</f>
        <v>496961.7</v>
      </c>
      <c r="O26" s="47">
        <f>+N26/$N$22</f>
        <v>0.21896271614706594</v>
      </c>
      <c r="P26" s="12">
        <f>+unibkvar!P26</f>
        <v>412858.82313999999</v>
      </c>
      <c r="Q26" s="47">
        <f>+P26/$P$22</f>
        <v>0.23708929515313681</v>
      </c>
    </row>
    <row r="27" spans="1:17">
      <c r="A27" s="1" t="s">
        <v>279</v>
      </c>
      <c r="B27" s="12">
        <f>+unibkvar!B27</f>
        <v>1528320.2</v>
      </c>
      <c r="C27" s="47">
        <f>+B27/$B$22</f>
        <v>0.4084138937775012</v>
      </c>
      <c r="D27" s="12">
        <f>+unibkvar!D27</f>
        <v>0</v>
      </c>
      <c r="E27" s="44">
        <v>0</v>
      </c>
      <c r="F27" s="12">
        <f>+unibkvar!F27</f>
        <v>0</v>
      </c>
      <c r="G27" s="44">
        <v>0</v>
      </c>
      <c r="H27" s="12">
        <f>+unibkvar!H27</f>
        <v>0</v>
      </c>
      <c r="I27" s="44">
        <v>0</v>
      </c>
      <c r="J27" s="12">
        <f>+unibkvar!J27</f>
        <v>1432076.3</v>
      </c>
      <c r="K27" s="47">
        <f>+J27/$J$22</f>
        <v>0.42109285828983717</v>
      </c>
      <c r="L27" s="12">
        <f>+unibkvar!L27</f>
        <v>1059857.1000000001</v>
      </c>
      <c r="M27" s="47">
        <f>+L27/$L$22</f>
        <v>0.37201861031823225</v>
      </c>
      <c r="N27" s="12">
        <f>+unibkvar!N27</f>
        <v>869719</v>
      </c>
      <c r="O27" s="47">
        <f>+N27/$N$22</f>
        <v>0.38320062597320892</v>
      </c>
      <c r="P27" s="12">
        <f>+unibkvar!P27</f>
        <v>619303.88323000004</v>
      </c>
      <c r="Q27" s="47">
        <f>+P27/$P$22</f>
        <v>0.3556429290862248</v>
      </c>
    </row>
    <row r="28" spans="1:17">
      <c r="A28" s="1" t="s">
        <v>280</v>
      </c>
      <c r="B28" s="221">
        <f>+unibkvar!B28</f>
        <v>1013089.4</v>
      </c>
      <c r="C28" s="236">
        <f>+B28/$B$22</f>
        <v>0.27072846815655022</v>
      </c>
      <c r="D28" s="221">
        <f>+unibkvar!D28</f>
        <v>0</v>
      </c>
      <c r="E28" s="545">
        <v>0</v>
      </c>
      <c r="F28" s="221">
        <f>+unibkvar!F28</f>
        <v>0</v>
      </c>
      <c r="G28" s="545">
        <v>0</v>
      </c>
      <c r="H28" s="221">
        <f>+unibkvar!H28</f>
        <v>0</v>
      </c>
      <c r="I28" s="545">
        <v>0</v>
      </c>
      <c r="J28" s="221">
        <f>+unibkvar!J28</f>
        <v>739038.8</v>
      </c>
      <c r="K28" s="236">
        <f>+J28/$J$22</f>
        <v>0.21730962287350983</v>
      </c>
      <c r="L28" s="221">
        <f>+unibkvar!L28</f>
        <v>890610.6</v>
      </c>
      <c r="M28" s="236">
        <f>+L28/$L$22</f>
        <v>0.31261168863867306</v>
      </c>
      <c r="N28" s="221">
        <f>+unibkvar!N28</f>
        <v>621683.1</v>
      </c>
      <c r="O28" s="236">
        <f>+N28/$N$22</f>
        <v>0.27391531411520847</v>
      </c>
      <c r="P28" s="221">
        <f>+unibkvar!P28</f>
        <v>416794.17538999999</v>
      </c>
      <c r="Q28" s="236">
        <f>+P28/$P$22</f>
        <v>0.23934921994785391</v>
      </c>
    </row>
    <row r="29" spans="1:17">
      <c r="A29" s="1"/>
      <c r="B29" s="12">
        <f>SUM(B26:B28)</f>
        <v>3371393</v>
      </c>
      <c r="C29" s="47">
        <f>+B29/$B$22</f>
        <v>0.90093930747248596</v>
      </c>
      <c r="D29" s="12">
        <f>SUM(D26:D28)</f>
        <v>0</v>
      </c>
      <c r="E29" s="44">
        <v>0</v>
      </c>
      <c r="F29" s="12">
        <f>SUM(F26:F28)</f>
        <v>0</v>
      </c>
      <c r="G29" s="44">
        <v>0</v>
      </c>
      <c r="H29" s="12">
        <f>SUM(H26:H28)</f>
        <v>0</v>
      </c>
      <c r="I29" s="44">
        <v>0</v>
      </c>
      <c r="J29" s="12">
        <f>SUM(J26:J28)</f>
        <v>3059196</v>
      </c>
      <c r="K29" s="47">
        <f>+J29/$J$22</f>
        <v>0.89953697837806312</v>
      </c>
      <c r="L29" s="12">
        <f>SUM(L26:L28)</f>
        <v>2526434.2000000002</v>
      </c>
      <c r="M29" s="47">
        <f>+L29/$L$22</f>
        <v>0.88679930543886987</v>
      </c>
      <c r="N29" s="12">
        <f>SUM(N26:N28)</f>
        <v>1988363.7999999998</v>
      </c>
      <c r="O29" s="47">
        <f>+N29/$N$22</f>
        <v>0.87607865623548331</v>
      </c>
      <c r="P29" s="12">
        <f>SUM(P26:P28)</f>
        <v>1448956.88176</v>
      </c>
      <c r="Q29" s="47">
        <f>+P29/$P$22</f>
        <v>0.83208144418721552</v>
      </c>
    </row>
    <row r="30" spans="1:17" ht="7.9" customHeight="1">
      <c r="A30" s="1"/>
      <c r="C30" s="47" t="s">
        <v>0</v>
      </c>
      <c r="E30" s="44" t="s">
        <v>0</v>
      </c>
      <c r="G30" s="44" t="s">
        <v>0</v>
      </c>
      <c r="I30" s="44" t="s">
        <v>0</v>
      </c>
      <c r="K30" s="47" t="s">
        <v>0</v>
      </c>
      <c r="M30" s="47" t="s">
        <v>0</v>
      </c>
      <c r="O30" s="47" t="s">
        <v>0</v>
      </c>
      <c r="Q30" s="47" t="s">
        <v>0</v>
      </c>
    </row>
    <row r="31" spans="1:17">
      <c r="A31" s="1" t="s">
        <v>281</v>
      </c>
      <c r="C31" s="47" t="s">
        <v>0</v>
      </c>
      <c r="E31" s="44" t="s">
        <v>0</v>
      </c>
      <c r="G31" s="44" t="s">
        <v>0</v>
      </c>
      <c r="I31" s="44" t="s">
        <v>0</v>
      </c>
      <c r="K31" s="47" t="s">
        <v>0</v>
      </c>
      <c r="M31" s="47" t="s">
        <v>0</v>
      </c>
      <c r="O31" s="47" t="s">
        <v>0</v>
      </c>
      <c r="Q31" s="47" t="s">
        <v>0</v>
      </c>
    </row>
    <row r="32" spans="1:17">
      <c r="A32" s="1" t="s">
        <v>282</v>
      </c>
      <c r="B32" s="12">
        <f>+unibkvar!B32</f>
        <v>0</v>
      </c>
      <c r="C32" s="47">
        <f>+B32/$B$22</f>
        <v>0</v>
      </c>
      <c r="D32" s="12">
        <f>+unibkvar!D32</f>
        <v>0</v>
      </c>
      <c r="E32" s="44">
        <v>0</v>
      </c>
      <c r="F32" s="12">
        <f>+unibkvar!F32</f>
        <v>0</v>
      </c>
      <c r="G32" s="44">
        <v>0</v>
      </c>
      <c r="H32" s="12">
        <f>+unibkvar!H32</f>
        <v>0</v>
      </c>
      <c r="I32" s="44">
        <v>0</v>
      </c>
      <c r="J32" s="12">
        <f>+unibkvar!J32</f>
        <v>0</v>
      </c>
      <c r="K32" s="47">
        <f>+J32/$J$22</f>
        <v>0</v>
      </c>
      <c r="L32" s="12">
        <f>+unibkvar!L32</f>
        <v>0</v>
      </c>
      <c r="M32" s="47">
        <f>+L32/$L$22</f>
        <v>0</v>
      </c>
      <c r="N32" s="12">
        <f>+unibkvar!N32</f>
        <v>0</v>
      </c>
      <c r="O32" s="47">
        <f>+N32/$N$22</f>
        <v>0</v>
      </c>
      <c r="P32" s="12">
        <f>+unibkvar!P32</f>
        <v>0</v>
      </c>
      <c r="Q32" s="47">
        <f>+P32/$P$22</f>
        <v>0</v>
      </c>
    </row>
    <row r="33" spans="1:21">
      <c r="A33" s="1" t="s">
        <v>283</v>
      </c>
      <c r="B33" s="12">
        <f>+unibkvar!B33</f>
        <v>0</v>
      </c>
      <c r="C33" s="47">
        <f>+B33/$B$22</f>
        <v>0</v>
      </c>
      <c r="D33" s="12">
        <f>+unibkvar!D33</f>
        <v>0</v>
      </c>
      <c r="E33" s="44">
        <v>0</v>
      </c>
      <c r="F33" s="12">
        <f>+unibkvar!F33</f>
        <v>0</v>
      </c>
      <c r="G33" s="44">
        <v>0</v>
      </c>
      <c r="H33" s="12">
        <f>+unibkvar!H33</f>
        <v>0</v>
      </c>
      <c r="I33" s="44">
        <v>0</v>
      </c>
      <c r="J33" s="12">
        <f>+unibkvar!J33</f>
        <v>0</v>
      </c>
      <c r="K33" s="47">
        <f>+J33/$J$22</f>
        <v>0</v>
      </c>
      <c r="L33" s="12">
        <f>+unibkvar!L33</f>
        <v>0</v>
      </c>
      <c r="M33" s="47">
        <f>+L33/$L$22</f>
        <v>0</v>
      </c>
      <c r="N33" s="12">
        <f>+unibkvar!N33</f>
        <v>0</v>
      </c>
      <c r="O33" s="47">
        <f>+N33/$N$22</f>
        <v>0</v>
      </c>
      <c r="P33" s="12">
        <f>+unibkvar!P33</f>
        <v>0</v>
      </c>
      <c r="Q33" s="47">
        <f>+P33/$P$22</f>
        <v>0</v>
      </c>
    </row>
    <row r="34" spans="1:21" ht="18">
      <c r="A34" s="1" t="s">
        <v>284</v>
      </c>
      <c r="B34" s="221">
        <f>+unibkvar!B34</f>
        <v>88075.8</v>
      </c>
      <c r="C34" s="236">
        <f>+B34/$B$22</f>
        <v>2.3536547135586144E-2</v>
      </c>
      <c r="D34" s="221">
        <f>+unibkvar!D34</f>
        <v>0</v>
      </c>
      <c r="E34" s="545">
        <v>0</v>
      </c>
      <c r="F34" s="221">
        <f>+unibkvar!F34</f>
        <v>0</v>
      </c>
      <c r="G34" s="545">
        <v>0</v>
      </c>
      <c r="H34" s="221">
        <f>+unibkvar!H34</f>
        <v>0</v>
      </c>
      <c r="I34" s="545">
        <v>0</v>
      </c>
      <c r="J34" s="221">
        <f>+unibkvar!J34</f>
        <v>92571.7</v>
      </c>
      <c r="K34" s="236">
        <f>+J34/$J$22</f>
        <v>2.7220115122182607E-2</v>
      </c>
      <c r="L34" s="221">
        <f>+unibkvar!L34</f>
        <v>97629.9</v>
      </c>
      <c r="M34" s="236">
        <f>+L34/$L$22</f>
        <v>3.4268902594045914E-2</v>
      </c>
      <c r="N34" s="221">
        <f>+unibkvar!N34</f>
        <v>63274.6</v>
      </c>
      <c r="O34" s="236">
        <f>+N34/$N$22</f>
        <v>2.7878965882318776E-2</v>
      </c>
      <c r="P34" s="221">
        <f>+unibkvar!P34</f>
        <v>183771.73177000001</v>
      </c>
      <c r="Q34" s="236">
        <f>+P34/$P$22</f>
        <v>0.1055331941874135</v>
      </c>
      <c r="R34" s="6"/>
      <c r="S34" s="7"/>
      <c r="T34" s="7"/>
      <c r="U34" s="7"/>
    </row>
    <row r="35" spans="1:21">
      <c r="A35" s="1"/>
      <c r="B35" s="12">
        <f>SUM(B32:B34)</f>
        <v>88075.8</v>
      </c>
      <c r="C35" s="47">
        <f>+B35/$B$22</f>
        <v>2.3536547135586144E-2</v>
      </c>
      <c r="D35" s="12">
        <f>SUM(D32:D34)</f>
        <v>0</v>
      </c>
      <c r="E35" s="44">
        <v>0</v>
      </c>
      <c r="F35" s="12">
        <f>SUM(F32:F34)</f>
        <v>0</v>
      </c>
      <c r="G35" s="44">
        <v>0</v>
      </c>
      <c r="H35" s="12">
        <f>SUM(H32:H34)</f>
        <v>0</v>
      </c>
      <c r="I35" s="44">
        <v>0</v>
      </c>
      <c r="J35" s="12">
        <f>SUM(J32:J34)</f>
        <v>92571.7</v>
      </c>
      <c r="K35" s="47">
        <f>+J35/$J$22</f>
        <v>2.7220115122182607E-2</v>
      </c>
      <c r="L35" s="12">
        <f>SUM(L32:L34)</f>
        <v>97629.9</v>
      </c>
      <c r="M35" s="47">
        <f>+L35/$L$22</f>
        <v>3.4268902594045914E-2</v>
      </c>
      <c r="N35" s="12">
        <f>SUM(N32:N34)</f>
        <v>63274.6</v>
      </c>
      <c r="O35" s="47">
        <f>+N35/$N$22</f>
        <v>2.7878965882318776E-2</v>
      </c>
      <c r="P35" s="12">
        <f>SUM(P32:P34)</f>
        <v>183771.73177000001</v>
      </c>
      <c r="Q35" s="47">
        <f>+P35/$P$22</f>
        <v>0.1055331941874135</v>
      </c>
    </row>
    <row r="36" spans="1:21" ht="7.15" customHeight="1">
      <c r="A36" s="1"/>
      <c r="C36" s="47" t="s">
        <v>0</v>
      </c>
      <c r="E36" s="44" t="s">
        <v>0</v>
      </c>
      <c r="G36" s="44" t="s">
        <v>0</v>
      </c>
      <c r="I36" s="44" t="s">
        <v>0</v>
      </c>
      <c r="K36" s="47" t="s">
        <v>0</v>
      </c>
      <c r="M36" s="47" t="s">
        <v>0</v>
      </c>
      <c r="O36" s="47" t="s">
        <v>0</v>
      </c>
      <c r="Q36" s="47" t="s">
        <v>0</v>
      </c>
    </row>
    <row r="37" spans="1:21">
      <c r="A37" s="1" t="s">
        <v>285</v>
      </c>
      <c r="C37" s="47" t="s">
        <v>0</v>
      </c>
      <c r="E37" s="44" t="s">
        <v>0</v>
      </c>
      <c r="G37" s="44" t="s">
        <v>0</v>
      </c>
      <c r="I37" s="44" t="s">
        <v>0</v>
      </c>
      <c r="K37" s="47" t="s">
        <v>0</v>
      </c>
      <c r="M37" s="47" t="s">
        <v>0</v>
      </c>
      <c r="O37" s="47" t="s">
        <v>0</v>
      </c>
      <c r="Q37" s="47" t="s">
        <v>0</v>
      </c>
    </row>
    <row r="38" spans="1:21">
      <c r="A38" s="1" t="s">
        <v>282</v>
      </c>
      <c r="B38" s="12">
        <f>+unibkvar!B38</f>
        <v>0</v>
      </c>
      <c r="C38" s="47">
        <f>+B38/$B$22</f>
        <v>0</v>
      </c>
      <c r="D38" s="12">
        <f>+unibkvar!D38</f>
        <v>0</v>
      </c>
      <c r="E38" s="44">
        <v>0</v>
      </c>
      <c r="F38" s="12">
        <f>+unibkvar!F38</f>
        <v>0</v>
      </c>
      <c r="G38" s="44">
        <v>0</v>
      </c>
      <c r="H38" s="12">
        <f>+unibkvar!H38</f>
        <v>0</v>
      </c>
      <c r="I38" s="44">
        <v>0</v>
      </c>
      <c r="J38" s="12">
        <f>+unibkvar!J38</f>
        <v>0</v>
      </c>
      <c r="K38" s="47">
        <f>+J38/$J$22</f>
        <v>0</v>
      </c>
      <c r="L38" s="12">
        <f>+unibkvar!L38</f>
        <v>0</v>
      </c>
      <c r="M38" s="47">
        <f>+L38/$L$22</f>
        <v>0</v>
      </c>
      <c r="N38" s="12">
        <f>+unibkvar!N38</f>
        <v>0</v>
      </c>
      <c r="O38" s="47">
        <f>+N38/$N$22</f>
        <v>0</v>
      </c>
      <c r="P38" s="12">
        <f>+unibkvar!P38</f>
        <v>0</v>
      </c>
      <c r="Q38" s="47">
        <f>+P38/$P$22</f>
        <v>0</v>
      </c>
    </row>
    <row r="39" spans="1:21">
      <c r="A39" s="1" t="s">
        <v>286</v>
      </c>
      <c r="B39" s="12">
        <f>+unibkvar!B39</f>
        <v>0</v>
      </c>
      <c r="C39" s="47">
        <f>+B39/$B$22</f>
        <v>0</v>
      </c>
      <c r="D39" s="12">
        <f>+unibkvar!D39</f>
        <v>0</v>
      </c>
      <c r="E39" s="44">
        <v>0</v>
      </c>
      <c r="F39" s="12">
        <f>+unibkvar!F39</f>
        <v>0</v>
      </c>
      <c r="G39" s="44">
        <v>0</v>
      </c>
      <c r="H39" s="12">
        <f>+unibkvar!H39</f>
        <v>0</v>
      </c>
      <c r="I39" s="44">
        <v>0</v>
      </c>
      <c r="J39" s="12">
        <f>+unibkvar!J39</f>
        <v>0</v>
      </c>
      <c r="K39" s="47">
        <f>+J39/$J$22</f>
        <v>0</v>
      </c>
      <c r="L39" s="12">
        <f>+unibkvar!L39</f>
        <v>0</v>
      </c>
      <c r="M39" s="47">
        <f>+L39/$L$22</f>
        <v>0</v>
      </c>
      <c r="N39" s="12">
        <f>+unibkvar!N39</f>
        <v>0</v>
      </c>
      <c r="O39" s="47">
        <f>+N39/$N$22</f>
        <v>0</v>
      </c>
      <c r="P39" s="12">
        <f>+unibkvar!P39</f>
        <v>0</v>
      </c>
      <c r="Q39" s="47">
        <f>+P39/$P$22</f>
        <v>0</v>
      </c>
    </row>
    <row r="40" spans="1:21">
      <c r="A40" s="1" t="s">
        <v>284</v>
      </c>
      <c r="B40" s="221">
        <f>+unibkvar!B40</f>
        <v>41665.4</v>
      </c>
      <c r="C40" s="236">
        <f>+B40/$B$22</f>
        <v>1.1134269016268385E-2</v>
      </c>
      <c r="D40" s="221">
        <f>+unibkvar!D40</f>
        <v>0</v>
      </c>
      <c r="E40" s="545">
        <v>0</v>
      </c>
      <c r="F40" s="221">
        <f>+unibkvar!F40</f>
        <v>0</v>
      </c>
      <c r="G40" s="545">
        <v>0</v>
      </c>
      <c r="H40" s="221">
        <f>+unibkvar!H40</f>
        <v>0</v>
      </c>
      <c r="I40" s="545">
        <v>0</v>
      </c>
      <c r="J40" s="221">
        <f>+unibkvar!J40</f>
        <v>35915.1</v>
      </c>
      <c r="K40" s="236">
        <f>+J40/$J$22</f>
        <v>1.0560604986455909E-2</v>
      </c>
      <c r="L40" s="221">
        <f>+unibkvar!L40</f>
        <v>31834.3</v>
      </c>
      <c r="M40" s="236">
        <f>+L40/$L$22</f>
        <v>1.1174102665777961E-2</v>
      </c>
      <c r="N40" s="221">
        <f>+unibkvar!N40</f>
        <v>22950.799999999999</v>
      </c>
      <c r="O40" s="236">
        <f>+N40/$N$22</f>
        <v>1.0112186725351432E-2</v>
      </c>
      <c r="P40" s="221">
        <f>+unibkvar!P40</f>
        <v>10765.094710000001</v>
      </c>
      <c r="Q40" s="236">
        <f>+P40/$P$22</f>
        <v>6.1819890335374607E-3</v>
      </c>
    </row>
    <row r="41" spans="1:21">
      <c r="A41" s="1"/>
      <c r="B41" s="12">
        <f>SUM(B38:B40)</f>
        <v>41665.4</v>
      </c>
      <c r="C41" s="47">
        <f>+B41/$B$22</f>
        <v>1.1134269016268385E-2</v>
      </c>
      <c r="D41" s="12">
        <f>SUM(D38:D40)</f>
        <v>0</v>
      </c>
      <c r="E41" s="44">
        <v>0</v>
      </c>
      <c r="F41" s="12">
        <f>SUM(F38:F40)</f>
        <v>0</v>
      </c>
      <c r="G41" s="44">
        <v>0</v>
      </c>
      <c r="H41" s="12">
        <f>SUM(H38:H40)</f>
        <v>0</v>
      </c>
      <c r="I41" s="44">
        <v>0</v>
      </c>
      <c r="J41" s="12">
        <f>SUM(J38:J40)</f>
        <v>35915.1</v>
      </c>
      <c r="K41" s="47">
        <f>+J41/$J$22</f>
        <v>1.0560604986455909E-2</v>
      </c>
      <c r="L41" s="12">
        <f>SUM(L38:L40)</f>
        <v>31834.3</v>
      </c>
      <c r="M41" s="47">
        <f>+L41/$L$22</f>
        <v>1.1174102665777961E-2</v>
      </c>
      <c r="N41" s="12">
        <f>SUM(N38:N40)</f>
        <v>22950.799999999999</v>
      </c>
      <c r="O41" s="47">
        <f>+N41/$N$22</f>
        <v>1.0112186725351432E-2</v>
      </c>
      <c r="P41" s="12">
        <f>SUM(P38:P40)</f>
        <v>10765.094710000001</v>
      </c>
      <c r="Q41" s="47">
        <f>+P41/$P$22</f>
        <v>6.1819890335374607E-3</v>
      </c>
    </row>
    <row r="42" spans="1:21" ht="8.4499999999999993" customHeight="1">
      <c r="A42" s="1"/>
      <c r="C42" s="47" t="s">
        <v>0</v>
      </c>
      <c r="E42" s="44" t="s">
        <v>0</v>
      </c>
      <c r="G42" s="44" t="s">
        <v>0</v>
      </c>
      <c r="I42" s="44" t="s">
        <v>0</v>
      </c>
      <c r="K42" s="47" t="s">
        <v>0</v>
      </c>
      <c r="M42" s="47" t="s">
        <v>0</v>
      </c>
      <c r="O42" s="47" t="s">
        <v>0</v>
      </c>
      <c r="Q42" s="47" t="s">
        <v>0</v>
      </c>
    </row>
    <row r="43" spans="1:21" ht="18">
      <c r="A43" s="1" t="s">
        <v>287</v>
      </c>
      <c r="B43" s="221">
        <f>+unibkvar!B43</f>
        <v>40857.800000000003</v>
      </c>
      <c r="C43" s="236">
        <f>+B43/$B$22</f>
        <v>1.0918453599698801E-2</v>
      </c>
      <c r="D43" s="221">
        <f>+unibkvar!D43</f>
        <v>0</v>
      </c>
      <c r="E43" s="545">
        <v>0</v>
      </c>
      <c r="F43" s="221">
        <f>+unibkvar!F43</f>
        <v>0</v>
      </c>
      <c r="G43" s="545">
        <v>0</v>
      </c>
      <c r="H43" s="221">
        <f>+unibkvar!H43</f>
        <v>0</v>
      </c>
      <c r="I43" s="545">
        <v>0</v>
      </c>
      <c r="J43" s="221">
        <f>+unibkvar!J43</f>
        <v>22469.3</v>
      </c>
      <c r="K43" s="236">
        <f>+J43/$J$22</f>
        <v>6.6069536663457369E-3</v>
      </c>
      <c r="L43" s="221">
        <f>+unibkvar!L43</f>
        <v>54666</v>
      </c>
      <c r="M43" s="236">
        <f>+L43/$L$22</f>
        <v>1.9188218252872469E-2</v>
      </c>
      <c r="N43" s="221">
        <f>+unibkvar!N43</f>
        <v>94003.1</v>
      </c>
      <c r="O43" s="236">
        <f>+N43/$N$22</f>
        <v>4.1418028999506917E-2</v>
      </c>
      <c r="P43" s="221">
        <f>+unibkvar!P43</f>
        <v>27385.897420000001</v>
      </c>
      <c r="Q43" s="236">
        <f>+P43/$P$22</f>
        <v>1.5726690947433553E-2</v>
      </c>
      <c r="R43" s="6"/>
    </row>
    <row r="44" spans="1:21">
      <c r="A44" s="1"/>
      <c r="B44" s="12">
        <f>+B29+B35+B41+B43</f>
        <v>3541991.9999999995</v>
      </c>
      <c r="C44" s="47">
        <f>+B44/$B$22</f>
        <v>0.94652857722403916</v>
      </c>
      <c r="D44" s="12">
        <f t="shared" ref="D44:J44" si="10">+D29+D35+D41+D43</f>
        <v>0</v>
      </c>
      <c r="E44" s="44">
        <v>0</v>
      </c>
      <c r="F44" s="12">
        <f t="shared" si="10"/>
        <v>0</v>
      </c>
      <c r="G44" s="44">
        <v>0</v>
      </c>
      <c r="H44" s="12">
        <f t="shared" si="10"/>
        <v>0</v>
      </c>
      <c r="I44" s="44">
        <v>0</v>
      </c>
      <c r="J44" s="12">
        <f t="shared" si="10"/>
        <v>3210152.1</v>
      </c>
      <c r="K44" s="47">
        <f>+J44/$J$22</f>
        <v>0.94392465215304744</v>
      </c>
      <c r="L44" s="12">
        <f>+L29+L35+L41+L43</f>
        <v>2710564.4</v>
      </c>
      <c r="M44" s="47">
        <f>+L44/$L$22</f>
        <v>0.9514305289515661</v>
      </c>
      <c r="N44" s="12">
        <f>+N29+N35+N41+N43</f>
        <v>2168592.2999999998</v>
      </c>
      <c r="O44" s="47">
        <f>+N44/$N$22</f>
        <v>0.95548783784266045</v>
      </c>
      <c r="P44" s="12">
        <f>+P29+P35+P41+P43</f>
        <v>1670879.6056600001</v>
      </c>
      <c r="Q44" s="47">
        <f>+P44/$P$22</f>
        <v>0.95952331835560012</v>
      </c>
    </row>
    <row r="45" spans="1:21" ht="8.4499999999999993" customHeight="1">
      <c r="A45" s="1"/>
      <c r="C45" s="47" t="s">
        <v>0</v>
      </c>
      <c r="E45" s="44" t="s">
        <v>0</v>
      </c>
      <c r="G45" s="44" t="s">
        <v>0</v>
      </c>
      <c r="I45" s="44" t="s">
        <v>0</v>
      </c>
      <c r="K45" s="47" t="s">
        <v>0</v>
      </c>
      <c r="M45" s="47" t="s">
        <v>0</v>
      </c>
      <c r="O45" s="47" t="s">
        <v>0</v>
      </c>
      <c r="Q45" s="47" t="s">
        <v>0</v>
      </c>
    </row>
    <row r="46" spans="1:21">
      <c r="A46" s="87" t="s">
        <v>288</v>
      </c>
      <c r="C46" s="47" t="s">
        <v>0</v>
      </c>
      <c r="E46" s="44" t="s">
        <v>0</v>
      </c>
      <c r="G46" s="44" t="s">
        <v>0</v>
      </c>
      <c r="I46" s="44" t="s">
        <v>0</v>
      </c>
      <c r="K46" s="47" t="s">
        <v>0</v>
      </c>
      <c r="M46" s="47" t="s">
        <v>0</v>
      </c>
      <c r="O46" s="47" t="s">
        <v>0</v>
      </c>
      <c r="Q46" s="47" t="s">
        <v>0</v>
      </c>
    </row>
    <row r="47" spans="1:21">
      <c r="A47" s="1" t="s">
        <v>289</v>
      </c>
      <c r="B47" s="12">
        <f>+unibkvar!B47</f>
        <v>100000</v>
      </c>
      <c r="C47" s="47">
        <f t="shared" ref="C47:C52" si="11">+B47/$B$22</f>
        <v>2.672305802000793E-2</v>
      </c>
      <c r="D47" s="12">
        <f>+unibkvar!D47</f>
        <v>0</v>
      </c>
      <c r="E47" s="44">
        <v>0</v>
      </c>
      <c r="F47" s="12">
        <f>+unibkvar!F47</f>
        <v>0</v>
      </c>
      <c r="G47" s="44">
        <v>0</v>
      </c>
      <c r="H47" s="12">
        <f>+unibkvar!H47</f>
        <v>0</v>
      </c>
      <c r="I47" s="44">
        <v>0</v>
      </c>
      <c r="J47" s="12">
        <f>+unibkvar!J47</f>
        <v>100000</v>
      </c>
      <c r="K47" s="47">
        <f t="shared" ref="K47:K52" si="12">+J47/$J$22</f>
        <v>2.940435913155166E-2</v>
      </c>
      <c r="L47" s="12">
        <f>+unibkvar!L47</f>
        <v>79900.100000000006</v>
      </c>
      <c r="M47" s="47">
        <f t="shared" ref="M47:M52" si="13">+L47/$L$22</f>
        <v>2.804559611506852E-2</v>
      </c>
      <c r="N47" s="12">
        <f>+unibkvar!N47</f>
        <v>63524.3</v>
      </c>
      <c r="O47" s="47">
        <f t="shared" ref="O47:O52" si="14">+N47/$N$22</f>
        <v>2.7988984401295033E-2</v>
      </c>
      <c r="P47" s="12">
        <f>+unibkvar!P47</f>
        <v>53920.5</v>
      </c>
      <c r="Q47" s="47">
        <f t="shared" ref="Q47:Q52" si="15">+P47/$P$22</f>
        <v>3.0964515284125783E-2</v>
      </c>
    </row>
    <row r="48" spans="1:21">
      <c r="A48" s="1" t="s">
        <v>290</v>
      </c>
      <c r="B48" s="12">
        <f>+unibkvar!B48</f>
        <v>17415.2</v>
      </c>
      <c r="C48" s="47">
        <f t="shared" si="11"/>
        <v>4.6538740003004208E-3</v>
      </c>
      <c r="D48" s="12">
        <f>+unibkvar!D48</f>
        <v>0</v>
      </c>
      <c r="E48" s="44">
        <v>0</v>
      </c>
      <c r="F48" s="12">
        <f>+unibkvar!F48</f>
        <v>0</v>
      </c>
      <c r="G48" s="44">
        <v>0</v>
      </c>
      <c r="H48" s="12">
        <f>+unibkvar!H48</f>
        <v>0</v>
      </c>
      <c r="I48" s="44">
        <v>0</v>
      </c>
      <c r="J48" s="12">
        <f>+unibkvar!J48</f>
        <v>13107.9</v>
      </c>
      <c r="K48" s="47">
        <f t="shared" si="12"/>
        <v>3.8542939906046599E-3</v>
      </c>
      <c r="L48" s="12">
        <f>+unibkvar!L48</f>
        <v>7587.9</v>
      </c>
      <c r="M48" s="47">
        <f t="shared" si="13"/>
        <v>2.6634156748430652E-3</v>
      </c>
      <c r="N48" s="12">
        <f>+unibkvar!N48</f>
        <v>7987.2</v>
      </c>
      <c r="O48" s="47">
        <f t="shared" si="14"/>
        <v>3.5191826782825422E-3</v>
      </c>
      <c r="P48" s="12">
        <f>+unibkvar!P48</f>
        <v>4318.3233799999998</v>
      </c>
      <c r="Q48" s="47">
        <f t="shared" si="15"/>
        <v>2.479850711729448E-3</v>
      </c>
    </row>
    <row r="49" spans="1:21">
      <c r="A49" s="1" t="s">
        <v>302</v>
      </c>
      <c r="B49" s="12">
        <f>+unibkvar!B49</f>
        <v>11786.3</v>
      </c>
      <c r="C49" s="47">
        <f t="shared" si="11"/>
        <v>3.1496597874121944E-3</v>
      </c>
      <c r="D49" s="12">
        <f>+unibkvar!D49</f>
        <v>0</v>
      </c>
      <c r="E49" s="44">
        <v>0</v>
      </c>
      <c r="F49" s="12">
        <f>+unibkvar!F49</f>
        <v>0</v>
      </c>
      <c r="G49" s="44">
        <v>0</v>
      </c>
      <c r="H49" s="12">
        <f>+unibkvar!H49</f>
        <v>0</v>
      </c>
      <c r="I49" s="44">
        <v>0</v>
      </c>
      <c r="J49" s="12">
        <f>+unibkvar!J49</f>
        <v>11786.3</v>
      </c>
      <c r="K49" s="236">
        <f t="shared" si="12"/>
        <v>3.4656859803220731E-3</v>
      </c>
      <c r="L49" s="12">
        <f>+unibkvar!L49</f>
        <v>392.2</v>
      </c>
      <c r="M49" s="47">
        <f t="shared" si="13"/>
        <v>1.3766544467816525E-4</v>
      </c>
      <c r="N49" s="12">
        <v>0</v>
      </c>
      <c r="O49" s="47">
        <f t="shared" si="14"/>
        <v>0</v>
      </c>
      <c r="P49" s="12">
        <v>0</v>
      </c>
      <c r="Q49" s="47">
        <f t="shared" si="15"/>
        <v>0</v>
      </c>
    </row>
    <row r="50" spans="1:21" ht="18">
      <c r="A50" s="1" t="s">
        <v>292</v>
      </c>
      <c r="B50" s="221">
        <f>+unibkvar!B50</f>
        <v>70893.2</v>
      </c>
      <c r="C50" s="236">
        <f t="shared" si="11"/>
        <v>1.8944830968240262E-2</v>
      </c>
      <c r="D50" s="221">
        <f>+unibkvar!D50</f>
        <v>0</v>
      </c>
      <c r="E50" s="545">
        <v>0</v>
      </c>
      <c r="F50" s="221">
        <f>+unibkvar!F50</f>
        <v>0</v>
      </c>
      <c r="G50" s="545">
        <v>0</v>
      </c>
      <c r="H50" s="221">
        <f>+unibkvar!H50</f>
        <v>0</v>
      </c>
      <c r="I50" s="545">
        <v>0</v>
      </c>
      <c r="J50" s="221">
        <f>+unibkvar!J50</f>
        <v>65810</v>
      </c>
      <c r="K50" s="236">
        <f t="shared" si="12"/>
        <v>1.9351008744474148E-2</v>
      </c>
      <c r="L50" s="221">
        <f>+unibkvar!L50</f>
        <v>50491.1</v>
      </c>
      <c r="M50" s="236">
        <f t="shared" si="13"/>
        <v>1.7722793813844239E-2</v>
      </c>
      <c r="N50" s="221">
        <f>+unibkvar!N50</f>
        <v>29514.1</v>
      </c>
      <c r="O50" s="236">
        <f t="shared" si="14"/>
        <v>1.3003995077761765E-2</v>
      </c>
      <c r="P50" s="221">
        <f>+unibkvar!P50</f>
        <v>12245.82308</v>
      </c>
      <c r="Q50" s="236">
        <f t="shared" si="15"/>
        <v>7.0323156485448072E-3</v>
      </c>
      <c r="R50" s="6"/>
      <c r="S50" s="7"/>
      <c r="T50" s="7"/>
      <c r="U50" s="7"/>
    </row>
    <row r="51" spans="1:21" ht="16.5" thickBot="1">
      <c r="A51" s="1" t="s">
        <v>275</v>
      </c>
      <c r="B51" s="76">
        <f>SUM(B47:B50)</f>
        <v>200094.7</v>
      </c>
      <c r="C51" s="231">
        <f t="shared" si="11"/>
        <v>5.3471422775960807E-2</v>
      </c>
      <c r="D51" s="76">
        <f>SUM(D47:D50)</f>
        <v>0</v>
      </c>
      <c r="E51" s="232">
        <v>0</v>
      </c>
      <c r="F51" s="76">
        <f>SUM(F47:F50)</f>
        <v>0</v>
      </c>
      <c r="G51" s="232">
        <v>0</v>
      </c>
      <c r="H51" s="76">
        <f>SUM(H47:H50)</f>
        <v>0</v>
      </c>
      <c r="I51" s="232">
        <v>0</v>
      </c>
      <c r="J51" s="76">
        <f>SUM(J47:J50)</f>
        <v>190704.2</v>
      </c>
      <c r="K51" s="231">
        <f t="shared" si="12"/>
        <v>5.6075347846952547E-2</v>
      </c>
      <c r="L51" s="76">
        <f>SUM(L47:L50)</f>
        <v>138371.29999999999</v>
      </c>
      <c r="M51" s="231">
        <f t="shared" si="13"/>
        <v>4.8569471048433982E-2</v>
      </c>
      <c r="N51" s="76">
        <f>SUM(N47:N50)</f>
        <v>101025.60000000001</v>
      </c>
      <c r="O51" s="231">
        <f t="shared" si="14"/>
        <v>4.4512162157339344E-2</v>
      </c>
      <c r="P51" s="76">
        <f>SUM(P47:P50)</f>
        <v>70484.646460000004</v>
      </c>
      <c r="Q51" s="231">
        <f t="shared" si="15"/>
        <v>4.0476681644400041E-2</v>
      </c>
    </row>
    <row r="52" spans="1:21">
      <c r="A52" s="1" t="s">
        <v>0</v>
      </c>
      <c r="B52" s="4">
        <f>+B29+B35+B41+B43+B51</f>
        <v>3742086.6999999997</v>
      </c>
      <c r="C52" s="112">
        <f t="shared" si="11"/>
        <v>1</v>
      </c>
      <c r="D52" s="4">
        <f>+D29+D35+D41+D43+D51</f>
        <v>0</v>
      </c>
      <c r="E52" s="42">
        <v>0</v>
      </c>
      <c r="F52" s="4">
        <f>+F29+F35+F41+F43+F51</f>
        <v>0</v>
      </c>
      <c r="G52" s="42">
        <v>0</v>
      </c>
      <c r="H52" s="4">
        <f>+H29+H35+H41+H43+H51</f>
        <v>0</v>
      </c>
      <c r="I52" s="42">
        <v>0</v>
      </c>
      <c r="J52" s="4">
        <f>+J29+J35+J41+J43+J51</f>
        <v>3400856.3000000003</v>
      </c>
      <c r="K52" s="47">
        <f t="shared" si="12"/>
        <v>1</v>
      </c>
      <c r="L52" s="4">
        <f>+L29+L35+L41+L43+L51</f>
        <v>2848935.6999999997</v>
      </c>
      <c r="M52" s="47">
        <f t="shared" si="13"/>
        <v>1</v>
      </c>
      <c r="N52" s="4">
        <f>+N29+N35+N41+N43+N51</f>
        <v>2269617.9</v>
      </c>
      <c r="O52" s="47">
        <f t="shared" si="14"/>
        <v>0.99999999999999978</v>
      </c>
      <c r="P52" s="4">
        <f>+P29+P35+P41+P43+P51</f>
        <v>1741364.2521200001</v>
      </c>
      <c r="Q52" s="47">
        <f t="shared" si="15"/>
        <v>1.0000000000000002</v>
      </c>
    </row>
    <row r="55" spans="1:21">
      <c r="B55"/>
      <c r="C55"/>
      <c r="D55"/>
      <c r="E55"/>
      <c r="F55"/>
      <c r="G55"/>
      <c r="H55"/>
      <c r="I55"/>
      <c r="J55"/>
      <c r="K55"/>
      <c r="L55"/>
      <c r="M55"/>
      <c r="N55"/>
      <c r="O55"/>
      <c r="P55"/>
      <c r="Q55"/>
      <c r="R55"/>
    </row>
    <row r="56" spans="1:21">
      <c r="A56" s="185" t="s">
        <v>293</v>
      </c>
      <c r="B56"/>
      <c r="C56"/>
      <c r="D56"/>
      <c r="E56"/>
      <c r="F56"/>
      <c r="G56"/>
      <c r="H56"/>
      <c r="I56"/>
      <c r="J56"/>
      <c r="K56"/>
      <c r="L56"/>
      <c r="M56"/>
      <c r="N56"/>
      <c r="O56"/>
      <c r="P56"/>
      <c r="Q56"/>
      <c r="R56"/>
    </row>
    <row r="57" spans="1:21">
      <c r="A57" t="s">
        <v>294</v>
      </c>
      <c r="B57" s="3">
        <f>+unibkvar!B56</f>
        <v>4082.4</v>
      </c>
      <c r="C57"/>
      <c r="D57" s="3">
        <f>+unibkvar!D56</f>
        <v>0</v>
      </c>
      <c r="E57"/>
      <c r="F57" s="3">
        <f>+unibkvar!F56</f>
        <v>0</v>
      </c>
      <c r="G57"/>
      <c r="H57" s="3">
        <f>+unibkvar!H56</f>
        <v>0</v>
      </c>
      <c r="I57"/>
      <c r="J57" s="3">
        <f>+unibkvar!J56</f>
        <v>4292.8</v>
      </c>
      <c r="K57"/>
      <c r="L57" s="3">
        <f>+unibkvar!L56</f>
        <v>3994.2</v>
      </c>
      <c r="M57"/>
      <c r="N57" s="3">
        <f>+unibkvar!N56</f>
        <v>745.5</v>
      </c>
      <c r="O57"/>
      <c r="P57" s="3">
        <f>+unibkvar!P56</f>
        <v>630.60628000000008</v>
      </c>
      <c r="Q57"/>
      <c r="R57"/>
    </row>
    <row r="58" spans="1:21">
      <c r="A58" t="s">
        <v>295</v>
      </c>
      <c r="B58" s="3">
        <f>+unibkvar!B57</f>
        <v>180243.1</v>
      </c>
      <c r="C58"/>
      <c r="D58" s="3">
        <f>+unibkvar!D57</f>
        <v>0</v>
      </c>
      <c r="E58"/>
      <c r="F58" s="3">
        <f>+unibkvar!F57</f>
        <v>0</v>
      </c>
      <c r="G58"/>
      <c r="H58" s="3">
        <f>+unibkvar!H57</f>
        <v>0</v>
      </c>
      <c r="I58"/>
      <c r="J58" s="3">
        <f>+unibkvar!J57</f>
        <v>117892.2</v>
      </c>
      <c r="K58"/>
      <c r="L58" s="3">
        <f>+unibkvar!L57</f>
        <v>101487.3</v>
      </c>
      <c r="M58"/>
      <c r="N58" s="3">
        <f>+unibkvar!N57</f>
        <v>59699.9</v>
      </c>
      <c r="O58"/>
      <c r="P58" s="3">
        <f>+unibkvar!P57</f>
        <v>59941.580880000001</v>
      </c>
      <c r="Q58"/>
      <c r="R58"/>
    </row>
    <row r="59" spans="1:21">
      <c r="A59" t="s">
        <v>284</v>
      </c>
      <c r="B59" s="3">
        <f>+unibkvar!B58</f>
        <v>40723.1</v>
      </c>
      <c r="C59"/>
      <c r="D59" s="3">
        <f>+unibkvar!D58</f>
        <v>0</v>
      </c>
      <c r="E59"/>
      <c r="F59" s="3">
        <f>+unibkvar!F58</f>
        <v>0</v>
      </c>
      <c r="G59"/>
      <c r="H59" s="3">
        <f>+unibkvar!H58</f>
        <v>0</v>
      </c>
      <c r="I59"/>
      <c r="J59" s="3">
        <f>+unibkvar!J58</f>
        <v>36661.300000000003</v>
      </c>
      <c r="K59"/>
      <c r="L59" s="3">
        <f>+unibkvar!L58</f>
        <v>60147.600000000006</v>
      </c>
      <c r="M59"/>
      <c r="N59" s="3">
        <f>+unibkvar!N58</f>
        <v>74455.399999999994</v>
      </c>
      <c r="O59"/>
      <c r="P59" s="3">
        <f>+unibkvar!P58</f>
        <v>10209.899720000001</v>
      </c>
      <c r="Q59"/>
      <c r="R59"/>
    </row>
    <row r="60" spans="1:21">
      <c r="B60" s="3"/>
      <c r="C60"/>
      <c r="D60" s="3"/>
      <c r="E60"/>
      <c r="F60" s="3"/>
      <c r="G60"/>
      <c r="H60" s="3"/>
      <c r="I60"/>
      <c r="J60" s="3"/>
      <c r="K60"/>
      <c r="L60" s="3"/>
      <c r="M60"/>
      <c r="N60" s="3"/>
      <c r="O60"/>
      <c r="P60" s="3"/>
      <c r="Q60"/>
      <c r="R60"/>
    </row>
    <row r="61" spans="1:21" ht="18.75">
      <c r="A61" s="122" t="s">
        <v>303</v>
      </c>
      <c r="B61" s="3">
        <f>+unibkvar!B60</f>
        <v>1518202.6</v>
      </c>
      <c r="C61"/>
      <c r="D61" s="3">
        <f>+unibkvar!D60</f>
        <v>0</v>
      </c>
      <c r="E61"/>
      <c r="F61" s="3">
        <f>+unibkvar!F60</f>
        <v>0</v>
      </c>
      <c r="G61"/>
      <c r="H61" s="3">
        <f>+unibkvar!H60</f>
        <v>0</v>
      </c>
      <c r="I61"/>
      <c r="J61" s="3">
        <f>+unibkvar!J60</f>
        <v>1530776.8</v>
      </c>
      <c r="K61"/>
      <c r="L61" s="3">
        <f>+unibkvar!L60</f>
        <v>1262841.3</v>
      </c>
      <c r="M61"/>
      <c r="N61" s="3">
        <f>+unibkvar!N60</f>
        <v>934976.8</v>
      </c>
      <c r="O61"/>
      <c r="P61" s="3">
        <f>+unibkvar!P60</f>
        <v>520326.72067000001</v>
      </c>
      <c r="Q61"/>
      <c r="R61"/>
    </row>
    <row r="62" spans="1:21">
      <c r="A62" t="s">
        <v>217</v>
      </c>
      <c r="B62" s="3">
        <f>+unibkvar!B61</f>
        <v>28303.599999999999</v>
      </c>
      <c r="C62"/>
      <c r="D62" s="3">
        <f>+unibkvar!D61</f>
        <v>0</v>
      </c>
      <c r="E62"/>
      <c r="F62" s="3">
        <f>+unibkvar!F61</f>
        <v>0</v>
      </c>
      <c r="G62"/>
      <c r="H62" s="3">
        <f>+unibkvar!H61</f>
        <v>0</v>
      </c>
      <c r="I62"/>
      <c r="J62" s="3">
        <f>+unibkvar!J61</f>
        <v>22387.4</v>
      </c>
      <c r="K62"/>
      <c r="L62" s="3">
        <f>+unibkvar!L61</f>
        <v>13429.5</v>
      </c>
      <c r="M62"/>
      <c r="N62" s="3">
        <f>+unibkvar!N61</f>
        <v>9404.7000000000007</v>
      </c>
      <c r="O62"/>
      <c r="P62" s="3">
        <f>+unibkvar!P61</f>
        <v>4796.9234699999997</v>
      </c>
      <c r="Q62"/>
      <c r="R62"/>
    </row>
    <row r="63" spans="1:21">
      <c r="A63" t="s">
        <v>297</v>
      </c>
      <c r="B63" s="3">
        <f>+unibkvar!B62</f>
        <v>16560.900000000001</v>
      </c>
      <c r="C63"/>
      <c r="D63" s="3">
        <f>+unibkvar!D62</f>
        <v>0</v>
      </c>
      <c r="E63"/>
      <c r="F63" s="3">
        <f>+unibkvar!F62</f>
        <v>0</v>
      </c>
      <c r="G63"/>
      <c r="H63" s="3">
        <f>+unibkvar!H62</f>
        <v>0</v>
      </c>
      <c r="I63"/>
      <c r="J63" s="3">
        <f>+unibkvar!J62</f>
        <v>6894</v>
      </c>
      <c r="K63"/>
      <c r="L63" s="3">
        <f>+unibkvar!L62</f>
        <v>9843.9</v>
      </c>
      <c r="M63"/>
      <c r="N63" s="3">
        <f>+unibkvar!N62</f>
        <v>491.6</v>
      </c>
      <c r="O63"/>
      <c r="P63" s="3">
        <f>+unibkvar!P62</f>
        <v>0</v>
      </c>
      <c r="Q63"/>
      <c r="R63"/>
    </row>
    <row r="64" spans="1:21">
      <c r="B64"/>
      <c r="C64"/>
      <c r="D64"/>
      <c r="E64"/>
      <c r="F64"/>
      <c r="G64"/>
      <c r="H64"/>
      <c r="I64"/>
      <c r="J64"/>
      <c r="K64"/>
      <c r="L64"/>
      <c r="M64"/>
      <c r="N64"/>
      <c r="O64"/>
      <c r="P64"/>
      <c r="Q64"/>
      <c r="R64"/>
    </row>
    <row r="65" spans="2:18">
      <c r="B65"/>
      <c r="C65"/>
      <c r="D65"/>
      <c r="E65"/>
      <c r="F65"/>
      <c r="G65"/>
      <c r="H65"/>
      <c r="I65"/>
      <c r="J65"/>
      <c r="K65"/>
      <c r="L65"/>
      <c r="M65"/>
      <c r="N65"/>
      <c r="O65"/>
      <c r="P65"/>
      <c r="Q65"/>
      <c r="R65"/>
    </row>
    <row r="66" spans="2:18">
      <c r="B66"/>
      <c r="C66"/>
      <c r="D66"/>
      <c r="E66"/>
      <c r="F66"/>
      <c r="G66"/>
      <c r="H66"/>
      <c r="I66"/>
      <c r="J66"/>
      <c r="K66"/>
      <c r="L66"/>
      <c r="M66"/>
      <c r="N66"/>
      <c r="O66"/>
      <c r="P66"/>
      <c r="Q66"/>
      <c r="R66"/>
    </row>
    <row r="67" spans="2:18">
      <c r="B67"/>
      <c r="C67"/>
      <c r="D67"/>
      <c r="E67"/>
      <c r="F67"/>
      <c r="G67"/>
      <c r="H67"/>
      <c r="I67"/>
      <c r="J67"/>
      <c r="K67"/>
      <c r="L67"/>
      <c r="M67"/>
      <c r="N67"/>
      <c r="O67"/>
      <c r="P67"/>
      <c r="Q67"/>
      <c r="R67"/>
    </row>
    <row r="68" spans="2:18">
      <c r="B68"/>
      <c r="C68"/>
      <c r="D68"/>
      <c r="E68"/>
      <c r="F68"/>
      <c r="G68"/>
      <c r="H68"/>
      <c r="I68"/>
      <c r="J68"/>
      <c r="K68"/>
      <c r="L68"/>
      <c r="M68"/>
      <c r="N68"/>
      <c r="O68"/>
      <c r="P68"/>
      <c r="Q68"/>
      <c r="R68"/>
    </row>
    <row r="69" spans="2:18">
      <c r="B69"/>
      <c r="C69"/>
      <c r="D69"/>
      <c r="E69"/>
      <c r="F69"/>
      <c r="G69"/>
      <c r="H69"/>
      <c r="I69"/>
      <c r="J69"/>
      <c r="K69"/>
      <c r="L69"/>
      <c r="M69"/>
      <c r="N69"/>
      <c r="O69"/>
      <c r="P69"/>
      <c r="Q69"/>
      <c r="R69"/>
    </row>
    <row r="70" spans="2:18">
      <c r="B70"/>
      <c r="C70"/>
      <c r="D70"/>
      <c r="E70"/>
      <c r="F70"/>
      <c r="G70"/>
      <c r="H70"/>
      <c r="I70"/>
      <c r="J70"/>
      <c r="K70"/>
      <c r="L70"/>
      <c r="M70"/>
      <c r="N70"/>
      <c r="O70"/>
      <c r="P70"/>
      <c r="Q70"/>
      <c r="R70"/>
    </row>
    <row r="71" spans="2:18">
      <c r="B71"/>
      <c r="C71"/>
      <c r="D71"/>
      <c r="E71"/>
      <c r="F71"/>
      <c r="G71"/>
      <c r="H71"/>
      <c r="I71"/>
      <c r="J71"/>
      <c r="K71"/>
      <c r="L71"/>
      <c r="M71"/>
      <c r="N71"/>
      <c r="O71"/>
      <c r="P71"/>
      <c r="Q71"/>
      <c r="R71"/>
    </row>
    <row r="72" spans="2:18">
      <c r="B72"/>
      <c r="C72"/>
      <c r="D72"/>
      <c r="E72"/>
      <c r="F72"/>
      <c r="G72"/>
      <c r="H72"/>
      <c r="I72"/>
      <c r="J72"/>
      <c r="K72"/>
      <c r="L72"/>
      <c r="M72"/>
      <c r="N72"/>
      <c r="O72"/>
      <c r="P72"/>
      <c r="Q72"/>
      <c r="R72"/>
    </row>
    <row r="73" spans="2:18">
      <c r="B73"/>
      <c r="C73"/>
      <c r="D73"/>
      <c r="E73"/>
      <c r="F73"/>
      <c r="G73"/>
      <c r="H73"/>
      <c r="I73"/>
      <c r="J73"/>
      <c r="K73"/>
      <c r="L73"/>
      <c r="M73"/>
      <c r="N73"/>
      <c r="O73"/>
      <c r="P73"/>
      <c r="Q73"/>
      <c r="R73"/>
    </row>
    <row r="74" spans="2:18">
      <c r="B74"/>
      <c r="C74"/>
      <c r="D74"/>
      <c r="E74"/>
      <c r="F74"/>
      <c r="G74"/>
      <c r="H74"/>
      <c r="I74"/>
      <c r="J74"/>
      <c r="K74"/>
      <c r="L74"/>
      <c r="M74"/>
      <c r="N74"/>
      <c r="O74"/>
      <c r="P74"/>
      <c r="Q74"/>
      <c r="R74"/>
    </row>
    <row r="75" spans="2:18">
      <c r="B75"/>
      <c r="C75"/>
      <c r="D75"/>
      <c r="E75"/>
      <c r="F75"/>
      <c r="G75"/>
      <c r="H75"/>
      <c r="I75"/>
      <c r="J75"/>
      <c r="K75"/>
      <c r="L75"/>
      <c r="M75"/>
      <c r="N75"/>
      <c r="O75"/>
      <c r="P75"/>
      <c r="Q75"/>
      <c r="R75"/>
    </row>
    <row r="76" spans="2:18">
      <c r="B76"/>
      <c r="C76"/>
      <c r="D76"/>
      <c r="E76"/>
      <c r="F76"/>
      <c r="G76"/>
      <c r="H76"/>
      <c r="I76"/>
      <c r="J76"/>
      <c r="K76"/>
      <c r="L76"/>
      <c r="M76"/>
      <c r="N76"/>
      <c r="O76"/>
      <c r="P76"/>
      <c r="Q76"/>
      <c r="R76"/>
    </row>
    <row r="77" spans="2:18">
      <c r="B77"/>
      <c r="C77"/>
      <c r="D77"/>
      <c r="E77"/>
      <c r="F77"/>
      <c r="G77"/>
      <c r="H77"/>
      <c r="I77"/>
      <c r="J77"/>
      <c r="K77"/>
      <c r="L77"/>
      <c r="M77"/>
      <c r="N77"/>
      <c r="O77"/>
      <c r="P77"/>
      <c r="Q77"/>
      <c r="R77"/>
    </row>
    <row r="78" spans="2:18">
      <c r="B78"/>
      <c r="C78"/>
      <c r="D78"/>
      <c r="E78"/>
      <c r="F78"/>
      <c r="G78"/>
      <c r="H78"/>
      <c r="I78"/>
      <c r="J78"/>
      <c r="K78"/>
      <c r="L78"/>
      <c r="M78"/>
      <c r="N78"/>
      <c r="O78"/>
      <c r="P78"/>
      <c r="Q78"/>
      <c r="R78"/>
    </row>
    <row r="79" spans="2:18">
      <c r="B79"/>
      <c r="C79"/>
      <c r="D79"/>
      <c r="E79"/>
      <c r="F79"/>
      <c r="G79"/>
      <c r="H79"/>
      <c r="I79"/>
      <c r="J79"/>
      <c r="K79"/>
      <c r="L79"/>
      <c r="M79"/>
      <c r="N79"/>
      <c r="O79"/>
      <c r="P79"/>
      <c r="Q79"/>
      <c r="R79"/>
    </row>
    <row r="80" spans="2:18">
      <c r="B80"/>
      <c r="C80"/>
      <c r="D80"/>
      <c r="E80"/>
      <c r="F80"/>
      <c r="G80"/>
      <c r="H80"/>
      <c r="I80"/>
      <c r="J80"/>
      <c r="K80"/>
      <c r="L80"/>
      <c r="M80"/>
      <c r="N80"/>
      <c r="O80"/>
      <c r="P80"/>
      <c r="Q80"/>
      <c r="R80"/>
    </row>
    <row r="81" spans="2:18">
      <c r="B81"/>
      <c r="C81"/>
      <c r="D81"/>
      <c r="E81"/>
      <c r="F81"/>
      <c r="G81"/>
      <c r="H81"/>
      <c r="I81"/>
      <c r="J81"/>
      <c r="K81"/>
      <c r="L81"/>
      <c r="M81"/>
      <c r="N81"/>
      <c r="O81"/>
      <c r="P81"/>
      <c r="Q81"/>
      <c r="R81"/>
    </row>
    <row r="82" spans="2:18">
      <c r="B82"/>
      <c r="C82"/>
      <c r="D82"/>
      <c r="E82"/>
      <c r="F82"/>
      <c r="G82"/>
      <c r="H82"/>
      <c r="I82"/>
      <c r="J82"/>
      <c r="K82"/>
      <c r="L82"/>
      <c r="M82"/>
      <c r="N82"/>
      <c r="O82"/>
      <c r="P82"/>
      <c r="Q82"/>
      <c r="R82"/>
    </row>
    <row r="83" spans="2:18">
      <c r="B83"/>
      <c r="C83"/>
      <c r="D83"/>
      <c r="E83"/>
      <c r="F83"/>
      <c r="G83"/>
      <c r="H83"/>
      <c r="I83"/>
      <c r="J83"/>
      <c r="K83"/>
      <c r="L83"/>
      <c r="M83"/>
      <c r="N83"/>
      <c r="O83"/>
      <c r="P83"/>
      <c r="Q83"/>
      <c r="R83"/>
    </row>
    <row r="84" spans="2:18">
      <c r="B84"/>
      <c r="C84"/>
      <c r="D84"/>
      <c r="E84"/>
      <c r="F84"/>
      <c r="G84"/>
      <c r="H84"/>
      <c r="I84"/>
      <c r="J84"/>
      <c r="K84"/>
      <c r="L84"/>
      <c r="M84"/>
      <c r="N84"/>
      <c r="O84"/>
      <c r="P84"/>
      <c r="Q84"/>
      <c r="R84"/>
    </row>
    <row r="85" spans="2:18">
      <c r="B85"/>
      <c r="C85"/>
      <c r="D85"/>
      <c r="E85"/>
      <c r="F85"/>
      <c r="G85"/>
      <c r="H85"/>
      <c r="I85"/>
      <c r="J85"/>
      <c r="K85"/>
      <c r="L85"/>
      <c r="M85"/>
      <c r="N85"/>
      <c r="O85"/>
      <c r="P85"/>
      <c r="Q85"/>
      <c r="R85"/>
    </row>
    <row r="86" spans="2:18">
      <c r="B86"/>
      <c r="C86"/>
      <c r="D86"/>
      <c r="E86"/>
      <c r="F86"/>
      <c r="G86"/>
      <c r="H86"/>
      <c r="I86"/>
      <c r="J86"/>
      <c r="K86"/>
      <c r="L86"/>
      <c r="M86"/>
      <c r="N86"/>
      <c r="O86"/>
      <c r="P86"/>
      <c r="Q86"/>
      <c r="R86"/>
    </row>
    <row r="87" spans="2:18">
      <c r="B87"/>
      <c r="C87"/>
      <c r="D87"/>
      <c r="E87"/>
      <c r="F87"/>
      <c r="G87"/>
      <c r="H87"/>
      <c r="I87"/>
      <c r="J87"/>
      <c r="K87"/>
      <c r="L87"/>
      <c r="M87"/>
      <c r="N87"/>
      <c r="O87"/>
      <c r="P87"/>
      <c r="Q87"/>
      <c r="R87"/>
    </row>
    <row r="88" spans="2:18">
      <c r="B88"/>
      <c r="C88"/>
      <c r="D88"/>
      <c r="E88"/>
      <c r="F88"/>
      <c r="G88"/>
      <c r="H88"/>
      <c r="I88"/>
      <c r="J88"/>
      <c r="K88"/>
      <c r="L88"/>
      <c r="M88"/>
      <c r="N88"/>
      <c r="O88"/>
      <c r="P88"/>
      <c r="Q88"/>
      <c r="R88"/>
    </row>
    <row r="89" spans="2:18">
      <c r="B89"/>
      <c r="C89"/>
      <c r="D89"/>
      <c r="E89"/>
      <c r="F89"/>
      <c r="G89"/>
      <c r="H89"/>
      <c r="I89"/>
      <c r="J89"/>
      <c r="K89"/>
      <c r="L89"/>
      <c r="M89"/>
      <c r="N89"/>
      <c r="O89"/>
      <c r="P89"/>
      <c r="Q89"/>
      <c r="R89"/>
    </row>
    <row r="90" spans="2:18">
      <c r="B90"/>
      <c r="C90"/>
      <c r="D90"/>
      <c r="E90"/>
      <c r="F90"/>
      <c r="G90"/>
      <c r="H90"/>
      <c r="I90"/>
      <c r="J90"/>
      <c r="K90"/>
      <c r="L90"/>
      <c r="M90"/>
      <c r="N90"/>
      <c r="O90"/>
      <c r="P90"/>
      <c r="Q90"/>
      <c r="R90"/>
    </row>
    <row r="91" spans="2:18">
      <c r="B91"/>
      <c r="C91"/>
      <c r="D91"/>
      <c r="E91"/>
      <c r="F91"/>
      <c r="G91"/>
      <c r="H91"/>
      <c r="I91"/>
      <c r="J91"/>
      <c r="K91"/>
      <c r="L91"/>
      <c r="M91"/>
      <c r="N91"/>
      <c r="O91"/>
      <c r="P91"/>
      <c r="Q91"/>
      <c r="R91"/>
    </row>
    <row r="92" spans="2:18">
      <c r="B92"/>
      <c r="C92"/>
      <c r="D92"/>
      <c r="E92"/>
      <c r="F92"/>
      <c r="G92"/>
      <c r="H92"/>
      <c r="I92"/>
      <c r="J92"/>
      <c r="K92"/>
      <c r="L92"/>
      <c r="M92"/>
      <c r="N92"/>
      <c r="O92"/>
      <c r="P92"/>
      <c r="Q92"/>
      <c r="R92"/>
    </row>
    <row r="93" spans="2:18">
      <c r="B93"/>
      <c r="C93"/>
      <c r="D93"/>
      <c r="E93"/>
      <c r="F93"/>
      <c r="G93"/>
      <c r="H93"/>
      <c r="I93"/>
      <c r="J93"/>
      <c r="K93"/>
      <c r="L93"/>
      <c r="M93"/>
      <c r="N93"/>
      <c r="O93"/>
      <c r="P93"/>
      <c r="Q93"/>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row r="156" spans="2:18">
      <c r="B156"/>
      <c r="C156"/>
      <c r="D156"/>
      <c r="E156"/>
      <c r="F156"/>
      <c r="G156"/>
      <c r="H156"/>
      <c r="I156"/>
      <c r="J156"/>
      <c r="K156"/>
      <c r="L156"/>
      <c r="M156"/>
      <c r="N156"/>
      <c r="O156"/>
      <c r="P156"/>
      <c r="Q156"/>
      <c r="R156"/>
    </row>
  </sheetData>
  <pageMargins left="0.2" right="0.23" top="0.54" bottom="0.59" header="0.38" footer="0.3"/>
  <pageSetup scale="52" orientation="landscape" r:id="rId1"/>
  <headerFooter alignWithMargins="0">
    <oddFooter>&amp;R&amp;P</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1"/>
  <sheetViews>
    <sheetView workbookViewId="0"/>
  </sheetViews>
  <sheetFormatPr defaultRowHeight="15.75"/>
  <cols>
    <col min="1" max="1" width="33.25" customWidth="1"/>
    <col min="2" max="2" width="17.875" style="12" customWidth="1"/>
    <col min="3" max="3" width="15.75" style="13" customWidth="1"/>
    <col min="4" max="4" width="15.75" style="12" customWidth="1"/>
    <col min="5" max="5" width="14.75" style="13" customWidth="1"/>
    <col min="6" max="6" width="13.25" style="12" customWidth="1"/>
    <col min="7" max="7" width="8.25" style="13" customWidth="1"/>
    <col min="8" max="8" width="18.375" style="12" customWidth="1"/>
    <col min="9" max="9" width="15.75" style="12" customWidth="1"/>
    <col min="10" max="10" width="15.75" style="13" customWidth="1"/>
    <col min="11" max="12" width="15.75" style="12" customWidth="1"/>
    <col min="13" max="15" width="15.75" customWidth="1"/>
    <col min="16" max="256" width="11" customWidth="1"/>
  </cols>
  <sheetData>
    <row r="1" spans="1:15">
      <c r="A1" s="114" t="s">
        <v>653</v>
      </c>
      <c r="B1" s="37"/>
      <c r="C1" s="38"/>
      <c r="D1" s="37"/>
      <c r="E1" s="38"/>
      <c r="F1" s="37"/>
      <c r="G1" s="38"/>
      <c r="H1" s="37"/>
      <c r="I1" s="37"/>
      <c r="J1" s="38"/>
      <c r="K1" s="37"/>
    </row>
    <row r="2" spans="1:15">
      <c r="A2" s="114" t="s">
        <v>305</v>
      </c>
      <c r="B2" s="37"/>
      <c r="C2" s="38"/>
      <c r="D2" s="37"/>
      <c r="E2" s="38"/>
      <c r="F2" s="37"/>
      <c r="G2" s="38"/>
      <c r="H2" s="37"/>
      <c r="I2" s="37"/>
      <c r="J2" s="38"/>
      <c r="K2" s="37"/>
    </row>
    <row r="3" spans="1:15">
      <c r="A3" s="114" t="s">
        <v>306</v>
      </c>
      <c r="B3" s="37"/>
      <c r="C3" s="38"/>
      <c r="D3" s="37"/>
      <c r="E3" s="38"/>
      <c r="F3" s="37"/>
      <c r="G3" s="38"/>
      <c r="H3" s="37"/>
      <c r="I3" s="37"/>
      <c r="J3" s="38"/>
      <c r="K3" s="37"/>
    </row>
    <row r="4" spans="1:15">
      <c r="A4" s="114" t="s">
        <v>179</v>
      </c>
      <c r="B4" s="37"/>
      <c r="C4" s="38"/>
      <c r="D4" s="37"/>
      <c r="E4" s="38"/>
      <c r="F4" s="37"/>
      <c r="G4" s="38"/>
      <c r="H4" s="37"/>
      <c r="I4" s="37"/>
      <c r="J4" s="38"/>
      <c r="K4" s="37"/>
    </row>
    <row r="5" spans="1:15">
      <c r="A5" s="34"/>
      <c r="B5" s="37"/>
      <c r="C5" s="38"/>
      <c r="D5" s="37"/>
      <c r="E5" s="38"/>
      <c r="F5" s="37"/>
      <c r="G5" s="38"/>
      <c r="H5" s="37"/>
      <c r="I5" s="37"/>
      <c r="J5" s="38"/>
    </row>
    <row r="6" spans="1:15">
      <c r="B6" s="238" t="s">
        <v>0</v>
      </c>
      <c r="C6" s="215"/>
      <c r="D6" s="216"/>
    </row>
    <row r="7" spans="1:15" ht="16.5" thickBot="1">
      <c r="B7" s="429" t="s">
        <v>307</v>
      </c>
      <c r="C7" s="38"/>
      <c r="D7" s="37"/>
      <c r="E7" s="38"/>
      <c r="H7" s="377" t="s">
        <v>308</v>
      </c>
      <c r="I7" s="215"/>
      <c r="J7" s="216"/>
      <c r="K7" s="37"/>
    </row>
    <row r="8" spans="1:15" ht="16.5" thickTop="1">
      <c r="A8" s="87" t="s">
        <v>243</v>
      </c>
      <c r="B8" s="402" t="s">
        <v>313</v>
      </c>
      <c r="C8" s="403" t="s">
        <v>310</v>
      </c>
      <c r="D8" s="408" t="s">
        <v>311</v>
      </c>
      <c r="E8" s="407" t="s">
        <v>312</v>
      </c>
      <c r="F8" s="125" t="s">
        <v>0</v>
      </c>
      <c r="G8" s="124" t="s">
        <v>0</v>
      </c>
      <c r="H8" s="402" t="s">
        <v>313</v>
      </c>
      <c r="I8" s="404" t="s">
        <v>310</v>
      </c>
      <c r="J8" s="406" t="s">
        <v>311</v>
      </c>
      <c r="K8" s="407" t="s">
        <v>312</v>
      </c>
      <c r="L8" s="14"/>
      <c r="M8" s="9"/>
      <c r="N8" s="9"/>
      <c r="O8" s="9"/>
    </row>
    <row r="9" spans="1:15">
      <c r="A9" s="1" t="s">
        <v>264</v>
      </c>
      <c r="B9" s="126"/>
      <c r="C9" s="127"/>
      <c r="D9" s="365"/>
      <c r="E9" s="372" t="s">
        <v>0</v>
      </c>
      <c r="H9" s="135"/>
      <c r="I9" s="78"/>
      <c r="J9" s="370" t="s">
        <v>0</v>
      </c>
      <c r="K9" s="372" t="s">
        <v>0</v>
      </c>
    </row>
    <row r="10" spans="1:15">
      <c r="A10" s="1" t="s">
        <v>265</v>
      </c>
      <c r="B10" s="129">
        <v>67352.800000000003</v>
      </c>
      <c r="C10" s="92">
        <v>136244.79999999999</v>
      </c>
      <c r="D10" s="366">
        <f t="shared" ref="D10:D15" si="0">SUM(B10:C10)</f>
        <v>203597.59999999998</v>
      </c>
      <c r="E10" s="373">
        <f t="shared" ref="E10:E15" si="1">+B10/D10</f>
        <v>0.33081332982314138</v>
      </c>
      <c r="F10" s="88" t="s">
        <v>0</v>
      </c>
      <c r="G10" s="100" t="s">
        <v>0</v>
      </c>
      <c r="H10" s="129">
        <v>30252.2</v>
      </c>
      <c r="I10" s="92">
        <v>39611.1</v>
      </c>
      <c r="J10" s="366">
        <f t="shared" ref="J10:J15" si="2">SUM(H10:I10)</f>
        <v>69863.3</v>
      </c>
      <c r="K10" s="373">
        <f t="shared" ref="K10:K15" si="3">+H10/J10</f>
        <v>0.43301991174193033</v>
      </c>
    </row>
    <row r="11" spans="1:15">
      <c r="A11" s="1" t="s">
        <v>266</v>
      </c>
      <c r="B11" s="129">
        <v>3475</v>
      </c>
      <c r="C11" s="92">
        <v>534955.19999999995</v>
      </c>
      <c r="D11" s="366">
        <f t="shared" si="0"/>
        <v>538430.19999999995</v>
      </c>
      <c r="E11" s="373">
        <f t="shared" si="1"/>
        <v>6.4539470482896395E-3</v>
      </c>
      <c r="F11" s="88" t="s">
        <v>0</v>
      </c>
      <c r="G11" s="100" t="s">
        <v>0</v>
      </c>
      <c r="H11" s="129">
        <v>18073.2</v>
      </c>
      <c r="I11" s="92">
        <v>391726.3</v>
      </c>
      <c r="J11" s="366">
        <f t="shared" si="2"/>
        <v>409799.5</v>
      </c>
      <c r="K11" s="373">
        <f t="shared" si="3"/>
        <v>4.4102542828871195E-2</v>
      </c>
    </row>
    <row r="12" spans="1:15">
      <c r="A12" s="1" t="s">
        <v>267</v>
      </c>
      <c r="B12" s="129">
        <v>268205.5</v>
      </c>
      <c r="C12" s="92">
        <v>0</v>
      </c>
      <c r="D12" s="366">
        <f t="shared" si="0"/>
        <v>268205.5</v>
      </c>
      <c r="E12" s="373">
        <f t="shared" si="1"/>
        <v>1</v>
      </c>
      <c r="F12" s="88" t="s">
        <v>0</v>
      </c>
      <c r="G12" s="100" t="s">
        <v>0</v>
      </c>
      <c r="H12" s="129">
        <v>168614.9</v>
      </c>
      <c r="I12" s="92">
        <v>0</v>
      </c>
      <c r="J12" s="366">
        <f t="shared" si="2"/>
        <v>168614.9</v>
      </c>
      <c r="K12" s="373">
        <f t="shared" si="3"/>
        <v>1</v>
      </c>
    </row>
    <row r="13" spans="1:15">
      <c r="A13" s="1" t="s">
        <v>268</v>
      </c>
      <c r="B13" s="129">
        <v>7187.8</v>
      </c>
      <c r="C13" s="92">
        <v>4405.8</v>
      </c>
      <c r="D13" s="366">
        <f t="shared" si="0"/>
        <v>11593.6</v>
      </c>
      <c r="E13" s="373">
        <f t="shared" si="1"/>
        <v>0.61997998895942585</v>
      </c>
      <c r="F13" s="88" t="s">
        <v>0</v>
      </c>
      <c r="G13" s="100" t="s">
        <v>0</v>
      </c>
      <c r="H13" s="129">
        <v>4774.7</v>
      </c>
      <c r="I13" s="92">
        <v>2434.8000000000002</v>
      </c>
      <c r="J13" s="366">
        <f t="shared" si="2"/>
        <v>7209.5</v>
      </c>
      <c r="K13" s="373">
        <f t="shared" si="3"/>
        <v>0.6622789375130036</v>
      </c>
    </row>
    <row r="14" spans="1:15" ht="18">
      <c r="A14" s="1" t="s">
        <v>269</v>
      </c>
      <c r="B14" s="130">
        <v>46020.800000000003</v>
      </c>
      <c r="C14" s="137">
        <v>53454.3</v>
      </c>
      <c r="D14" s="367">
        <f t="shared" si="0"/>
        <v>99475.1</v>
      </c>
      <c r="E14" s="373">
        <f t="shared" si="1"/>
        <v>0.46263637834995891</v>
      </c>
      <c r="F14" s="88" t="s">
        <v>0</v>
      </c>
      <c r="G14" s="100" t="s">
        <v>0</v>
      </c>
      <c r="H14" s="130">
        <f>19263.5+32136+2058.7</f>
        <v>53458.2</v>
      </c>
      <c r="I14" s="137">
        <v>29373.1</v>
      </c>
      <c r="J14" s="367">
        <f t="shared" si="2"/>
        <v>82831.299999999988</v>
      </c>
      <c r="K14" s="373">
        <f t="shared" si="3"/>
        <v>0.6453864662271388</v>
      </c>
    </row>
    <row r="15" spans="1:15" ht="15.6" customHeight="1">
      <c r="A15" s="1"/>
      <c r="B15" s="129">
        <f>SUM(B10:B14)</f>
        <v>392241.89999999997</v>
      </c>
      <c r="C15" s="92">
        <f>SUM(C10:C14)</f>
        <v>729060.10000000009</v>
      </c>
      <c r="D15" s="366">
        <f t="shared" si="0"/>
        <v>1121302</v>
      </c>
      <c r="E15" s="373">
        <f t="shared" si="1"/>
        <v>0.34980932879812926</v>
      </c>
      <c r="F15" s="88" t="s">
        <v>0</v>
      </c>
      <c r="G15" s="100" t="s">
        <v>0</v>
      </c>
      <c r="H15" s="129">
        <f>SUM(H10:H14)</f>
        <v>275173.2</v>
      </c>
      <c r="I15" s="92">
        <f>SUM(I10:I14)</f>
        <v>463145.29999999993</v>
      </c>
      <c r="J15" s="366">
        <f t="shared" si="2"/>
        <v>738318.5</v>
      </c>
      <c r="K15" s="373">
        <f t="shared" si="3"/>
        <v>0.37270256671070817</v>
      </c>
    </row>
    <row r="16" spans="1:15" ht="7.9" customHeight="1">
      <c r="A16" s="1"/>
      <c r="B16" s="129"/>
      <c r="C16" s="93" t="s">
        <v>0</v>
      </c>
      <c r="D16" s="366"/>
      <c r="E16" s="373" t="s">
        <v>0</v>
      </c>
      <c r="F16" s="88"/>
      <c r="G16" s="100" t="s">
        <v>0</v>
      </c>
      <c r="H16" s="129"/>
      <c r="I16" s="93" t="s">
        <v>0</v>
      </c>
      <c r="J16" s="371" t="s">
        <v>0</v>
      </c>
      <c r="K16" s="373" t="s">
        <v>0</v>
      </c>
    </row>
    <row r="17" spans="1:11" ht="15.6" customHeight="1">
      <c r="A17" s="1" t="s">
        <v>270</v>
      </c>
      <c r="B17" s="129">
        <v>0</v>
      </c>
      <c r="C17" s="92">
        <v>270000</v>
      </c>
      <c r="D17" s="366">
        <f t="shared" ref="D17:D22" si="4">SUM(B17:C17)</f>
        <v>270000</v>
      </c>
      <c r="E17" s="136">
        <v>0</v>
      </c>
      <c r="F17"/>
      <c r="G17"/>
      <c r="H17" s="129">
        <v>0</v>
      </c>
      <c r="I17" s="92">
        <v>400000</v>
      </c>
      <c r="J17" s="366">
        <f t="shared" ref="J17:J22" si="5">SUM(H17:I17)</f>
        <v>400000</v>
      </c>
      <c r="K17" s="136">
        <v>0</v>
      </c>
    </row>
    <row r="18" spans="1:11">
      <c r="A18" s="1" t="s">
        <v>271</v>
      </c>
      <c r="B18" s="129">
        <v>472418.8</v>
      </c>
      <c r="C18" s="92">
        <v>111026</v>
      </c>
      <c r="D18" s="366">
        <f t="shared" si="4"/>
        <v>583444.80000000005</v>
      </c>
      <c r="E18" s="373">
        <f>+B18/D18</f>
        <v>0.80970607673596529</v>
      </c>
      <c r="F18"/>
      <c r="G18"/>
      <c r="H18" s="129">
        <v>440468.6</v>
      </c>
      <c r="I18" s="92">
        <v>102246</v>
      </c>
      <c r="J18" s="366">
        <f t="shared" si="5"/>
        <v>542714.6</v>
      </c>
      <c r="K18" s="373">
        <f>+H18/J18</f>
        <v>0.81160263608165317</v>
      </c>
    </row>
    <row r="19" spans="1:11">
      <c r="A19" s="1" t="s">
        <v>314</v>
      </c>
      <c r="B19" s="129">
        <v>742110.4</v>
      </c>
      <c r="C19" s="92">
        <v>747788.6</v>
      </c>
      <c r="D19" s="366">
        <f t="shared" si="4"/>
        <v>1489899</v>
      </c>
      <c r="E19" s="373">
        <f>+B19/D19</f>
        <v>0.49809443458919028</v>
      </c>
      <c r="F19"/>
      <c r="G19"/>
      <c r="H19" s="129">
        <v>826488.3</v>
      </c>
      <c r="I19" s="92">
        <v>681901.2</v>
      </c>
      <c r="J19" s="366">
        <f t="shared" si="5"/>
        <v>1508389.5</v>
      </c>
      <c r="K19" s="373">
        <f>+H19/J19</f>
        <v>0.54792764070553401</v>
      </c>
    </row>
    <row r="20" spans="1:11">
      <c r="A20" s="1" t="s">
        <v>273</v>
      </c>
      <c r="B20" s="129">
        <v>0</v>
      </c>
      <c r="C20" s="92">
        <v>139126.29999999999</v>
      </c>
      <c r="D20" s="366">
        <f t="shared" si="4"/>
        <v>139126.29999999999</v>
      </c>
      <c r="E20" s="136">
        <v>0</v>
      </c>
      <c r="F20"/>
      <c r="G20"/>
      <c r="H20" s="129">
        <v>0</v>
      </c>
      <c r="I20" s="92">
        <v>126232.1</v>
      </c>
      <c r="J20" s="366">
        <f t="shared" si="5"/>
        <v>126232.1</v>
      </c>
      <c r="K20" s="136">
        <v>0</v>
      </c>
    </row>
    <row r="21" spans="1:11" ht="18">
      <c r="A21" s="1" t="s">
        <v>274</v>
      </c>
      <c r="B21" s="130">
        <v>88030.3</v>
      </c>
      <c r="C21" s="137">
        <v>50284.3</v>
      </c>
      <c r="D21" s="367">
        <f t="shared" si="4"/>
        <v>138314.6</v>
      </c>
      <c r="E21" s="373">
        <f>+B21/D21</f>
        <v>0.63644980356375969</v>
      </c>
      <c r="F21"/>
      <c r="G21"/>
      <c r="H21" s="130">
        <v>46914.5</v>
      </c>
      <c r="I21" s="137">
        <v>38287.1</v>
      </c>
      <c r="J21" s="367">
        <f t="shared" si="5"/>
        <v>85201.600000000006</v>
      </c>
      <c r="K21" s="373">
        <f>+H21/J21</f>
        <v>0.55062933090458388</v>
      </c>
    </row>
    <row r="22" spans="1:11">
      <c r="A22" s="1" t="s">
        <v>275</v>
      </c>
      <c r="B22" s="132">
        <f>SUM(B15:B21)</f>
        <v>1694801.4000000001</v>
      </c>
      <c r="C22" s="95">
        <f>SUM(C15:C21)</f>
        <v>2047285.3000000003</v>
      </c>
      <c r="D22" s="368">
        <f t="shared" si="4"/>
        <v>3742086.7</v>
      </c>
      <c r="E22" s="431">
        <f>+B22/D22</f>
        <v>0.45290276144590663</v>
      </c>
      <c r="F22"/>
      <c r="G22"/>
      <c r="H22" s="132">
        <f>SUM(H15:H21)</f>
        <v>1589044.6</v>
      </c>
      <c r="I22" s="95">
        <f>SUM(I15:I21)</f>
        <v>1811811.7000000002</v>
      </c>
      <c r="J22" s="368">
        <f t="shared" si="5"/>
        <v>3400856.3000000003</v>
      </c>
      <c r="K22" s="431">
        <f>+H22/J22</f>
        <v>0.46724838094452859</v>
      </c>
    </row>
    <row r="23" spans="1:11" ht="7.9" customHeight="1">
      <c r="A23" s="1"/>
      <c r="B23" s="129"/>
      <c r="C23" s="93" t="s">
        <v>0</v>
      </c>
      <c r="D23" s="366"/>
      <c r="E23" s="373" t="s">
        <v>0</v>
      </c>
      <c r="F23"/>
      <c r="G23"/>
      <c r="H23" s="129"/>
      <c r="I23" s="93" t="s">
        <v>0</v>
      </c>
      <c r="J23" s="371" t="s">
        <v>0</v>
      </c>
      <c r="K23" s="373" t="s">
        <v>0</v>
      </c>
    </row>
    <row r="24" spans="1:11">
      <c r="A24" s="87" t="s">
        <v>276</v>
      </c>
      <c r="B24" s="129"/>
      <c r="C24" s="93" t="s">
        <v>0</v>
      </c>
      <c r="D24" s="366"/>
      <c r="E24" s="373" t="s">
        <v>0</v>
      </c>
      <c r="F24"/>
      <c r="G24"/>
      <c r="H24" s="129"/>
      <c r="I24" s="93" t="s">
        <v>0</v>
      </c>
      <c r="J24" s="371" t="s">
        <v>0</v>
      </c>
      <c r="K24" s="373" t="s">
        <v>0</v>
      </c>
    </row>
    <row r="25" spans="1:11">
      <c r="A25" s="1" t="s">
        <v>277</v>
      </c>
      <c r="B25" s="129"/>
      <c r="C25" s="93" t="s">
        <v>0</v>
      </c>
      <c r="D25" s="366"/>
      <c r="E25" s="373" t="s">
        <v>0</v>
      </c>
      <c r="F25"/>
      <c r="G25"/>
      <c r="H25" s="129"/>
      <c r="I25" s="93" t="s">
        <v>0</v>
      </c>
      <c r="J25" s="371" t="s">
        <v>0</v>
      </c>
      <c r="K25" s="373" t="s">
        <v>0</v>
      </c>
    </row>
    <row r="26" spans="1:11">
      <c r="A26" s="1" t="s">
        <v>278</v>
      </c>
      <c r="B26" s="129">
        <v>339075.9</v>
      </c>
      <c r="C26" s="92">
        <v>490907.5</v>
      </c>
      <c r="D26" s="366">
        <f>SUM(B26:C26)</f>
        <v>829983.4</v>
      </c>
      <c r="E26" s="373">
        <f>+B26/D26</f>
        <v>0.40853335138991936</v>
      </c>
      <c r="F26"/>
      <c r="G26"/>
      <c r="H26" s="129">
        <v>368349.4</v>
      </c>
      <c r="I26" s="92">
        <v>519731.5</v>
      </c>
      <c r="J26" s="366">
        <f>SUM(H26:I26)</f>
        <v>888080.9</v>
      </c>
      <c r="K26" s="373">
        <f>+H26/J26</f>
        <v>0.41477009583248553</v>
      </c>
    </row>
    <row r="27" spans="1:11">
      <c r="A27" s="1" t="s">
        <v>279</v>
      </c>
      <c r="B27" s="129">
        <v>775700.8</v>
      </c>
      <c r="C27" s="92">
        <v>752619.4</v>
      </c>
      <c r="D27" s="366">
        <f>SUM(B27:C27)</f>
        <v>1528320.2000000002</v>
      </c>
      <c r="E27" s="373">
        <f>+B27/D27</f>
        <v>0.50755123173795647</v>
      </c>
      <c r="F27"/>
      <c r="G27"/>
      <c r="H27" s="129">
        <v>730274.2</v>
      </c>
      <c r="I27" s="92">
        <v>701802.1</v>
      </c>
      <c r="J27" s="366">
        <f>SUM(H27:I27)</f>
        <v>1432076.2999999998</v>
      </c>
      <c r="K27" s="373">
        <f>+H27/J27</f>
        <v>0.50994084602894418</v>
      </c>
    </row>
    <row r="28" spans="1:11" ht="18">
      <c r="A28" s="1" t="s">
        <v>280</v>
      </c>
      <c r="B28" s="130">
        <v>508863.2</v>
      </c>
      <c r="C28" s="137">
        <v>504226.2</v>
      </c>
      <c r="D28" s="367">
        <f>SUM(B28:C28)</f>
        <v>1013089.4</v>
      </c>
      <c r="E28" s="373">
        <f>+B28/D28</f>
        <v>0.50228854432787473</v>
      </c>
      <c r="F28"/>
      <c r="G28"/>
      <c r="H28" s="130">
        <v>413142.8</v>
      </c>
      <c r="I28" s="137">
        <v>325896</v>
      </c>
      <c r="J28" s="367">
        <f>SUM(H28:I28)</f>
        <v>739038.8</v>
      </c>
      <c r="K28" s="373">
        <f>+H28/J28</f>
        <v>0.55902721210307216</v>
      </c>
    </row>
    <row r="29" spans="1:11">
      <c r="A29" s="1"/>
      <c r="B29" s="129">
        <f>SUM(B26:B28)</f>
        <v>1623639.9000000001</v>
      </c>
      <c r="C29" s="92">
        <f>SUM(C26:C28)</f>
        <v>1747753.0999999999</v>
      </c>
      <c r="D29" s="366">
        <f>SUM(B29:C29)</f>
        <v>3371393</v>
      </c>
      <c r="E29" s="373">
        <f>+B29/D29</f>
        <v>0.48159318714845767</v>
      </c>
      <c r="F29"/>
      <c r="G29"/>
      <c r="H29" s="129">
        <f>SUM(H26:H28)</f>
        <v>1511766.4000000001</v>
      </c>
      <c r="I29" s="92">
        <f>SUM(I26:I28)</f>
        <v>1547429.6</v>
      </c>
      <c r="J29" s="366">
        <f>SUM(H29:I29)</f>
        <v>3059196</v>
      </c>
      <c r="K29" s="373">
        <f>+H29/J29</f>
        <v>0.49417114823633401</v>
      </c>
    </row>
    <row r="30" spans="1:11" ht="7.9" customHeight="1">
      <c r="A30" s="1"/>
      <c r="B30" s="129"/>
      <c r="C30" s="93" t="s">
        <v>0</v>
      </c>
      <c r="D30" s="366"/>
      <c r="E30" s="373" t="s">
        <v>0</v>
      </c>
      <c r="F30"/>
      <c r="G30"/>
      <c r="H30" s="129"/>
      <c r="I30" s="93" t="s">
        <v>0</v>
      </c>
      <c r="J30" s="371" t="s">
        <v>0</v>
      </c>
      <c r="K30" s="373" t="s">
        <v>0</v>
      </c>
    </row>
    <row r="31" spans="1:11">
      <c r="A31" s="1" t="s">
        <v>281</v>
      </c>
      <c r="B31" s="129"/>
      <c r="C31" s="93" t="s">
        <v>0</v>
      </c>
      <c r="D31" s="366"/>
      <c r="E31" s="373" t="s">
        <v>0</v>
      </c>
      <c r="F31"/>
      <c r="G31"/>
      <c r="H31" s="129"/>
      <c r="I31" s="93" t="s">
        <v>0</v>
      </c>
      <c r="J31" s="371" t="s">
        <v>0</v>
      </c>
      <c r="K31" s="373" t="s">
        <v>0</v>
      </c>
    </row>
    <row r="32" spans="1:11">
      <c r="A32" s="1" t="s">
        <v>282</v>
      </c>
      <c r="B32" s="129">
        <v>0</v>
      </c>
      <c r="C32" s="92">
        <v>0</v>
      </c>
      <c r="D32" s="366">
        <f>SUM(B32:C32)</f>
        <v>0</v>
      </c>
      <c r="E32" s="136">
        <v>0</v>
      </c>
      <c r="F32"/>
      <c r="G32"/>
      <c r="H32" s="129">
        <v>0</v>
      </c>
      <c r="I32" s="92">
        <v>0</v>
      </c>
      <c r="J32" s="366">
        <f>SUM(H32:I32)</f>
        <v>0</v>
      </c>
      <c r="K32" s="136">
        <v>0</v>
      </c>
    </row>
    <row r="33" spans="1:15">
      <c r="A33" s="1" t="s">
        <v>283</v>
      </c>
      <c r="B33" s="129">
        <v>0</v>
      </c>
      <c r="C33" s="92">
        <v>0</v>
      </c>
      <c r="D33" s="366">
        <f>SUM(B33:C33)</f>
        <v>0</v>
      </c>
      <c r="E33" s="136">
        <v>0</v>
      </c>
      <c r="F33"/>
      <c r="G33"/>
      <c r="H33" s="129">
        <v>0</v>
      </c>
      <c r="I33" s="92">
        <v>0</v>
      </c>
      <c r="J33" s="366">
        <f>SUM(H33:I33)</f>
        <v>0</v>
      </c>
      <c r="K33" s="136">
        <v>0</v>
      </c>
    </row>
    <row r="34" spans="1:15" ht="18">
      <c r="A34" s="1" t="s">
        <v>284</v>
      </c>
      <c r="B34" s="130">
        <v>19383.900000000001</v>
      </c>
      <c r="C34" s="137">
        <v>68691.899999999994</v>
      </c>
      <c r="D34" s="367">
        <f>SUM(B34:C34)</f>
        <v>88075.799999999988</v>
      </c>
      <c r="E34" s="373">
        <f>+B34/D34</f>
        <v>0.22008202025982171</v>
      </c>
      <c r="F34"/>
      <c r="G34"/>
      <c r="H34" s="130">
        <v>37650.699999999997</v>
      </c>
      <c r="I34" s="137">
        <v>54921</v>
      </c>
      <c r="J34" s="367">
        <f>SUM(H34:I34)</f>
        <v>92571.7</v>
      </c>
      <c r="K34" s="373">
        <f>+H34/J34</f>
        <v>0.40671933215010631</v>
      </c>
      <c r="L34" s="6"/>
      <c r="M34" s="7"/>
      <c r="N34" s="7"/>
      <c r="O34" s="7"/>
    </row>
    <row r="35" spans="1:15">
      <c r="A35" s="1"/>
      <c r="B35" s="129">
        <f>SUM(B32:B34)</f>
        <v>19383.900000000001</v>
      </c>
      <c r="C35" s="92">
        <f>SUM(C32:C34)</f>
        <v>68691.899999999994</v>
      </c>
      <c r="D35" s="366">
        <f>SUM(B35:C35)</f>
        <v>88075.799999999988</v>
      </c>
      <c r="E35" s="373">
        <f>+B35/D35</f>
        <v>0.22008202025982171</v>
      </c>
      <c r="F35"/>
      <c r="G35"/>
      <c r="H35" s="129">
        <f>SUM(H32:H34)</f>
        <v>37650.699999999997</v>
      </c>
      <c r="I35" s="92">
        <f>SUM(I32:I34)</f>
        <v>54921</v>
      </c>
      <c r="J35" s="366">
        <f>SUM(H35:I35)</f>
        <v>92571.7</v>
      </c>
      <c r="K35" s="373">
        <f>+H35/J35</f>
        <v>0.40671933215010631</v>
      </c>
    </row>
    <row r="36" spans="1:15" ht="7.15" customHeight="1">
      <c r="A36" s="1"/>
      <c r="B36" s="129"/>
      <c r="C36" s="93" t="s">
        <v>0</v>
      </c>
      <c r="D36" s="366"/>
      <c r="E36" s="373" t="s">
        <v>275</v>
      </c>
      <c r="F36"/>
      <c r="G36"/>
      <c r="H36" s="129"/>
      <c r="I36" s="93" t="s">
        <v>0</v>
      </c>
      <c r="J36" s="371" t="s">
        <v>0</v>
      </c>
      <c r="K36" s="373" t="s">
        <v>275</v>
      </c>
    </row>
    <row r="37" spans="1:15">
      <c r="A37" s="1" t="s">
        <v>285</v>
      </c>
      <c r="B37" s="129"/>
      <c r="C37" s="93" t="s">
        <v>0</v>
      </c>
      <c r="D37" s="366"/>
      <c r="E37" s="373" t="s">
        <v>0</v>
      </c>
      <c r="F37"/>
      <c r="G37"/>
      <c r="H37" s="129"/>
      <c r="I37" s="93" t="s">
        <v>0</v>
      </c>
      <c r="J37" s="371" t="s">
        <v>0</v>
      </c>
      <c r="K37" s="373" t="s">
        <v>0</v>
      </c>
    </row>
    <row r="38" spans="1:15">
      <c r="A38" s="1" t="s">
        <v>282</v>
      </c>
      <c r="B38" s="129">
        <v>0</v>
      </c>
      <c r="C38" s="92">
        <v>0</v>
      </c>
      <c r="D38" s="366">
        <f>SUM(B38:C38)</f>
        <v>0</v>
      </c>
      <c r="E38" s="136">
        <v>0</v>
      </c>
      <c r="F38"/>
      <c r="G38"/>
      <c r="H38" s="129">
        <v>0</v>
      </c>
      <c r="I38" s="92">
        <v>0</v>
      </c>
      <c r="J38" s="366">
        <f>SUM(H38:I38)</f>
        <v>0</v>
      </c>
      <c r="K38" s="136">
        <v>0</v>
      </c>
    </row>
    <row r="39" spans="1:15">
      <c r="A39" s="1" t="s">
        <v>286</v>
      </c>
      <c r="B39" s="129">
        <v>0</v>
      </c>
      <c r="C39" s="92">
        <v>0</v>
      </c>
      <c r="D39" s="366">
        <f>SUM(B39:C39)</f>
        <v>0</v>
      </c>
      <c r="E39" s="136">
        <v>0</v>
      </c>
      <c r="F39"/>
      <c r="G39"/>
      <c r="H39" s="129">
        <v>0</v>
      </c>
      <c r="I39" s="92">
        <v>0</v>
      </c>
      <c r="J39" s="366">
        <f>SUM(H39:I39)</f>
        <v>0</v>
      </c>
      <c r="K39" s="136">
        <v>0</v>
      </c>
    </row>
    <row r="40" spans="1:15" ht="18">
      <c r="A40" s="1" t="s">
        <v>284</v>
      </c>
      <c r="B40" s="130">
        <v>17151.7</v>
      </c>
      <c r="C40" s="137">
        <v>24513.7</v>
      </c>
      <c r="D40" s="367">
        <f>SUM(B40:C40)</f>
        <v>41665.4</v>
      </c>
      <c r="E40" s="373">
        <f>+B40/D40</f>
        <v>0.41165331426075352</v>
      </c>
      <c r="F40"/>
      <c r="G40"/>
      <c r="H40" s="130">
        <v>14267</v>
      </c>
      <c r="I40" s="137">
        <v>21648.1</v>
      </c>
      <c r="J40" s="367">
        <f>SUM(H40:I40)</f>
        <v>35915.1</v>
      </c>
      <c r="K40" s="373">
        <f>+H40/J40</f>
        <v>0.39724238551472779</v>
      </c>
    </row>
    <row r="41" spans="1:15">
      <c r="A41" s="1"/>
      <c r="B41" s="129">
        <f>SUM(B38:B40)</f>
        <v>17151.7</v>
      </c>
      <c r="C41" s="92">
        <f>SUM(C38:C40)</f>
        <v>24513.7</v>
      </c>
      <c r="D41" s="366">
        <f>SUM(B41:C41)</f>
        <v>41665.4</v>
      </c>
      <c r="E41" s="373">
        <f>+B41/D41</f>
        <v>0.41165331426075352</v>
      </c>
      <c r="F41"/>
      <c r="G41"/>
      <c r="H41" s="129">
        <f>SUM(H38:H40)</f>
        <v>14267</v>
      </c>
      <c r="I41" s="92">
        <f>SUM(I38:I40)</f>
        <v>21648.1</v>
      </c>
      <c r="J41" s="366">
        <f>SUM(H41:I41)</f>
        <v>35915.1</v>
      </c>
      <c r="K41" s="373">
        <f>+H41/J41</f>
        <v>0.39724238551472779</v>
      </c>
    </row>
    <row r="42" spans="1:15" ht="8.4499999999999993" customHeight="1">
      <c r="A42" s="1"/>
      <c r="B42" s="129"/>
      <c r="C42" s="93" t="s">
        <v>0</v>
      </c>
      <c r="D42" s="366"/>
      <c r="E42" s="373" t="s">
        <v>0</v>
      </c>
      <c r="F42"/>
      <c r="G42"/>
      <c r="H42" s="129"/>
      <c r="I42" s="93" t="s">
        <v>0</v>
      </c>
      <c r="J42" s="371" t="s">
        <v>0</v>
      </c>
      <c r="K42" s="373" t="s">
        <v>0</v>
      </c>
    </row>
    <row r="43" spans="1:15" ht="18">
      <c r="A43" s="1" t="s">
        <v>287</v>
      </c>
      <c r="B43" s="130">
        <v>31864.400000000001</v>
      </c>
      <c r="C43" s="137">
        <v>8993.4</v>
      </c>
      <c r="D43" s="367">
        <f>SUM(B43:C43)</f>
        <v>40857.800000000003</v>
      </c>
      <c r="E43" s="373">
        <f>+B43/D43</f>
        <v>0.77988535848724105</v>
      </c>
      <c r="F43"/>
      <c r="G43"/>
      <c r="H43" s="130">
        <v>21337.5</v>
      </c>
      <c r="I43" s="137">
        <v>1131.8</v>
      </c>
      <c r="J43" s="367">
        <f>SUM(H43:I43)</f>
        <v>22469.3</v>
      </c>
      <c r="K43" s="373">
        <f>+H43/J43</f>
        <v>0.94962904941408943</v>
      </c>
      <c r="L43" s="6"/>
    </row>
    <row r="44" spans="1:15">
      <c r="A44" s="1"/>
      <c r="B44" s="129">
        <f>+B29+B35+B41+B43</f>
        <v>1692039.9</v>
      </c>
      <c r="C44" s="92">
        <f>+C29+C35+C41+C43</f>
        <v>1849952.0999999996</v>
      </c>
      <c r="D44" s="366">
        <f>SUM(B44:C44)</f>
        <v>3541991.9999999995</v>
      </c>
      <c r="E44" s="373">
        <f>+B44/D44</f>
        <v>0.47770856060657396</v>
      </c>
      <c r="F44"/>
      <c r="G44"/>
      <c r="H44" s="129">
        <f>+H29+H35+H41+H43</f>
        <v>1585021.6</v>
      </c>
      <c r="I44" s="92">
        <f>+I29+I35+I41+I43</f>
        <v>1625130.5000000002</v>
      </c>
      <c r="J44" s="366">
        <f>SUM(H44:I44)</f>
        <v>3210152.1000000006</v>
      </c>
      <c r="K44" s="373">
        <f>+H44/J44</f>
        <v>0.49375280380016878</v>
      </c>
    </row>
    <row r="45" spans="1:15" ht="8.4499999999999993" customHeight="1">
      <c r="A45" s="1"/>
      <c r="B45" s="129"/>
      <c r="C45" s="93" t="s">
        <v>0</v>
      </c>
      <c r="D45" s="366"/>
      <c r="E45" s="373" t="s">
        <v>0</v>
      </c>
      <c r="F45"/>
      <c r="G45"/>
      <c r="H45" s="129"/>
      <c r="I45" s="93" t="s">
        <v>0</v>
      </c>
      <c r="J45" s="371" t="s">
        <v>0</v>
      </c>
      <c r="K45" s="373" t="s">
        <v>0</v>
      </c>
    </row>
    <row r="46" spans="1:15">
      <c r="A46" s="87" t="s">
        <v>288</v>
      </c>
      <c r="B46" s="129"/>
      <c r="C46" s="93" t="s">
        <v>0</v>
      </c>
      <c r="D46" s="366"/>
      <c r="E46" s="373" t="s">
        <v>0</v>
      </c>
      <c r="F46"/>
      <c r="G46"/>
      <c r="H46" s="129"/>
      <c r="I46" s="93" t="s">
        <v>0</v>
      </c>
      <c r="J46" s="371" t="s">
        <v>0</v>
      </c>
      <c r="K46" s="373" t="s">
        <v>0</v>
      </c>
    </row>
    <row r="47" spans="1:15">
      <c r="A47" s="1" t="s">
        <v>289</v>
      </c>
      <c r="B47" s="129">
        <v>0</v>
      </c>
      <c r="C47" s="92">
        <v>100000</v>
      </c>
      <c r="D47" s="366">
        <f>SUM(B47:C47)</f>
        <v>100000</v>
      </c>
      <c r="E47" s="136">
        <f>+B47/D47</f>
        <v>0</v>
      </c>
      <c r="F47"/>
      <c r="G47"/>
      <c r="H47" s="129">
        <v>0</v>
      </c>
      <c r="I47" s="92">
        <v>100000</v>
      </c>
      <c r="J47" s="366">
        <f>SUM(H47:I47)</f>
        <v>100000</v>
      </c>
      <c r="K47" s="136">
        <f>+H47/J47</f>
        <v>0</v>
      </c>
    </row>
    <row r="48" spans="1:15">
      <c r="A48" s="1" t="s">
        <v>290</v>
      </c>
      <c r="B48" s="129">
        <v>0</v>
      </c>
      <c r="C48" s="92">
        <v>17415.2</v>
      </c>
      <c r="D48" s="366">
        <f>SUM(B48:C48)</f>
        <v>17415.2</v>
      </c>
      <c r="E48" s="136">
        <v>0</v>
      </c>
      <c r="F48"/>
      <c r="G48"/>
      <c r="H48" s="129">
        <v>0</v>
      </c>
      <c r="I48" s="92">
        <v>13107.9</v>
      </c>
      <c r="J48" s="366">
        <f>SUM(H48:I48)</f>
        <v>13107.9</v>
      </c>
      <c r="K48" s="136">
        <v>0</v>
      </c>
    </row>
    <row r="49" spans="1:15">
      <c r="A49" s="1" t="s">
        <v>302</v>
      </c>
      <c r="B49" s="129">
        <v>0</v>
      </c>
      <c r="C49" s="92">
        <v>11786.3</v>
      </c>
      <c r="D49" s="366">
        <f>SUM(B49:C49)</f>
        <v>11786.3</v>
      </c>
      <c r="E49" s="136">
        <v>0</v>
      </c>
      <c r="F49"/>
      <c r="G49"/>
      <c r="H49" s="129">
        <v>0</v>
      </c>
      <c r="I49" s="92">
        <v>11786.3</v>
      </c>
      <c r="J49" s="371">
        <v>0</v>
      </c>
      <c r="K49" s="136">
        <v>0</v>
      </c>
    </row>
    <row r="50" spans="1:15" ht="18">
      <c r="A50" s="1" t="s">
        <v>292</v>
      </c>
      <c r="B50" s="130">
        <v>0</v>
      </c>
      <c r="C50" s="137">
        <v>70893.2</v>
      </c>
      <c r="D50" s="940">
        <f>SUM(B50:C50)</f>
        <v>70893.2</v>
      </c>
      <c r="E50" s="136">
        <v>0</v>
      </c>
      <c r="F50"/>
      <c r="G50"/>
      <c r="H50" s="130">
        <v>0</v>
      </c>
      <c r="I50" s="137">
        <v>65810</v>
      </c>
      <c r="J50" s="367">
        <f>SUM(H50:I50)</f>
        <v>65810</v>
      </c>
      <c r="K50" s="136">
        <v>0</v>
      </c>
      <c r="L50" s="6"/>
      <c r="M50" s="7"/>
      <c r="N50" s="7"/>
      <c r="O50" s="7"/>
    </row>
    <row r="51" spans="1:15">
      <c r="A51" s="1" t="s">
        <v>275</v>
      </c>
      <c r="B51" s="129">
        <f>SUM(B47:B50)</f>
        <v>0</v>
      </c>
      <c r="C51" s="92">
        <f>SUM(C47:C50)</f>
        <v>200094.7</v>
      </c>
      <c r="D51" s="366">
        <f>SUM(B51:C51)</f>
        <v>200094.7</v>
      </c>
      <c r="E51" s="136">
        <v>0</v>
      </c>
      <c r="F51"/>
      <c r="G51"/>
      <c r="H51" s="129">
        <f>SUM(H47:H50)</f>
        <v>0</v>
      </c>
      <c r="I51" s="92">
        <f>SUM(I47:I50)</f>
        <v>190704.2</v>
      </c>
      <c r="J51" s="366">
        <f>SUM(H51:I51)</f>
        <v>190704.2</v>
      </c>
      <c r="K51" s="136">
        <v>0</v>
      </c>
    </row>
    <row r="52" spans="1:15">
      <c r="A52" s="1" t="s">
        <v>0</v>
      </c>
      <c r="B52" s="129"/>
      <c r="C52" s="93" t="s">
        <v>0</v>
      </c>
      <c r="D52" s="366"/>
      <c r="E52" s="373" t="s">
        <v>0</v>
      </c>
      <c r="F52"/>
      <c r="G52"/>
      <c r="H52" s="129"/>
      <c r="I52" s="93" t="s">
        <v>0</v>
      </c>
      <c r="J52" s="371" t="s">
        <v>0</v>
      </c>
      <c r="K52" s="373" t="s">
        <v>0</v>
      </c>
    </row>
    <row r="53" spans="1:15" ht="16.5" thickBot="1">
      <c r="A53" s="1" t="s">
        <v>0</v>
      </c>
      <c r="B53" s="133">
        <f>+B29+B35+B41+B43+B51</f>
        <v>1692039.9</v>
      </c>
      <c r="C53" s="134">
        <f>+C29+C35+C41+C43+C51</f>
        <v>2050046.7999999996</v>
      </c>
      <c r="D53" s="369">
        <f>SUM(B53:C53)</f>
        <v>3742086.6999999993</v>
      </c>
      <c r="E53" s="430">
        <f>+B53/D53</f>
        <v>0.45216480419868421</v>
      </c>
      <c r="F53"/>
      <c r="G53"/>
      <c r="H53" s="133">
        <f>+H29+H35+H41+H43+H51</f>
        <v>1585021.6</v>
      </c>
      <c r="I53" s="134">
        <f>+I29+I35+I41+I43+I51</f>
        <v>1815834.7000000002</v>
      </c>
      <c r="J53" s="369">
        <f>SUM(H53:I53)</f>
        <v>3400856.3000000003</v>
      </c>
      <c r="K53" s="430">
        <f>+H53/J53</f>
        <v>0.46606544357666624</v>
      </c>
    </row>
    <row r="54" spans="1:15" ht="16.5" thickTop="1">
      <c r="A54" s="1"/>
      <c r="B54" s="95"/>
      <c r="C54" s="95"/>
      <c r="D54" s="384"/>
      <c r="E54" s="261"/>
      <c r="F54"/>
      <c r="G54"/>
      <c r="H54" s="95"/>
      <c r="I54" s="95"/>
      <c r="J54" s="384"/>
      <c r="K54" s="254"/>
    </row>
    <row r="55" spans="1:15">
      <c r="A55" s="1"/>
      <c r="B55" s="91" t="s">
        <v>634</v>
      </c>
      <c r="C55"/>
      <c r="D55" s="91"/>
      <c r="E55" s="100" t="s">
        <v>0</v>
      </c>
      <c r="F55"/>
      <c r="G55"/>
      <c r="H55" s="91" t="s">
        <v>530</v>
      </c>
      <c r="I55"/>
      <c r="J55" s="89" t="s">
        <v>0</v>
      </c>
    </row>
    <row r="56" spans="1:15">
      <c r="C56" s="43"/>
      <c r="E56" s="115" t="s">
        <v>0</v>
      </c>
      <c r="F56"/>
      <c r="G56"/>
      <c r="H56"/>
      <c r="J56" s="43"/>
    </row>
    <row r="57" spans="1:15">
      <c r="A57" s="18" t="s">
        <v>319</v>
      </c>
      <c r="C57" s="43"/>
      <c r="E57" s="115" t="s">
        <v>0</v>
      </c>
      <c r="F57"/>
      <c r="G57"/>
      <c r="H57"/>
      <c r="J57" s="43"/>
    </row>
    <row r="58" spans="1:15">
      <c r="A58" t="s">
        <v>294</v>
      </c>
      <c r="B58" s="12">
        <f>389323.18/1000</f>
        <v>389.32317999999998</v>
      </c>
      <c r="C58" s="12">
        <v>0</v>
      </c>
      <c r="D58" s="12">
        <f>+B58+C58</f>
        <v>389.32317999999998</v>
      </c>
      <c r="E58" s="115" t="s">
        <v>0</v>
      </c>
      <c r="F58"/>
      <c r="G58"/>
      <c r="H58" s="3">
        <f>630606.28/1000</f>
        <v>630.60628000000008</v>
      </c>
      <c r="I58" s="12">
        <v>0</v>
      </c>
      <c r="J58" s="12">
        <f>+H58+I58</f>
        <v>630.60628000000008</v>
      </c>
    </row>
    <row r="59" spans="1:15">
      <c r="A59" t="s">
        <v>295</v>
      </c>
      <c r="B59" s="12">
        <f>67752643.07/1000</f>
        <v>67752.643069999991</v>
      </c>
      <c r="C59" s="12">
        <f>8853477.9/1000</f>
        <v>8853.4778999999999</v>
      </c>
      <c r="D59" s="12">
        <f>+B59+C59</f>
        <v>76606.120969999989</v>
      </c>
      <c r="E59" s="115" t="s">
        <v>0</v>
      </c>
      <c r="F59"/>
      <c r="G59"/>
      <c r="H59" s="3">
        <f>59941580.88/1000</f>
        <v>59941.580880000001</v>
      </c>
      <c r="I59" s="12">
        <v>0</v>
      </c>
      <c r="J59" s="12">
        <f>+H59+I59</f>
        <v>59941.580880000001</v>
      </c>
    </row>
    <row r="60" spans="1:15">
      <c r="A60" t="s">
        <v>284</v>
      </c>
      <c r="B60" s="12">
        <f>3707500.33/1000</f>
        <v>3707.5003299999998</v>
      </c>
      <c r="C60" s="12">
        <f>+(376639.78+10457728.31+297368.1)/1000</f>
        <v>11131.73619</v>
      </c>
      <c r="D60" s="12">
        <f>+B60+C60</f>
        <v>14839.236519999999</v>
      </c>
      <c r="E60" s="115" t="s">
        <v>0</v>
      </c>
      <c r="F60"/>
      <c r="G60"/>
      <c r="H60" s="3">
        <f>2853510.56/1000</f>
        <v>2853.5105600000002</v>
      </c>
      <c r="I60" s="12">
        <f>+(376639.78+6682381.28+297368.1)/1000</f>
        <v>7356.3891599999997</v>
      </c>
      <c r="J60" s="12">
        <f>+H60+I60</f>
        <v>10209.899719999999</v>
      </c>
    </row>
    <row r="61" spans="1:15">
      <c r="C61" s="43"/>
      <c r="E61" s="115" t="s">
        <v>0</v>
      </c>
      <c r="F61"/>
      <c r="G61"/>
      <c r="H61"/>
      <c r="J61" s="43"/>
    </row>
    <row r="62" spans="1:15" ht="18.75">
      <c r="A62" s="122" t="s">
        <v>303</v>
      </c>
      <c r="B62" s="12">
        <f>+'unibkcomp   '!B61</f>
        <v>1518202.6</v>
      </c>
      <c r="C62" s="43"/>
      <c r="E62" s="115" t="s">
        <v>0</v>
      </c>
      <c r="F62"/>
      <c r="G62"/>
      <c r="H62" s="41">
        <v>0</v>
      </c>
      <c r="I62" s="43">
        <v>0</v>
      </c>
      <c r="J62" s="12">
        <f>+J19+J63</f>
        <v>1513186.42347</v>
      </c>
    </row>
    <row r="63" spans="1:15">
      <c r="A63" t="s">
        <v>217</v>
      </c>
      <c r="B63" s="12">
        <f>+'unibkcomp   '!B62</f>
        <v>28303.599999999999</v>
      </c>
      <c r="C63" s="43"/>
      <c r="E63" s="115" t="s">
        <v>0</v>
      </c>
      <c r="F63"/>
      <c r="G63"/>
      <c r="H63" s="41">
        <v>0</v>
      </c>
      <c r="I63" s="43">
        <v>0</v>
      </c>
      <c r="J63" s="12">
        <f>4796923.47/1000</f>
        <v>4796.9234699999997</v>
      </c>
    </row>
    <row r="64" spans="1:15">
      <c r="A64" t="s">
        <v>320</v>
      </c>
      <c r="B64" s="12">
        <f>+'unibkcomp   '!B63</f>
        <v>16560.900000000001</v>
      </c>
      <c r="C64" s="43"/>
      <c r="E64" s="115" t="s">
        <v>0</v>
      </c>
      <c r="F64"/>
      <c r="G64"/>
      <c r="H64" s="41">
        <v>0</v>
      </c>
      <c r="I64" s="43">
        <v>0</v>
      </c>
      <c r="J64" s="12">
        <v>0</v>
      </c>
    </row>
    <row r="69" spans="2:12">
      <c r="B69"/>
      <c r="C69"/>
      <c r="D69"/>
      <c r="E69"/>
      <c r="F69"/>
      <c r="G69"/>
      <c r="H69"/>
      <c r="I69"/>
      <c r="J69"/>
      <c r="K69"/>
      <c r="L69"/>
    </row>
    <row r="70" spans="2:12">
      <c r="B70"/>
      <c r="C70"/>
      <c r="D70"/>
      <c r="E70"/>
      <c r="F70"/>
      <c r="G70"/>
      <c r="H70"/>
      <c r="I70"/>
      <c r="J70"/>
      <c r="K70"/>
      <c r="L70"/>
    </row>
    <row r="71" spans="2:12">
      <c r="B71"/>
      <c r="C71"/>
      <c r="D71"/>
      <c r="E71"/>
      <c r="F71"/>
      <c r="G71"/>
      <c r="H71"/>
      <c r="I71"/>
      <c r="J71"/>
      <c r="K71"/>
      <c r="L71"/>
    </row>
    <row r="72" spans="2:12">
      <c r="B72"/>
      <c r="C72"/>
      <c r="D72"/>
      <c r="E72"/>
      <c r="F72"/>
      <c r="G72"/>
      <c r="H72"/>
      <c r="I72"/>
      <c r="J72"/>
      <c r="K72"/>
      <c r="L72"/>
    </row>
    <row r="73" spans="2:12">
      <c r="B73"/>
      <c r="C73"/>
      <c r="D73"/>
      <c r="E73"/>
      <c r="F73"/>
      <c r="G73"/>
      <c r="H73"/>
      <c r="I73"/>
      <c r="J73"/>
      <c r="K73"/>
      <c r="L73"/>
    </row>
    <row r="74" spans="2:12">
      <c r="B74"/>
      <c r="C74"/>
      <c r="D74"/>
      <c r="E74"/>
      <c r="F74"/>
      <c r="G74"/>
      <c r="H74"/>
      <c r="I74"/>
      <c r="J74"/>
      <c r="K74"/>
      <c r="L74"/>
    </row>
    <row r="75" spans="2:12">
      <c r="B75"/>
      <c r="C75"/>
      <c r="D75"/>
      <c r="E75"/>
      <c r="F75"/>
      <c r="G75"/>
      <c r="H75"/>
      <c r="I75"/>
      <c r="J75"/>
      <c r="K75"/>
      <c r="L75"/>
    </row>
    <row r="76" spans="2:12">
      <c r="B76"/>
      <c r="C76"/>
      <c r="D76"/>
      <c r="E76"/>
      <c r="F76"/>
      <c r="G76"/>
      <c r="H76"/>
      <c r="I76"/>
      <c r="J76"/>
      <c r="K76"/>
      <c r="L76"/>
    </row>
    <row r="77" spans="2:12">
      <c r="B77"/>
      <c r="C77"/>
      <c r="D77"/>
      <c r="E77"/>
      <c r="F77"/>
      <c r="G77"/>
      <c r="H77"/>
      <c r="I77"/>
      <c r="J77"/>
      <c r="K77"/>
      <c r="L77"/>
    </row>
    <row r="78" spans="2:12">
      <c r="B78"/>
      <c r="C78"/>
      <c r="D78"/>
      <c r="E78"/>
      <c r="F78"/>
      <c r="G78"/>
      <c r="H78"/>
      <c r="I78"/>
      <c r="J78"/>
      <c r="K78"/>
      <c r="L78"/>
    </row>
    <row r="79" spans="2:12">
      <c r="B79"/>
      <c r="C79"/>
      <c r="D79"/>
      <c r="E79"/>
      <c r="F79"/>
      <c r="G79"/>
      <c r="H79"/>
      <c r="I79"/>
      <c r="J79"/>
      <c r="K79"/>
      <c r="L79"/>
    </row>
    <row r="80" spans="2:12">
      <c r="B80"/>
      <c r="C80"/>
      <c r="D80"/>
      <c r="E80"/>
      <c r="F80"/>
      <c r="G80"/>
      <c r="H80"/>
      <c r="I80"/>
      <c r="J80"/>
      <c r="K80"/>
      <c r="L80"/>
    </row>
    <row r="81" spans="2:12">
      <c r="B81"/>
      <c r="C81"/>
      <c r="D81"/>
      <c r="E81"/>
      <c r="F81"/>
      <c r="G81"/>
      <c r="H81"/>
      <c r="I81"/>
      <c r="J81"/>
      <c r="K81"/>
      <c r="L81"/>
    </row>
    <row r="82" spans="2:12">
      <c r="B82"/>
      <c r="C82"/>
      <c r="D82"/>
      <c r="E82"/>
      <c r="F82"/>
      <c r="G82"/>
      <c r="H82"/>
      <c r="I82"/>
      <c r="J82"/>
      <c r="K82"/>
      <c r="L82"/>
    </row>
    <row r="83" spans="2:12">
      <c r="B83"/>
      <c r="C83"/>
      <c r="D83"/>
      <c r="E83"/>
      <c r="F83"/>
      <c r="G83"/>
      <c r="H83"/>
      <c r="I83"/>
      <c r="J83"/>
      <c r="K83"/>
      <c r="L83"/>
    </row>
    <row r="84" spans="2:12">
      <c r="B84"/>
      <c r="C84"/>
      <c r="D84"/>
      <c r="E84"/>
      <c r="F84"/>
      <c r="G84"/>
      <c r="H84"/>
      <c r="I84"/>
      <c r="J84"/>
      <c r="K84"/>
      <c r="L84"/>
    </row>
    <row r="85" spans="2:12">
      <c r="B85"/>
      <c r="C85"/>
      <c r="D85"/>
      <c r="E85"/>
      <c r="F85"/>
      <c r="G85"/>
      <c r="H85"/>
      <c r="I85"/>
      <c r="J85"/>
      <c r="K85"/>
      <c r="L85"/>
    </row>
    <row r="86" spans="2:12">
      <c r="B86"/>
      <c r="C86"/>
      <c r="D86"/>
      <c r="E86"/>
      <c r="F86"/>
      <c r="G86"/>
      <c r="H86"/>
      <c r="I86"/>
      <c r="J86"/>
      <c r="K86"/>
      <c r="L86"/>
    </row>
    <row r="87" spans="2:12">
      <c r="B87"/>
      <c r="C87"/>
      <c r="D87"/>
      <c r="E87"/>
      <c r="F87"/>
      <c r="G87"/>
      <c r="H87"/>
      <c r="I87"/>
      <c r="J87"/>
      <c r="K87"/>
      <c r="L87"/>
    </row>
    <row r="88" spans="2:12">
      <c r="B88"/>
      <c r="C88"/>
      <c r="D88"/>
      <c r="E88"/>
      <c r="F88"/>
      <c r="G88"/>
      <c r="H88"/>
      <c r="I88"/>
      <c r="J88"/>
      <c r="K88"/>
      <c r="L88"/>
    </row>
    <row r="89" spans="2:12">
      <c r="B89"/>
      <c r="C89"/>
      <c r="D89"/>
      <c r="E89"/>
      <c r="F89"/>
      <c r="G89"/>
      <c r="H89"/>
      <c r="I89"/>
      <c r="J89"/>
      <c r="K89"/>
      <c r="L89"/>
    </row>
    <row r="90" spans="2:12">
      <c r="B90"/>
      <c r="C90"/>
      <c r="D90"/>
      <c r="E90"/>
      <c r="F90"/>
      <c r="G90"/>
      <c r="H90"/>
      <c r="I90"/>
      <c r="J90"/>
      <c r="K90"/>
      <c r="L90"/>
    </row>
    <row r="91" spans="2:12">
      <c r="B91"/>
      <c r="C91"/>
      <c r="D91"/>
      <c r="E91"/>
      <c r="F91"/>
      <c r="G91"/>
      <c r="H91"/>
      <c r="I91"/>
      <c r="J91"/>
      <c r="K91"/>
      <c r="L91"/>
    </row>
    <row r="92" spans="2:12">
      <c r="B92"/>
      <c r="C92"/>
      <c r="D92"/>
      <c r="E92"/>
      <c r="F92"/>
      <c r="G92"/>
      <c r="H92"/>
      <c r="I92"/>
      <c r="J92"/>
      <c r="K92"/>
      <c r="L92"/>
    </row>
    <row r="93" spans="2:12">
      <c r="B93"/>
      <c r="C93"/>
      <c r="D93"/>
      <c r="E93"/>
      <c r="F93"/>
      <c r="G93"/>
      <c r="H93"/>
      <c r="I93"/>
      <c r="J93"/>
      <c r="K93"/>
      <c r="L93"/>
    </row>
    <row r="94" spans="2:12">
      <c r="B94"/>
      <c r="C94"/>
      <c r="D94"/>
      <c r="E94"/>
      <c r="F94"/>
      <c r="G94"/>
      <c r="H94"/>
      <c r="I94"/>
      <c r="J94"/>
      <c r="K94"/>
      <c r="L94"/>
    </row>
    <row r="95" spans="2:12">
      <c r="B95"/>
      <c r="C95"/>
      <c r="D95"/>
      <c r="E95"/>
      <c r="F95"/>
      <c r="G95"/>
      <c r="H95"/>
      <c r="I95"/>
      <c r="J95"/>
      <c r="K95"/>
      <c r="L95"/>
    </row>
    <row r="96" spans="2:12">
      <c r="B96"/>
      <c r="C96"/>
      <c r="D96"/>
      <c r="E96"/>
      <c r="F96"/>
      <c r="G96"/>
      <c r="H96"/>
      <c r="I96"/>
      <c r="J96"/>
      <c r="K96"/>
      <c r="L96"/>
    </row>
    <row r="97" spans="2:12">
      <c r="B97"/>
      <c r="C97"/>
      <c r="D97"/>
      <c r="E97"/>
      <c r="F97"/>
      <c r="G97"/>
      <c r="H97"/>
      <c r="I97"/>
      <c r="J97"/>
      <c r="K97"/>
      <c r="L97"/>
    </row>
    <row r="98" spans="2:12">
      <c r="B98"/>
      <c r="C98"/>
      <c r="D98"/>
      <c r="E98"/>
      <c r="F98"/>
      <c r="G98"/>
      <c r="H98"/>
      <c r="I98"/>
      <c r="J98"/>
      <c r="K98"/>
      <c r="L98"/>
    </row>
    <row r="99" spans="2:12">
      <c r="B99"/>
      <c r="C99"/>
      <c r="D99"/>
      <c r="E99"/>
      <c r="F99"/>
      <c r="G99"/>
      <c r="H99"/>
      <c r="I99"/>
      <c r="J99"/>
      <c r="K99"/>
      <c r="L99"/>
    </row>
    <row r="100" spans="2:12">
      <c r="B100"/>
      <c r="C100"/>
      <c r="D100"/>
      <c r="E100"/>
      <c r="F100"/>
      <c r="G100"/>
      <c r="H100"/>
      <c r="I100"/>
      <c r="J100"/>
      <c r="K100"/>
      <c r="L100"/>
    </row>
    <row r="101" spans="2:12">
      <c r="B101"/>
      <c r="C101"/>
      <c r="D101"/>
      <c r="E101"/>
      <c r="F101"/>
      <c r="G101"/>
      <c r="H101"/>
      <c r="I101"/>
      <c r="J101"/>
      <c r="K101"/>
      <c r="L101"/>
    </row>
    <row r="102" spans="2:12">
      <c r="B102"/>
      <c r="C102"/>
      <c r="D102"/>
      <c r="E102"/>
      <c r="F102"/>
      <c r="G102"/>
      <c r="H102"/>
      <c r="I102"/>
      <c r="J102"/>
      <c r="K102"/>
      <c r="L102"/>
    </row>
    <row r="103" spans="2:12">
      <c r="B103"/>
      <c r="C103"/>
      <c r="D103"/>
      <c r="E103"/>
      <c r="F103"/>
      <c r="G103"/>
      <c r="H103"/>
      <c r="I103"/>
      <c r="J103"/>
      <c r="K103"/>
      <c r="L103"/>
    </row>
    <row r="104" spans="2:12">
      <c r="B104"/>
      <c r="C104"/>
      <c r="D104"/>
      <c r="E104"/>
      <c r="F104"/>
      <c r="G104"/>
      <c r="H104"/>
      <c r="I104"/>
      <c r="J104"/>
      <c r="K104"/>
      <c r="L104"/>
    </row>
    <row r="105" spans="2:12">
      <c r="B105"/>
      <c r="C105"/>
      <c r="D105"/>
      <c r="E105"/>
      <c r="F105"/>
      <c r="G105"/>
      <c r="H105"/>
      <c r="I105"/>
      <c r="J105"/>
      <c r="K105"/>
      <c r="L105"/>
    </row>
    <row r="106" spans="2:12">
      <c r="B106"/>
      <c r="C106"/>
      <c r="D106"/>
      <c r="E106"/>
      <c r="F106"/>
      <c r="G106"/>
      <c r="H106"/>
      <c r="I106"/>
      <c r="J106"/>
      <c r="K106"/>
      <c r="L106"/>
    </row>
    <row r="107" spans="2:12">
      <c r="B107"/>
      <c r="C107"/>
      <c r="D107"/>
      <c r="E107"/>
      <c r="F107"/>
      <c r="G107"/>
      <c r="H107"/>
      <c r="I107"/>
      <c r="J107"/>
      <c r="K107"/>
      <c r="L107"/>
    </row>
    <row r="108" spans="2:12">
      <c r="B108"/>
      <c r="C108"/>
      <c r="D108"/>
      <c r="E108"/>
      <c r="F108"/>
      <c r="G108"/>
      <c r="H108"/>
      <c r="I108"/>
      <c r="J108"/>
      <c r="K108"/>
      <c r="L108"/>
    </row>
    <row r="109" spans="2:12">
      <c r="B109"/>
      <c r="C109"/>
      <c r="D109"/>
      <c r="E109"/>
      <c r="F109"/>
      <c r="G109"/>
      <c r="H109"/>
      <c r="I109"/>
      <c r="J109"/>
      <c r="K109"/>
      <c r="L109"/>
    </row>
    <row r="110" spans="2:12">
      <c r="B110"/>
      <c r="C110"/>
      <c r="D110"/>
      <c r="E110"/>
      <c r="F110"/>
      <c r="G110"/>
      <c r="H110"/>
      <c r="I110"/>
      <c r="J110"/>
      <c r="K110"/>
      <c r="L110"/>
    </row>
    <row r="111" spans="2:12">
      <c r="B111"/>
      <c r="C111"/>
      <c r="D111"/>
      <c r="E111"/>
      <c r="F111"/>
      <c r="G111"/>
      <c r="H111"/>
      <c r="I111"/>
      <c r="J111"/>
      <c r="K111"/>
      <c r="L111"/>
    </row>
    <row r="112" spans="2:12">
      <c r="B112"/>
      <c r="C112"/>
      <c r="D112"/>
      <c r="E112"/>
      <c r="F112"/>
      <c r="G112"/>
      <c r="H112"/>
      <c r="I112"/>
      <c r="J112"/>
      <c r="K112"/>
      <c r="L112"/>
    </row>
    <row r="113" spans="2:12">
      <c r="B113"/>
      <c r="C113"/>
      <c r="D113"/>
      <c r="E113"/>
      <c r="F113"/>
      <c r="G113"/>
      <c r="H113"/>
      <c r="I113"/>
      <c r="J113"/>
      <c r="K113"/>
      <c r="L113"/>
    </row>
    <row r="114" spans="2:12">
      <c r="B114"/>
      <c r="C114"/>
      <c r="D114"/>
      <c r="E114"/>
      <c r="F114"/>
      <c r="G114"/>
      <c r="H114"/>
      <c r="I114"/>
      <c r="J114"/>
      <c r="K114"/>
      <c r="L114"/>
    </row>
    <row r="115" spans="2:12">
      <c r="B115"/>
      <c r="C115"/>
      <c r="D115"/>
      <c r="E115"/>
      <c r="F115"/>
      <c r="G115"/>
      <c r="H115"/>
      <c r="I115"/>
      <c r="J115"/>
      <c r="K115"/>
      <c r="L115"/>
    </row>
    <row r="116" spans="2:12">
      <c r="B116"/>
      <c r="C116"/>
      <c r="D116"/>
      <c r="E116"/>
      <c r="F116"/>
      <c r="G116"/>
      <c r="H116"/>
      <c r="I116"/>
      <c r="J116"/>
      <c r="K116"/>
      <c r="L116"/>
    </row>
    <row r="117" spans="2:12">
      <c r="B117"/>
      <c r="C117"/>
      <c r="D117"/>
      <c r="E117"/>
      <c r="F117"/>
      <c r="G117"/>
      <c r="H117"/>
      <c r="I117"/>
      <c r="J117"/>
      <c r="K117"/>
      <c r="L117"/>
    </row>
    <row r="118" spans="2:12">
      <c r="B118"/>
      <c r="C118"/>
      <c r="D118"/>
      <c r="E118"/>
      <c r="F118"/>
      <c r="G118"/>
      <c r="H118"/>
      <c r="I118"/>
      <c r="J118"/>
      <c r="K118"/>
      <c r="L118"/>
    </row>
    <row r="119" spans="2:12">
      <c r="B119"/>
      <c r="C119"/>
      <c r="D119"/>
      <c r="E119"/>
      <c r="F119"/>
      <c r="G119"/>
      <c r="H119"/>
      <c r="I119"/>
      <c r="J119"/>
      <c r="K119"/>
      <c r="L119"/>
    </row>
    <row r="120" spans="2:12">
      <c r="B120"/>
      <c r="C120"/>
      <c r="D120"/>
      <c r="E120"/>
      <c r="F120"/>
      <c r="G120"/>
      <c r="H120"/>
      <c r="I120"/>
      <c r="J120"/>
      <c r="K120"/>
      <c r="L120"/>
    </row>
    <row r="121" spans="2:12">
      <c r="B121"/>
      <c r="C121"/>
      <c r="D121"/>
      <c r="E121"/>
      <c r="F121"/>
      <c r="G121"/>
      <c r="H121"/>
      <c r="I121"/>
      <c r="J121"/>
      <c r="K121"/>
      <c r="L121"/>
    </row>
    <row r="122" spans="2:12">
      <c r="B122"/>
      <c r="C122"/>
      <c r="D122"/>
      <c r="E122"/>
      <c r="F122"/>
      <c r="G122"/>
      <c r="H122"/>
      <c r="I122"/>
      <c r="J122"/>
      <c r="K122"/>
      <c r="L122"/>
    </row>
    <row r="123" spans="2:12">
      <c r="B123"/>
      <c r="C123"/>
      <c r="D123"/>
      <c r="E123"/>
      <c r="F123"/>
      <c r="G123"/>
      <c r="H123"/>
      <c r="I123"/>
      <c r="J123"/>
      <c r="K123"/>
      <c r="L123"/>
    </row>
    <row r="124" spans="2:12">
      <c r="B124"/>
      <c r="C124"/>
      <c r="D124"/>
      <c r="E124"/>
      <c r="F124"/>
      <c r="G124"/>
      <c r="H124"/>
      <c r="I124"/>
      <c r="J124"/>
      <c r="K124"/>
      <c r="L124"/>
    </row>
    <row r="125" spans="2:12">
      <c r="B125"/>
      <c r="C125"/>
      <c r="D125"/>
      <c r="E125"/>
      <c r="F125"/>
      <c r="G125"/>
      <c r="H125"/>
      <c r="I125"/>
      <c r="J125"/>
      <c r="K125"/>
      <c r="L125"/>
    </row>
    <row r="126" spans="2:12">
      <c r="B126"/>
      <c r="C126"/>
      <c r="D126"/>
      <c r="E126"/>
      <c r="F126"/>
      <c r="G126"/>
      <c r="H126"/>
      <c r="I126"/>
      <c r="J126"/>
      <c r="K126"/>
      <c r="L126"/>
    </row>
    <row r="127" spans="2:12">
      <c r="B127"/>
      <c r="C127"/>
      <c r="D127"/>
      <c r="E127"/>
      <c r="F127"/>
      <c r="G127"/>
      <c r="H127"/>
      <c r="I127"/>
      <c r="J127"/>
      <c r="K127"/>
      <c r="L127"/>
    </row>
    <row r="128" spans="2:12">
      <c r="B128"/>
      <c r="C128"/>
      <c r="D128"/>
      <c r="E128"/>
      <c r="F128"/>
      <c r="G128"/>
      <c r="H128"/>
      <c r="I128"/>
      <c r="J128"/>
      <c r="K128"/>
      <c r="L128"/>
    </row>
    <row r="129" spans="2:12">
      <c r="B129"/>
      <c r="C129"/>
      <c r="D129"/>
      <c r="E129"/>
      <c r="F129"/>
      <c r="G129"/>
      <c r="H129"/>
      <c r="I129"/>
      <c r="J129"/>
      <c r="K129"/>
      <c r="L129"/>
    </row>
    <row r="130" spans="2:12">
      <c r="B130"/>
      <c r="C130"/>
      <c r="D130"/>
      <c r="E130"/>
      <c r="F130"/>
      <c r="G130"/>
      <c r="H130"/>
      <c r="I130"/>
      <c r="J130"/>
      <c r="K130"/>
      <c r="L130"/>
    </row>
    <row r="131" spans="2:12">
      <c r="B131"/>
      <c r="C131"/>
      <c r="D131"/>
      <c r="E131"/>
      <c r="F131"/>
      <c r="G131"/>
      <c r="H131"/>
      <c r="I131"/>
      <c r="J131"/>
      <c r="K131"/>
      <c r="L131"/>
    </row>
    <row r="132" spans="2:12">
      <c r="B132"/>
      <c r="C132"/>
      <c r="D132"/>
      <c r="E132"/>
      <c r="F132"/>
      <c r="G132"/>
      <c r="H132"/>
      <c r="I132"/>
      <c r="J132"/>
      <c r="K132"/>
      <c r="L132"/>
    </row>
    <row r="133" spans="2:12">
      <c r="B133"/>
      <c r="C133"/>
      <c r="D133"/>
      <c r="E133"/>
      <c r="F133"/>
      <c r="G133"/>
      <c r="H133"/>
      <c r="I133"/>
      <c r="J133"/>
      <c r="K133"/>
      <c r="L133"/>
    </row>
    <row r="134" spans="2:12">
      <c r="B134"/>
      <c r="C134"/>
      <c r="D134"/>
      <c r="E134"/>
      <c r="F134"/>
      <c r="G134"/>
      <c r="H134"/>
      <c r="I134"/>
      <c r="J134"/>
      <c r="K134"/>
      <c r="L134"/>
    </row>
    <row r="135" spans="2:12">
      <c r="B135"/>
      <c r="C135"/>
      <c r="D135"/>
      <c r="E135"/>
      <c r="F135"/>
      <c r="G135"/>
      <c r="H135"/>
      <c r="I135"/>
      <c r="J135"/>
      <c r="K135"/>
      <c r="L135"/>
    </row>
    <row r="136" spans="2:12">
      <c r="B136"/>
      <c r="C136"/>
      <c r="D136"/>
      <c r="E136"/>
      <c r="F136"/>
      <c r="G136"/>
      <c r="H136"/>
      <c r="I136"/>
      <c r="J136"/>
      <c r="K136"/>
      <c r="L136"/>
    </row>
    <row r="137" spans="2:12">
      <c r="B137"/>
      <c r="C137"/>
      <c r="D137"/>
      <c r="E137"/>
      <c r="F137"/>
      <c r="G137"/>
      <c r="H137"/>
      <c r="I137"/>
      <c r="J137"/>
      <c r="K137"/>
      <c r="L137"/>
    </row>
    <row r="138" spans="2:12">
      <c r="B138"/>
      <c r="C138"/>
      <c r="D138"/>
      <c r="E138"/>
      <c r="F138"/>
      <c r="G138"/>
      <c r="H138"/>
      <c r="I138"/>
      <c r="J138"/>
      <c r="K138"/>
      <c r="L138"/>
    </row>
    <row r="139" spans="2:12">
      <c r="B139"/>
      <c r="C139"/>
      <c r="D139"/>
      <c r="E139"/>
      <c r="F139"/>
      <c r="G139"/>
      <c r="H139"/>
      <c r="I139"/>
      <c r="J139"/>
      <c r="K139"/>
      <c r="L139"/>
    </row>
    <row r="140" spans="2:12">
      <c r="B140"/>
      <c r="C140"/>
      <c r="D140"/>
      <c r="E140"/>
      <c r="F140"/>
      <c r="G140"/>
      <c r="H140"/>
      <c r="I140"/>
      <c r="J140"/>
      <c r="K140"/>
      <c r="L140"/>
    </row>
    <row r="141" spans="2:12">
      <c r="B141"/>
      <c r="C141"/>
      <c r="D141"/>
      <c r="E141"/>
      <c r="F141"/>
      <c r="G141"/>
      <c r="H141"/>
      <c r="I141"/>
      <c r="J141"/>
      <c r="K141"/>
      <c r="L141"/>
    </row>
    <row r="142" spans="2:12">
      <c r="B142"/>
      <c r="C142"/>
      <c r="D142"/>
      <c r="E142"/>
      <c r="F142"/>
      <c r="G142"/>
      <c r="H142"/>
      <c r="I142"/>
      <c r="J142"/>
      <c r="K142"/>
      <c r="L142"/>
    </row>
    <row r="143" spans="2:12">
      <c r="B143"/>
      <c r="C143"/>
      <c r="D143"/>
      <c r="E143"/>
      <c r="F143"/>
      <c r="G143"/>
      <c r="H143"/>
      <c r="I143"/>
      <c r="J143"/>
      <c r="K143"/>
      <c r="L143"/>
    </row>
    <row r="144" spans="2:12">
      <c r="B144"/>
      <c r="C144"/>
      <c r="D144"/>
      <c r="E144"/>
      <c r="F144"/>
      <c r="G144"/>
      <c r="H144"/>
      <c r="I144"/>
      <c r="J144"/>
      <c r="K144"/>
      <c r="L144"/>
    </row>
    <row r="145" spans="2:12">
      <c r="B145"/>
      <c r="C145"/>
      <c r="D145"/>
      <c r="E145"/>
      <c r="F145"/>
      <c r="G145"/>
      <c r="H145"/>
      <c r="I145"/>
      <c r="J145"/>
      <c r="K145"/>
      <c r="L145"/>
    </row>
    <row r="146" spans="2:12">
      <c r="B146"/>
      <c r="C146"/>
      <c r="D146"/>
      <c r="E146"/>
      <c r="F146"/>
      <c r="G146"/>
      <c r="H146"/>
      <c r="I146"/>
      <c r="J146"/>
      <c r="K146"/>
      <c r="L146"/>
    </row>
    <row r="147" spans="2:12">
      <c r="B147"/>
      <c r="C147"/>
      <c r="D147"/>
      <c r="E147"/>
      <c r="F147"/>
      <c r="G147"/>
      <c r="H147"/>
      <c r="I147"/>
      <c r="J147"/>
      <c r="K147"/>
      <c r="L147"/>
    </row>
    <row r="148" spans="2:12">
      <c r="B148"/>
      <c r="C148"/>
      <c r="D148"/>
      <c r="E148"/>
      <c r="F148"/>
      <c r="G148"/>
      <c r="H148"/>
      <c r="I148"/>
      <c r="J148"/>
      <c r="K148"/>
      <c r="L148"/>
    </row>
    <row r="149" spans="2:12">
      <c r="B149"/>
      <c r="C149"/>
      <c r="D149"/>
      <c r="E149"/>
      <c r="F149"/>
      <c r="G149"/>
      <c r="H149"/>
      <c r="I149"/>
      <c r="J149"/>
      <c r="K149"/>
      <c r="L149"/>
    </row>
    <row r="150" spans="2:12">
      <c r="B150"/>
      <c r="C150"/>
      <c r="D150"/>
      <c r="E150"/>
      <c r="F150"/>
      <c r="G150"/>
      <c r="H150"/>
      <c r="I150"/>
      <c r="J150"/>
      <c r="K150"/>
      <c r="L150"/>
    </row>
    <row r="151" spans="2:12">
      <c r="B151"/>
      <c r="C151"/>
      <c r="D151"/>
      <c r="E151"/>
      <c r="F151"/>
      <c r="G151"/>
      <c r="H151"/>
      <c r="I151"/>
      <c r="J151"/>
      <c r="K151"/>
      <c r="L151"/>
    </row>
    <row r="152" spans="2:12">
      <c r="B152"/>
      <c r="C152"/>
      <c r="D152"/>
      <c r="E152"/>
      <c r="F152"/>
      <c r="G152"/>
      <c r="H152"/>
      <c r="I152"/>
      <c r="J152"/>
      <c r="K152"/>
      <c r="L152"/>
    </row>
    <row r="153" spans="2:12">
      <c r="B153"/>
      <c r="C153"/>
      <c r="D153"/>
      <c r="E153"/>
      <c r="F153"/>
      <c r="G153"/>
      <c r="H153"/>
      <c r="I153"/>
      <c r="J153"/>
      <c r="K153"/>
      <c r="L153"/>
    </row>
    <row r="154" spans="2:12">
      <c r="B154"/>
      <c r="C154"/>
      <c r="D154"/>
      <c r="E154"/>
      <c r="F154"/>
      <c r="G154"/>
      <c r="H154"/>
      <c r="I154"/>
      <c r="J154"/>
      <c r="K154"/>
      <c r="L154"/>
    </row>
    <row r="155" spans="2:12">
      <c r="B155"/>
      <c r="C155"/>
      <c r="D155"/>
      <c r="E155"/>
      <c r="F155"/>
      <c r="G155"/>
      <c r="H155"/>
      <c r="I155"/>
      <c r="J155"/>
      <c r="K155"/>
      <c r="L155"/>
    </row>
    <row r="156" spans="2:12">
      <c r="B156"/>
      <c r="C156"/>
      <c r="D156"/>
      <c r="E156"/>
      <c r="F156"/>
      <c r="G156"/>
      <c r="H156"/>
      <c r="I156"/>
      <c r="J156"/>
      <c r="K156"/>
      <c r="L156"/>
    </row>
    <row r="157" spans="2:12">
      <c r="B157"/>
      <c r="C157"/>
      <c r="D157"/>
      <c r="E157"/>
      <c r="F157"/>
      <c r="G157"/>
      <c r="H157"/>
      <c r="I157"/>
      <c r="J157"/>
      <c r="K157"/>
      <c r="L157"/>
    </row>
    <row r="158" spans="2:12">
      <c r="B158"/>
      <c r="C158"/>
      <c r="D158"/>
      <c r="E158"/>
      <c r="F158"/>
      <c r="G158"/>
      <c r="H158"/>
      <c r="I158"/>
      <c r="J158"/>
      <c r="K158"/>
      <c r="L158"/>
    </row>
    <row r="159" spans="2:12">
      <c r="B159"/>
      <c r="C159"/>
      <c r="D159"/>
      <c r="E159"/>
      <c r="F159"/>
      <c r="G159"/>
      <c r="H159"/>
      <c r="I159"/>
      <c r="J159"/>
      <c r="K159"/>
      <c r="L159"/>
    </row>
    <row r="160" spans="2:12">
      <c r="B160"/>
      <c r="C160"/>
      <c r="D160"/>
      <c r="E160"/>
      <c r="F160"/>
      <c r="G160"/>
      <c r="H160"/>
      <c r="I160"/>
      <c r="J160"/>
      <c r="K160"/>
      <c r="L160"/>
    </row>
    <row r="161" spans="2:12">
      <c r="B161"/>
      <c r="C161"/>
      <c r="D161"/>
      <c r="E161"/>
      <c r="F161"/>
      <c r="G161"/>
      <c r="H161"/>
      <c r="I161"/>
      <c r="J161"/>
      <c r="K161"/>
      <c r="L161"/>
    </row>
    <row r="162" spans="2:12">
      <c r="B162"/>
      <c r="C162"/>
      <c r="D162"/>
      <c r="E162"/>
      <c r="F162"/>
      <c r="G162"/>
      <c r="H162"/>
      <c r="I162"/>
      <c r="J162"/>
      <c r="K162"/>
      <c r="L162"/>
    </row>
    <row r="163" spans="2:12">
      <c r="B163"/>
      <c r="C163"/>
      <c r="D163"/>
      <c r="E163"/>
      <c r="F163"/>
      <c r="G163"/>
      <c r="H163"/>
      <c r="I163"/>
      <c r="J163"/>
      <c r="K163"/>
      <c r="L163"/>
    </row>
    <row r="164" spans="2:12">
      <c r="B164"/>
      <c r="C164"/>
      <c r="D164"/>
      <c r="E164"/>
      <c r="F164"/>
      <c r="G164"/>
      <c r="H164"/>
      <c r="I164"/>
      <c r="J164"/>
      <c r="K164"/>
      <c r="L164"/>
    </row>
    <row r="165" spans="2:12">
      <c r="B165"/>
      <c r="C165"/>
      <c r="D165"/>
      <c r="E165"/>
      <c r="F165"/>
      <c r="G165"/>
      <c r="H165"/>
      <c r="I165"/>
      <c r="J165"/>
      <c r="K165"/>
      <c r="L165"/>
    </row>
    <row r="166" spans="2:12">
      <c r="B166"/>
      <c r="C166"/>
      <c r="D166"/>
      <c r="E166"/>
      <c r="F166"/>
      <c r="G166"/>
      <c r="H166"/>
      <c r="I166"/>
      <c r="J166"/>
      <c r="K166"/>
      <c r="L166"/>
    </row>
    <row r="167" spans="2:12">
      <c r="B167"/>
      <c r="C167"/>
      <c r="D167"/>
      <c r="E167"/>
      <c r="F167"/>
      <c r="G167"/>
      <c r="H167"/>
      <c r="I167"/>
      <c r="J167"/>
      <c r="K167"/>
      <c r="L167"/>
    </row>
    <row r="168" spans="2:12">
      <c r="B168"/>
      <c r="C168"/>
      <c r="D168"/>
      <c r="E168"/>
      <c r="F168"/>
      <c r="G168"/>
      <c r="H168"/>
      <c r="I168"/>
      <c r="J168"/>
      <c r="K168"/>
      <c r="L168"/>
    </row>
    <row r="169" spans="2:12">
      <c r="B169"/>
      <c r="C169"/>
      <c r="D169"/>
      <c r="E169"/>
      <c r="F169"/>
      <c r="G169"/>
      <c r="H169"/>
      <c r="I169"/>
      <c r="J169"/>
      <c r="K169"/>
      <c r="L169"/>
    </row>
    <row r="170" spans="2:12">
      <c r="B170"/>
      <c r="C170"/>
      <c r="D170"/>
      <c r="E170"/>
      <c r="F170"/>
      <c r="G170"/>
      <c r="H170"/>
      <c r="I170"/>
      <c r="J170"/>
      <c r="K170"/>
      <c r="L170"/>
    </row>
    <row r="171" spans="2:12">
      <c r="B171"/>
      <c r="C171"/>
      <c r="D171"/>
      <c r="E171"/>
      <c r="F171"/>
      <c r="G171"/>
      <c r="H171"/>
      <c r="I171"/>
      <c r="J171"/>
      <c r="K171"/>
      <c r="L171"/>
    </row>
  </sheetData>
  <pageMargins left="0.68" right="0.28999999999999998" top="0.48" bottom="0.62" header="0.36" footer="0.38"/>
  <pageSetup scale="64" orientation="landscape" r:id="rId1"/>
  <headerFooter alignWithMargins="0">
    <oddFooter>&amp;R&amp;P</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20"/>
  <sheetViews>
    <sheetView workbookViewId="0"/>
  </sheetViews>
  <sheetFormatPr defaultRowHeight="15.75"/>
  <cols>
    <col min="1" max="1" width="50" customWidth="1"/>
    <col min="2" max="2" width="15.75" style="27" customWidth="1"/>
    <col min="3" max="3" width="8.75" style="27" customWidth="1"/>
    <col min="4" max="4" width="15.75" style="27" customWidth="1"/>
    <col min="5" max="5" width="11" style="27" customWidth="1"/>
    <col min="6" max="6" width="15.75" style="27" customWidth="1"/>
    <col min="7" max="7" width="11" style="27" customWidth="1"/>
    <col min="8" max="8" width="15.75" style="27" customWidth="1"/>
    <col min="9" max="9" width="6.375" style="27" customWidth="1"/>
    <col min="10" max="10" width="15.75" style="27" customWidth="1"/>
    <col min="11" max="11" width="8.75" style="27" customWidth="1"/>
    <col min="12" max="12" width="15.75" style="27" customWidth="1"/>
    <col min="13" max="13" width="11.375" style="27" customWidth="1"/>
    <col min="14" max="14" width="15.75" style="27" customWidth="1"/>
    <col min="15" max="15" width="11" style="27" customWidth="1"/>
    <col min="16" max="16" width="15.75" style="27" customWidth="1"/>
    <col min="17" max="17" width="11" style="27" customWidth="1"/>
    <col min="18" max="18" width="15.75" style="27" customWidth="1"/>
    <col min="19" max="19" width="11" style="27" customWidth="1"/>
    <col min="20" max="20" width="17.125" style="27" customWidth="1"/>
    <col min="21" max="21" width="11.875" style="27" customWidth="1"/>
    <col min="22" max="256" width="11" customWidth="1"/>
  </cols>
  <sheetData>
    <row r="1" spans="1:22">
      <c r="A1" s="114" t="s">
        <v>653</v>
      </c>
      <c r="B1" s="40"/>
      <c r="C1" s="40"/>
      <c r="D1" s="40"/>
      <c r="E1" s="40"/>
      <c r="F1" s="40"/>
      <c r="G1" s="40"/>
      <c r="H1" s="40"/>
      <c r="I1" s="40"/>
      <c r="J1" s="40"/>
      <c r="K1" s="40"/>
      <c r="L1" s="40"/>
      <c r="M1" s="40"/>
      <c r="N1" s="40"/>
      <c r="O1" s="40"/>
      <c r="P1" s="40"/>
      <c r="Q1" s="40"/>
      <c r="R1" s="40"/>
      <c r="S1" s="40"/>
      <c r="T1" s="40"/>
    </row>
    <row r="2" spans="1:22">
      <c r="A2" s="114" t="s">
        <v>365</v>
      </c>
      <c r="B2" s="40"/>
      <c r="C2" s="40"/>
      <c r="D2" s="40"/>
      <c r="E2" s="40"/>
      <c r="F2" s="40"/>
      <c r="G2" s="40"/>
      <c r="H2" s="40"/>
      <c r="I2" s="40"/>
      <c r="J2" s="40"/>
      <c r="K2" s="40"/>
      <c r="L2" s="40"/>
      <c r="M2" s="40"/>
      <c r="N2" s="40"/>
      <c r="O2" s="40"/>
      <c r="P2" s="40"/>
      <c r="Q2" s="40"/>
      <c r="R2" s="40"/>
      <c r="S2" s="40"/>
      <c r="T2" s="40"/>
    </row>
    <row r="3" spans="1:22">
      <c r="A3" s="114" t="s">
        <v>531</v>
      </c>
      <c r="B3" s="40"/>
      <c r="C3" s="40"/>
      <c r="D3" s="40"/>
      <c r="E3" s="40"/>
      <c r="F3" s="40"/>
      <c r="G3" s="40"/>
      <c r="H3" s="40"/>
      <c r="I3" s="40"/>
      <c r="J3" s="40"/>
      <c r="K3" s="40"/>
      <c r="L3" s="40"/>
      <c r="M3" s="40"/>
      <c r="N3" s="40"/>
      <c r="O3" s="40"/>
      <c r="P3" s="40"/>
      <c r="Q3" s="40"/>
      <c r="R3" s="40"/>
      <c r="S3" s="40"/>
      <c r="T3" s="40"/>
    </row>
    <row r="4" spans="1:22">
      <c r="A4" s="114" t="s">
        <v>179</v>
      </c>
      <c r="B4" s="40"/>
      <c r="C4" s="40"/>
      <c r="D4" s="40"/>
      <c r="E4" s="40"/>
      <c r="F4" s="40"/>
      <c r="G4" s="40"/>
      <c r="H4" s="40"/>
      <c r="I4" s="40"/>
      <c r="J4" s="40"/>
      <c r="K4" s="40"/>
      <c r="L4" s="40"/>
      <c r="M4" s="40"/>
      <c r="N4" s="40"/>
      <c r="O4" s="40"/>
      <c r="P4" s="40"/>
      <c r="Q4" s="40"/>
      <c r="R4" s="40"/>
      <c r="S4" s="40"/>
      <c r="T4" s="40"/>
    </row>
    <row r="6" spans="1:22" s="2" customFormat="1" ht="16.5" thickBot="1">
      <c r="B6" s="377" t="s">
        <v>185</v>
      </c>
      <c r="C6" s="399"/>
      <c r="D6" s="400"/>
      <c r="E6" s="399"/>
      <c r="F6" s="400"/>
      <c r="G6" s="399"/>
      <c r="H6" s="400"/>
      <c r="I6" s="401"/>
      <c r="J6" s="377" t="s">
        <v>174</v>
      </c>
      <c r="K6" s="399"/>
      <c r="L6" s="400"/>
      <c r="M6" s="399"/>
      <c r="N6" s="400"/>
      <c r="O6" s="399"/>
      <c r="P6" s="400"/>
      <c r="Q6" s="146"/>
      <c r="R6" s="146"/>
      <c r="S6" s="146"/>
      <c r="T6" s="146"/>
      <c r="U6" s="146"/>
    </row>
    <row r="7" spans="1:22" ht="16.5" thickBot="1">
      <c r="B7" s="237" t="s">
        <v>186</v>
      </c>
      <c r="C7" s="237" t="s">
        <v>169</v>
      </c>
      <c r="D7" s="237" t="s">
        <v>187</v>
      </c>
      <c r="E7" s="237" t="s">
        <v>169</v>
      </c>
      <c r="F7" s="237" t="s">
        <v>188</v>
      </c>
      <c r="G7" s="237" t="s">
        <v>169</v>
      </c>
      <c r="H7" s="237" t="s">
        <v>189</v>
      </c>
      <c r="I7" s="22"/>
      <c r="J7" s="237" t="s">
        <v>186</v>
      </c>
      <c r="K7" s="237" t="s">
        <v>169</v>
      </c>
      <c r="L7" s="237" t="s">
        <v>187</v>
      </c>
      <c r="M7" s="237" t="s">
        <v>169</v>
      </c>
      <c r="N7" s="237" t="s">
        <v>188</v>
      </c>
      <c r="O7" s="237" t="s">
        <v>169</v>
      </c>
      <c r="P7" s="237" t="s">
        <v>189</v>
      </c>
      <c r="Q7" s="28"/>
      <c r="R7" s="28"/>
      <c r="S7" s="28"/>
      <c r="T7" s="28"/>
      <c r="U7" s="28"/>
      <c r="V7" s="9"/>
    </row>
    <row r="8" spans="1:22">
      <c r="A8" t="s">
        <v>328</v>
      </c>
      <c r="B8" s="29" t="s">
        <v>0</v>
      </c>
    </row>
    <row r="9" spans="1:22">
      <c r="A9" t="s">
        <v>329</v>
      </c>
      <c r="B9" s="16" t="s">
        <v>0</v>
      </c>
      <c r="C9" s="44" t="s">
        <v>0</v>
      </c>
      <c r="D9" s="29" t="s">
        <v>0</v>
      </c>
      <c r="E9" s="44" t="s">
        <v>0</v>
      </c>
      <c r="F9" s="29" t="s">
        <v>0</v>
      </c>
      <c r="G9" s="44" t="s">
        <v>0</v>
      </c>
      <c r="H9" s="29" t="s">
        <v>0</v>
      </c>
      <c r="I9" s="29" t="s">
        <v>0</v>
      </c>
      <c r="J9" s="16" t="s">
        <v>0</v>
      </c>
      <c r="K9" s="47" t="s">
        <v>0</v>
      </c>
      <c r="L9" s="16" t="s">
        <v>0</v>
      </c>
      <c r="M9" s="47" t="s">
        <v>0</v>
      </c>
      <c r="N9" s="16" t="s">
        <v>0</v>
      </c>
      <c r="O9" s="47" t="s">
        <v>0</v>
      </c>
      <c r="P9" s="16" t="s">
        <v>0</v>
      </c>
    </row>
    <row r="10" spans="1:22">
      <c r="A10" t="s">
        <v>552</v>
      </c>
      <c r="B10" s="12">
        <f>+B50</f>
        <v>58320.7</v>
      </c>
      <c r="C10" s="43">
        <v>0</v>
      </c>
      <c r="D10" s="12">
        <f>+F50</f>
        <v>0</v>
      </c>
      <c r="E10" s="43">
        <v>0</v>
      </c>
      <c r="F10" s="12">
        <f>+J50</f>
        <v>0</v>
      </c>
      <c r="G10" s="43">
        <v>0</v>
      </c>
      <c r="H10" s="12">
        <f>+N50</f>
        <v>0</v>
      </c>
      <c r="J10" s="12">
        <f>+D50</f>
        <v>55663.8</v>
      </c>
      <c r="K10" s="46">
        <f t="shared" ref="K10:K15" si="0">+(-J10+L10)/ABS(J10)</f>
        <v>-6.7490900729019629E-2</v>
      </c>
      <c r="L10" s="12">
        <f>+H50</f>
        <v>51907</v>
      </c>
      <c r="M10" s="46">
        <f t="shared" ref="M10:M15" si="1">+(-L10+N10)/ABS(L10)</f>
        <v>1.6506444217542968E-2</v>
      </c>
      <c r="N10" s="12">
        <f>+L50</f>
        <v>52763.8</v>
      </c>
      <c r="O10" s="46">
        <f t="shared" ref="O10:O15" si="2">+(-N10+P10)/ABS(N10)</f>
        <v>4.5885626130036092E-2</v>
      </c>
      <c r="P10" s="12">
        <f>+P50</f>
        <v>55184.9</v>
      </c>
    </row>
    <row r="11" spans="1:22">
      <c r="A11" t="s">
        <v>553</v>
      </c>
      <c r="B11" s="12">
        <f>+B51</f>
        <v>8941.9</v>
      </c>
      <c r="C11" s="43">
        <v>0</v>
      </c>
      <c r="D11" s="12">
        <f>+F51</f>
        <v>0</v>
      </c>
      <c r="E11" s="43">
        <v>0</v>
      </c>
      <c r="F11" s="12">
        <f>+J51</f>
        <v>0</v>
      </c>
      <c r="G11" s="43">
        <v>0</v>
      </c>
      <c r="H11" s="12">
        <f>+N51</f>
        <v>0</v>
      </c>
      <c r="J11" s="12">
        <f>+D51</f>
        <v>8362.5</v>
      </c>
      <c r="K11" s="46">
        <f t="shared" si="0"/>
        <v>-0.6441853512705531</v>
      </c>
      <c r="L11" s="12">
        <f>+H51</f>
        <v>2975.5</v>
      </c>
      <c r="M11" s="46">
        <f t="shared" si="1"/>
        <v>0.20762896992102173</v>
      </c>
      <c r="N11" s="12">
        <f>+L51</f>
        <v>3593.3</v>
      </c>
      <c r="O11" s="46">
        <f t="shared" si="2"/>
        <v>6.2115604040853756E-2</v>
      </c>
      <c r="P11" s="12">
        <f>+P51</f>
        <v>3816.5</v>
      </c>
    </row>
    <row r="12" spans="1:22">
      <c r="A12" t="s">
        <v>332</v>
      </c>
      <c r="B12" s="240">
        <f>+B52</f>
        <v>8294.2999999999993</v>
      </c>
      <c r="C12" s="43">
        <v>0</v>
      </c>
      <c r="D12" s="240">
        <f>+F52</f>
        <v>0</v>
      </c>
      <c r="E12" s="43">
        <v>0</v>
      </c>
      <c r="F12" s="240">
        <f>+J52</f>
        <v>0</v>
      </c>
      <c r="G12" s="43">
        <v>0</v>
      </c>
      <c r="H12" s="240">
        <f>+N52</f>
        <v>0</v>
      </c>
      <c r="J12" s="221">
        <f>+D52</f>
        <v>7454.0999999999995</v>
      </c>
      <c r="K12" s="46">
        <f t="shared" si="0"/>
        <v>1.8808440992205609E-2</v>
      </c>
      <c r="L12" s="221">
        <f>+H52</f>
        <v>7594.2999999999993</v>
      </c>
      <c r="M12" s="46">
        <f t="shared" si="1"/>
        <v>0.29020449547687105</v>
      </c>
      <c r="N12" s="221">
        <f>+L52</f>
        <v>9798.2000000000007</v>
      </c>
      <c r="O12" s="46">
        <f t="shared" si="2"/>
        <v>-0.17284807413606593</v>
      </c>
      <c r="P12" s="221">
        <f>+P52</f>
        <v>8104.5999999999995</v>
      </c>
    </row>
    <row r="13" spans="1:22">
      <c r="B13" s="12">
        <f>SUM(B10:B12)</f>
        <v>75556.899999999994</v>
      </c>
      <c r="C13" s="43">
        <v>0</v>
      </c>
      <c r="D13" s="12">
        <f>SUM(D10:D12)</f>
        <v>0</v>
      </c>
      <c r="E13" s="43">
        <v>0</v>
      </c>
      <c r="F13" s="12">
        <f>SUM(F10:F12)</f>
        <v>0</v>
      </c>
      <c r="G13" s="43">
        <v>0</v>
      </c>
      <c r="H13" s="12">
        <f>SUM(H10:H12)</f>
        <v>0</v>
      </c>
      <c r="J13" s="12">
        <f>SUM(J10:J12)</f>
        <v>71480.400000000009</v>
      </c>
      <c r="K13" s="46">
        <f t="shared" si="0"/>
        <v>-0.12595900414659131</v>
      </c>
      <c r="L13" s="12">
        <f>SUM(L10:L12)</f>
        <v>62476.800000000003</v>
      </c>
      <c r="M13" s="46">
        <f t="shared" si="1"/>
        <v>5.8877855459946726E-2</v>
      </c>
      <c r="N13" s="12">
        <f>SUM(N10:N12)</f>
        <v>66155.3</v>
      </c>
      <c r="O13" s="46">
        <f t="shared" si="2"/>
        <v>1.4370730689755726E-2</v>
      </c>
      <c r="P13" s="12">
        <f>SUM(P10:P12)</f>
        <v>67106</v>
      </c>
    </row>
    <row r="14" spans="1:22">
      <c r="A14" t="s">
        <v>333</v>
      </c>
      <c r="B14" s="240">
        <f>+B54</f>
        <v>21807.200000000001</v>
      </c>
      <c r="C14" s="43">
        <v>0</v>
      </c>
      <c r="D14" s="240">
        <f>+F54</f>
        <v>0</v>
      </c>
      <c r="E14" s="43">
        <v>0</v>
      </c>
      <c r="F14" s="240">
        <f>+J54</f>
        <v>0</v>
      </c>
      <c r="G14" s="43">
        <v>0</v>
      </c>
      <c r="H14" s="240">
        <f>+N54</f>
        <v>0</v>
      </c>
      <c r="J14" s="240">
        <f>+D54</f>
        <v>34211.5</v>
      </c>
      <c r="K14" s="46">
        <f t="shared" si="0"/>
        <v>-0.29907194949066834</v>
      </c>
      <c r="L14" s="240">
        <f>+H54</f>
        <v>23979.8</v>
      </c>
      <c r="M14" s="46">
        <f t="shared" si="1"/>
        <v>-0.18191144213045984</v>
      </c>
      <c r="N14" s="240">
        <f>+L54</f>
        <v>19617.599999999999</v>
      </c>
      <c r="O14" s="46">
        <f t="shared" si="2"/>
        <v>-0.19250570915912235</v>
      </c>
      <c r="P14" s="240">
        <f>+P54</f>
        <v>15841.1</v>
      </c>
    </row>
    <row r="15" spans="1:22">
      <c r="B15" s="12">
        <f>+B13-B14</f>
        <v>53749.7</v>
      </c>
      <c r="C15" s="43">
        <v>0</v>
      </c>
      <c r="D15" s="12">
        <f>+D13-D14</f>
        <v>0</v>
      </c>
      <c r="E15" s="43">
        <v>0</v>
      </c>
      <c r="F15" s="12">
        <f>+F13-F14</f>
        <v>0</v>
      </c>
      <c r="G15" s="43">
        <v>0</v>
      </c>
      <c r="H15" s="12">
        <f>+H13-H14</f>
        <v>0</v>
      </c>
      <c r="J15" s="12">
        <f>+J13-J14</f>
        <v>37268.900000000009</v>
      </c>
      <c r="K15" s="46">
        <f t="shared" si="0"/>
        <v>3.2952408039947277E-2</v>
      </c>
      <c r="L15" s="12">
        <f>+L13-L14</f>
        <v>38497</v>
      </c>
      <c r="M15" s="46">
        <f t="shared" si="1"/>
        <v>0.20886562589292684</v>
      </c>
      <c r="N15" s="12">
        <f>+N13-N14</f>
        <v>46537.700000000004</v>
      </c>
      <c r="O15" s="46">
        <f t="shared" si="2"/>
        <v>0.10157786053027967</v>
      </c>
      <c r="P15" s="12">
        <f>+P13-P14</f>
        <v>51264.9</v>
      </c>
    </row>
    <row r="16" spans="1:22" ht="9" customHeight="1">
      <c r="B16" s="12"/>
      <c r="C16" s="44" t="s">
        <v>0</v>
      </c>
      <c r="E16" s="44" t="s">
        <v>0</v>
      </c>
      <c r="G16" s="44" t="s">
        <v>0</v>
      </c>
      <c r="H16" s="12"/>
      <c r="J16" s="12"/>
      <c r="K16" s="46"/>
      <c r="L16" s="12"/>
      <c r="M16" s="46"/>
      <c r="N16" s="12"/>
      <c r="O16" s="46"/>
      <c r="P16" s="12"/>
    </row>
    <row r="17" spans="1:16">
      <c r="A17" t="s">
        <v>334</v>
      </c>
      <c r="B17" s="12"/>
      <c r="C17" s="44" t="s">
        <v>0</v>
      </c>
      <c r="E17" s="44" t="s">
        <v>0</v>
      </c>
      <c r="G17" s="44" t="s">
        <v>0</v>
      </c>
      <c r="H17" s="12"/>
      <c r="J17" s="12"/>
      <c r="K17" s="46"/>
      <c r="L17" s="12"/>
      <c r="M17" s="46"/>
      <c r="N17" s="12"/>
      <c r="O17" s="47" t="s">
        <v>0</v>
      </c>
      <c r="P17" s="12"/>
    </row>
    <row r="18" spans="1:16">
      <c r="A18" t="s">
        <v>335</v>
      </c>
      <c r="B18" s="12">
        <f>+B58</f>
        <v>9752.7999999999993</v>
      </c>
      <c r="C18" s="43">
        <v>0</v>
      </c>
      <c r="D18" s="12">
        <f>+F58</f>
        <v>0</v>
      </c>
      <c r="E18" s="43">
        <v>0</v>
      </c>
      <c r="F18" s="12">
        <f>+J58</f>
        <v>0</v>
      </c>
      <c r="G18" s="43">
        <v>0</v>
      </c>
      <c r="H18" s="12">
        <f>+N58</f>
        <v>0</v>
      </c>
      <c r="J18" s="12">
        <f>+D58</f>
        <v>6906.0999999999995</v>
      </c>
      <c r="K18" s="46">
        <f>+(-J18+L18)/ABS(J18)</f>
        <v>0.14242481284661393</v>
      </c>
      <c r="L18" s="12">
        <f>+H58</f>
        <v>7889.7</v>
      </c>
      <c r="M18" s="46">
        <f>+(-L18+N18)/ABS(L18)</f>
        <v>9.9801006375400916E-2</v>
      </c>
      <c r="N18" s="12">
        <f>+L58</f>
        <v>8677.1</v>
      </c>
      <c r="O18" s="46">
        <f>+(-N18+P18)/ABS(N18)</f>
        <v>0.12809579237302784</v>
      </c>
      <c r="P18" s="12">
        <f>+P58</f>
        <v>9788.6</v>
      </c>
    </row>
    <row r="19" spans="1:16">
      <c r="A19" t="s">
        <v>336</v>
      </c>
      <c r="B19" s="12">
        <f>+B59</f>
        <v>16839.400000000001</v>
      </c>
      <c r="C19" s="43">
        <v>0</v>
      </c>
      <c r="D19" s="12">
        <f>+F59</f>
        <v>0</v>
      </c>
      <c r="E19" s="43">
        <v>0</v>
      </c>
      <c r="F19" s="12">
        <f>+J59</f>
        <v>0</v>
      </c>
      <c r="G19" s="43">
        <v>0</v>
      </c>
      <c r="H19" s="12">
        <f>+N59</f>
        <v>0</v>
      </c>
      <c r="J19" s="12">
        <f>+D59</f>
        <v>9870.2000000000007</v>
      </c>
      <c r="K19" s="46">
        <f>+(-J19+L19)/ABS(J19)</f>
        <v>-3.1215172944823847E-2</v>
      </c>
      <c r="L19" s="12">
        <f>+H59</f>
        <v>9562.1</v>
      </c>
      <c r="M19" s="46">
        <f>+(-L19+N19)/ABS(L19)</f>
        <v>-0.10522793110300027</v>
      </c>
      <c r="N19" s="12">
        <f>+L59</f>
        <v>8555.9000000000015</v>
      </c>
      <c r="O19" s="46">
        <f>+(-N19+P19)/ABS(N19)</f>
        <v>0.46508257459764585</v>
      </c>
      <c r="P19" s="12">
        <f>+P59</f>
        <v>12535.1</v>
      </c>
    </row>
    <row r="20" spans="1:16">
      <c r="A20" t="s">
        <v>284</v>
      </c>
      <c r="B20" s="240">
        <f>+B60</f>
        <v>1028.3</v>
      </c>
      <c r="C20" s="43">
        <v>0</v>
      </c>
      <c r="D20" s="240">
        <f>+F60</f>
        <v>0</v>
      </c>
      <c r="E20" s="43">
        <v>0</v>
      </c>
      <c r="F20" s="240">
        <f>+J60</f>
        <v>0</v>
      </c>
      <c r="G20" s="43">
        <v>0</v>
      </c>
      <c r="H20" s="240">
        <f>+N60</f>
        <v>0</v>
      </c>
      <c r="J20" s="240">
        <f>+D60</f>
        <v>35.5</v>
      </c>
      <c r="K20" s="46">
        <f>+(-J20+L20)/ABS(J20)</f>
        <v>5.4281690140845065</v>
      </c>
      <c r="L20" s="240">
        <f>+H60</f>
        <v>228.2</v>
      </c>
      <c r="M20" s="46">
        <f>+(-L20+N20)/ABS(L20)</f>
        <v>2.0994741454864152</v>
      </c>
      <c r="N20" s="240">
        <f>+L60</f>
        <v>707.3</v>
      </c>
      <c r="O20" s="46">
        <f>+(-N20+P20)/ABS(N20)</f>
        <v>0.83839954757528634</v>
      </c>
      <c r="P20" s="240">
        <f>+P60</f>
        <v>1300.3</v>
      </c>
    </row>
    <row r="21" spans="1:16">
      <c r="B21" s="12">
        <f>SUM(B18:B20)</f>
        <v>27620.5</v>
      </c>
      <c r="C21" s="43">
        <v>0</v>
      </c>
      <c r="D21" s="12">
        <f>SUM(D18:D20)</f>
        <v>0</v>
      </c>
      <c r="E21" s="43">
        <v>0</v>
      </c>
      <c r="F21" s="12">
        <f>SUM(F18:F20)</f>
        <v>0</v>
      </c>
      <c r="G21" s="43">
        <v>0</v>
      </c>
      <c r="H21" s="12">
        <f>SUM(H18:H20)</f>
        <v>0</v>
      </c>
      <c r="J21" s="12">
        <f>SUM(J18:J20)</f>
        <v>16811.8</v>
      </c>
      <c r="K21" s="46">
        <f>+(-J21+L21)/ABS(J21)</f>
        <v>5.1642298861513981E-2</v>
      </c>
      <c r="L21" s="12">
        <f>SUM(L18:L20)</f>
        <v>17680</v>
      </c>
      <c r="M21" s="46">
        <f>+(-L21+N21)/ABS(L21)</f>
        <v>1.4722850678732991E-2</v>
      </c>
      <c r="N21" s="12">
        <f>SUM(N18:N20)</f>
        <v>17940.3</v>
      </c>
      <c r="O21" s="46">
        <f>+(-N21+P21)/ABS(N21)</f>
        <v>0.31681187048154164</v>
      </c>
      <c r="P21" s="12">
        <f>SUM(P18:P20)</f>
        <v>23624</v>
      </c>
    </row>
    <row r="22" spans="1:16">
      <c r="B22" s="240"/>
      <c r="C22" s="44" t="s">
        <v>0</v>
      </c>
      <c r="D22" s="240"/>
      <c r="E22" s="44" t="s">
        <v>0</v>
      </c>
      <c r="F22" s="379"/>
      <c r="G22" s="44" t="s">
        <v>0</v>
      </c>
      <c r="H22" s="240"/>
      <c r="J22" s="240"/>
      <c r="K22" s="46"/>
      <c r="L22" s="240"/>
      <c r="M22" s="46"/>
      <c r="N22" s="240"/>
      <c r="O22" s="46"/>
      <c r="P22" s="240"/>
    </row>
    <row r="23" spans="1:16">
      <c r="A23" t="s">
        <v>337</v>
      </c>
      <c r="B23" s="12">
        <f>+B15+B21</f>
        <v>81370.2</v>
      </c>
      <c r="C23" s="43">
        <v>0</v>
      </c>
      <c r="D23" s="12">
        <f>+D15+D21</f>
        <v>0</v>
      </c>
      <c r="E23" s="43">
        <v>0</v>
      </c>
      <c r="F23" s="12">
        <f>+F15+F21</f>
        <v>0</v>
      </c>
      <c r="G23" s="43">
        <v>0</v>
      </c>
      <c r="H23" s="12">
        <f>+H15+H21</f>
        <v>0</v>
      </c>
      <c r="J23" s="12">
        <f>+J15+J21</f>
        <v>54080.700000000012</v>
      </c>
      <c r="K23" s="46">
        <f>+(-J23+L23)/ABS(J23)</f>
        <v>3.8762442054189161E-2</v>
      </c>
      <c r="L23" s="12">
        <f>+L15+L21</f>
        <v>56177</v>
      </c>
      <c r="M23" s="46">
        <f>+(-L23+N23)/ABS(L23)</f>
        <v>0.14776509959592005</v>
      </c>
      <c r="N23" s="12">
        <f>+N15+N21</f>
        <v>64478</v>
      </c>
      <c r="O23" s="46">
        <f>+(-N23+P23)/ABS(N23)</f>
        <v>0.16146437544588843</v>
      </c>
      <c r="P23" s="12">
        <f>+P15+P21</f>
        <v>74888.899999999994</v>
      </c>
    </row>
    <row r="24" spans="1:16">
      <c r="B24" s="12"/>
      <c r="C24" s="44" t="s">
        <v>0</v>
      </c>
      <c r="E24" s="44" t="s">
        <v>0</v>
      </c>
      <c r="G24" s="44" t="s">
        <v>0</v>
      </c>
      <c r="H24" s="12"/>
      <c r="J24" s="12"/>
      <c r="K24" s="46"/>
      <c r="L24" s="12"/>
      <c r="M24" s="46"/>
      <c r="N24" s="12"/>
      <c r="O24" s="46"/>
      <c r="P24" s="12"/>
    </row>
    <row r="25" spans="1:16">
      <c r="A25" t="s">
        <v>658</v>
      </c>
      <c r="B25" s="12">
        <f>+B65</f>
        <v>4350</v>
      </c>
      <c r="C25" s="43">
        <v>0</v>
      </c>
      <c r="D25" s="12">
        <f>+F65</f>
        <v>0</v>
      </c>
      <c r="E25" s="43">
        <v>0</v>
      </c>
      <c r="F25" s="12">
        <f>+J65</f>
        <v>0</v>
      </c>
      <c r="G25" s="43">
        <v>0</v>
      </c>
      <c r="H25" s="12">
        <f>+N65</f>
        <v>0</v>
      </c>
      <c r="J25" s="12">
        <f>+D65</f>
        <v>1150</v>
      </c>
      <c r="K25" s="46">
        <f>+(-J25+L25)/ABS(J25)</f>
        <v>1.9843478260869565</v>
      </c>
      <c r="L25" s="12">
        <f>+H65</f>
        <v>3432</v>
      </c>
      <c r="M25" s="46">
        <f>+(-L25+N25)/ABS(L25)</f>
        <v>0</v>
      </c>
      <c r="N25" s="12">
        <f>+L65</f>
        <v>3432</v>
      </c>
      <c r="O25" s="46">
        <f>+(-N25+P25)/ABS(N25)</f>
        <v>0</v>
      </c>
      <c r="P25" s="12">
        <f>+P65</f>
        <v>3432</v>
      </c>
    </row>
    <row r="26" spans="1:16">
      <c r="B26" s="12"/>
      <c r="C26" s="44" t="s">
        <v>0</v>
      </c>
      <c r="E26" s="44" t="s">
        <v>0</v>
      </c>
      <c r="G26" s="44" t="s">
        <v>0</v>
      </c>
      <c r="H26" s="12"/>
      <c r="J26" s="12"/>
      <c r="K26" s="46"/>
      <c r="L26" s="12"/>
      <c r="M26" s="46"/>
      <c r="N26" s="12"/>
      <c r="O26" s="46"/>
      <c r="P26" s="12"/>
    </row>
    <row r="27" spans="1:16">
      <c r="A27" t="s">
        <v>339</v>
      </c>
      <c r="B27" s="240"/>
      <c r="C27" s="44" t="s">
        <v>0</v>
      </c>
      <c r="D27" s="379"/>
      <c r="E27" s="44" t="s">
        <v>0</v>
      </c>
      <c r="F27" s="379"/>
      <c r="G27" s="44" t="s">
        <v>0</v>
      </c>
      <c r="H27" s="240"/>
      <c r="J27" s="240"/>
      <c r="K27" s="46"/>
      <c r="L27" s="240"/>
      <c r="M27" s="46"/>
      <c r="N27" s="240"/>
      <c r="O27" s="46"/>
      <c r="P27" s="240"/>
    </row>
    <row r="28" spans="1:16">
      <c r="A28" t="s">
        <v>340</v>
      </c>
      <c r="B28" s="12">
        <f>+B23-B25</f>
        <v>77020.2</v>
      </c>
      <c r="C28" s="43">
        <v>0</v>
      </c>
      <c r="D28" s="12">
        <f>+D23-D25</f>
        <v>0</v>
      </c>
      <c r="E28" s="43">
        <v>0</v>
      </c>
      <c r="F28" s="12">
        <f>+F23-F25</f>
        <v>0</v>
      </c>
      <c r="G28" s="43">
        <v>0</v>
      </c>
      <c r="H28" s="12">
        <f>+H23-H25</f>
        <v>0</v>
      </c>
      <c r="J28" s="12">
        <f>+J23-J25</f>
        <v>52930.700000000012</v>
      </c>
      <c r="K28" s="46">
        <f>+(-J28+L28)/ABS(J28)</f>
        <v>-3.5083609323136025E-3</v>
      </c>
      <c r="L28" s="12">
        <f>+L23-L25</f>
        <v>52745</v>
      </c>
      <c r="M28" s="46">
        <f>+(-L28+N28)/ABS(L28)</f>
        <v>0.15737984643094133</v>
      </c>
      <c r="N28" s="12">
        <f>+N23-N25</f>
        <v>61046</v>
      </c>
      <c r="O28" s="46">
        <f>+(-N28+P28)/ABS(N28)</f>
        <v>0.17054188644628632</v>
      </c>
      <c r="P28" s="12">
        <f>+P23-P25</f>
        <v>71456.899999999994</v>
      </c>
    </row>
    <row r="29" spans="1:16">
      <c r="B29" s="12"/>
      <c r="C29" s="44" t="s">
        <v>0</v>
      </c>
      <c r="E29" s="44" t="s">
        <v>0</v>
      </c>
      <c r="G29" s="44" t="s">
        <v>0</v>
      </c>
      <c r="H29" s="12"/>
      <c r="J29" s="12"/>
      <c r="K29" s="46"/>
      <c r="L29" s="12"/>
      <c r="M29" s="46"/>
      <c r="N29" s="12"/>
      <c r="O29" s="46"/>
      <c r="P29" s="12"/>
    </row>
    <row r="30" spans="1:16">
      <c r="A30" t="s">
        <v>341</v>
      </c>
      <c r="B30" s="12"/>
      <c r="C30" s="44" t="s">
        <v>0</v>
      </c>
      <c r="E30" s="44" t="s">
        <v>0</v>
      </c>
      <c r="G30" s="44" t="s">
        <v>0</v>
      </c>
      <c r="H30" s="12"/>
      <c r="J30" s="12"/>
      <c r="K30" s="46"/>
      <c r="L30" s="12"/>
      <c r="M30" s="46"/>
      <c r="N30" s="12"/>
      <c r="O30" s="46"/>
      <c r="P30" s="12"/>
    </row>
    <row r="31" spans="1:16">
      <c r="A31" t="s">
        <v>342</v>
      </c>
      <c r="B31" s="12">
        <f>+B71</f>
        <v>26150.799999999999</v>
      </c>
      <c r="C31" s="43">
        <v>0</v>
      </c>
      <c r="D31" s="12">
        <f>+F71</f>
        <v>0</v>
      </c>
      <c r="E31" s="43">
        <v>0</v>
      </c>
      <c r="F31" s="12">
        <f>+J71</f>
        <v>0</v>
      </c>
      <c r="G31" s="43">
        <v>0</v>
      </c>
      <c r="H31" s="12">
        <f>+N71</f>
        <v>0</v>
      </c>
      <c r="J31" s="12">
        <f>+D71</f>
        <v>17914.599999999999</v>
      </c>
      <c r="K31" s="46">
        <f>+(-J31+L31)/ABS(J31)</f>
        <v>0.11841179819811791</v>
      </c>
      <c r="L31" s="12">
        <f>+H71</f>
        <v>20035.900000000001</v>
      </c>
      <c r="M31" s="46">
        <f>+(-L31+N31)/ABS(L31)</f>
        <v>1.0481186270644193E-3</v>
      </c>
      <c r="N31" s="12">
        <f>+L71</f>
        <v>20056.900000000001</v>
      </c>
      <c r="O31" s="46">
        <f>+(-N31+P31)/ABS(N31)</f>
        <v>8.2350712223723352E-2</v>
      </c>
      <c r="P31" s="12">
        <f>+P71</f>
        <v>21708.6</v>
      </c>
    </row>
    <row r="32" spans="1:16">
      <c r="A32" t="s">
        <v>343</v>
      </c>
      <c r="B32" s="12">
        <f>+B72</f>
        <v>2490.1999999999998</v>
      </c>
      <c r="C32" s="43">
        <v>0</v>
      </c>
      <c r="D32" s="12">
        <f>+F72</f>
        <v>0</v>
      </c>
      <c r="E32" s="43">
        <v>0</v>
      </c>
      <c r="F32" s="12">
        <f>+J72</f>
        <v>0</v>
      </c>
      <c r="G32" s="43">
        <v>0</v>
      </c>
      <c r="H32" s="12">
        <f>+N72</f>
        <v>0</v>
      </c>
      <c r="J32" s="12">
        <f>+D72</f>
        <v>2062.6</v>
      </c>
      <c r="K32" s="46">
        <f>+(-J32+L32)/ABS(J32)</f>
        <v>0.20435372830408224</v>
      </c>
      <c r="L32" s="12">
        <f>+H72</f>
        <v>2484.1</v>
      </c>
      <c r="M32" s="46">
        <f>+(-L32+N32)/ABS(L32)</f>
        <v>-2.8179219838163447E-4</v>
      </c>
      <c r="N32" s="12">
        <f>+L72</f>
        <v>2483.4</v>
      </c>
      <c r="O32" s="46">
        <f>+(-N32+P32)/ABS(N32)</f>
        <v>-0.1581702504630749</v>
      </c>
      <c r="P32" s="12">
        <f>+P72</f>
        <v>2090.6</v>
      </c>
    </row>
    <row r="33" spans="1:22">
      <c r="A33" t="s">
        <v>344</v>
      </c>
      <c r="B33" s="12">
        <f>+B73</f>
        <v>7628.3</v>
      </c>
      <c r="C33" s="43">
        <v>0</v>
      </c>
      <c r="D33" s="12">
        <f>+F73</f>
        <v>0</v>
      </c>
      <c r="E33" s="43">
        <v>0</v>
      </c>
      <c r="F33" s="12">
        <f>+J73</f>
        <v>0</v>
      </c>
      <c r="G33" s="43">
        <v>0</v>
      </c>
      <c r="H33" s="12">
        <f>+N73</f>
        <v>0</v>
      </c>
      <c r="J33" s="12">
        <f>+D73</f>
        <v>5052.1000000000004</v>
      </c>
      <c r="K33" s="46">
        <f>+(-J33+L33)/ABS(J33)</f>
        <v>0.22394647770234152</v>
      </c>
      <c r="L33" s="12">
        <f>+H73</f>
        <v>6183.5</v>
      </c>
      <c r="M33" s="46">
        <f>+(-L33+N33)/ABS(L33)</f>
        <v>0.14708498423223093</v>
      </c>
      <c r="N33" s="12">
        <f>+L73</f>
        <v>7093</v>
      </c>
      <c r="O33" s="46">
        <f>+(-N33+P33)/ABS(N33)</f>
        <v>6.2159875934019532E-2</v>
      </c>
      <c r="P33" s="12">
        <f>+P73</f>
        <v>7533.9000000000005</v>
      </c>
    </row>
    <row r="34" spans="1:22">
      <c r="A34" t="s">
        <v>345</v>
      </c>
      <c r="B34" s="240">
        <f>+B74</f>
        <v>24206.1</v>
      </c>
      <c r="C34" s="43">
        <v>0</v>
      </c>
      <c r="D34" s="240">
        <f>+F74</f>
        <v>0</v>
      </c>
      <c r="E34" s="43">
        <v>0</v>
      </c>
      <c r="F34" s="240">
        <f>+J74</f>
        <v>0</v>
      </c>
      <c r="G34" s="43">
        <v>0</v>
      </c>
      <c r="H34" s="240">
        <f>+N74</f>
        <v>0</v>
      </c>
      <c r="J34" s="240">
        <f>+D74</f>
        <v>16833</v>
      </c>
      <c r="K34" s="46">
        <f>+(-J34+L34)/ABS(J34)</f>
        <v>0.21033089764153745</v>
      </c>
      <c r="L34" s="240">
        <f>+H74</f>
        <v>20373.5</v>
      </c>
      <c r="M34" s="46">
        <f>+(-L34+N34)/ABS(L34)</f>
        <v>-1.5314010847424351E-2</v>
      </c>
      <c r="N34" s="240">
        <f>+L74</f>
        <v>20061.5</v>
      </c>
      <c r="O34" s="46">
        <f>+(-N34+P34)/ABS(N34)</f>
        <v>0.15334346883333744</v>
      </c>
      <c r="P34" s="240">
        <f>+P74</f>
        <v>23137.8</v>
      </c>
    </row>
    <row r="35" spans="1:22">
      <c r="B35" s="12">
        <f>SUM(B31:B34)</f>
        <v>60475.4</v>
      </c>
      <c r="C35" s="43">
        <v>0</v>
      </c>
      <c r="D35" s="12">
        <f>SUM(D31:D34)</f>
        <v>0</v>
      </c>
      <c r="E35" s="43">
        <v>0</v>
      </c>
      <c r="F35" s="12">
        <f>SUM(F31:F34)</f>
        <v>0</v>
      </c>
      <c r="G35" s="43">
        <v>0</v>
      </c>
      <c r="H35" s="12">
        <f>SUM(H31:H34)</f>
        <v>0</v>
      </c>
      <c r="J35" s="12">
        <f>SUM(J31:J34)</f>
        <v>41862.299999999996</v>
      </c>
      <c r="K35" s="46">
        <f>+(-J35+L35)/ABS(J35)</f>
        <v>0.17234361227166223</v>
      </c>
      <c r="L35" s="12">
        <f>SUM(L31:L34)</f>
        <v>49077</v>
      </c>
      <c r="M35" s="46">
        <f>+(-L35+N35)/ABS(L35)</f>
        <v>1.2588381522913033E-2</v>
      </c>
      <c r="N35" s="12">
        <f>SUM(N31:N34)</f>
        <v>49694.8</v>
      </c>
      <c r="O35" s="46">
        <f>+(-N35+P35)/ABS(N35)</f>
        <v>9.6108647182401197E-2</v>
      </c>
      <c r="P35" s="12">
        <f>SUM(P31:P34)</f>
        <v>54470.899999999994</v>
      </c>
    </row>
    <row r="36" spans="1:22">
      <c r="B36" s="240"/>
      <c r="C36" s="43"/>
      <c r="D36" s="379"/>
      <c r="E36" s="43"/>
      <c r="F36" s="379"/>
      <c r="G36" s="43"/>
      <c r="H36" s="240"/>
      <c r="J36" s="240"/>
      <c r="K36" s="46"/>
      <c r="L36" s="240"/>
      <c r="M36" s="46"/>
      <c r="N36" s="240"/>
      <c r="O36" s="46"/>
      <c r="P36" s="240"/>
    </row>
    <row r="37" spans="1:22">
      <c r="A37" t="s">
        <v>346</v>
      </c>
      <c r="B37" s="12">
        <f>+B28-B35</f>
        <v>16544.799999999996</v>
      </c>
      <c r="C37" s="43">
        <v>0</v>
      </c>
      <c r="D37" s="12">
        <f>+D28-D35</f>
        <v>0</v>
      </c>
      <c r="E37" s="43">
        <v>0</v>
      </c>
      <c r="F37" s="12">
        <f>+F28-F35</f>
        <v>0</v>
      </c>
      <c r="G37" s="43">
        <v>0</v>
      </c>
      <c r="H37" s="12">
        <f>+H28-H35</f>
        <v>0</v>
      </c>
      <c r="J37" s="12">
        <f>+J28-J35</f>
        <v>11068.400000000016</v>
      </c>
      <c r="K37" s="46">
        <f>+(-J37+L37)/ABS(J37)</f>
        <v>-0.66860612193270985</v>
      </c>
      <c r="L37" s="12">
        <f>+L28-L35</f>
        <v>3668</v>
      </c>
      <c r="M37" s="46">
        <f>+(-L37+N37)/ABS(L37)</f>
        <v>2.0946564885496177</v>
      </c>
      <c r="N37" s="12">
        <f>+N28-N35</f>
        <v>11351.199999999997</v>
      </c>
      <c r="O37" s="46">
        <f>+(-N37+P37)/ABS(N37)</f>
        <v>0.49640566636126615</v>
      </c>
      <c r="P37" s="12">
        <f>+P28-P35</f>
        <v>16986</v>
      </c>
    </row>
    <row r="38" spans="1:22">
      <c r="B38" s="12"/>
      <c r="C38" s="44" t="s">
        <v>0</v>
      </c>
      <c r="E38" s="44" t="s">
        <v>0</v>
      </c>
      <c r="G38" s="44" t="s">
        <v>0</v>
      </c>
      <c r="H38" s="12"/>
      <c r="J38" s="12"/>
      <c r="K38" s="46"/>
      <c r="L38" s="12"/>
      <c r="M38" s="46"/>
      <c r="N38" s="12"/>
      <c r="O38" s="46"/>
      <c r="P38" s="12"/>
    </row>
    <row r="39" spans="1:22">
      <c r="A39" t="s">
        <v>347</v>
      </c>
      <c r="B39" s="12">
        <f>+B79</f>
        <v>5143.1000000000004</v>
      </c>
      <c r="C39" s="43">
        <v>0</v>
      </c>
      <c r="D39" s="12">
        <f>+F79</f>
        <v>0</v>
      </c>
      <c r="E39" s="43">
        <v>0</v>
      </c>
      <c r="F39" s="12">
        <f>+J79</f>
        <v>0</v>
      </c>
      <c r="G39" s="43">
        <v>0</v>
      </c>
      <c r="H39" s="12">
        <f>+N79</f>
        <v>0</v>
      </c>
      <c r="J39" s="12">
        <f>+D79</f>
        <v>3418.0000000000005</v>
      </c>
      <c r="K39" s="46">
        <f>+(-J39+L39)/ABS(J39)</f>
        <v>-0.66193680514921016</v>
      </c>
      <c r="L39" s="12">
        <f>+H79</f>
        <v>1155.5</v>
      </c>
      <c r="M39" s="46">
        <f>+(-L39+N39)/ABS(L39)</f>
        <v>1.8374729554305493</v>
      </c>
      <c r="N39" s="12">
        <f>+L79</f>
        <v>3278.7</v>
      </c>
      <c r="O39" s="46">
        <f>+(-N39+P39)/ABS(N39)</f>
        <v>0.21969073108244128</v>
      </c>
      <c r="P39" s="12">
        <f>+P79</f>
        <v>3999</v>
      </c>
    </row>
    <row r="40" spans="1:22" ht="16.5" thickBot="1">
      <c r="B40" s="76"/>
      <c r="C40" s="44" t="s">
        <v>0</v>
      </c>
      <c r="D40" s="30"/>
      <c r="E40" s="44" t="s">
        <v>0</v>
      </c>
      <c r="F40" s="30"/>
      <c r="G40" s="44" t="s">
        <v>0</v>
      </c>
      <c r="H40" s="76"/>
      <c r="J40" s="76"/>
      <c r="K40" s="46"/>
      <c r="L40" s="76"/>
      <c r="M40" s="46"/>
      <c r="N40" s="76"/>
      <c r="O40" s="46"/>
      <c r="P40" s="76"/>
    </row>
    <row r="41" spans="1:22" s="2" customFormat="1">
      <c r="A41" s="2" t="s">
        <v>659</v>
      </c>
      <c r="B41" s="4">
        <f>+B37-B39</f>
        <v>11401.699999999995</v>
      </c>
      <c r="C41" s="42">
        <v>0</v>
      </c>
      <c r="D41" s="4">
        <f>+D37-D39</f>
        <v>0</v>
      </c>
      <c r="E41" s="42">
        <v>0</v>
      </c>
      <c r="F41" s="4">
        <f>+F37-F39</f>
        <v>0</v>
      </c>
      <c r="G41" s="42">
        <v>0</v>
      </c>
      <c r="H41" s="4">
        <f>+H37-H39</f>
        <v>0</v>
      </c>
      <c r="I41" s="146"/>
      <c r="J41" s="4">
        <f>+J37-J39</f>
        <v>7650.400000000016</v>
      </c>
      <c r="K41" s="112">
        <f>+(-J41+L41)/ABS(J41)</f>
        <v>-0.67158579943532437</v>
      </c>
      <c r="L41" s="4">
        <f>+L37-L39</f>
        <v>2512.5</v>
      </c>
      <c r="M41" s="112">
        <f>+(-L41+N41)/ABS(L41)</f>
        <v>2.2129353233830833</v>
      </c>
      <c r="N41" s="4">
        <f>+N37-N39</f>
        <v>8072.4999999999973</v>
      </c>
      <c r="O41" s="112">
        <f>+(-N41+P41)/ABS(N41)</f>
        <v>0.60879529266026688</v>
      </c>
      <c r="P41" s="4">
        <f>+P37-P39</f>
        <v>12987</v>
      </c>
      <c r="Q41" s="146"/>
      <c r="R41" s="146"/>
      <c r="S41" s="146"/>
      <c r="T41" s="146"/>
      <c r="U41" s="146"/>
    </row>
    <row r="42" spans="1:22" ht="5.45" customHeight="1">
      <c r="C42" s="29" t="s">
        <v>0</v>
      </c>
    </row>
    <row r="43" spans="1:22" ht="7.9" customHeight="1" thickBot="1">
      <c r="A43" s="19"/>
      <c r="B43" s="30"/>
      <c r="C43" s="31" t="s">
        <v>0</v>
      </c>
      <c r="D43" s="30"/>
      <c r="E43" s="30"/>
      <c r="F43" s="30"/>
      <c r="G43" s="30"/>
      <c r="H43" s="30"/>
      <c r="I43" s="30"/>
      <c r="J43" s="30"/>
      <c r="K43" s="30"/>
      <c r="L43" s="30"/>
      <c r="M43" s="30"/>
      <c r="N43" s="30"/>
      <c r="O43" s="30"/>
      <c r="P43" s="30"/>
      <c r="Q43" s="30"/>
      <c r="R43" s="30"/>
      <c r="S43" s="30"/>
      <c r="T43" s="30"/>
    </row>
    <row r="44" spans="1:22" ht="7.9" customHeight="1">
      <c r="A44" s="20"/>
      <c r="B44" s="32"/>
      <c r="C44" s="29" t="s">
        <v>0</v>
      </c>
      <c r="D44" s="32"/>
      <c r="E44" s="32"/>
      <c r="F44" s="32"/>
      <c r="G44" s="32"/>
      <c r="H44" s="32"/>
      <c r="I44" s="32"/>
      <c r="J44" s="32"/>
      <c r="K44" s="32"/>
      <c r="L44" s="32"/>
      <c r="M44" s="32"/>
      <c r="N44" s="32"/>
      <c r="O44" s="32"/>
    </row>
    <row r="45" spans="1:22" ht="7.9" customHeight="1">
      <c r="A45" s="20"/>
      <c r="B45" s="32"/>
      <c r="C45" s="29" t="s">
        <v>0</v>
      </c>
      <c r="D45" s="32"/>
      <c r="E45" s="32"/>
      <c r="F45" s="32"/>
      <c r="G45" s="32"/>
      <c r="H45" s="32"/>
      <c r="I45" s="32"/>
      <c r="J45" s="32"/>
      <c r="K45" s="32"/>
      <c r="L45" s="32"/>
      <c r="M45" s="32"/>
      <c r="N45" s="32"/>
      <c r="O45" s="32"/>
    </row>
    <row r="46" spans="1:22" s="2" customFormat="1">
      <c r="B46" s="241" t="s">
        <v>349</v>
      </c>
      <c r="C46" s="146" t="s">
        <v>0</v>
      </c>
      <c r="D46" s="241" t="s">
        <v>350</v>
      </c>
      <c r="E46" s="146"/>
      <c r="F46" s="241" t="s">
        <v>349</v>
      </c>
      <c r="G46" s="146" t="s">
        <v>0</v>
      </c>
      <c r="H46" s="241" t="s">
        <v>350</v>
      </c>
      <c r="I46" s="146"/>
      <c r="J46" s="241" t="s">
        <v>349</v>
      </c>
      <c r="K46" s="146" t="s">
        <v>0</v>
      </c>
      <c r="L46" s="241" t="s">
        <v>350</v>
      </c>
      <c r="M46" s="146"/>
      <c r="N46" s="241" t="s">
        <v>349</v>
      </c>
      <c r="O46" s="146" t="s">
        <v>0</v>
      </c>
      <c r="P46" s="241" t="s">
        <v>350</v>
      </c>
      <c r="Q46" s="146"/>
      <c r="R46" s="993" t="s">
        <v>622</v>
      </c>
      <c r="S46" s="146"/>
      <c r="T46" s="993" t="s">
        <v>660</v>
      </c>
      <c r="U46" s="241" t="s">
        <v>263</v>
      </c>
    </row>
    <row r="47" spans="1:22" ht="16.5" thickBot="1">
      <c r="B47" s="243" t="s">
        <v>353</v>
      </c>
      <c r="C47" s="245" t="s">
        <v>169</v>
      </c>
      <c r="D47" s="245" t="s">
        <v>186</v>
      </c>
      <c r="E47" s="22"/>
      <c r="F47" s="245" t="s">
        <v>187</v>
      </c>
      <c r="G47" s="245" t="s">
        <v>169</v>
      </c>
      <c r="H47" s="245" t="s">
        <v>187</v>
      </c>
      <c r="I47" s="22"/>
      <c r="J47" s="245" t="s">
        <v>188</v>
      </c>
      <c r="K47" s="245" t="s">
        <v>169</v>
      </c>
      <c r="L47" s="245" t="s">
        <v>188</v>
      </c>
      <c r="M47" s="22"/>
      <c r="N47" s="245" t="s">
        <v>189</v>
      </c>
      <c r="O47" s="245" t="s">
        <v>169</v>
      </c>
      <c r="P47" s="245" t="s">
        <v>189</v>
      </c>
      <c r="Q47" s="22"/>
      <c r="R47" s="245" t="s">
        <v>190</v>
      </c>
      <c r="S47" s="245" t="s">
        <v>169</v>
      </c>
      <c r="T47" s="245" t="s">
        <v>190</v>
      </c>
      <c r="U47" s="22" t="s">
        <v>190</v>
      </c>
      <c r="V47" s="18"/>
    </row>
    <row r="48" spans="1:22">
      <c r="A48" t="s">
        <v>328</v>
      </c>
      <c r="B48" s="29" t="s">
        <v>0</v>
      </c>
    </row>
    <row r="49" spans="1:21">
      <c r="A49" t="s">
        <v>329</v>
      </c>
      <c r="B49" s="16" t="s">
        <v>0</v>
      </c>
      <c r="C49" s="47" t="s">
        <v>0</v>
      </c>
      <c r="D49" s="16" t="s">
        <v>0</v>
      </c>
      <c r="E49" s="29" t="s">
        <v>0</v>
      </c>
      <c r="F49" s="29" t="s">
        <v>0</v>
      </c>
      <c r="G49" s="47" t="s">
        <v>0</v>
      </c>
      <c r="H49" s="16" t="s">
        <v>0</v>
      </c>
      <c r="I49" s="29" t="s">
        <v>0</v>
      </c>
      <c r="J49" s="29" t="s">
        <v>0</v>
      </c>
      <c r="K49" s="47" t="s">
        <v>0</v>
      </c>
      <c r="L49" s="16" t="s">
        <v>0</v>
      </c>
      <c r="M49" s="29" t="s">
        <v>0</v>
      </c>
      <c r="N49" s="29" t="s">
        <v>0</v>
      </c>
      <c r="O49" s="47" t="s">
        <v>0</v>
      </c>
      <c r="P49" s="16" t="s">
        <v>0</v>
      </c>
      <c r="Q49" s="29" t="s">
        <v>0</v>
      </c>
      <c r="R49" s="16" t="s">
        <v>0</v>
      </c>
      <c r="S49" s="47" t="s">
        <v>0</v>
      </c>
      <c r="T49" s="16" t="s">
        <v>0</v>
      </c>
      <c r="U49" s="16" t="s">
        <v>0</v>
      </c>
    </row>
    <row r="50" spans="1:21">
      <c r="A50" t="s">
        <v>552</v>
      </c>
      <c r="B50" s="12">
        <v>58320.7</v>
      </c>
      <c r="C50" s="46">
        <f t="shared" ref="C50:C55" si="3">+(B50-D50)/ABS(D50)</f>
        <v>4.7731200528889406E-2</v>
      </c>
      <c r="D50" s="12">
        <f>19958.5+17629.8+18075.5</f>
        <v>55663.8</v>
      </c>
      <c r="E50" s="29"/>
      <c r="F50" s="12">
        <v>0</v>
      </c>
      <c r="G50" s="44">
        <v>0</v>
      </c>
      <c r="H50" s="12">
        <f>18074.7+15917.9+17914.4</f>
        <v>51907</v>
      </c>
      <c r="J50" s="12">
        <v>0</v>
      </c>
      <c r="K50" s="44">
        <v>0</v>
      </c>
      <c r="L50" s="12">
        <f>34904.1+17859.7</f>
        <v>52763.8</v>
      </c>
      <c r="M50" s="29"/>
      <c r="N50" s="12">
        <v>0</v>
      </c>
      <c r="O50" s="44">
        <v>0</v>
      </c>
      <c r="P50" s="12">
        <f>17971+18805.5+18408.4</f>
        <v>55184.9</v>
      </c>
      <c r="R50" s="12">
        <f>+B50</f>
        <v>58320.7</v>
      </c>
      <c r="S50" s="46">
        <f t="shared" ref="S50:S55" si="4">+(R50-T50)/ABS(T50)</f>
        <v>4.7731200528889406E-2</v>
      </c>
      <c r="T50" s="12">
        <f>+D50</f>
        <v>55663.8</v>
      </c>
      <c r="U50" s="12">
        <f>+D50+H50+L50+P50</f>
        <v>215519.5</v>
      </c>
    </row>
    <row r="51" spans="1:21">
      <c r="A51" t="s">
        <v>553</v>
      </c>
      <c r="B51" s="12">
        <v>8941.9</v>
      </c>
      <c r="C51" s="46">
        <f t="shared" si="3"/>
        <v>6.9285500747384113E-2</v>
      </c>
      <c r="D51" s="12">
        <f>2737.2+3115.6+2509.7</f>
        <v>8362.5</v>
      </c>
      <c r="E51" s="29"/>
      <c r="F51" s="12">
        <v>0</v>
      </c>
      <c r="G51" s="44">
        <v>0</v>
      </c>
      <c r="H51" s="12">
        <f>1161.7+983+830.8</f>
        <v>2975.5</v>
      </c>
      <c r="J51" s="12">
        <v>0</v>
      </c>
      <c r="K51" s="44">
        <v>0</v>
      </c>
      <c r="L51" s="12">
        <f>2465.3+1128</f>
        <v>3593.3</v>
      </c>
      <c r="M51" s="29"/>
      <c r="N51" s="12">
        <v>0</v>
      </c>
      <c r="O51" s="44">
        <v>0</v>
      </c>
      <c r="P51" s="12">
        <f>1355.9+1041.5+1419.1</f>
        <v>3816.5</v>
      </c>
      <c r="R51" s="12">
        <f>+B51</f>
        <v>8941.9</v>
      </c>
      <c r="S51" s="46">
        <f t="shared" si="4"/>
        <v>6.9285500747384113E-2</v>
      </c>
      <c r="T51" s="12">
        <f>+D51</f>
        <v>8362.5</v>
      </c>
      <c r="U51" s="12">
        <f>+D51+H51+L51+P51</f>
        <v>18747.8</v>
      </c>
    </row>
    <row r="52" spans="1:21">
      <c r="A52" t="s">
        <v>332</v>
      </c>
      <c r="B52" s="221">
        <v>8294.2999999999993</v>
      </c>
      <c r="C52" s="46">
        <f t="shared" si="3"/>
        <v>0.11271649159522945</v>
      </c>
      <c r="D52" s="221">
        <f>2213.1+2618.2+2622.8</f>
        <v>7454.0999999999995</v>
      </c>
      <c r="E52" s="29"/>
      <c r="F52" s="221">
        <v>0</v>
      </c>
      <c r="G52" s="44">
        <v>0</v>
      </c>
      <c r="H52" s="221">
        <f>2762.2+2632.5+2199.6</f>
        <v>7594.2999999999993</v>
      </c>
      <c r="J52" s="221">
        <v>0</v>
      </c>
      <c r="K52" s="44">
        <v>0</v>
      </c>
      <c r="L52" s="221">
        <f>7053.5+2744.7</f>
        <v>9798.2000000000007</v>
      </c>
      <c r="M52" s="29"/>
      <c r="N52" s="221">
        <v>0</v>
      </c>
      <c r="O52" s="44">
        <v>0</v>
      </c>
      <c r="P52" s="221">
        <f>2675.7+2514.2+2914.7</f>
        <v>8104.5999999999995</v>
      </c>
      <c r="R52" s="240">
        <f>+B52</f>
        <v>8294.2999999999993</v>
      </c>
      <c r="S52" s="46">
        <f t="shared" si="4"/>
        <v>0.11271649159522945</v>
      </c>
      <c r="T52" s="240">
        <f>+D52</f>
        <v>7454.0999999999995</v>
      </c>
      <c r="U52" s="240">
        <f>+D52+H52+L52+P52</f>
        <v>32951.199999999997</v>
      </c>
    </row>
    <row r="53" spans="1:21">
      <c r="B53" s="12">
        <f>SUM(B50:B52)</f>
        <v>75556.899999999994</v>
      </c>
      <c r="C53" s="46">
        <f t="shared" si="3"/>
        <v>5.7029619308229737E-2</v>
      </c>
      <c r="D53" s="12">
        <f>SUM(D50:D52)</f>
        <v>71480.400000000009</v>
      </c>
      <c r="E53" s="29"/>
      <c r="F53" s="12">
        <f>SUM(F50:F52)</f>
        <v>0</v>
      </c>
      <c r="G53" s="44">
        <v>0</v>
      </c>
      <c r="H53" s="12">
        <f>SUM(H50:H52)</f>
        <v>62476.800000000003</v>
      </c>
      <c r="J53" s="12">
        <f>SUM(J50:J52)</f>
        <v>0</v>
      </c>
      <c r="K53" s="44">
        <v>0</v>
      </c>
      <c r="L53" s="12">
        <f>SUM(L50:L52)</f>
        <v>66155.3</v>
      </c>
      <c r="M53" s="29"/>
      <c r="N53" s="12">
        <f>SUM(N50:N52)</f>
        <v>0</v>
      </c>
      <c r="O53" s="44">
        <v>0</v>
      </c>
      <c r="P53" s="12">
        <f>SUM(P50:P52)</f>
        <v>67106</v>
      </c>
      <c r="R53" s="12">
        <f>SUM(R50:R52)</f>
        <v>75556.899999999994</v>
      </c>
      <c r="S53" s="46">
        <f t="shared" si="4"/>
        <v>5.7029619308229737E-2</v>
      </c>
      <c r="T53" s="12">
        <f>SUM(T50:T52)</f>
        <v>71480.400000000009</v>
      </c>
      <c r="U53" s="12">
        <f>SUM(U50:U52)</f>
        <v>267218.5</v>
      </c>
    </row>
    <row r="54" spans="1:21">
      <c r="A54" t="s">
        <v>333</v>
      </c>
      <c r="B54" s="240">
        <v>21807.200000000001</v>
      </c>
      <c r="C54" s="46">
        <f t="shared" si="3"/>
        <v>-0.36257691127252528</v>
      </c>
      <c r="D54" s="240">
        <f>12869.9+11168.7+10172.9</f>
        <v>34211.5</v>
      </c>
      <c r="E54" s="29" t="s">
        <v>0</v>
      </c>
      <c r="F54" s="240">
        <v>0</v>
      </c>
      <c r="G54" s="44">
        <v>0</v>
      </c>
      <c r="H54" s="240">
        <f>8634.5+7683.8+7661.5</f>
        <v>23979.8</v>
      </c>
      <c r="J54" s="240">
        <v>0</v>
      </c>
      <c r="K54" s="44">
        <v>0</v>
      </c>
      <c r="L54" s="240">
        <f>14022.4+5595.2</f>
        <v>19617.599999999999</v>
      </c>
      <c r="M54" s="29" t="s">
        <v>0</v>
      </c>
      <c r="N54" s="240">
        <v>0</v>
      </c>
      <c r="O54" s="44">
        <v>0</v>
      </c>
      <c r="P54" s="240">
        <f>5296.2+5176.5+5368.4</f>
        <v>15841.1</v>
      </c>
      <c r="R54" s="240">
        <f>+B54</f>
        <v>21807.200000000001</v>
      </c>
      <c r="S54" s="46">
        <f t="shared" si="4"/>
        <v>-0.36257691127252528</v>
      </c>
      <c r="T54" s="240">
        <f>+D54</f>
        <v>34211.5</v>
      </c>
      <c r="U54" s="240">
        <f>+D54+H54+L54+P54</f>
        <v>93650</v>
      </c>
    </row>
    <row r="55" spans="1:21">
      <c r="B55" s="12">
        <f>+B53-B54</f>
        <v>53749.7</v>
      </c>
      <c r="C55" s="46">
        <f t="shared" si="3"/>
        <v>0.44221321262500329</v>
      </c>
      <c r="D55" s="12">
        <f>+D53-D54</f>
        <v>37268.900000000009</v>
      </c>
      <c r="E55" s="29" t="s">
        <v>0</v>
      </c>
      <c r="F55" s="12">
        <f>+F53-F54</f>
        <v>0</v>
      </c>
      <c r="G55" s="44">
        <v>0</v>
      </c>
      <c r="H55" s="12">
        <f>+H53-H54</f>
        <v>38497</v>
      </c>
      <c r="J55" s="12">
        <f>+J53-J54</f>
        <v>0</v>
      </c>
      <c r="K55" s="44">
        <v>0</v>
      </c>
      <c r="L55" s="12">
        <f>+L53-L54</f>
        <v>46537.700000000004</v>
      </c>
      <c r="M55" s="29" t="s">
        <v>0</v>
      </c>
      <c r="N55" s="12">
        <f>+N53-N54</f>
        <v>0</v>
      </c>
      <c r="O55" s="44">
        <v>0</v>
      </c>
      <c r="P55" s="12">
        <f>+P53-P54</f>
        <v>51264.9</v>
      </c>
      <c r="R55" s="12">
        <f>+R53-R54</f>
        <v>53749.7</v>
      </c>
      <c r="S55" s="46">
        <f t="shared" si="4"/>
        <v>0.44221321262500329</v>
      </c>
      <c r="T55" s="12">
        <f>+T53-T54</f>
        <v>37268.900000000009</v>
      </c>
      <c r="U55" s="12">
        <f>+U53-U54</f>
        <v>173568.5</v>
      </c>
    </row>
    <row r="56" spans="1:21">
      <c r="B56" s="12"/>
      <c r="C56" s="44" t="s">
        <v>0</v>
      </c>
      <c r="D56" s="12"/>
      <c r="E56" s="29" t="s">
        <v>0</v>
      </c>
      <c r="G56" s="44" t="s">
        <v>0</v>
      </c>
      <c r="K56" s="44" t="s">
        <v>0</v>
      </c>
      <c r="M56" s="29" t="s">
        <v>0</v>
      </c>
      <c r="N56" s="12"/>
      <c r="O56" s="44" t="s">
        <v>0</v>
      </c>
      <c r="P56" s="12"/>
      <c r="R56" s="12"/>
      <c r="S56" s="47" t="s">
        <v>0</v>
      </c>
      <c r="T56" s="12"/>
      <c r="U56" s="12"/>
    </row>
    <row r="57" spans="1:21">
      <c r="A57" t="s">
        <v>334</v>
      </c>
      <c r="B57" s="12"/>
      <c r="C57" s="44" t="s">
        <v>0</v>
      </c>
      <c r="D57" s="12"/>
      <c r="E57" s="29" t="s">
        <v>0</v>
      </c>
      <c r="G57" s="44" t="s">
        <v>0</v>
      </c>
      <c r="K57" s="44" t="s">
        <v>0</v>
      </c>
      <c r="M57" s="29" t="s">
        <v>0</v>
      </c>
      <c r="N57" s="12"/>
      <c r="O57" s="44" t="s">
        <v>0</v>
      </c>
      <c r="P57" s="12"/>
      <c r="R57" s="12"/>
      <c r="S57" s="47" t="s">
        <v>0</v>
      </c>
      <c r="T57" s="12"/>
      <c r="U57" s="12"/>
    </row>
    <row r="58" spans="1:21">
      <c r="A58" t="s">
        <v>335</v>
      </c>
      <c r="B58" s="12">
        <v>9752.7999999999993</v>
      </c>
      <c r="C58" s="46">
        <f>+(B58-D58)/ABS(D58)</f>
        <v>0.41220080798134984</v>
      </c>
      <c r="D58" s="12">
        <f>2541.2+2116.7+2248.2</f>
        <v>6906.0999999999995</v>
      </c>
      <c r="E58" s="29" t="s">
        <v>0</v>
      </c>
      <c r="F58" s="12">
        <v>0</v>
      </c>
      <c r="G58" s="44">
        <v>0</v>
      </c>
      <c r="H58" s="12">
        <f>2011.1+2634.3+3244.3</f>
        <v>7889.7</v>
      </c>
      <c r="J58" s="12">
        <v>0</v>
      </c>
      <c r="K58" s="44">
        <v>0</v>
      </c>
      <c r="L58" s="12">
        <f>5486.3+3190.8</f>
        <v>8677.1</v>
      </c>
      <c r="M58" s="29" t="s">
        <v>0</v>
      </c>
      <c r="N58" s="12">
        <v>0</v>
      </c>
      <c r="O58" s="44">
        <v>0</v>
      </c>
      <c r="P58" s="12">
        <f>2682.7+2904.8+4201.1</f>
        <v>9788.6</v>
      </c>
      <c r="R58" s="12">
        <f>+B58</f>
        <v>9752.7999999999993</v>
      </c>
      <c r="S58" s="46">
        <f>+(R58-T58)/ABS(T58)</f>
        <v>0.41220080798134984</v>
      </c>
      <c r="T58" s="12">
        <f>+D58</f>
        <v>6906.0999999999995</v>
      </c>
      <c r="U58" s="12">
        <f>+D58+H58+L58+P58</f>
        <v>33261.5</v>
      </c>
    </row>
    <row r="59" spans="1:21">
      <c r="A59" t="s">
        <v>336</v>
      </c>
      <c r="B59" s="12">
        <v>16839.400000000001</v>
      </c>
      <c r="C59" s="46">
        <f>+(B59-D59)/ABS(D59)</f>
        <v>0.70608498308038337</v>
      </c>
      <c r="D59" s="12">
        <f>2976.5+2862.8+4030.9</f>
        <v>9870.2000000000007</v>
      </c>
      <c r="E59" s="29" t="s">
        <v>0</v>
      </c>
      <c r="F59" s="12">
        <v>0</v>
      </c>
      <c r="G59" s="44">
        <v>0</v>
      </c>
      <c r="H59" s="12">
        <f>2606.1+3266.1+3689.9</f>
        <v>9562.1</v>
      </c>
      <c r="J59" s="12">
        <v>0</v>
      </c>
      <c r="K59" s="44">
        <v>0</v>
      </c>
      <c r="L59" s="12">
        <f>5556.6+2999.3</f>
        <v>8555.9000000000015</v>
      </c>
      <c r="M59" s="29" t="s">
        <v>0</v>
      </c>
      <c r="N59" s="12">
        <v>0</v>
      </c>
      <c r="O59" s="44">
        <v>0</v>
      </c>
      <c r="P59" s="12">
        <f>4230.7+3677.3+4627.1</f>
        <v>12535.1</v>
      </c>
      <c r="R59" s="12">
        <f>+B59</f>
        <v>16839.400000000001</v>
      </c>
      <c r="S59" s="46">
        <f>+(R59-T59)/ABS(T59)</f>
        <v>0.70608498308038337</v>
      </c>
      <c r="T59" s="12">
        <f>+D59</f>
        <v>9870.2000000000007</v>
      </c>
      <c r="U59" s="12">
        <f>+D59+H59+L59+P59</f>
        <v>40523.300000000003</v>
      </c>
    </row>
    <row r="60" spans="1:21">
      <c r="A60" t="s">
        <v>284</v>
      </c>
      <c r="B60" s="240">
        <v>1028.3</v>
      </c>
      <c r="C60" s="46">
        <f>+(B60-D60)/ABS(D60)</f>
        <v>27.96619718309859</v>
      </c>
      <c r="D60" s="240">
        <f>3.2+6.8+25.5</f>
        <v>35.5</v>
      </c>
      <c r="E60" s="29" t="s">
        <v>0</v>
      </c>
      <c r="F60" s="240">
        <v>0</v>
      </c>
      <c r="G60" s="44">
        <v>0</v>
      </c>
      <c r="H60" s="240">
        <f>112.3+50.2+65.7</f>
        <v>228.2</v>
      </c>
      <c r="J60" s="240">
        <v>0</v>
      </c>
      <c r="K60" s="44">
        <v>0</v>
      </c>
      <c r="L60" s="240">
        <f>64.5+642.8</f>
        <v>707.3</v>
      </c>
      <c r="M60" s="29" t="s">
        <v>0</v>
      </c>
      <c r="N60" s="240">
        <v>0</v>
      </c>
      <c r="O60" s="44">
        <v>0</v>
      </c>
      <c r="P60" s="240">
        <f>458.4+469.1+372.8</f>
        <v>1300.3</v>
      </c>
      <c r="R60" s="240">
        <f>+B60</f>
        <v>1028.3</v>
      </c>
      <c r="S60" s="46">
        <f>+(R60-T60)/ABS(T60)</f>
        <v>27.96619718309859</v>
      </c>
      <c r="T60" s="240">
        <f>+D60</f>
        <v>35.5</v>
      </c>
      <c r="U60" s="240">
        <f>+D60+H60+L60+P60</f>
        <v>2271.3000000000002</v>
      </c>
    </row>
    <row r="61" spans="1:21">
      <c r="B61" s="12">
        <f>SUM(B58:B60)</f>
        <v>27620.5</v>
      </c>
      <c r="C61" s="46">
        <f>+(B61-D61)/ABS(D61)</f>
        <v>0.64292342283396198</v>
      </c>
      <c r="D61" s="12">
        <f>SUM(D58:D60)</f>
        <v>16811.8</v>
      </c>
      <c r="E61" s="29" t="s">
        <v>0</v>
      </c>
      <c r="F61" s="12">
        <f>SUM(F58:F60)</f>
        <v>0</v>
      </c>
      <c r="G61" s="44">
        <v>0</v>
      </c>
      <c r="H61" s="12">
        <f>SUM(H58:H60)</f>
        <v>17680</v>
      </c>
      <c r="J61" s="12">
        <f>SUM(J58:J60)</f>
        <v>0</v>
      </c>
      <c r="K61" s="44">
        <v>0</v>
      </c>
      <c r="L61" s="12">
        <f>SUM(L58:L60)</f>
        <v>17940.3</v>
      </c>
      <c r="M61" s="29" t="s">
        <v>0</v>
      </c>
      <c r="N61" s="12">
        <f>SUM(N58:N60)</f>
        <v>0</v>
      </c>
      <c r="O61" s="44">
        <v>0</v>
      </c>
      <c r="P61" s="12">
        <f>SUM(P58:P60)</f>
        <v>23624</v>
      </c>
      <c r="R61" s="12">
        <f>SUM(R58:R60)</f>
        <v>27620.5</v>
      </c>
      <c r="S61" s="46">
        <f>+(R61-T61)/ABS(T61)</f>
        <v>0.64292342283396198</v>
      </c>
      <c r="T61" s="12">
        <f>SUM(T58:T60)</f>
        <v>16811.8</v>
      </c>
      <c r="U61" s="12">
        <f>SUM(U58:U60)</f>
        <v>76056.100000000006</v>
      </c>
    </row>
    <row r="62" spans="1:21">
      <c r="B62" s="240"/>
      <c r="C62" s="44" t="s">
        <v>0</v>
      </c>
      <c r="D62" s="240"/>
      <c r="E62" s="29" t="s">
        <v>0</v>
      </c>
      <c r="F62" s="379"/>
      <c r="G62" s="44" t="s">
        <v>0</v>
      </c>
      <c r="H62" s="379"/>
      <c r="J62" s="379"/>
      <c r="K62" s="44" t="s">
        <v>0</v>
      </c>
      <c r="L62" s="379"/>
      <c r="M62" s="29" t="s">
        <v>0</v>
      </c>
      <c r="N62" s="240"/>
      <c r="O62" s="44" t="s">
        <v>0</v>
      </c>
      <c r="P62" s="240"/>
      <c r="R62" s="240"/>
      <c r="S62" s="46"/>
      <c r="T62" s="240"/>
      <c r="U62" s="240"/>
    </row>
    <row r="63" spans="1:21">
      <c r="A63" t="s">
        <v>337</v>
      </c>
      <c r="B63" s="12">
        <f>+B55+B61</f>
        <v>81370.2</v>
      </c>
      <c r="C63" s="46">
        <f>+(B63-D63)/ABS(D63)</f>
        <v>0.504607003977389</v>
      </c>
      <c r="D63" s="12">
        <f>+D55+D61</f>
        <v>54080.700000000012</v>
      </c>
      <c r="E63" s="29" t="s">
        <v>0</v>
      </c>
      <c r="F63" s="12">
        <f>+F55+F61</f>
        <v>0</v>
      </c>
      <c r="G63" s="44">
        <v>0</v>
      </c>
      <c r="H63" s="12">
        <f>+H55+H61</f>
        <v>56177</v>
      </c>
      <c r="J63" s="12">
        <f>+J55+J61</f>
        <v>0</v>
      </c>
      <c r="K63" s="44">
        <v>0</v>
      </c>
      <c r="L63" s="12">
        <f>+L55+L61</f>
        <v>64478</v>
      </c>
      <c r="M63" s="29" t="s">
        <v>0</v>
      </c>
      <c r="N63" s="12">
        <f>+N55+N61</f>
        <v>0</v>
      </c>
      <c r="O63" s="44">
        <v>0</v>
      </c>
      <c r="P63" s="12">
        <f>+P55+P61</f>
        <v>74888.899999999994</v>
      </c>
      <c r="R63" s="12">
        <f>+R55+R61</f>
        <v>81370.2</v>
      </c>
      <c r="S63" s="46">
        <f>+(R63-T63)/ABS(T63)</f>
        <v>0.504607003977389</v>
      </c>
      <c r="T63" s="12">
        <f>+T55+T61</f>
        <v>54080.700000000012</v>
      </c>
      <c r="U63" s="12">
        <f>+U55+U61</f>
        <v>249624.6</v>
      </c>
    </row>
    <row r="64" spans="1:21">
      <c r="B64" s="12"/>
      <c r="C64" s="44" t="s">
        <v>0</v>
      </c>
      <c r="D64" s="12"/>
      <c r="E64" s="29" t="s">
        <v>0</v>
      </c>
      <c r="G64" s="44" t="s">
        <v>0</v>
      </c>
      <c r="K64" s="44" t="s">
        <v>0</v>
      </c>
      <c r="M64" s="29" t="s">
        <v>0</v>
      </c>
      <c r="N64" s="12"/>
      <c r="O64" s="44" t="s">
        <v>0</v>
      </c>
      <c r="P64" s="12"/>
      <c r="R64" s="12"/>
      <c r="S64" s="46"/>
      <c r="T64" s="12"/>
      <c r="U64" s="12"/>
    </row>
    <row r="65" spans="1:21">
      <c r="A65" t="s">
        <v>658</v>
      </c>
      <c r="B65" s="12">
        <v>4350</v>
      </c>
      <c r="C65" s="46">
        <f>+(B65-D65)/ABS(D65)</f>
        <v>2.7826086956521738</v>
      </c>
      <c r="D65" s="12">
        <f>350+350+450</f>
        <v>1150</v>
      </c>
      <c r="E65" s="29" t="s">
        <v>0</v>
      </c>
      <c r="F65" s="12">
        <v>0</v>
      </c>
      <c r="G65" s="44">
        <v>0</v>
      </c>
      <c r="H65" s="12">
        <f>1144+1144+1144</f>
        <v>3432</v>
      </c>
      <c r="J65" s="12">
        <v>0</v>
      </c>
      <c r="K65" s="44">
        <v>0</v>
      </c>
      <c r="L65" s="12">
        <f>2288+1144</f>
        <v>3432</v>
      </c>
      <c r="M65" s="29" t="s">
        <v>0</v>
      </c>
      <c r="N65" s="12">
        <v>0</v>
      </c>
      <c r="O65" s="44">
        <v>0</v>
      </c>
      <c r="P65" s="12">
        <f>1144+1144+1144</f>
        <v>3432</v>
      </c>
      <c r="R65" s="12">
        <f>+B65</f>
        <v>4350</v>
      </c>
      <c r="S65" s="46">
        <f>+(R65-T65)/ABS(T65)</f>
        <v>2.7826086956521738</v>
      </c>
      <c r="T65" s="12">
        <f>+D65</f>
        <v>1150</v>
      </c>
      <c r="U65" s="12">
        <f>+D65+H65+L65+P65</f>
        <v>11446</v>
      </c>
    </row>
    <row r="66" spans="1:21">
      <c r="B66" s="12"/>
      <c r="C66" s="44" t="s">
        <v>0</v>
      </c>
      <c r="D66" s="12"/>
      <c r="E66" s="29" t="s">
        <v>0</v>
      </c>
      <c r="G66" s="44" t="s">
        <v>0</v>
      </c>
      <c r="K66" s="44" t="s">
        <v>0</v>
      </c>
      <c r="M66" s="29" t="s">
        <v>0</v>
      </c>
      <c r="N66" s="12"/>
      <c r="O66" s="44" t="s">
        <v>0</v>
      </c>
      <c r="P66" s="12"/>
      <c r="R66" s="12"/>
      <c r="S66" s="46"/>
      <c r="T66" s="12"/>
      <c r="U66" s="12"/>
    </row>
    <row r="67" spans="1:21">
      <c r="A67" t="s">
        <v>339</v>
      </c>
      <c r="B67" s="240"/>
      <c r="C67" s="44" t="s">
        <v>0</v>
      </c>
      <c r="D67" s="240"/>
      <c r="E67" s="29" t="s">
        <v>0</v>
      </c>
      <c r="F67" s="379"/>
      <c r="G67" s="44" t="s">
        <v>0</v>
      </c>
      <c r="H67" s="379"/>
      <c r="J67" s="379"/>
      <c r="K67" s="44" t="s">
        <v>0</v>
      </c>
      <c r="L67" s="379"/>
      <c r="M67" s="29" t="s">
        <v>0</v>
      </c>
      <c r="N67" s="240"/>
      <c r="O67" s="44" t="s">
        <v>0</v>
      </c>
      <c r="P67" s="240"/>
      <c r="R67" s="240"/>
      <c r="S67" s="46"/>
      <c r="T67" s="240"/>
      <c r="U67" s="240"/>
    </row>
    <row r="68" spans="1:21">
      <c r="A68" t="s">
        <v>340</v>
      </c>
      <c r="B68" s="12">
        <f>+B63-B65</f>
        <v>77020.2</v>
      </c>
      <c r="C68" s="46">
        <f>+(B68-D68)/ABS(D68)</f>
        <v>0.45511395088294659</v>
      </c>
      <c r="D68" s="12">
        <f>+D63-D65</f>
        <v>52930.700000000012</v>
      </c>
      <c r="E68" s="29" t="s">
        <v>0</v>
      </c>
      <c r="F68" s="12">
        <f>+F63-F65</f>
        <v>0</v>
      </c>
      <c r="G68" s="44">
        <v>0</v>
      </c>
      <c r="H68" s="12">
        <f>+H63-H65</f>
        <v>52745</v>
      </c>
      <c r="J68" s="12">
        <f>+J63-J65</f>
        <v>0</v>
      </c>
      <c r="K68" s="44">
        <v>0</v>
      </c>
      <c r="L68" s="12">
        <f>+L63-L65</f>
        <v>61046</v>
      </c>
      <c r="M68" s="29" t="s">
        <v>0</v>
      </c>
      <c r="N68" s="12">
        <f>+N63-N65</f>
        <v>0</v>
      </c>
      <c r="O68" s="44">
        <v>0</v>
      </c>
      <c r="P68" s="12">
        <f>+P63-P65</f>
        <v>71456.899999999994</v>
      </c>
      <c r="R68" s="12">
        <f>+R63-R65</f>
        <v>77020.2</v>
      </c>
      <c r="S68" s="46">
        <f>+(R68-T68)/ABS(T68)</f>
        <v>0.45511395088294659</v>
      </c>
      <c r="T68" s="12">
        <f>+T63-T65</f>
        <v>52930.700000000012</v>
      </c>
      <c r="U68" s="12">
        <f>+U63-U65</f>
        <v>238178.6</v>
      </c>
    </row>
    <row r="69" spans="1:21">
      <c r="B69" s="12"/>
      <c r="C69" s="44" t="s">
        <v>0</v>
      </c>
      <c r="D69" s="12"/>
      <c r="E69" s="29" t="s">
        <v>0</v>
      </c>
      <c r="G69" s="44" t="s">
        <v>0</v>
      </c>
      <c r="K69" s="44" t="s">
        <v>0</v>
      </c>
      <c r="M69" s="29" t="s">
        <v>0</v>
      </c>
      <c r="N69" s="12"/>
      <c r="O69" s="44" t="s">
        <v>0</v>
      </c>
      <c r="P69" s="12"/>
      <c r="R69" s="12"/>
      <c r="S69" s="46"/>
      <c r="T69" s="12"/>
      <c r="U69" s="12"/>
    </row>
    <row r="70" spans="1:21">
      <c r="A70" t="s">
        <v>341</v>
      </c>
      <c r="B70" s="12"/>
      <c r="C70" s="44" t="s">
        <v>0</v>
      </c>
      <c r="D70" s="12"/>
      <c r="E70" s="29" t="s">
        <v>0</v>
      </c>
      <c r="G70" s="44" t="s">
        <v>0</v>
      </c>
      <c r="K70" s="44" t="s">
        <v>0</v>
      </c>
      <c r="M70" s="29" t="s">
        <v>0</v>
      </c>
      <c r="N70" s="12"/>
      <c r="O70" s="44" t="s">
        <v>0</v>
      </c>
      <c r="P70" s="12"/>
      <c r="R70" s="12"/>
      <c r="S70" s="46"/>
      <c r="T70" s="12"/>
      <c r="U70" s="12"/>
    </row>
    <row r="71" spans="1:21">
      <c r="A71" t="s">
        <v>342</v>
      </c>
      <c r="B71" s="12">
        <v>26150.799999999999</v>
      </c>
      <c r="C71" s="46">
        <f>+(B71-D71)/ABS(D71)</f>
        <v>0.45974791510834745</v>
      </c>
      <c r="D71" s="12">
        <f>6093.7+6186.4+5634.5</f>
        <v>17914.599999999999</v>
      </c>
      <c r="E71" s="29" t="s">
        <v>0</v>
      </c>
      <c r="F71" s="12">
        <v>0</v>
      </c>
      <c r="G71" s="44">
        <v>0</v>
      </c>
      <c r="H71" s="12">
        <f>6546.8+6916.7+6572.4</f>
        <v>20035.900000000001</v>
      </c>
      <c r="J71" s="12">
        <v>0</v>
      </c>
      <c r="K71" s="44">
        <v>0</v>
      </c>
      <c r="L71" s="12">
        <f>13204.4+6852.5</f>
        <v>20056.900000000001</v>
      </c>
      <c r="M71" s="29" t="s">
        <v>0</v>
      </c>
      <c r="N71" s="12">
        <v>0</v>
      </c>
      <c r="O71" s="44">
        <v>0</v>
      </c>
      <c r="P71" s="12">
        <f>7200.9+7015.7+7492</f>
        <v>21708.6</v>
      </c>
      <c r="R71" s="12">
        <f>+B71</f>
        <v>26150.799999999999</v>
      </c>
      <c r="S71" s="46">
        <f>+(R71-T71)/ABS(T71)</f>
        <v>0.45974791510834745</v>
      </c>
      <c r="T71" s="12">
        <f>+D71</f>
        <v>17914.599999999999</v>
      </c>
      <c r="U71" s="12">
        <f>+D71+H71+L71+P71</f>
        <v>79716</v>
      </c>
    </row>
    <row r="72" spans="1:21">
      <c r="A72" t="s">
        <v>343</v>
      </c>
      <c r="B72" s="12">
        <v>2490.1999999999998</v>
      </c>
      <c r="C72" s="46">
        <f>+(B72-D72)/ABS(D72)</f>
        <v>0.20731116067099772</v>
      </c>
      <c r="D72" s="12">
        <f>649.3+656.9+756.4</f>
        <v>2062.6</v>
      </c>
      <c r="E72" s="29" t="s">
        <v>0</v>
      </c>
      <c r="F72" s="12">
        <v>0</v>
      </c>
      <c r="G72" s="44">
        <v>0</v>
      </c>
      <c r="H72" s="12">
        <f>830.1+822.5+831.5</f>
        <v>2484.1</v>
      </c>
      <c r="J72" s="12">
        <v>0</v>
      </c>
      <c r="K72" s="44">
        <v>0</v>
      </c>
      <c r="L72" s="12">
        <f>1630.7+852.7</f>
        <v>2483.4</v>
      </c>
      <c r="M72" s="29" t="s">
        <v>0</v>
      </c>
      <c r="N72" s="12">
        <v>0</v>
      </c>
      <c r="O72" s="44">
        <v>0</v>
      </c>
      <c r="P72" s="12">
        <f>802.2+874.2+414.2</f>
        <v>2090.6</v>
      </c>
      <c r="R72" s="12">
        <f>+B72</f>
        <v>2490.1999999999998</v>
      </c>
      <c r="S72" s="46">
        <f>+(R72-T72)/ABS(T72)</f>
        <v>0.20731116067099772</v>
      </c>
      <c r="T72" s="12">
        <f>+D72</f>
        <v>2062.6</v>
      </c>
      <c r="U72" s="12">
        <f>+D72+H72+L72+P72</f>
        <v>9120.7000000000007</v>
      </c>
    </row>
    <row r="73" spans="1:21">
      <c r="A73" t="s">
        <v>344</v>
      </c>
      <c r="B73" s="12">
        <v>7628.3</v>
      </c>
      <c r="C73" s="46">
        <f>+(B73-D73)/ABS(D73)</f>
        <v>0.50992656519071267</v>
      </c>
      <c r="D73" s="12">
        <f>1680.4+1676.1+1695.6</f>
        <v>5052.1000000000004</v>
      </c>
      <c r="E73" s="29" t="s">
        <v>0</v>
      </c>
      <c r="F73" s="12">
        <v>0</v>
      </c>
      <c r="G73" s="44">
        <v>0</v>
      </c>
      <c r="H73" s="12">
        <f>2092.7+2007+2083.8</f>
        <v>6183.5</v>
      </c>
      <c r="J73" s="12">
        <v>0</v>
      </c>
      <c r="K73" s="44">
        <v>0</v>
      </c>
      <c r="L73" s="12">
        <f>4545.1+2547.9</f>
        <v>7093</v>
      </c>
      <c r="M73" s="29" t="s">
        <v>0</v>
      </c>
      <c r="N73" s="12">
        <v>0</v>
      </c>
      <c r="O73" s="44">
        <v>0</v>
      </c>
      <c r="P73" s="12">
        <f>2445.6+2472+2616.3</f>
        <v>7533.9000000000005</v>
      </c>
      <c r="R73" s="12">
        <f>+B73</f>
        <v>7628.3</v>
      </c>
      <c r="S73" s="46">
        <f>+(R73-T73)/ABS(T73)</f>
        <v>0.50992656519071267</v>
      </c>
      <c r="T73" s="12">
        <f>+D73</f>
        <v>5052.1000000000004</v>
      </c>
      <c r="U73" s="12">
        <f>+D73+H73+L73+P73</f>
        <v>25862.5</v>
      </c>
    </row>
    <row r="74" spans="1:21">
      <c r="A74" t="s">
        <v>345</v>
      </c>
      <c r="B74" s="240">
        <v>24206.1</v>
      </c>
      <c r="C74" s="46">
        <f>+(B74-D74)/ABS(D74)</f>
        <v>0.43801461415077519</v>
      </c>
      <c r="D74" s="240">
        <f>5056.6+5087.2+6689.2</f>
        <v>16833</v>
      </c>
      <c r="E74" s="29" t="s">
        <v>0</v>
      </c>
      <c r="F74" s="240">
        <v>0</v>
      </c>
      <c r="G74" s="44">
        <v>0</v>
      </c>
      <c r="H74" s="240">
        <f>6974+5460+7939.5</f>
        <v>20373.5</v>
      </c>
      <c r="J74" s="240">
        <v>0</v>
      </c>
      <c r="K74" s="44">
        <v>0</v>
      </c>
      <c r="L74" s="240">
        <f>12451.3+7610.2</f>
        <v>20061.5</v>
      </c>
      <c r="M74" s="29" t="s">
        <v>0</v>
      </c>
      <c r="N74" s="240">
        <v>0</v>
      </c>
      <c r="O74" s="44">
        <v>0</v>
      </c>
      <c r="P74" s="240">
        <f>6064+7495.4+9578.4</f>
        <v>23137.8</v>
      </c>
      <c r="R74" s="240">
        <f>+B74</f>
        <v>24206.1</v>
      </c>
      <c r="S74" s="46">
        <f>+(R74-T74)/ABS(T74)</f>
        <v>0.43801461415077519</v>
      </c>
      <c r="T74" s="240">
        <f>+D74</f>
        <v>16833</v>
      </c>
      <c r="U74" s="240">
        <f>+D74+H74+L74+P74</f>
        <v>80405.8</v>
      </c>
    </row>
    <row r="75" spans="1:21">
      <c r="B75" s="12">
        <f>SUM(B71:B74)</f>
        <v>60475.4</v>
      </c>
      <c r="C75" s="46">
        <f>+(B75-D75)/ABS(D75)</f>
        <v>0.44462678830355734</v>
      </c>
      <c r="D75" s="12">
        <f>SUM(D71:D74)</f>
        <v>41862.299999999996</v>
      </c>
      <c r="E75" s="29" t="s">
        <v>0</v>
      </c>
      <c r="F75" s="12">
        <f>SUM(F71:F74)</f>
        <v>0</v>
      </c>
      <c r="G75" s="44">
        <v>0</v>
      </c>
      <c r="H75" s="12">
        <f>SUM(H71:H74)</f>
        <v>49077</v>
      </c>
      <c r="J75" s="12">
        <f>SUM(J71:J74)</f>
        <v>0</v>
      </c>
      <c r="K75" s="44">
        <v>0</v>
      </c>
      <c r="L75" s="12">
        <f>SUM(L71:L74)</f>
        <v>49694.8</v>
      </c>
      <c r="M75" s="29" t="s">
        <v>0</v>
      </c>
      <c r="N75" s="12">
        <f>SUM(N71:N74)</f>
        <v>0</v>
      </c>
      <c r="O75" s="44">
        <v>0</v>
      </c>
      <c r="P75" s="12">
        <f>SUM(P71:P74)</f>
        <v>54470.899999999994</v>
      </c>
      <c r="R75" s="12">
        <f>SUM(R71:R74)</f>
        <v>60475.4</v>
      </c>
      <c r="S75" s="46">
        <f>+(R75-T75)/ABS(T75)</f>
        <v>0.44462678830355734</v>
      </c>
      <c r="T75" s="12">
        <f>SUM(T71:T74)</f>
        <v>41862.299999999996</v>
      </c>
      <c r="U75" s="12">
        <f>SUM(U71:U74)</f>
        <v>195105</v>
      </c>
    </row>
    <row r="76" spans="1:21">
      <c r="B76" s="240"/>
      <c r="C76" s="43"/>
      <c r="D76" s="240"/>
      <c r="E76" s="29"/>
      <c r="F76" s="379"/>
      <c r="G76" s="44" t="s">
        <v>0</v>
      </c>
      <c r="H76" s="379"/>
      <c r="J76" s="379"/>
      <c r="K76" s="44" t="s">
        <v>0</v>
      </c>
      <c r="L76" s="379"/>
      <c r="M76" s="29"/>
      <c r="N76" s="240"/>
      <c r="O76" s="44" t="s">
        <v>0</v>
      </c>
      <c r="P76" s="240"/>
      <c r="R76" s="240"/>
      <c r="S76" s="46"/>
      <c r="T76" s="240"/>
      <c r="U76" s="240"/>
    </row>
    <row r="77" spans="1:21">
      <c r="A77" t="s">
        <v>346</v>
      </c>
      <c r="B77" s="12">
        <f>+B68-B75</f>
        <v>16544.799999999996</v>
      </c>
      <c r="C77" s="46">
        <f>+(B77-D77)/ABS(D77)</f>
        <v>0.49477792634888257</v>
      </c>
      <c r="D77" s="12">
        <f>+D68-D75</f>
        <v>11068.400000000016</v>
      </c>
      <c r="E77" s="29" t="s">
        <v>0</v>
      </c>
      <c r="F77" s="12">
        <f>+F68-F75</f>
        <v>0</v>
      </c>
      <c r="G77" s="44">
        <v>0</v>
      </c>
      <c r="H77" s="12">
        <f>+H68-H75</f>
        <v>3668</v>
      </c>
      <c r="J77" s="12">
        <f>+J68-J75</f>
        <v>0</v>
      </c>
      <c r="K77" s="44">
        <v>0</v>
      </c>
      <c r="L77" s="12">
        <f>+L68-L75</f>
        <v>11351.199999999997</v>
      </c>
      <c r="M77" s="29" t="s">
        <v>0</v>
      </c>
      <c r="N77" s="12">
        <f>+N68-N75</f>
        <v>0</v>
      </c>
      <c r="O77" s="44">
        <v>0</v>
      </c>
      <c r="P77" s="12">
        <f>+P68-P75</f>
        <v>16986</v>
      </c>
      <c r="R77" s="12">
        <f>+R68-R75</f>
        <v>16544.799999999996</v>
      </c>
      <c r="S77" s="46">
        <f>+(R77-T77)/ABS(T77)</f>
        <v>0.49477792634888257</v>
      </c>
      <c r="T77" s="12">
        <f>+T68-T75</f>
        <v>11068.400000000016</v>
      </c>
      <c r="U77" s="12">
        <f>+U68-U75</f>
        <v>43073.600000000006</v>
      </c>
    </row>
    <row r="78" spans="1:21">
      <c r="B78" s="12"/>
      <c r="C78" s="44" t="s">
        <v>0</v>
      </c>
      <c r="D78" s="12"/>
      <c r="E78" s="29" t="s">
        <v>0</v>
      </c>
      <c r="G78" s="44" t="s">
        <v>0</v>
      </c>
      <c r="K78" s="44" t="s">
        <v>0</v>
      </c>
      <c r="M78" s="29" t="s">
        <v>0</v>
      </c>
      <c r="N78" s="12"/>
      <c r="O78" s="44" t="s">
        <v>0</v>
      </c>
      <c r="P78" s="12"/>
      <c r="R78" s="12"/>
      <c r="S78" s="46"/>
      <c r="T78" s="12"/>
      <c r="U78" s="12"/>
    </row>
    <row r="79" spans="1:21">
      <c r="A79" t="s">
        <v>347</v>
      </c>
      <c r="B79" s="12">
        <v>5143.1000000000004</v>
      </c>
      <c r="C79" s="46">
        <f>+(B79-D79)/ABS(D79)</f>
        <v>0.50471035693387933</v>
      </c>
      <c r="D79" s="12">
        <f>1106.4+1015.7+1295.9</f>
        <v>3418.0000000000005</v>
      </c>
      <c r="E79" s="29" t="s">
        <v>0</v>
      </c>
      <c r="F79" s="12">
        <v>0</v>
      </c>
      <c r="G79" s="44">
        <v>0</v>
      </c>
      <c r="H79" s="12">
        <f>159.4+456.8+539.3</f>
        <v>1155.5</v>
      </c>
      <c r="J79" s="12">
        <v>0</v>
      </c>
      <c r="K79" s="44">
        <v>0</v>
      </c>
      <c r="L79" s="12">
        <f>2030.4+1248.3</f>
        <v>3278.7</v>
      </c>
      <c r="M79" s="29" t="s">
        <v>0</v>
      </c>
      <c r="N79" s="12">
        <v>0</v>
      </c>
      <c r="O79" s="44">
        <v>0</v>
      </c>
      <c r="P79" s="12">
        <f>2022.8+1648.9+327.3</f>
        <v>3999</v>
      </c>
      <c r="R79" s="12">
        <f>+B79</f>
        <v>5143.1000000000004</v>
      </c>
      <c r="S79" s="46">
        <f>+(R79-T79)/ABS(T79)</f>
        <v>0.50471035693387933</v>
      </c>
      <c r="T79" s="12">
        <f>+D79</f>
        <v>3418.0000000000005</v>
      </c>
      <c r="U79" s="12">
        <f>+D79+H79+L79+P79</f>
        <v>11851.2</v>
      </c>
    </row>
    <row r="80" spans="1:21" ht="16.5" thickBot="1">
      <c r="B80" s="76"/>
      <c r="C80" s="44" t="s">
        <v>0</v>
      </c>
      <c r="D80" s="76"/>
      <c r="E80" s="29" t="s">
        <v>0</v>
      </c>
      <c r="F80" s="30"/>
      <c r="G80" s="44" t="s">
        <v>0</v>
      </c>
      <c r="H80" s="30"/>
      <c r="J80" s="30"/>
      <c r="K80" s="44" t="s">
        <v>0</v>
      </c>
      <c r="L80" s="30"/>
      <c r="M80" s="29" t="s">
        <v>0</v>
      </c>
      <c r="N80" s="76"/>
      <c r="O80" s="44" t="s">
        <v>0</v>
      </c>
      <c r="P80" s="76"/>
      <c r="R80" s="76"/>
      <c r="S80" s="46"/>
      <c r="T80" s="76"/>
      <c r="U80" s="76"/>
    </row>
    <row r="81" spans="1:21" s="2" customFormat="1">
      <c r="A81" s="2" t="s">
        <v>427</v>
      </c>
      <c r="B81" s="4">
        <f>+B77-B79</f>
        <v>11401.699999999995</v>
      </c>
      <c r="C81" s="112">
        <f>+(B81-D81)/ABS(D81)</f>
        <v>0.49034037435950689</v>
      </c>
      <c r="D81" s="4">
        <f>+D77-D79</f>
        <v>7650.400000000016</v>
      </c>
      <c r="E81" s="146" t="s">
        <v>0</v>
      </c>
      <c r="F81" s="4">
        <f>+F77-F79</f>
        <v>0</v>
      </c>
      <c r="G81" s="42">
        <v>0</v>
      </c>
      <c r="H81" s="4">
        <f>+H77-H79</f>
        <v>2512.5</v>
      </c>
      <c r="I81" s="146"/>
      <c r="J81" s="4">
        <f>+J77-J79</f>
        <v>0</v>
      </c>
      <c r="K81" s="42">
        <v>0</v>
      </c>
      <c r="L81" s="4">
        <f>+L77-L79</f>
        <v>8072.4999999999973</v>
      </c>
      <c r="M81" s="146" t="s">
        <v>0</v>
      </c>
      <c r="N81" s="4">
        <f>+N77-N79</f>
        <v>0</v>
      </c>
      <c r="O81" s="42">
        <v>0</v>
      </c>
      <c r="P81" s="4">
        <f>+P77-P79</f>
        <v>12987</v>
      </c>
      <c r="Q81" s="146"/>
      <c r="R81" s="4">
        <f>+R77-R79</f>
        <v>11401.699999999995</v>
      </c>
      <c r="S81" s="112">
        <f>+(R81-T81)/ABS(T81)</f>
        <v>0.49034037435950689</v>
      </c>
      <c r="T81" s="4">
        <f>+T77-T79</f>
        <v>7650.400000000016</v>
      </c>
      <c r="U81" s="4">
        <f>+U77-U79</f>
        <v>31222.400000000005</v>
      </c>
    </row>
    <row r="82" spans="1:21">
      <c r="E82" s="29"/>
      <c r="G82" s="44" t="s">
        <v>0</v>
      </c>
      <c r="K82" s="44" t="s">
        <v>0</v>
      </c>
      <c r="M82" s="29"/>
      <c r="O82" s="44" t="s">
        <v>0</v>
      </c>
    </row>
    <row r="83" spans="1:21">
      <c r="E83" s="29"/>
      <c r="M83" s="29"/>
      <c r="N83" s="29" t="s">
        <v>0</v>
      </c>
    </row>
    <row r="84" spans="1:21">
      <c r="B84" s="565" t="s">
        <v>261</v>
      </c>
      <c r="D84" s="565" t="s">
        <v>261</v>
      </c>
      <c r="E84" s="29" t="s">
        <v>0</v>
      </c>
      <c r="F84" s="565" t="s">
        <v>261</v>
      </c>
      <c r="H84" s="565" t="s">
        <v>261</v>
      </c>
      <c r="M84" s="29" t="s">
        <v>0</v>
      </c>
    </row>
    <row r="85" spans="1:21">
      <c r="B85" s="26" t="s">
        <v>353</v>
      </c>
      <c r="D85" s="26" t="s">
        <v>533</v>
      </c>
      <c r="F85" s="26" t="s">
        <v>534</v>
      </c>
      <c r="H85" s="26" t="s">
        <v>535</v>
      </c>
      <c r="M85" s="29" t="s">
        <v>0</v>
      </c>
    </row>
    <row r="86" spans="1:21">
      <c r="A86" t="s">
        <v>536</v>
      </c>
      <c r="B86" s="29" t="s">
        <v>0</v>
      </c>
      <c r="D86" s="29" t="s">
        <v>0</v>
      </c>
      <c r="F86" s="29" t="s">
        <v>0</v>
      </c>
      <c r="H86" s="29" t="s">
        <v>0</v>
      </c>
      <c r="M86" s="29" t="s">
        <v>0</v>
      </c>
    </row>
    <row r="87" spans="1:21">
      <c r="A87" t="s">
        <v>329</v>
      </c>
      <c r="B87" s="16" t="s">
        <v>0</v>
      </c>
    </row>
    <row r="88" spans="1:21">
      <c r="A88" t="s">
        <v>661</v>
      </c>
      <c r="B88" s="12">
        <f>+(13379161.14+15815761.97+15497475)/1000</f>
        <v>44692.398110000002</v>
      </c>
      <c r="D88" s="12">
        <v>0</v>
      </c>
      <c r="F88" s="12">
        <v>0</v>
      </c>
      <c r="H88" s="12">
        <v>0</v>
      </c>
    </row>
    <row r="89" spans="1:21" ht="18">
      <c r="A89" t="s">
        <v>662</v>
      </c>
      <c r="B89" s="6">
        <f>+(5064232.07+2673200.34+2725771)/1000</f>
        <v>10463.20341</v>
      </c>
      <c r="D89" s="6">
        <v>0</v>
      </c>
      <c r="F89" s="6">
        <v>0</v>
      </c>
      <c r="H89" s="6">
        <v>0</v>
      </c>
    </row>
    <row r="90" spans="1:21">
      <c r="B90" s="12">
        <f>SUM(B88:B89)</f>
        <v>55155.601520000004</v>
      </c>
      <c r="D90" s="12">
        <f>SUM(D88:D89)</f>
        <v>0</v>
      </c>
      <c r="F90" s="12">
        <f>SUM(F88:F89)</f>
        <v>0</v>
      </c>
      <c r="H90" s="12">
        <f>SUM(H88:H89)</f>
        <v>0</v>
      </c>
    </row>
    <row r="91" spans="1:21">
      <c r="A91" t="s">
        <v>333</v>
      </c>
      <c r="B91" s="12">
        <f>+(9458482.92+8209893.13+8614117)/1000</f>
        <v>26282.493050000001</v>
      </c>
      <c r="D91" s="12">
        <v>0</v>
      </c>
      <c r="F91" s="12">
        <v>0</v>
      </c>
      <c r="H91" s="12">
        <v>0</v>
      </c>
    </row>
    <row r="92" spans="1:21">
      <c r="B92" s="12">
        <f>+B90-B91</f>
        <v>28873.108470000003</v>
      </c>
      <c r="D92" s="12">
        <f>+D90-D91</f>
        <v>0</v>
      </c>
      <c r="F92" s="12">
        <f>+F90-F91</f>
        <v>0</v>
      </c>
      <c r="H92" s="12">
        <f>+H90-H91</f>
        <v>0</v>
      </c>
    </row>
    <row r="93" spans="1:21">
      <c r="B93" s="12"/>
      <c r="D93" s="12"/>
      <c r="F93" s="12"/>
      <c r="H93" s="12"/>
    </row>
    <row r="94" spans="1:21">
      <c r="A94" t="s">
        <v>334</v>
      </c>
      <c r="B94" s="12"/>
      <c r="D94" s="12"/>
      <c r="F94" s="12"/>
      <c r="H94" s="12"/>
    </row>
    <row r="95" spans="1:21">
      <c r="A95" t="s">
        <v>335</v>
      </c>
      <c r="B95" s="16">
        <f>+(2642594.09+2306120.35+2502056)/1000</f>
        <v>7450.7704399999993</v>
      </c>
      <c r="D95" s="16">
        <v>0</v>
      </c>
      <c r="F95" s="16">
        <v>0</v>
      </c>
      <c r="H95" s="16">
        <v>0</v>
      </c>
    </row>
    <row r="96" spans="1:21">
      <c r="A96" t="s">
        <v>336</v>
      </c>
      <c r="B96" s="12">
        <f>+(2374702.97+2120540.58+2375559)/1000</f>
        <v>6870.8025500000003</v>
      </c>
      <c r="D96" s="12">
        <v>0</v>
      </c>
      <c r="F96" s="12">
        <v>0</v>
      </c>
      <c r="H96" s="12">
        <v>0</v>
      </c>
    </row>
    <row r="97" spans="1:8">
      <c r="A97" t="s">
        <v>284</v>
      </c>
      <c r="B97" s="12">
        <f>+(35473.25+36053.4+19455)/1000</f>
        <v>90.981649999999988</v>
      </c>
      <c r="D97" s="12">
        <v>0</v>
      </c>
      <c r="F97" s="12">
        <v>0</v>
      </c>
      <c r="H97" s="12">
        <v>0</v>
      </c>
    </row>
    <row r="98" spans="1:8">
      <c r="B98" s="12">
        <f>SUM(B95:B97)</f>
        <v>14412.55464</v>
      </c>
      <c r="D98" s="12">
        <f>SUM(D95:D97)</f>
        <v>0</v>
      </c>
      <c r="F98" s="12">
        <f>SUM(F95:F97)</f>
        <v>0</v>
      </c>
      <c r="H98" s="12">
        <f>SUM(H95:H97)</f>
        <v>0</v>
      </c>
    </row>
    <row r="99" spans="1:8">
      <c r="B99" s="12"/>
      <c r="D99" s="12"/>
      <c r="F99" s="12"/>
      <c r="H99" s="12"/>
    </row>
    <row r="100" spans="1:8">
      <c r="A100" t="s">
        <v>337</v>
      </c>
      <c r="B100" s="12">
        <f>+B92+B98</f>
        <v>43285.663110000001</v>
      </c>
      <c r="D100" s="12">
        <f>+D92+D98</f>
        <v>0</v>
      </c>
      <c r="F100" s="12">
        <f>+F92+F98</f>
        <v>0</v>
      </c>
      <c r="H100" s="12">
        <f>+H92+H98</f>
        <v>0</v>
      </c>
    </row>
    <row r="101" spans="1:8">
      <c r="B101" s="12"/>
      <c r="D101" s="12"/>
      <c r="F101" s="12"/>
      <c r="H101" s="12"/>
    </row>
    <row r="102" spans="1:8">
      <c r="A102" t="s">
        <v>538</v>
      </c>
      <c r="B102" s="12">
        <f>+(350000+450000+250000)/1000</f>
        <v>1050</v>
      </c>
      <c r="D102" s="12">
        <v>0</v>
      </c>
      <c r="F102" s="12">
        <v>0</v>
      </c>
      <c r="H102" s="12">
        <v>0</v>
      </c>
    </row>
    <row r="103" spans="1:8">
      <c r="B103" s="12"/>
      <c r="D103" s="12"/>
      <c r="F103" s="12"/>
      <c r="H103" s="12"/>
    </row>
    <row r="104" spans="1:8">
      <c r="A104" t="s">
        <v>339</v>
      </c>
      <c r="B104" s="12"/>
      <c r="D104" s="12"/>
      <c r="F104" s="12"/>
      <c r="H104" s="12"/>
    </row>
    <row r="105" spans="1:8">
      <c r="A105" t="s">
        <v>340</v>
      </c>
      <c r="B105" s="12">
        <f>+B100-B102</f>
        <v>42235.663110000001</v>
      </c>
      <c r="D105" s="12">
        <f>+D100-D102</f>
        <v>0</v>
      </c>
      <c r="F105" s="12">
        <f>+F100-F102</f>
        <v>0</v>
      </c>
      <c r="H105" s="12">
        <f>+H100-H102</f>
        <v>0</v>
      </c>
    </row>
    <row r="106" spans="1:8">
      <c r="B106" s="12"/>
      <c r="D106" s="12"/>
      <c r="F106" s="12"/>
      <c r="H106" s="12"/>
    </row>
    <row r="107" spans="1:8">
      <c r="A107" t="s">
        <v>341</v>
      </c>
      <c r="B107" s="12"/>
      <c r="D107" s="12"/>
      <c r="F107" s="12"/>
      <c r="H107" s="12"/>
    </row>
    <row r="108" spans="1:8">
      <c r="A108" t="s">
        <v>342</v>
      </c>
      <c r="B108" s="12">
        <f>+(5270306.15+4341945.35+4845521)/1000</f>
        <v>14457.772499999999</v>
      </c>
      <c r="D108" s="12">
        <v>0</v>
      </c>
      <c r="F108" s="12">
        <v>0</v>
      </c>
      <c r="H108" s="12">
        <v>0</v>
      </c>
    </row>
    <row r="109" spans="1:8">
      <c r="A109" t="s">
        <v>343</v>
      </c>
      <c r="B109" s="12">
        <f>+(769369.04+2948694.74+656529)/1000</f>
        <v>4374.5927799999999</v>
      </c>
      <c r="D109" s="12">
        <v>0</v>
      </c>
      <c r="F109" s="12">
        <v>0</v>
      </c>
      <c r="H109" s="12">
        <v>0</v>
      </c>
    </row>
    <row r="110" spans="1:8">
      <c r="A110" t="s">
        <v>344</v>
      </c>
      <c r="B110" s="12">
        <f>+(1408530.07+1420795.57+1399896)/1000</f>
        <v>4229.2216400000007</v>
      </c>
      <c r="D110" s="12">
        <v>0</v>
      </c>
      <c r="F110" s="12">
        <v>0</v>
      </c>
      <c r="H110" s="12">
        <v>0</v>
      </c>
    </row>
    <row r="111" spans="1:8">
      <c r="A111" t="s">
        <v>345</v>
      </c>
      <c r="B111" s="12">
        <f>+(4450729.8+2423925.03+3633040)/1000</f>
        <v>10507.69483</v>
      </c>
      <c r="D111" s="12">
        <v>0</v>
      </c>
      <c r="F111" s="12">
        <v>0</v>
      </c>
      <c r="H111" s="12">
        <v>0</v>
      </c>
    </row>
    <row r="112" spans="1:8">
      <c r="B112" s="12">
        <f>SUM(B108:B111)</f>
        <v>33569.281749999995</v>
      </c>
      <c r="D112" s="12">
        <f>SUM(D108:D111)</f>
        <v>0</v>
      </c>
      <c r="F112" s="12">
        <f>SUM(F108:F111)</f>
        <v>0</v>
      </c>
      <c r="H112" s="12">
        <f>SUM(H108:H111)</f>
        <v>0</v>
      </c>
    </row>
    <row r="113" spans="1:8">
      <c r="B113" s="12"/>
      <c r="D113" s="12"/>
      <c r="F113" s="12"/>
      <c r="H113" s="12"/>
    </row>
    <row r="114" spans="1:8">
      <c r="A114" t="s">
        <v>346</v>
      </c>
      <c r="B114" s="12">
        <f>+B105-B112</f>
        <v>8666.3813600000067</v>
      </c>
      <c r="D114" s="12">
        <f>+D105-D112</f>
        <v>0</v>
      </c>
      <c r="F114" s="12">
        <f>+F105-F112</f>
        <v>0</v>
      </c>
      <c r="H114" s="12">
        <f>+H105-H112</f>
        <v>0</v>
      </c>
    </row>
    <row r="115" spans="1:8">
      <c r="B115" s="16" t="s">
        <v>0</v>
      </c>
      <c r="D115" s="12"/>
      <c r="F115" s="12"/>
      <c r="H115" s="12"/>
    </row>
    <row r="116" spans="1:8">
      <c r="A116" t="s">
        <v>347</v>
      </c>
      <c r="B116" s="12">
        <f>+(563454.85+864030.76+1233924)/1000</f>
        <v>2661.4096099999997</v>
      </c>
      <c r="D116" s="12">
        <v>0</v>
      </c>
      <c r="F116" s="12">
        <v>0</v>
      </c>
      <c r="H116" s="12">
        <v>0</v>
      </c>
    </row>
    <row r="117" spans="1:8">
      <c r="B117" s="12"/>
      <c r="D117" s="12"/>
      <c r="F117" s="12"/>
      <c r="H117" s="12"/>
    </row>
    <row r="118" spans="1:8">
      <c r="A118" t="s">
        <v>539</v>
      </c>
      <c r="B118" s="12">
        <f>+B114-B116</f>
        <v>6004.971750000007</v>
      </c>
      <c r="D118" s="12">
        <f>+D114-D116</f>
        <v>0</v>
      </c>
      <c r="F118" s="12">
        <f>+F114-F116</f>
        <v>0</v>
      </c>
      <c r="H118" s="12">
        <f>+H114-H116</f>
        <v>0</v>
      </c>
    </row>
    <row r="120" spans="1:8">
      <c r="B120" s="29" t="s">
        <v>0</v>
      </c>
    </row>
  </sheetData>
  <pageMargins left="0.22" right="0.2" top="0.48" bottom="0.41" header="0.31" footer="0.2"/>
  <pageSetup scale="43" orientation="landscape" r:id="rId1"/>
  <headerFooter alignWithMargins="0">
    <oddFooter>&amp;R&amp;16&amp;P</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sheetViews>
  <sheetFormatPr defaultRowHeight="15.75"/>
  <cols>
    <col min="1" max="1" width="50" customWidth="1"/>
    <col min="2" max="2" width="15.75" customWidth="1"/>
    <col min="3" max="3" width="11" customWidth="1"/>
    <col min="4" max="4" width="15.75" customWidth="1"/>
    <col min="5" max="5" width="6.125" customWidth="1"/>
    <col min="6" max="6" width="16" customWidth="1"/>
    <col min="7" max="7" width="11" customWidth="1"/>
    <col min="8" max="8" width="16" customWidth="1"/>
    <col min="9" max="9" width="11" customWidth="1"/>
    <col min="10" max="10" width="15.875" customWidth="1"/>
    <col min="11" max="11" width="11" customWidth="1"/>
    <col min="12" max="12" width="15.875" customWidth="1"/>
    <col min="13" max="256" width="11" customWidth="1"/>
  </cols>
  <sheetData>
    <row r="1" spans="1:14">
      <c r="A1" s="114" t="s">
        <v>653</v>
      </c>
      <c r="B1" s="34"/>
      <c r="C1" s="34"/>
      <c r="D1" s="34"/>
      <c r="E1" s="34"/>
      <c r="F1" s="34"/>
      <c r="G1" s="34"/>
      <c r="H1" s="34"/>
      <c r="I1" s="34"/>
      <c r="J1" s="34"/>
      <c r="K1" s="34"/>
      <c r="L1" s="34"/>
    </row>
    <row r="2" spans="1:14">
      <c r="A2" s="114" t="s">
        <v>365</v>
      </c>
      <c r="B2" s="34"/>
      <c r="C2" s="34"/>
      <c r="D2" s="34"/>
      <c r="E2" s="34"/>
      <c r="F2" s="34"/>
      <c r="G2" s="34"/>
      <c r="H2" s="34"/>
      <c r="I2" s="34"/>
      <c r="J2" s="34"/>
      <c r="K2" s="34"/>
      <c r="L2" s="34"/>
    </row>
    <row r="3" spans="1:14">
      <c r="A3" s="114" t="s">
        <v>540</v>
      </c>
      <c r="B3" s="34"/>
      <c r="C3" s="34"/>
      <c r="D3" s="34"/>
      <c r="E3" s="34"/>
      <c r="F3" s="34"/>
      <c r="G3" s="34"/>
      <c r="H3" s="34"/>
      <c r="I3" s="34"/>
      <c r="J3" s="34"/>
      <c r="K3" s="34"/>
      <c r="L3" s="34"/>
    </row>
    <row r="4" spans="1:14">
      <c r="A4" s="114" t="s">
        <v>179</v>
      </c>
      <c r="B4" s="34"/>
      <c r="C4" s="34"/>
      <c r="D4" s="34"/>
      <c r="E4" s="34"/>
      <c r="F4" s="34"/>
      <c r="G4" s="34"/>
      <c r="H4" s="34"/>
      <c r="I4" s="34"/>
      <c r="J4" s="34"/>
      <c r="K4" s="34"/>
      <c r="L4" s="34"/>
    </row>
    <row r="5" spans="1:14">
      <c r="A5" s="34"/>
      <c r="B5" s="34"/>
      <c r="C5" s="34"/>
      <c r="D5" s="34"/>
      <c r="E5" s="34"/>
      <c r="F5" s="34"/>
      <c r="G5" s="34"/>
      <c r="H5" s="34"/>
      <c r="I5" s="34"/>
      <c r="J5" s="34"/>
      <c r="K5" s="34"/>
      <c r="L5" s="34"/>
    </row>
    <row r="6" spans="1:14">
      <c r="A6" s="34"/>
      <c r="B6" s="34"/>
      <c r="C6" s="34"/>
      <c r="D6" s="34"/>
      <c r="E6" s="34"/>
      <c r="F6" s="34"/>
      <c r="G6" s="34"/>
      <c r="H6" s="34"/>
      <c r="I6" s="34"/>
      <c r="J6" s="34"/>
      <c r="K6" s="34"/>
      <c r="L6" s="34"/>
    </row>
    <row r="8" spans="1:14" ht="16.5" thickBot="1">
      <c r="B8" s="114" t="s">
        <v>556</v>
      </c>
      <c r="C8" s="114"/>
      <c r="D8" s="34"/>
      <c r="E8" s="2"/>
      <c r="F8" s="114" t="s">
        <v>206</v>
      </c>
      <c r="G8" s="114"/>
      <c r="H8" s="114"/>
      <c r="I8" s="114"/>
      <c r="J8" s="114"/>
      <c r="K8" s="114"/>
      <c r="L8" s="114"/>
    </row>
    <row r="9" spans="1:14" ht="16.5" thickBot="1">
      <c r="B9" s="247" t="s">
        <v>185</v>
      </c>
      <c r="C9" s="226" t="s">
        <v>169</v>
      </c>
      <c r="D9" s="226">
        <v>1999</v>
      </c>
      <c r="E9" s="2"/>
      <c r="F9" s="226">
        <v>1999</v>
      </c>
      <c r="G9" s="226" t="s">
        <v>169</v>
      </c>
      <c r="H9" s="226">
        <v>1998</v>
      </c>
      <c r="I9" s="226" t="s">
        <v>169</v>
      </c>
      <c r="J9" s="226">
        <v>1997</v>
      </c>
      <c r="K9" s="226" t="s">
        <v>169</v>
      </c>
      <c r="L9" s="226">
        <v>1996</v>
      </c>
    </row>
    <row r="10" spans="1:14">
      <c r="A10" t="s">
        <v>328</v>
      </c>
    </row>
    <row r="11" spans="1:14">
      <c r="A11" t="s">
        <v>329</v>
      </c>
      <c r="B11" s="16" t="s">
        <v>0</v>
      </c>
      <c r="C11" s="47" t="s">
        <v>0</v>
      </c>
      <c r="D11" s="16" t="s">
        <v>0</v>
      </c>
      <c r="E11" s="44" t="s">
        <v>0</v>
      </c>
      <c r="F11" s="16" t="s">
        <v>0</v>
      </c>
      <c r="G11" s="47" t="s">
        <v>0</v>
      </c>
      <c r="M11" s="43"/>
      <c r="N11" s="43"/>
    </row>
    <row r="12" spans="1:14">
      <c r="A12" t="s">
        <v>330</v>
      </c>
      <c r="B12" s="12">
        <f>+'UNIBKRÉSULT   '!R50</f>
        <v>58320.7</v>
      </c>
      <c r="C12" s="46">
        <f t="shared" ref="C12:C17" si="0">+(B12-D12)/ABS(D12)</f>
        <v>4.7731200528889406E-2</v>
      </c>
      <c r="D12" s="12">
        <f>+'UNIBKRÉSULT   '!T50</f>
        <v>55663.8</v>
      </c>
      <c r="E12" s="44"/>
      <c r="F12" s="12">
        <f>+'UNIBKRÉSULT   '!U50</f>
        <v>215519.5</v>
      </c>
      <c r="G12" s="46">
        <f t="shared" ref="G12:G17" si="1">+(F12-H12)/ABS(H12)</f>
        <v>0.11874900398820001</v>
      </c>
      <c r="H12" s="12">
        <v>192643.3</v>
      </c>
      <c r="I12" s="46">
        <f>+(H12-J12)/ABS(J12)</f>
        <v>0.50223022469123857</v>
      </c>
      <c r="J12" s="12">
        <v>128238.2</v>
      </c>
      <c r="K12" s="46">
        <f>+(J12-L12)/ABS(L12)</f>
        <v>0.18899037315944509</v>
      </c>
      <c r="L12" s="12">
        <v>107854.7</v>
      </c>
      <c r="M12" s="43"/>
      <c r="N12" s="43"/>
    </row>
    <row r="13" spans="1:14">
      <c r="A13" t="s">
        <v>354</v>
      </c>
      <c r="B13" s="12">
        <f>+'UNIBKRÉSULT   '!R51</f>
        <v>8941.9</v>
      </c>
      <c r="C13" s="46">
        <f t="shared" si="0"/>
        <v>6.9285500747384113E-2</v>
      </c>
      <c r="D13" s="12">
        <f>+'UNIBKRÉSULT   '!T51</f>
        <v>8362.5</v>
      </c>
      <c r="E13" s="44"/>
      <c r="F13" s="12">
        <f>+'UNIBKRÉSULT   '!U51</f>
        <v>18747.8</v>
      </c>
      <c r="G13" s="46">
        <f t="shared" si="1"/>
        <v>-3.9352729583209504E-2</v>
      </c>
      <c r="H13" s="12">
        <v>19515.8</v>
      </c>
      <c r="I13" s="46"/>
      <c r="J13" s="12">
        <v>0</v>
      </c>
      <c r="K13" s="46"/>
      <c r="L13" s="12">
        <v>0</v>
      </c>
      <c r="M13" s="43"/>
      <c r="N13" s="43"/>
    </row>
    <row r="14" spans="1:14">
      <c r="A14" t="s">
        <v>332</v>
      </c>
      <c r="B14" s="221">
        <f>+'UNIBKRÉSULT   '!R52</f>
        <v>8294.2999999999993</v>
      </c>
      <c r="C14" s="46">
        <f t="shared" si="0"/>
        <v>0.11271649159522945</v>
      </c>
      <c r="D14" s="240">
        <f>+'UNIBKRÉSULT   '!T52</f>
        <v>7454.0999999999995</v>
      </c>
      <c r="E14" s="44"/>
      <c r="F14" s="240">
        <f>+'UNIBKRÉSULT   '!U52</f>
        <v>32951.199999999997</v>
      </c>
      <c r="G14" s="46">
        <f t="shared" si="1"/>
        <v>-0.1946425516314311</v>
      </c>
      <c r="H14" s="240">
        <v>40915</v>
      </c>
      <c r="I14" s="46">
        <f>+(H14-J14)/ABS(J14)</f>
        <v>-0.11666727836800964</v>
      </c>
      <c r="J14" s="240">
        <v>46318.9</v>
      </c>
      <c r="K14" s="43">
        <v>0</v>
      </c>
      <c r="L14" s="240">
        <v>19621.599999999999</v>
      </c>
      <c r="M14" s="43"/>
      <c r="N14" s="43"/>
    </row>
    <row r="15" spans="1:14">
      <c r="B15" s="12">
        <f>SUM(B12:B14)</f>
        <v>75556.899999999994</v>
      </c>
      <c r="C15" s="46">
        <f t="shared" si="0"/>
        <v>5.7029619308229737E-2</v>
      </c>
      <c r="D15" s="12">
        <f>SUM(D12:D14)</f>
        <v>71480.400000000009</v>
      </c>
      <c r="E15" s="44"/>
      <c r="F15" s="12">
        <f>SUM(F12:F14)</f>
        <v>267218.5</v>
      </c>
      <c r="G15" s="46">
        <f t="shared" si="1"/>
        <v>5.5890349901471639E-2</v>
      </c>
      <c r="H15" s="12">
        <f>SUM(H12:H14)</f>
        <v>253074.09999999998</v>
      </c>
      <c r="I15" s="46">
        <f>+(H15-J15)/ABS(J15)</f>
        <v>0.4498069686079797</v>
      </c>
      <c r="J15" s="12">
        <f>SUM(J12:J14)</f>
        <v>174557.1</v>
      </c>
      <c r="K15" s="46">
        <f>+(J15-L15)/ABS(L15)</f>
        <v>0.3693298283680968</v>
      </c>
      <c r="L15" s="12">
        <f>SUM(L12:L14)</f>
        <v>127476.29999999999</v>
      </c>
      <c r="M15" s="43"/>
      <c r="N15" s="43"/>
    </row>
    <row r="16" spans="1:14">
      <c r="A16" t="s">
        <v>333</v>
      </c>
      <c r="B16" s="240">
        <f>+'UNIBKRÉSULT   '!R54</f>
        <v>21807.200000000001</v>
      </c>
      <c r="C16" s="46">
        <f t="shared" si="0"/>
        <v>-0.36257691127252528</v>
      </c>
      <c r="D16" s="240">
        <f>+'UNIBKRÉSULT   '!T54</f>
        <v>34211.5</v>
      </c>
      <c r="E16" s="44" t="s">
        <v>0</v>
      </c>
      <c r="F16" s="240">
        <f>+'UNIBKRÉSULT   '!U54</f>
        <v>93650</v>
      </c>
      <c r="G16" s="46">
        <f t="shared" si="1"/>
        <v>-0.23658459441569576</v>
      </c>
      <c r="H16" s="240">
        <v>122672.4</v>
      </c>
      <c r="I16" s="46">
        <f>+(H16-J16)/ABS(J16)</f>
        <v>0.66047042357613395</v>
      </c>
      <c r="J16" s="240">
        <v>73878.100000000006</v>
      </c>
      <c r="K16" s="46">
        <f>+(J16-L16)/ABS(L16)</f>
        <v>0.13179604473987797</v>
      </c>
      <c r="L16" s="240">
        <v>65275.1</v>
      </c>
      <c r="M16" s="43"/>
      <c r="N16" s="43"/>
    </row>
    <row r="17" spans="1:14" s="209" customFormat="1">
      <c r="B17" s="16">
        <f>+B15-B16</f>
        <v>53749.7</v>
      </c>
      <c r="C17" s="46">
        <f t="shared" si="0"/>
        <v>0.44221321262500329</v>
      </c>
      <c r="D17" s="16">
        <f>+D15-D16</f>
        <v>37268.900000000009</v>
      </c>
      <c r="E17" s="44" t="s">
        <v>0</v>
      </c>
      <c r="F17" s="16">
        <f>+F15-F16</f>
        <v>173568.5</v>
      </c>
      <c r="G17" s="46">
        <f t="shared" si="1"/>
        <v>0.3310294267636083</v>
      </c>
      <c r="H17" s="16">
        <f>+H15-H16</f>
        <v>130401.69999999998</v>
      </c>
      <c r="I17" s="46">
        <f>+(H17-J17)/ABS(J17)</f>
        <v>0.29522243963487899</v>
      </c>
      <c r="J17" s="16">
        <f>+J15-J16</f>
        <v>100679</v>
      </c>
      <c r="K17" s="46">
        <f>+(J17-L17)/ABS(L17)</f>
        <v>0.61860221346211997</v>
      </c>
      <c r="L17" s="16">
        <f>+L15-L16</f>
        <v>62201.19999999999</v>
      </c>
      <c r="M17" s="44"/>
      <c r="N17" s="44"/>
    </row>
    <row r="18" spans="1:14">
      <c r="B18" s="12"/>
      <c r="C18" s="46"/>
      <c r="D18" s="12"/>
      <c r="E18" s="44"/>
      <c r="F18" s="12"/>
      <c r="G18" s="46"/>
      <c r="H18" s="12"/>
      <c r="I18" s="46"/>
      <c r="J18" s="12"/>
      <c r="K18" s="46"/>
      <c r="L18" s="12"/>
      <c r="M18" s="43"/>
      <c r="N18" s="43"/>
    </row>
    <row r="19" spans="1:14">
      <c r="A19" t="s">
        <v>334</v>
      </c>
      <c r="B19" s="12"/>
      <c r="C19" s="46"/>
      <c r="D19" s="12"/>
      <c r="E19" s="44" t="s">
        <v>0</v>
      </c>
      <c r="F19" s="12"/>
      <c r="G19" s="46"/>
      <c r="H19" s="12"/>
      <c r="I19" s="46"/>
      <c r="J19" s="12"/>
      <c r="K19" s="46"/>
      <c r="L19" s="12"/>
      <c r="M19" s="43"/>
      <c r="N19" s="43"/>
    </row>
    <row r="20" spans="1:14">
      <c r="A20" t="s">
        <v>335</v>
      </c>
      <c r="B20" s="12">
        <f>+'UNIBKRÉSULT   '!R58</f>
        <v>9752.7999999999993</v>
      </c>
      <c r="C20" s="46">
        <f>+(B20-D20)/ABS(D20)</f>
        <v>0.41220080798134984</v>
      </c>
      <c r="D20" s="12">
        <f>+'UNIBKRÉSULT   '!T58</f>
        <v>6906.0999999999995</v>
      </c>
      <c r="E20" s="44" t="s">
        <v>0</v>
      </c>
      <c r="F20" s="12">
        <f>+'UNIBKRÉSULT   '!U58</f>
        <v>33261.5</v>
      </c>
      <c r="G20" s="46">
        <f>+(F20-H20)/ABS(H20)</f>
        <v>0.13253770983009294</v>
      </c>
      <c r="H20" s="12">
        <v>29369</v>
      </c>
      <c r="I20" s="46">
        <f>+(H20-J20)/ABS(J20)</f>
        <v>0.10787952861648029</v>
      </c>
      <c r="J20" s="12">
        <v>26509.200000000001</v>
      </c>
      <c r="K20" s="46">
        <f>+(J20-L20)/ABS(L20)</f>
        <v>0.15385318505299356</v>
      </c>
      <c r="L20" s="12">
        <v>22974.5</v>
      </c>
      <c r="M20" s="43"/>
      <c r="N20" s="43"/>
    </row>
    <row r="21" spans="1:14">
      <c r="A21" t="s">
        <v>336</v>
      </c>
      <c r="B21" s="12">
        <f>+'UNIBKRÉSULT   '!R59</f>
        <v>16839.400000000001</v>
      </c>
      <c r="C21" s="46">
        <f>+(B21-D21)/ABS(D21)</f>
        <v>0.70608498308038337</v>
      </c>
      <c r="D21" s="12">
        <f>+'UNIBKRÉSULT   '!T59</f>
        <v>9870.2000000000007</v>
      </c>
      <c r="E21" s="44" t="s">
        <v>0</v>
      </c>
      <c r="F21" s="12">
        <f>+'UNIBKRÉSULT   '!U59</f>
        <v>40523.300000000003</v>
      </c>
      <c r="G21" s="46">
        <f>+(F21-H21)/ABS(H21)</f>
        <v>0.31590517941224233</v>
      </c>
      <c r="H21" s="12">
        <v>30795</v>
      </c>
      <c r="I21" s="46">
        <f>+(H21-J21)/ABS(J21)</f>
        <v>0.55848296524221153</v>
      </c>
      <c r="J21" s="12">
        <v>19759.599999999999</v>
      </c>
      <c r="K21" s="46">
        <f>+(J21-L21)/ABS(L21)</f>
        <v>5.7839736177138085E-2</v>
      </c>
      <c r="L21" s="12">
        <v>18679.2</v>
      </c>
      <c r="M21" s="43"/>
      <c r="N21" s="43"/>
    </row>
    <row r="22" spans="1:14">
      <c r="A22" t="s">
        <v>284</v>
      </c>
      <c r="B22" s="240">
        <f>+'UNIBKRÉSULT   '!R60</f>
        <v>1028.3</v>
      </c>
      <c r="C22" s="46">
        <f>+(B22-D22)/ABS(D22)</f>
        <v>27.96619718309859</v>
      </c>
      <c r="D22" s="240">
        <f>+'UNIBKRÉSULT   '!T60</f>
        <v>35.5</v>
      </c>
      <c r="E22" s="44" t="s">
        <v>0</v>
      </c>
      <c r="F22" s="240">
        <f>+'UNIBKRÉSULT   '!U60</f>
        <v>2271.3000000000002</v>
      </c>
      <c r="G22" s="46">
        <f>+(F22-H22)/ABS(H22)</f>
        <v>1.6106896551724139</v>
      </c>
      <c r="H22" s="240">
        <v>870</v>
      </c>
      <c r="I22" s="46">
        <f>+(H22-J22)/ABS(J22)</f>
        <v>0.55135520684736106</v>
      </c>
      <c r="J22" s="240">
        <v>560.79999999999995</v>
      </c>
      <c r="K22" s="46">
        <f>+(J22-L22)/ABS(L22)</f>
        <v>-0.3227053140096619</v>
      </c>
      <c r="L22" s="240">
        <v>828</v>
      </c>
      <c r="M22" s="43"/>
      <c r="N22" s="43"/>
    </row>
    <row r="23" spans="1:14" s="209" customFormat="1">
      <c r="B23" s="16">
        <f>SUM(B20:B22)</f>
        <v>27620.5</v>
      </c>
      <c r="C23" s="46">
        <f>+(B23-D23)/ABS(D23)</f>
        <v>0.64292342283396198</v>
      </c>
      <c r="D23" s="16">
        <f>SUM(D20:D22)</f>
        <v>16811.8</v>
      </c>
      <c r="E23" s="44" t="s">
        <v>0</v>
      </c>
      <c r="F23" s="16">
        <f>SUM(F20:F22)</f>
        <v>76056.100000000006</v>
      </c>
      <c r="G23" s="46">
        <f>+(F23-H23)/ABS(H23)</f>
        <v>0.24612674902513362</v>
      </c>
      <c r="H23" s="16">
        <f>SUM(H20:H22)</f>
        <v>61034</v>
      </c>
      <c r="I23" s="46">
        <f>+(H23-J23)/ABS(J23)</f>
        <v>0.30332097647641648</v>
      </c>
      <c r="J23" s="16">
        <f>SUM(J20:J22)</f>
        <v>46829.600000000006</v>
      </c>
      <c r="K23" s="46">
        <f>+(J23-L23)/ABS(L23)</f>
        <v>0.10234759908384101</v>
      </c>
      <c r="L23" s="16">
        <f>SUM(L20:L22)</f>
        <v>42481.7</v>
      </c>
      <c r="M23" s="44"/>
      <c r="N23" s="44"/>
    </row>
    <row r="24" spans="1:14">
      <c r="B24" s="240"/>
      <c r="C24" s="46"/>
      <c r="D24" s="240"/>
      <c r="E24" s="44"/>
      <c r="F24" s="240"/>
      <c r="G24" s="46"/>
      <c r="H24" s="240"/>
      <c r="I24" s="46"/>
      <c r="J24" s="240"/>
      <c r="K24" s="46"/>
      <c r="L24" s="240"/>
      <c r="M24" s="43"/>
      <c r="N24" s="43"/>
    </row>
    <row r="25" spans="1:14" s="209" customFormat="1">
      <c r="A25" s="209" t="s">
        <v>337</v>
      </c>
      <c r="B25" s="16">
        <f>+B17+B23</f>
        <v>81370.2</v>
      </c>
      <c r="C25" s="46">
        <f>+(B25-D25)/ABS(D25)</f>
        <v>0.504607003977389</v>
      </c>
      <c r="D25" s="16">
        <f>+D17+D23</f>
        <v>54080.700000000012</v>
      </c>
      <c r="E25" s="44" t="s">
        <v>0</v>
      </c>
      <c r="F25" s="16">
        <f>+F17+F23</f>
        <v>249624.6</v>
      </c>
      <c r="G25" s="46">
        <f>+(F25-H25)/ABS(H25)</f>
        <v>0.30396054654382659</v>
      </c>
      <c r="H25" s="16">
        <f>+H17+H23</f>
        <v>191435.69999999998</v>
      </c>
      <c r="I25" s="46">
        <f>+(H25-J25)/ABS(J25)</f>
        <v>0.29779348458327159</v>
      </c>
      <c r="J25" s="16">
        <f>+J17+J23</f>
        <v>147508.6</v>
      </c>
      <c r="K25" s="46">
        <f>+(J25-L25)/ABS(L25)</f>
        <v>0.40909928937773038</v>
      </c>
      <c r="L25" s="16">
        <f>+L17+L23</f>
        <v>104682.9</v>
      </c>
      <c r="M25" s="44"/>
      <c r="N25" s="44"/>
    </row>
    <row r="26" spans="1:14">
      <c r="B26" s="12"/>
      <c r="C26" s="46"/>
      <c r="D26" s="12"/>
      <c r="E26" s="44" t="s">
        <v>0</v>
      </c>
      <c r="F26" s="12"/>
      <c r="G26" s="46"/>
      <c r="H26" s="12"/>
      <c r="I26" s="46"/>
      <c r="J26" s="12"/>
      <c r="K26" s="46"/>
      <c r="L26" s="12"/>
      <c r="M26" s="43"/>
      <c r="N26" s="43"/>
    </row>
    <row r="27" spans="1:14">
      <c r="A27" t="s">
        <v>338</v>
      </c>
      <c r="B27" s="12">
        <f>+'UNIBKRÉSULT   '!R65</f>
        <v>4350</v>
      </c>
      <c r="C27" s="46">
        <f>+(B27-D27)/ABS(D27)</f>
        <v>2.7826086956521738</v>
      </c>
      <c r="D27" s="12">
        <f>+'UNIBKRÉSULT   '!T65</f>
        <v>1150</v>
      </c>
      <c r="E27" s="44" t="s">
        <v>0</v>
      </c>
      <c r="F27" s="12">
        <f>+'UNIBKRÉSULT   '!U65</f>
        <v>11446</v>
      </c>
      <c r="G27" s="46">
        <f>+(F27-H27)/ABS(H27)</f>
        <v>1.7252380952380952</v>
      </c>
      <c r="H27" s="12">
        <v>4200</v>
      </c>
      <c r="I27" s="46">
        <f>+(H27-J27)/ABS(J27)</f>
        <v>-8.8482323067908028E-2</v>
      </c>
      <c r="J27" s="12">
        <v>4607.7</v>
      </c>
      <c r="K27" s="46">
        <f>+(J27-L27)/ABS(L27)</f>
        <v>2.0718000000000001</v>
      </c>
      <c r="L27" s="12">
        <v>1500</v>
      </c>
      <c r="M27" s="43"/>
      <c r="N27" s="43"/>
    </row>
    <row r="28" spans="1:14">
      <c r="B28" s="12"/>
      <c r="C28" s="46"/>
      <c r="D28" s="12"/>
      <c r="E28" s="44" t="s">
        <v>0</v>
      </c>
      <c r="F28" s="12"/>
      <c r="G28" s="46"/>
      <c r="H28" s="12"/>
      <c r="I28" s="46"/>
      <c r="J28" s="12"/>
      <c r="K28" s="46"/>
      <c r="L28" s="12"/>
      <c r="M28" s="43"/>
      <c r="N28" s="43"/>
    </row>
    <row r="29" spans="1:14">
      <c r="A29" t="s">
        <v>339</v>
      </c>
      <c r="B29" s="240"/>
      <c r="C29" s="46"/>
      <c r="D29" s="240"/>
      <c r="E29" s="44" t="s">
        <v>0</v>
      </c>
      <c r="F29" s="240"/>
      <c r="G29" s="46"/>
      <c r="H29" s="240"/>
      <c r="I29" s="46"/>
      <c r="J29" s="240"/>
      <c r="K29" s="46"/>
      <c r="L29" s="240"/>
      <c r="M29" s="43"/>
      <c r="N29" s="43"/>
    </row>
    <row r="30" spans="1:14" s="209" customFormat="1">
      <c r="A30" s="209" t="s">
        <v>340</v>
      </c>
      <c r="B30" s="16">
        <f>+B25-B27</f>
        <v>77020.2</v>
      </c>
      <c r="C30" s="46">
        <f>+(B30-D30)/ABS(D30)</f>
        <v>0.45511395088294659</v>
      </c>
      <c r="D30" s="16">
        <f>+D25-D27</f>
        <v>52930.700000000012</v>
      </c>
      <c r="E30" s="44" t="s">
        <v>0</v>
      </c>
      <c r="F30" s="16">
        <f>+F25-F27</f>
        <v>238178.6</v>
      </c>
      <c r="G30" s="46">
        <f>+(F30-H30)/ABS(H30)</f>
        <v>0.27207898920985701</v>
      </c>
      <c r="H30" s="16">
        <f>+H25-H27</f>
        <v>187235.69999999998</v>
      </c>
      <c r="I30" s="46">
        <f>+(H30-J30)/ABS(J30)</f>
        <v>0.31024857086274465</v>
      </c>
      <c r="J30" s="16">
        <f>+J25-J27</f>
        <v>142900.9</v>
      </c>
      <c r="K30" s="46">
        <f>+(J30-L30)/ABS(L30)</f>
        <v>0.3849281227800343</v>
      </c>
      <c r="L30" s="16">
        <f>+L25-L27</f>
        <v>103182.9</v>
      </c>
      <c r="M30" s="44"/>
      <c r="N30" s="44"/>
    </row>
    <row r="31" spans="1:14">
      <c r="B31" s="12"/>
      <c r="C31" s="46"/>
      <c r="D31" s="12"/>
      <c r="E31" s="44" t="s">
        <v>0</v>
      </c>
      <c r="F31" s="12"/>
      <c r="G31" s="46"/>
      <c r="H31" s="12"/>
      <c r="I31" s="46"/>
      <c r="J31" s="12"/>
      <c r="K31" s="46"/>
      <c r="L31" s="12"/>
      <c r="M31" s="43"/>
      <c r="N31" s="43"/>
    </row>
    <row r="32" spans="1:14">
      <c r="A32" t="s">
        <v>341</v>
      </c>
      <c r="B32" s="12"/>
      <c r="C32" s="46"/>
      <c r="D32" s="12"/>
      <c r="E32" s="44" t="s">
        <v>0</v>
      </c>
      <c r="F32" s="12"/>
      <c r="G32" s="46"/>
      <c r="H32" s="12"/>
      <c r="I32" s="46"/>
      <c r="J32" s="12"/>
      <c r="K32" s="46"/>
      <c r="L32" s="12"/>
      <c r="M32" s="43"/>
      <c r="N32" s="43"/>
    </row>
    <row r="33" spans="1:14">
      <c r="A33" t="s">
        <v>342</v>
      </c>
      <c r="B33" s="12">
        <f>+'UNIBKRÉSULT   '!R71</f>
        <v>26150.799999999999</v>
      </c>
      <c r="C33" s="46">
        <f>+(B33-D33)/ABS(D33)</f>
        <v>0.45974791510834745</v>
      </c>
      <c r="D33" s="12">
        <f>+'UNIBKRÉSULT   '!T71</f>
        <v>17914.599999999999</v>
      </c>
      <c r="E33" s="44" t="s">
        <v>0</v>
      </c>
      <c r="F33" s="12">
        <f>+'UNIBKRÉSULT   '!U71</f>
        <v>79716</v>
      </c>
      <c r="G33" s="46">
        <f>+(F33-H33)/ABS(H33)</f>
        <v>0.33297883547453383</v>
      </c>
      <c r="H33" s="12">
        <v>59802.9</v>
      </c>
      <c r="I33" s="46">
        <f>+(H33-J33)/ABS(J33)</f>
        <v>0.22743365919637781</v>
      </c>
      <c r="J33" s="12">
        <v>48721.9</v>
      </c>
      <c r="K33" s="46">
        <f>+(J33-L33)/ABS(L33)</f>
        <v>0.38603493400091038</v>
      </c>
      <c r="L33" s="12">
        <v>35152</v>
      </c>
      <c r="M33" s="43"/>
      <c r="N33" s="43"/>
    </row>
    <row r="34" spans="1:14">
      <c r="A34" t="s">
        <v>343</v>
      </c>
      <c r="B34" s="12">
        <f>+'UNIBKRÉSULT   '!R72</f>
        <v>2490.1999999999998</v>
      </c>
      <c r="C34" s="46">
        <f>+(B34-D34)/ABS(D34)</f>
        <v>0.20731116067099772</v>
      </c>
      <c r="D34" s="12">
        <f>+'UNIBKRÉSULT   '!T72</f>
        <v>2062.6</v>
      </c>
      <c r="E34" s="44" t="s">
        <v>0</v>
      </c>
      <c r="F34" s="12">
        <f>+'UNIBKRÉSULT   '!U72</f>
        <v>9120.7000000000007</v>
      </c>
      <c r="G34" s="46">
        <f>+(F34-H34)/ABS(H34)</f>
        <v>-5.6023597598840742E-2</v>
      </c>
      <c r="H34" s="12">
        <v>9662</v>
      </c>
      <c r="I34" s="46">
        <f>+(H34-J34)/ABS(J34)</f>
        <v>0.44178828304533391</v>
      </c>
      <c r="J34" s="12">
        <v>6701.4</v>
      </c>
      <c r="K34" s="46">
        <f>+(J34-L34)/ABS(L34)</f>
        <v>0.33565862117074907</v>
      </c>
      <c r="L34" s="12">
        <v>5017.3</v>
      </c>
      <c r="M34" s="43"/>
      <c r="N34" s="43"/>
    </row>
    <row r="35" spans="1:14">
      <c r="A35" t="s">
        <v>344</v>
      </c>
      <c r="B35" s="12">
        <f>+'UNIBKRÉSULT   '!R73</f>
        <v>7628.3</v>
      </c>
      <c r="C35" s="46">
        <f>+(B35-D35)/ABS(D35)</f>
        <v>0.50992656519071267</v>
      </c>
      <c r="D35" s="12">
        <f>+'UNIBKRÉSULT   '!T73</f>
        <v>5052.1000000000004</v>
      </c>
      <c r="E35" s="44" t="s">
        <v>0</v>
      </c>
      <c r="F35" s="12">
        <f>+'UNIBKRÉSULT   '!U73</f>
        <v>25862.5</v>
      </c>
      <c r="G35" s="46">
        <f>+(F35-H35)/ABS(H35)</f>
        <v>0.40574637047022177</v>
      </c>
      <c r="H35" s="12">
        <v>18397.7</v>
      </c>
      <c r="I35" s="46">
        <f>+(H35-J35)/ABS(J35)</f>
        <v>0.17735484407697288</v>
      </c>
      <c r="J35" s="12">
        <v>15626.3</v>
      </c>
      <c r="K35" s="46">
        <f>+(J35-L35)/ABS(L35)</f>
        <v>0.30940430203035052</v>
      </c>
      <c r="L35" s="12">
        <v>11933.9</v>
      </c>
      <c r="M35" s="43"/>
      <c r="N35" s="43"/>
    </row>
    <row r="36" spans="1:14">
      <c r="A36" t="s">
        <v>345</v>
      </c>
      <c r="B36" s="240">
        <f>+'UNIBKRÉSULT   '!R74</f>
        <v>24206.1</v>
      </c>
      <c r="C36" s="46">
        <f>+(B36-D36)/ABS(D36)</f>
        <v>0.43801461415077519</v>
      </c>
      <c r="D36" s="240">
        <f>+'UNIBKRÉSULT   '!T74</f>
        <v>16833</v>
      </c>
      <c r="E36" s="44" t="s">
        <v>0</v>
      </c>
      <c r="F36" s="240">
        <f>+'UNIBKRÉSULT   '!U74</f>
        <v>80405.8</v>
      </c>
      <c r="G36" s="46">
        <f>+(F36-H36)/ABS(H36)</f>
        <v>0.3814883604256189</v>
      </c>
      <c r="H36" s="240">
        <v>58202.3</v>
      </c>
      <c r="I36" s="46">
        <f>+(H36-J36)/ABS(J36)</f>
        <v>0.60361653588432373</v>
      </c>
      <c r="J36" s="240">
        <v>36294.400000000001</v>
      </c>
      <c r="K36" s="46">
        <f>+(J36-L36)/ABS(L36)</f>
        <v>0.11452857072667427</v>
      </c>
      <c r="L36" s="240">
        <v>32564.799999999999</v>
      </c>
      <c r="M36" s="43"/>
      <c r="N36" s="43"/>
    </row>
    <row r="37" spans="1:14" s="209" customFormat="1">
      <c r="B37" s="16">
        <f>SUM(B33:B36)</f>
        <v>60475.4</v>
      </c>
      <c r="C37" s="46">
        <f>+(B37-D37)/ABS(D37)</f>
        <v>0.44462678830355734</v>
      </c>
      <c r="D37" s="16">
        <f>SUM(D33:D36)</f>
        <v>41862.299999999996</v>
      </c>
      <c r="E37" s="44" t="s">
        <v>0</v>
      </c>
      <c r="F37" s="16">
        <f>SUM(F33:F36)</f>
        <v>195105</v>
      </c>
      <c r="G37" s="46">
        <f>+(F37-H37)/ABS(H37)</f>
        <v>0.33574185173850807</v>
      </c>
      <c r="H37" s="16">
        <f>SUM(H33:H36)</f>
        <v>146064.9</v>
      </c>
      <c r="I37" s="46">
        <f>+(H37-J37)/ABS(J37)</f>
        <v>0.36071787896854968</v>
      </c>
      <c r="J37" s="16">
        <f>SUM(J33:J36)</f>
        <v>107344</v>
      </c>
      <c r="K37" s="46">
        <f>+(J37-L37)/ABS(L37)</f>
        <v>0.26782255397552795</v>
      </c>
      <c r="L37" s="16">
        <f>SUM(L33:L36)</f>
        <v>84668</v>
      </c>
      <c r="M37" s="44"/>
      <c r="N37" s="44"/>
    </row>
    <row r="38" spans="1:14">
      <c r="B38" s="249"/>
      <c r="C38" s="112"/>
      <c r="D38" s="249"/>
      <c r="E38" s="42"/>
      <c r="F38" s="249"/>
      <c r="G38" s="112"/>
      <c r="H38" s="249"/>
      <c r="I38" s="112"/>
      <c r="J38" s="249"/>
      <c r="K38" s="112"/>
      <c r="L38" s="249"/>
      <c r="M38" s="43"/>
      <c r="N38" s="43"/>
    </row>
    <row r="39" spans="1:14" s="209" customFormat="1">
      <c r="A39" s="209" t="s">
        <v>346</v>
      </c>
      <c r="B39" s="16">
        <f>+B30-B37</f>
        <v>16544.799999999996</v>
      </c>
      <c r="C39" s="46">
        <f>+(B39-D39)/ABS(D39)</f>
        <v>0.49477792634888257</v>
      </c>
      <c r="D39" s="16">
        <f>+D30-D37</f>
        <v>11068.400000000016</v>
      </c>
      <c r="E39" s="44" t="s">
        <v>0</v>
      </c>
      <c r="F39" s="16">
        <f>+F30-F37</f>
        <v>43073.600000000006</v>
      </c>
      <c r="G39" s="46">
        <f>+(F39-H39)/ABS(H39)</f>
        <v>4.6217221914561242E-2</v>
      </c>
      <c r="H39" s="16">
        <f>+H30-H37</f>
        <v>41170.799999999988</v>
      </c>
      <c r="I39" s="46">
        <f>+(H39-J39)/ABS(J39)</f>
        <v>0.15788496747466724</v>
      </c>
      <c r="J39" s="16">
        <f>+J30-J37</f>
        <v>35556.899999999994</v>
      </c>
      <c r="K39" s="46">
        <f>+(J39-L39)/ABS(L39)</f>
        <v>0.92044785551096708</v>
      </c>
      <c r="L39" s="16">
        <f>+L30-L37</f>
        <v>18514.899999999994</v>
      </c>
      <c r="M39" s="44"/>
      <c r="N39" s="44"/>
    </row>
    <row r="40" spans="1:14">
      <c r="B40" s="12"/>
      <c r="C40" s="46"/>
      <c r="D40" s="12"/>
      <c r="E40" s="44" t="s">
        <v>0</v>
      </c>
      <c r="F40" s="12"/>
      <c r="G40" s="46"/>
      <c r="H40" s="12"/>
      <c r="I40" s="46"/>
      <c r="J40" s="12"/>
      <c r="K40" s="46"/>
      <c r="L40" s="12"/>
      <c r="M40" s="43"/>
      <c r="N40" s="43"/>
    </row>
    <row r="41" spans="1:14">
      <c r="A41" t="s">
        <v>347</v>
      </c>
      <c r="B41" s="12">
        <f>+'UNIBKRÉSULT   '!R79</f>
        <v>5143.1000000000004</v>
      </c>
      <c r="C41" s="46">
        <f>+(B41-D41)/ABS(D41)</f>
        <v>0.50471035693387933</v>
      </c>
      <c r="D41" s="12">
        <f>+'UNIBKRÉSULT   '!T79</f>
        <v>3418.0000000000005</v>
      </c>
      <c r="E41" s="44" t="s">
        <v>0</v>
      </c>
      <c r="F41" s="12">
        <f>+'UNIBKRÉSULT   '!U79</f>
        <v>11851.2</v>
      </c>
      <c r="G41" s="46">
        <f>+(F41-H41)/ABS(H41)</f>
        <v>0.19103946614674949</v>
      </c>
      <c r="H41" s="12">
        <v>9950.2999999999993</v>
      </c>
      <c r="I41" s="46">
        <f>+(H41-J41)/ABS(J41)</f>
        <v>-0.11017411444872702</v>
      </c>
      <c r="J41" s="12">
        <v>11182.3</v>
      </c>
      <c r="K41" s="46">
        <f>+(J41-L41)/ABS(L41)</f>
        <v>0.94012526675572972</v>
      </c>
      <c r="L41" s="12">
        <v>5763.7</v>
      </c>
      <c r="M41" s="43"/>
      <c r="N41" s="43"/>
    </row>
    <row r="42" spans="1:14" ht="16.5" thickBot="1">
      <c r="B42" s="76"/>
      <c r="C42" s="46"/>
      <c r="D42" s="76"/>
      <c r="E42" s="44" t="s">
        <v>0</v>
      </c>
      <c r="F42" s="76"/>
      <c r="G42" s="46"/>
      <c r="H42" s="76"/>
      <c r="I42" s="46"/>
      <c r="J42" s="76"/>
      <c r="K42" s="46"/>
      <c r="L42" s="76"/>
      <c r="M42" s="43"/>
      <c r="N42" s="43"/>
    </row>
    <row r="43" spans="1:14">
      <c r="A43" s="2" t="s">
        <v>427</v>
      </c>
      <c r="B43" s="4">
        <f>+B39-B41</f>
        <v>11401.699999999995</v>
      </c>
      <c r="C43" s="112">
        <f>+(B43-D43)/ABS(D43)</f>
        <v>0.49034037435950689</v>
      </c>
      <c r="D43" s="4">
        <f>+D39-D41</f>
        <v>7650.400000000016</v>
      </c>
      <c r="E43" s="42" t="s">
        <v>0</v>
      </c>
      <c r="F43" s="4">
        <f>+F39-F41</f>
        <v>31222.400000000005</v>
      </c>
      <c r="G43" s="112">
        <f>+(F43-H43)/ABS(H43)</f>
        <v>6.0857449432776792E-5</v>
      </c>
      <c r="H43" s="4">
        <f>+H39-H41</f>
        <v>31220.499999999989</v>
      </c>
      <c r="I43" s="112">
        <f>+(H43-J43)/ABS(J43)</f>
        <v>0.28086204491560868</v>
      </c>
      <c r="J43" s="4">
        <f>+J39-J41</f>
        <v>24374.599999999995</v>
      </c>
      <c r="K43" s="112">
        <f>+(J43-L43)/ABS(L43)</f>
        <v>0.9115534224229882</v>
      </c>
      <c r="L43" s="4">
        <f>+L39-L41</f>
        <v>12751.199999999993</v>
      </c>
      <c r="M43" s="43"/>
      <c r="N43" s="43"/>
    </row>
    <row r="44" spans="1:14">
      <c r="E44" t="s">
        <v>0</v>
      </c>
    </row>
    <row r="45" spans="1:14">
      <c r="E45" t="s">
        <v>0</v>
      </c>
    </row>
  </sheetData>
  <pageMargins left="0.43" right="0.49" top="0.54" bottom="0.75" header="0.34" footer="0.5"/>
  <pageSetup scale="62" orientation="landscape" r:id="rId1"/>
  <headerFooter alignWithMargins="0">
    <oddFooter>&amp;R&amp;P</oddFoot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5"/>
  <sheetViews>
    <sheetView workbookViewId="0"/>
  </sheetViews>
  <sheetFormatPr defaultRowHeight="15.75"/>
  <cols>
    <col min="1" max="4" width="11" customWidth="1"/>
    <col min="5" max="5" width="55.875" customWidth="1"/>
    <col min="6" max="6" width="13.125" customWidth="1"/>
    <col min="7" max="256" width="11" customWidth="1"/>
  </cols>
  <sheetData>
    <row r="1" spans="1:9">
      <c r="A1" s="843"/>
      <c r="B1" s="843"/>
      <c r="C1" s="843"/>
      <c r="D1" s="843"/>
      <c r="E1" s="843"/>
      <c r="F1" s="843"/>
      <c r="G1" s="843"/>
      <c r="H1" s="843"/>
      <c r="I1" s="843"/>
    </row>
    <row r="2" spans="1:9">
      <c r="A2" s="843"/>
      <c r="B2" s="843"/>
      <c r="C2" s="843"/>
      <c r="D2" s="843"/>
      <c r="E2" s="843"/>
      <c r="F2" s="843"/>
      <c r="G2" s="843"/>
      <c r="H2" s="843"/>
      <c r="I2" s="843"/>
    </row>
    <row r="3" spans="1:9">
      <c r="A3" s="843"/>
      <c r="B3" s="843"/>
      <c r="C3" s="843"/>
      <c r="D3" s="843"/>
      <c r="E3" s="843"/>
      <c r="F3" s="843"/>
      <c r="G3" s="843"/>
      <c r="H3" s="843"/>
      <c r="I3" s="843"/>
    </row>
    <row r="4" spans="1:9">
      <c r="A4" s="843"/>
      <c r="B4" s="843"/>
      <c r="C4" s="843"/>
      <c r="D4" s="843"/>
      <c r="E4" s="843"/>
      <c r="F4" s="843"/>
      <c r="G4" s="843"/>
      <c r="H4" s="843"/>
      <c r="I4" s="843"/>
    </row>
    <row r="5" spans="1:9">
      <c r="A5" s="843"/>
      <c r="B5" s="843"/>
      <c r="C5" s="843"/>
      <c r="D5" s="843"/>
      <c r="E5" s="843"/>
      <c r="F5" s="843"/>
      <c r="G5" s="843"/>
      <c r="H5" s="843"/>
      <c r="I5" s="843"/>
    </row>
    <row r="6" spans="1:9">
      <c r="A6" s="843"/>
      <c r="B6" s="843"/>
      <c r="C6" s="843"/>
      <c r="D6" s="843"/>
      <c r="E6" s="843"/>
      <c r="F6" s="843"/>
      <c r="G6" s="843"/>
      <c r="H6" s="843"/>
      <c r="I6" s="843"/>
    </row>
    <row r="7" spans="1:9">
      <c r="A7" s="843"/>
      <c r="B7" s="843"/>
      <c r="C7" s="843"/>
      <c r="D7" s="843"/>
      <c r="E7" s="843"/>
      <c r="F7" s="843"/>
      <c r="G7" s="843"/>
      <c r="H7" s="843"/>
      <c r="I7" s="843"/>
    </row>
    <row r="8" spans="1:9">
      <c r="A8" s="843"/>
      <c r="B8" s="843"/>
      <c r="C8" s="843"/>
      <c r="D8" s="843"/>
      <c r="E8" s="843"/>
      <c r="F8" s="843"/>
      <c r="G8" s="843"/>
      <c r="H8" s="843"/>
      <c r="I8" s="843"/>
    </row>
    <row r="9" spans="1:9">
      <c r="A9" s="843"/>
      <c r="B9" s="843"/>
      <c r="C9" s="843"/>
      <c r="D9" s="843"/>
      <c r="E9" s="843"/>
      <c r="F9" s="843"/>
      <c r="G9" s="843"/>
      <c r="H9" s="843"/>
      <c r="I9" s="843"/>
    </row>
    <row r="10" spans="1:9">
      <c r="A10" s="843"/>
      <c r="B10" s="843"/>
      <c r="C10" s="843"/>
      <c r="D10" s="843"/>
      <c r="E10" s="843"/>
      <c r="F10" s="843"/>
      <c r="G10" s="843"/>
      <c r="H10" s="843"/>
      <c r="I10" s="843"/>
    </row>
    <row r="11" spans="1:9">
      <c r="A11" s="843"/>
      <c r="B11" s="843"/>
      <c r="C11" s="843"/>
      <c r="D11" s="843"/>
      <c r="E11" s="843"/>
      <c r="F11" s="843"/>
      <c r="G11" s="843"/>
      <c r="H11" s="843"/>
      <c r="I11" s="843"/>
    </row>
    <row r="12" spans="1:9">
      <c r="A12" s="843"/>
      <c r="B12" s="843"/>
      <c r="C12" s="843"/>
      <c r="D12" s="843"/>
      <c r="E12" s="843"/>
      <c r="F12" s="843"/>
      <c r="G12" s="843"/>
      <c r="H12" s="843"/>
      <c r="I12" s="843"/>
    </row>
    <row r="13" spans="1:9">
      <c r="A13" s="843"/>
      <c r="B13" s="843"/>
      <c r="C13" s="843"/>
      <c r="D13" s="843"/>
      <c r="E13" s="843"/>
      <c r="F13" s="843"/>
      <c r="G13" s="843"/>
      <c r="H13" s="843"/>
      <c r="I13" s="843"/>
    </row>
    <row r="14" spans="1:9">
      <c r="A14" s="843"/>
      <c r="B14" s="843"/>
      <c r="C14" s="843"/>
      <c r="D14" s="843"/>
      <c r="E14" s="843"/>
      <c r="F14" s="843"/>
      <c r="G14" s="843"/>
      <c r="H14" s="843"/>
      <c r="I14" s="843"/>
    </row>
    <row r="15" spans="1:9">
      <c r="A15" s="843"/>
      <c r="B15" s="843"/>
      <c r="C15" s="843"/>
      <c r="D15" s="843"/>
      <c r="E15" s="843"/>
      <c r="F15" s="843"/>
      <c r="G15" s="843"/>
      <c r="H15" s="843"/>
      <c r="I15" s="843"/>
    </row>
    <row r="16" spans="1:9" ht="25.5">
      <c r="A16" s="818" t="s">
        <v>663</v>
      </c>
      <c r="B16" s="812"/>
      <c r="C16" s="812"/>
      <c r="D16" s="812"/>
      <c r="E16" s="812"/>
      <c r="F16" s="812"/>
      <c r="G16" s="812"/>
      <c r="H16" s="812"/>
      <c r="I16" s="812"/>
    </row>
    <row r="17" spans="1:9">
      <c r="A17" s="843"/>
      <c r="B17" s="843"/>
      <c r="C17" s="843"/>
      <c r="D17" s="843"/>
      <c r="E17" s="843"/>
      <c r="F17" s="843"/>
      <c r="G17" s="843"/>
      <c r="H17" s="843"/>
      <c r="I17" s="843"/>
    </row>
    <row r="18" spans="1:9">
      <c r="A18" s="843"/>
      <c r="B18" s="843"/>
      <c r="C18" s="843"/>
      <c r="D18" s="843"/>
      <c r="E18" s="843"/>
      <c r="F18" s="843"/>
      <c r="G18" s="843"/>
      <c r="H18" s="843"/>
      <c r="I18" s="843"/>
    </row>
    <row r="19" spans="1:9" ht="20.25">
      <c r="A19" s="845" t="s">
        <v>87</v>
      </c>
      <c r="B19" s="844"/>
      <c r="C19" s="844"/>
      <c r="D19" s="844"/>
      <c r="E19" s="844"/>
      <c r="F19" s="844"/>
      <c r="G19" s="844"/>
      <c r="H19" s="844"/>
      <c r="I19" s="844"/>
    </row>
    <row r="20" spans="1:9" ht="20.25">
      <c r="A20" s="845"/>
      <c r="B20" s="844"/>
      <c r="C20" s="844"/>
      <c r="D20" s="844"/>
      <c r="E20" s="844"/>
      <c r="F20" s="844"/>
      <c r="G20" s="844"/>
      <c r="H20" s="844"/>
      <c r="I20" s="844"/>
    </row>
    <row r="21" spans="1:9" ht="9" customHeight="1">
      <c r="A21" s="843"/>
      <c r="B21" s="843"/>
      <c r="C21" s="843"/>
      <c r="D21" s="843"/>
      <c r="E21" s="843"/>
      <c r="F21" s="843"/>
      <c r="G21" s="843"/>
      <c r="H21" s="843"/>
      <c r="I21" s="843"/>
    </row>
    <row r="22" spans="1:9">
      <c r="A22" s="846" t="s">
        <v>664</v>
      </c>
      <c r="B22" s="847"/>
      <c r="C22" s="847"/>
      <c r="D22" s="847"/>
      <c r="E22" s="847"/>
      <c r="F22" s="847"/>
      <c r="G22" s="847"/>
      <c r="H22" s="847"/>
      <c r="I22" s="847"/>
    </row>
    <row r="23" spans="1:9" ht="9" customHeight="1">
      <c r="A23" s="847"/>
      <c r="B23" s="847"/>
      <c r="C23" s="847"/>
      <c r="D23" s="847"/>
      <c r="E23" s="847"/>
      <c r="F23" s="847"/>
      <c r="G23" s="847"/>
      <c r="H23" s="847"/>
      <c r="I23" s="847"/>
    </row>
    <row r="24" spans="1:9">
      <c r="A24" s="846" t="s">
        <v>665</v>
      </c>
      <c r="B24" s="847"/>
      <c r="C24" s="847"/>
      <c r="D24" s="847"/>
      <c r="E24" s="847"/>
      <c r="F24" s="847"/>
      <c r="G24" s="847"/>
      <c r="H24" s="847"/>
      <c r="I24" s="847"/>
    </row>
    <row r="25" spans="1:9" ht="9" customHeight="1">
      <c r="A25" s="847"/>
      <c r="B25" s="847"/>
      <c r="C25" s="847"/>
      <c r="D25" s="847"/>
      <c r="E25" s="847"/>
      <c r="F25" s="847"/>
      <c r="G25" s="847"/>
      <c r="H25" s="847"/>
      <c r="I25" s="847"/>
    </row>
    <row r="26" spans="1:9">
      <c r="A26" s="846" t="s">
        <v>666</v>
      </c>
      <c r="B26" s="847"/>
      <c r="C26" s="847"/>
      <c r="D26" s="847"/>
      <c r="E26" s="847"/>
      <c r="F26" s="847"/>
      <c r="G26" s="847"/>
      <c r="H26" s="847"/>
      <c r="I26" s="847"/>
    </row>
    <row r="27" spans="1:9" ht="9" customHeight="1">
      <c r="A27" s="843"/>
      <c r="B27" s="843"/>
      <c r="C27" s="843"/>
      <c r="D27" s="843"/>
      <c r="E27" s="843"/>
      <c r="F27" s="843"/>
      <c r="G27" s="843"/>
      <c r="H27" s="843"/>
      <c r="I27" s="843"/>
    </row>
    <row r="28" spans="1:9">
      <c r="A28" s="846" t="s">
        <v>667</v>
      </c>
      <c r="B28" s="843"/>
      <c r="C28" s="843"/>
      <c r="D28" s="843"/>
      <c r="E28" s="843"/>
      <c r="F28" s="843"/>
      <c r="G28" s="843"/>
      <c r="H28" s="843"/>
      <c r="I28" s="843"/>
    </row>
    <row r="29" spans="1:9" ht="9" customHeight="1">
      <c r="A29" s="846" t="s">
        <v>0</v>
      </c>
      <c r="B29" s="843"/>
      <c r="C29" s="843"/>
      <c r="D29" s="843"/>
      <c r="E29" s="843"/>
      <c r="F29" s="843"/>
      <c r="G29" s="843"/>
      <c r="H29" s="843"/>
      <c r="I29" s="843"/>
    </row>
    <row r="30" spans="1:9">
      <c r="A30" s="846" t="s">
        <v>668</v>
      </c>
      <c r="B30" s="843"/>
      <c r="C30" s="843"/>
      <c r="D30" s="843"/>
      <c r="E30" s="843"/>
      <c r="F30" s="843"/>
      <c r="G30" s="843"/>
      <c r="H30" s="843"/>
      <c r="I30" s="843"/>
    </row>
    <row r="31" spans="1:9">
      <c r="A31" s="843"/>
      <c r="B31" s="843"/>
      <c r="C31" s="843"/>
      <c r="D31" s="843"/>
      <c r="E31" s="843"/>
      <c r="F31" s="843"/>
      <c r="G31" s="843"/>
      <c r="H31" s="843"/>
      <c r="I31" s="843"/>
    </row>
    <row r="32" spans="1:9">
      <c r="A32" s="843"/>
      <c r="B32" s="843"/>
      <c r="C32" s="843"/>
      <c r="D32" s="843"/>
      <c r="E32" s="843"/>
      <c r="F32" s="843"/>
      <c r="G32" s="843"/>
      <c r="H32" s="843"/>
      <c r="I32" s="843"/>
    </row>
    <row r="33" spans="1:9">
      <c r="A33" s="843"/>
      <c r="B33" s="843"/>
      <c r="C33" s="843"/>
      <c r="D33" s="843"/>
      <c r="E33" s="843"/>
      <c r="F33" s="843"/>
      <c r="G33" s="843"/>
      <c r="H33" s="843"/>
      <c r="I33" s="843"/>
    </row>
    <row r="34" spans="1:9">
      <c r="A34" s="843"/>
      <c r="B34" s="843"/>
      <c r="C34" s="843"/>
      <c r="D34" s="843"/>
      <c r="E34" s="843"/>
      <c r="F34" s="843"/>
      <c r="G34" s="843"/>
      <c r="H34" s="843"/>
      <c r="I34" s="843"/>
    </row>
    <row r="35" spans="1:9">
      <c r="A35" s="843"/>
      <c r="B35" s="843"/>
      <c r="C35" s="843"/>
      <c r="D35" s="843"/>
      <c r="E35" s="843"/>
      <c r="F35" s="843"/>
      <c r="G35" s="843"/>
      <c r="H35" s="843"/>
      <c r="I35" s="843"/>
    </row>
  </sheetData>
  <pageMargins left="0.75" right="0.38" top="0.88" bottom="0.79" header="0.5" footer="0.44"/>
  <pageSetup scale="83" orientation="landscape" r:id="rId1"/>
  <headerFooter alignWithMargins="0">
    <oddFooter>&amp;L&amp;"CG Times,Bold"(A noter qu'une nouvelle page sera ajoutée au fur et à mesure que les autres normes prudentielles seront mises en vigueur)</oddFooter>
  </headerFooter>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41"/>
  <sheetViews>
    <sheetView workbookViewId="0"/>
  </sheetViews>
  <sheetFormatPr defaultRowHeight="15.75"/>
  <cols>
    <col min="1" max="1" width="3" customWidth="1"/>
    <col min="2" max="2" width="18.875" customWidth="1"/>
    <col min="3" max="3" width="10.625" customWidth="1"/>
    <col min="4" max="4" width="13.625" customWidth="1"/>
    <col min="5" max="5" width="10.75" customWidth="1"/>
    <col min="6" max="6" width="13.5" customWidth="1"/>
    <col min="7" max="7" width="11.25" customWidth="1"/>
    <col min="8" max="8" width="13.625" customWidth="1"/>
    <col min="9" max="9" width="3" customWidth="1"/>
    <col min="10" max="10" width="7.375" customWidth="1"/>
    <col min="11" max="11" width="10.875" customWidth="1"/>
    <col min="12" max="12" width="13.625" customWidth="1"/>
    <col min="13" max="13" width="10.75" customWidth="1"/>
    <col min="14" max="14" width="13.625" customWidth="1"/>
    <col min="15" max="15" width="10.75" customWidth="1"/>
    <col min="16" max="16" width="13.625" customWidth="1"/>
    <col min="17" max="256" width="11" customWidth="1"/>
  </cols>
  <sheetData>
    <row r="1" spans="1:20" ht="22.5">
      <c r="A1" s="796" t="s">
        <v>669</v>
      </c>
      <c r="B1" s="34"/>
      <c r="C1" s="34"/>
      <c r="D1" s="34"/>
      <c r="E1" s="34"/>
      <c r="F1" s="34"/>
      <c r="G1" s="34"/>
      <c r="H1" s="34"/>
      <c r="I1" s="34"/>
      <c r="J1" s="34"/>
      <c r="K1" s="34"/>
      <c r="L1" s="34"/>
      <c r="M1" s="34"/>
      <c r="N1" s="34"/>
      <c r="O1" s="34"/>
      <c r="P1" s="34"/>
      <c r="Q1" s="797"/>
      <c r="R1" s="34"/>
      <c r="S1" s="34"/>
      <c r="T1" s="34"/>
    </row>
    <row r="2" spans="1:20">
      <c r="A2" s="114" t="s">
        <v>0</v>
      </c>
      <c r="B2" s="34"/>
      <c r="C2" s="34"/>
      <c r="D2" s="34"/>
      <c r="E2" s="34"/>
      <c r="F2" s="34"/>
      <c r="G2" s="34"/>
      <c r="H2" s="34"/>
      <c r="I2" s="34"/>
      <c r="J2" s="34"/>
      <c r="K2" s="34"/>
      <c r="L2" s="34"/>
      <c r="M2" s="34"/>
      <c r="N2" s="34"/>
      <c r="O2" s="34"/>
    </row>
    <row r="3" spans="1:20">
      <c r="B3" s="34"/>
      <c r="C3" s="34"/>
      <c r="D3" s="34"/>
      <c r="E3" s="34"/>
      <c r="F3" s="34"/>
      <c r="G3" s="34"/>
      <c r="H3" s="34"/>
      <c r="I3" s="34"/>
      <c r="J3" s="34"/>
      <c r="K3" s="34"/>
      <c r="L3" s="34"/>
      <c r="M3" s="34"/>
      <c r="N3" s="34"/>
      <c r="O3" s="34"/>
    </row>
    <row r="19" spans="2:16" ht="16.5" thickBot="1">
      <c r="C19" s="435" t="s">
        <v>349</v>
      </c>
      <c r="D19" s="435"/>
      <c r="E19" s="175"/>
      <c r="F19" s="175"/>
      <c r="G19" s="175"/>
      <c r="H19" s="176"/>
      <c r="I19" s="437"/>
      <c r="K19" s="435" t="s">
        <v>350</v>
      </c>
      <c r="L19" s="435"/>
      <c r="M19" s="175"/>
      <c r="N19" s="175"/>
      <c r="O19" s="175"/>
      <c r="P19" s="176"/>
    </row>
    <row r="20" spans="2:16" ht="27">
      <c r="C20" s="18" t="s">
        <v>670</v>
      </c>
      <c r="D20" s="805" t="s">
        <v>671</v>
      </c>
      <c r="E20" s="18" t="s">
        <v>672</v>
      </c>
      <c r="F20" s="805" t="s">
        <v>673</v>
      </c>
      <c r="G20" s="18" t="s">
        <v>674</v>
      </c>
      <c r="H20" s="798" t="s">
        <v>675</v>
      </c>
      <c r="I20" s="18"/>
      <c r="K20" s="18" t="s">
        <v>676</v>
      </c>
      <c r="L20" s="805" t="s">
        <v>671</v>
      </c>
      <c r="M20" s="18" t="s">
        <v>677</v>
      </c>
      <c r="N20" s="805" t="s">
        <v>673</v>
      </c>
      <c r="O20" s="18" t="s">
        <v>678</v>
      </c>
      <c r="P20" s="798" t="s">
        <v>675</v>
      </c>
    </row>
    <row r="21" spans="2:16">
      <c r="C21" s="48"/>
      <c r="D21" s="806"/>
      <c r="E21" s="18"/>
      <c r="F21" s="463"/>
      <c r="G21" s="18"/>
      <c r="I21" s="18"/>
      <c r="K21" s="48"/>
      <c r="L21" s="806"/>
      <c r="M21" s="18"/>
      <c r="N21" s="463"/>
      <c r="O21" s="18"/>
    </row>
    <row r="22" spans="2:16">
      <c r="B22" s="2" t="s">
        <v>98</v>
      </c>
      <c r="C22" s="142">
        <v>7.6100000000000001E-2</v>
      </c>
      <c r="D22" s="807">
        <v>0</v>
      </c>
      <c r="E22" s="142">
        <v>7.8E-2</v>
      </c>
      <c r="F22" s="808">
        <v>0</v>
      </c>
      <c r="G22" s="142">
        <v>7.7799999999999994E-2</v>
      </c>
      <c r="H22" s="42">
        <v>0</v>
      </c>
      <c r="I22" s="41"/>
      <c r="K22" s="142">
        <v>7.5700000000000003E-2</v>
      </c>
      <c r="L22" s="807">
        <v>0</v>
      </c>
      <c r="M22" s="142">
        <v>7.2999999999999995E-2</v>
      </c>
      <c r="N22" s="808">
        <v>0</v>
      </c>
      <c r="O22" s="142">
        <v>7.3599999999999999E-2</v>
      </c>
      <c r="P22" s="42">
        <v>0</v>
      </c>
    </row>
    <row r="23" spans="2:16">
      <c r="B23" s="2" t="s">
        <v>99</v>
      </c>
      <c r="C23" s="41">
        <v>0</v>
      </c>
      <c r="D23" s="807">
        <v>0</v>
      </c>
      <c r="E23" s="41">
        <v>0</v>
      </c>
      <c r="F23" s="807">
        <v>0</v>
      </c>
      <c r="G23" s="41">
        <v>0</v>
      </c>
      <c r="H23" s="42">
        <v>0</v>
      </c>
      <c r="I23" s="436"/>
      <c r="K23" s="41">
        <v>0</v>
      </c>
      <c r="L23" s="807">
        <v>0</v>
      </c>
      <c r="M23" s="41">
        <v>0</v>
      </c>
      <c r="N23" s="807">
        <v>0</v>
      </c>
      <c r="O23" s="41">
        <v>0</v>
      </c>
      <c r="P23" s="42">
        <v>0</v>
      </c>
    </row>
    <row r="24" spans="2:16">
      <c r="B24" s="2" t="s">
        <v>126</v>
      </c>
      <c r="C24" s="41">
        <v>0</v>
      </c>
      <c r="D24" s="807">
        <v>0</v>
      </c>
      <c r="E24" s="41">
        <v>0</v>
      </c>
      <c r="F24" s="807">
        <v>0</v>
      </c>
      <c r="G24" s="41">
        <v>0</v>
      </c>
      <c r="H24" s="42">
        <v>0</v>
      </c>
      <c r="I24" s="436"/>
      <c r="K24" s="41">
        <v>0</v>
      </c>
      <c r="L24" s="807">
        <v>0</v>
      </c>
      <c r="M24" s="41">
        <v>0</v>
      </c>
      <c r="N24" s="807">
        <v>0</v>
      </c>
      <c r="O24" s="41">
        <v>0</v>
      </c>
      <c r="P24" s="42">
        <v>0</v>
      </c>
    </row>
    <row r="25" spans="2:16">
      <c r="B25" s="2" t="s">
        <v>100</v>
      </c>
      <c r="C25" s="799">
        <v>0.48220000000000002</v>
      </c>
      <c r="D25" s="951">
        <v>5</v>
      </c>
      <c r="E25" s="799">
        <v>0.624</v>
      </c>
      <c r="F25" s="951">
        <v>6</v>
      </c>
      <c r="G25" s="799">
        <v>0.39529999999999998</v>
      </c>
      <c r="H25" s="918">
        <v>14</v>
      </c>
      <c r="I25" s="483" t="s">
        <v>0</v>
      </c>
      <c r="K25" s="799">
        <v>0.1348</v>
      </c>
      <c r="L25" s="951">
        <v>0</v>
      </c>
      <c r="M25" s="799">
        <v>9.8100000000000007E-2</v>
      </c>
      <c r="N25" s="807">
        <v>0</v>
      </c>
      <c r="O25" s="799">
        <v>0.35589999999999999</v>
      </c>
      <c r="P25" s="918">
        <v>4</v>
      </c>
    </row>
    <row r="26" spans="2:16">
      <c r="B26" s="2" t="s">
        <v>101</v>
      </c>
      <c r="C26" s="799">
        <v>3.2000000000000001E-2</v>
      </c>
      <c r="D26" s="807">
        <v>0</v>
      </c>
      <c r="E26" s="799">
        <v>1.9E-2</v>
      </c>
      <c r="F26" s="807">
        <v>0</v>
      </c>
      <c r="G26" s="799">
        <v>1.78E-2</v>
      </c>
      <c r="H26" s="42">
        <v>0</v>
      </c>
      <c r="I26" s="483" t="s">
        <v>0</v>
      </c>
      <c r="K26" s="799">
        <v>5.5E-2</v>
      </c>
      <c r="L26" s="807">
        <v>0</v>
      </c>
      <c r="M26" s="799">
        <v>1.4999999999999999E-2</v>
      </c>
      <c r="N26" s="807">
        <v>0</v>
      </c>
      <c r="O26" s="799">
        <v>7.9500000000000001E-2</v>
      </c>
      <c r="P26" s="42">
        <v>0</v>
      </c>
    </row>
    <row r="27" spans="2:16">
      <c r="B27" s="2" t="s">
        <v>102</v>
      </c>
      <c r="C27" s="799">
        <v>8.4599999999999995E-2</v>
      </c>
      <c r="D27" s="951">
        <v>0</v>
      </c>
      <c r="E27" s="799">
        <v>0.2792</v>
      </c>
      <c r="F27" s="951">
        <v>0</v>
      </c>
      <c r="G27" s="799">
        <v>0.3503</v>
      </c>
      <c r="H27" s="918">
        <v>0</v>
      </c>
      <c r="I27" s="436"/>
      <c r="K27" s="799">
        <v>0.4304</v>
      </c>
      <c r="L27" s="951">
        <v>24</v>
      </c>
      <c r="M27" s="799">
        <v>0.34660000000000002</v>
      </c>
      <c r="N27" s="951">
        <v>26</v>
      </c>
      <c r="O27" s="799">
        <v>0.46050000000000002</v>
      </c>
      <c r="P27" s="918">
        <v>28</v>
      </c>
    </row>
    <row r="28" spans="2:16">
      <c r="B28" s="2" t="s">
        <v>107</v>
      </c>
      <c r="C28" s="799">
        <v>0.15229999999999999</v>
      </c>
      <c r="D28" s="807">
        <v>0</v>
      </c>
      <c r="E28" s="799">
        <v>0.1198</v>
      </c>
      <c r="F28" s="807">
        <v>0</v>
      </c>
      <c r="G28" s="799">
        <v>0.1595</v>
      </c>
      <c r="H28" s="42">
        <v>0</v>
      </c>
      <c r="I28" s="436"/>
      <c r="K28" s="799">
        <v>7.7499999999999999E-2</v>
      </c>
      <c r="L28" s="807">
        <v>0</v>
      </c>
      <c r="M28" s="799">
        <v>0.108</v>
      </c>
      <c r="N28" s="807">
        <v>0</v>
      </c>
      <c r="O28" s="799">
        <v>0.157</v>
      </c>
      <c r="P28" s="42">
        <v>0</v>
      </c>
    </row>
    <row r="29" spans="2:16">
      <c r="B29" s="2" t="s">
        <v>109</v>
      </c>
      <c r="C29" s="799">
        <v>1.4999999999999999E-2</v>
      </c>
      <c r="D29" s="807">
        <v>0</v>
      </c>
      <c r="E29" s="799">
        <v>0.17730000000000001</v>
      </c>
      <c r="F29" s="807">
        <v>0</v>
      </c>
      <c r="G29" s="799">
        <v>0.19009999999999999</v>
      </c>
      <c r="H29" s="918">
        <v>0</v>
      </c>
      <c r="I29" s="483" t="s">
        <v>0</v>
      </c>
      <c r="K29" s="799">
        <v>0.22020000000000001</v>
      </c>
      <c r="L29" s="807">
        <v>0</v>
      </c>
      <c r="M29" s="799">
        <v>1.0200000000000001E-2</v>
      </c>
      <c r="N29" s="807">
        <v>0</v>
      </c>
      <c r="O29" s="799">
        <v>0.15740000000000001</v>
      </c>
      <c r="P29" s="918">
        <v>0</v>
      </c>
    </row>
    <row r="30" spans="2:16">
      <c r="B30" s="2" t="s">
        <v>103</v>
      </c>
      <c r="C30" s="799">
        <v>0.47139999999999999</v>
      </c>
      <c r="D30" s="951">
        <v>5</v>
      </c>
      <c r="E30" s="799">
        <v>0.19620000000000001</v>
      </c>
      <c r="F30" s="951">
        <v>4</v>
      </c>
      <c r="G30" s="41">
        <v>0</v>
      </c>
      <c r="H30" s="42">
        <v>0</v>
      </c>
      <c r="I30" s="436"/>
      <c r="K30" s="799">
        <v>0.14199999999999999</v>
      </c>
      <c r="L30" s="951">
        <v>0</v>
      </c>
      <c r="M30" s="799">
        <v>0.1603</v>
      </c>
      <c r="N30" s="807">
        <v>0</v>
      </c>
      <c r="O30" s="799">
        <v>0.30570000000000003</v>
      </c>
      <c r="P30" s="42">
        <v>0</v>
      </c>
    </row>
    <row r="31" spans="2:16">
      <c r="B31" s="2" t="s">
        <v>110</v>
      </c>
      <c r="C31" s="799">
        <v>0.25309999999999999</v>
      </c>
      <c r="D31" s="807">
        <v>0</v>
      </c>
      <c r="E31" s="799">
        <v>6.0999999999999999E-2</v>
      </c>
      <c r="F31" s="807">
        <v>0</v>
      </c>
      <c r="G31" s="799">
        <v>7.9500000000000001E-2</v>
      </c>
      <c r="H31" s="42">
        <v>0</v>
      </c>
      <c r="I31" s="483" t="s">
        <v>0</v>
      </c>
      <c r="K31" s="799">
        <v>0.51739999999999997</v>
      </c>
      <c r="L31" s="807">
        <v>0</v>
      </c>
      <c r="M31" s="799">
        <v>2.3900000000000001E-2</v>
      </c>
      <c r="N31" s="807">
        <v>0</v>
      </c>
      <c r="O31" s="799">
        <v>0.27400000000000002</v>
      </c>
      <c r="P31" s="918">
        <v>2</v>
      </c>
    </row>
    <row r="32" spans="2:16">
      <c r="B32" s="2" t="s">
        <v>104</v>
      </c>
      <c r="C32" s="799">
        <v>0.12870000000000001</v>
      </c>
      <c r="D32" s="809">
        <v>0</v>
      </c>
      <c r="E32" s="799">
        <v>0.1648</v>
      </c>
      <c r="F32" s="809">
        <v>0</v>
      </c>
      <c r="G32" s="799">
        <v>1.47E-2</v>
      </c>
      <c r="H32" s="810">
        <v>0</v>
      </c>
      <c r="I32" s="436"/>
      <c r="K32" s="799">
        <v>6.4000000000000001E-2</v>
      </c>
      <c r="L32" s="809">
        <v>0</v>
      </c>
      <c r="M32" s="799">
        <v>0.1434</v>
      </c>
      <c r="N32" s="809">
        <v>0</v>
      </c>
      <c r="O32" s="799">
        <v>0.12790000000000001</v>
      </c>
      <c r="P32" s="810">
        <v>0</v>
      </c>
    </row>
    <row r="33" spans="1:16">
      <c r="B33" s="2" t="s">
        <v>105</v>
      </c>
      <c r="C33" s="799">
        <v>0.03</v>
      </c>
      <c r="D33" s="807">
        <v>0</v>
      </c>
      <c r="E33" s="799">
        <v>3.0099999999999998E-2</v>
      </c>
      <c r="F33" s="807">
        <v>0</v>
      </c>
      <c r="G33" s="799">
        <v>0.13220000000000001</v>
      </c>
      <c r="H33" s="42">
        <v>0</v>
      </c>
      <c r="I33" s="436"/>
      <c r="K33" s="799">
        <v>0.11119999999999999</v>
      </c>
      <c r="L33" s="807">
        <v>0</v>
      </c>
      <c r="M33" s="799">
        <v>8.9899999999999994E-2</v>
      </c>
      <c r="N33" s="807">
        <v>0</v>
      </c>
      <c r="O33" s="799">
        <v>5.8000000000000003E-2</v>
      </c>
      <c r="P33" s="42">
        <v>0</v>
      </c>
    </row>
    <row r="34" spans="1:16">
      <c r="B34" s="2" t="s">
        <v>108</v>
      </c>
      <c r="C34" s="799">
        <v>0.35849999999999999</v>
      </c>
      <c r="D34" s="807">
        <v>0</v>
      </c>
      <c r="E34" s="799">
        <v>0.36159999999999998</v>
      </c>
      <c r="F34" s="807">
        <v>0</v>
      </c>
      <c r="G34" s="799">
        <v>0.2702</v>
      </c>
      <c r="H34" s="42">
        <v>0</v>
      </c>
      <c r="I34" s="483" t="s">
        <v>0</v>
      </c>
      <c r="K34" s="799">
        <v>0.34899999999999998</v>
      </c>
      <c r="L34" s="807">
        <v>0</v>
      </c>
      <c r="M34" s="799">
        <v>0.32229999999999998</v>
      </c>
      <c r="N34" s="807">
        <v>0</v>
      </c>
      <c r="O34" s="799">
        <v>0.32429999999999998</v>
      </c>
      <c r="P34" s="42">
        <v>0</v>
      </c>
    </row>
    <row r="35" spans="1:16">
      <c r="B35" s="2" t="s">
        <v>106</v>
      </c>
      <c r="C35" s="799">
        <v>1.2999999999999999E-2</v>
      </c>
      <c r="D35" s="807">
        <v>0</v>
      </c>
      <c r="E35" s="799">
        <v>0.1172</v>
      </c>
      <c r="F35" s="807">
        <v>0</v>
      </c>
      <c r="G35" s="799">
        <v>3.3999999999999998E-3</v>
      </c>
      <c r="H35" s="42">
        <v>0</v>
      </c>
      <c r="I35" s="436"/>
      <c r="K35" s="799">
        <v>4.0300000000000002E-2</v>
      </c>
      <c r="L35" s="807">
        <v>0</v>
      </c>
      <c r="M35" s="799">
        <v>7.1999999999999998E-3</v>
      </c>
      <c r="N35" s="807">
        <v>0</v>
      </c>
      <c r="O35" s="799">
        <v>4.7399999999999998E-2</v>
      </c>
      <c r="P35" s="42">
        <v>0</v>
      </c>
    </row>
    <row r="36" spans="1:16">
      <c r="B36" s="2"/>
      <c r="C36" s="436"/>
      <c r="D36" s="436"/>
      <c r="E36" s="436"/>
      <c r="F36" s="436"/>
      <c r="G36" s="436"/>
      <c r="I36" s="436"/>
      <c r="K36" s="436"/>
      <c r="L36" s="436"/>
      <c r="M36" s="436"/>
      <c r="N36" s="436"/>
      <c r="O36" s="45"/>
    </row>
    <row r="37" spans="1:16" ht="16.5">
      <c r="A37" s="544" t="s">
        <v>679</v>
      </c>
      <c r="B37" s="2"/>
      <c r="C37" s="436"/>
      <c r="D37" s="436"/>
      <c r="E37" s="436"/>
      <c r="F37" s="436"/>
      <c r="G37" s="436"/>
      <c r="I37" s="436"/>
      <c r="K37" s="436"/>
      <c r="L37" s="436"/>
      <c r="M37" s="436"/>
      <c r="N37" s="436"/>
      <c r="O37" s="45"/>
    </row>
    <row r="38" spans="1:16">
      <c r="O38" t="s">
        <v>0</v>
      </c>
    </row>
    <row r="39" spans="1:16" ht="16.5">
      <c r="A39" s="544" t="s">
        <v>680</v>
      </c>
    </row>
    <row r="40" spans="1:16">
      <c r="A40" s="484" t="s">
        <v>0</v>
      </c>
      <c r="B40" t="s">
        <v>0</v>
      </c>
    </row>
    <row r="41" spans="1:16">
      <c r="B41" t="s">
        <v>0</v>
      </c>
    </row>
  </sheetData>
  <pageMargins left="0.24" right="0.22" top="0.94" bottom="0.64" header="0.5" footer="0.34"/>
  <pageSetup scale="70" orientation="landscape" r:id="rId1"/>
  <headerFooter alignWithMargins="0">
    <oddFooter>&amp;R&amp;P</oddFooter>
  </headerFooter>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showGridLines="0" workbookViewId="0"/>
  </sheetViews>
  <sheetFormatPr defaultRowHeight="15.75"/>
  <cols>
    <col min="1" max="1" width="16.875" customWidth="1"/>
    <col min="2" max="2" width="25" customWidth="1"/>
    <col min="3" max="3" width="15.25" customWidth="1"/>
    <col min="4" max="5" width="12.125" customWidth="1"/>
    <col min="6" max="6" width="14.875" customWidth="1"/>
    <col min="7" max="7" width="12.5" customWidth="1"/>
    <col min="8" max="9" width="12.125" customWidth="1"/>
    <col min="10" max="10" width="13.75" customWidth="1"/>
    <col min="11" max="11" width="14.75" customWidth="1"/>
    <col min="12" max="12" width="15.375" customWidth="1"/>
    <col min="13" max="256" width="11" customWidth="1"/>
  </cols>
  <sheetData>
    <row r="1" spans="1:12" ht="22.5">
      <c r="A1" s="796" t="s">
        <v>681</v>
      </c>
      <c r="B1" s="34"/>
      <c r="C1" s="34"/>
      <c r="D1" s="34"/>
      <c r="E1" s="34"/>
      <c r="F1" s="34"/>
      <c r="G1" s="34"/>
      <c r="H1" s="34"/>
      <c r="I1" s="34"/>
      <c r="J1" s="34"/>
      <c r="K1" s="34"/>
      <c r="L1" s="34"/>
    </row>
    <row r="2" spans="1:12" ht="22.5">
      <c r="A2" s="796" t="s">
        <v>682</v>
      </c>
      <c r="B2" s="34"/>
      <c r="C2" s="34"/>
      <c r="D2" s="34"/>
      <c r="E2" s="34"/>
      <c r="F2" s="34"/>
      <c r="G2" s="34"/>
      <c r="H2" s="34"/>
      <c r="I2" s="34"/>
      <c r="J2" s="34"/>
      <c r="K2" s="34"/>
      <c r="L2" s="34"/>
    </row>
    <row r="3" spans="1:12" ht="12.75" customHeight="1">
      <c r="A3" s="481"/>
      <c r="B3" s="34"/>
      <c r="C3" s="34"/>
      <c r="D3" s="34"/>
      <c r="E3" s="34"/>
      <c r="F3" s="34"/>
      <c r="G3" s="34"/>
      <c r="H3" s="34"/>
      <c r="I3" s="34"/>
      <c r="J3" s="34"/>
      <c r="K3" s="34"/>
      <c r="L3" s="34"/>
    </row>
    <row r="4" spans="1:12" ht="13.5" customHeight="1">
      <c r="A4" s="481"/>
      <c r="B4" s="34"/>
      <c r="C4" s="34"/>
      <c r="D4" s="34"/>
      <c r="E4" s="34"/>
      <c r="F4" s="34"/>
      <c r="G4" s="34"/>
      <c r="H4" s="34"/>
      <c r="I4" s="34"/>
      <c r="J4" s="34"/>
      <c r="K4" s="34"/>
      <c r="L4" s="34"/>
    </row>
    <row r="5" spans="1:12" ht="20.25">
      <c r="A5" s="481"/>
      <c r="B5" s="34"/>
      <c r="C5" s="34"/>
      <c r="D5" s="34"/>
      <c r="E5" s="34"/>
      <c r="F5" s="34"/>
      <c r="G5" s="34"/>
      <c r="H5" s="34"/>
      <c r="I5" s="34"/>
      <c r="J5" s="34"/>
      <c r="K5" s="34"/>
      <c r="L5" s="34"/>
    </row>
    <row r="6" spans="1:12" ht="20.25">
      <c r="A6" s="481"/>
      <c r="B6" s="34"/>
      <c r="C6" s="34"/>
      <c r="D6" s="34"/>
      <c r="E6" s="34"/>
      <c r="F6" s="34"/>
      <c r="G6" s="34"/>
      <c r="H6" s="34"/>
      <c r="I6" s="34"/>
      <c r="J6" s="34"/>
      <c r="K6" s="34"/>
      <c r="L6" s="34"/>
    </row>
    <row r="7" spans="1:12" ht="20.25">
      <c r="A7" s="481"/>
      <c r="B7" s="34"/>
      <c r="C7" s="34"/>
      <c r="D7" s="34"/>
      <c r="E7" s="34"/>
      <c r="F7" s="34"/>
      <c r="G7" s="34"/>
      <c r="H7" s="34"/>
      <c r="I7" s="34"/>
      <c r="J7" s="34"/>
      <c r="K7" s="34"/>
      <c r="L7" s="34"/>
    </row>
    <row r="8" spans="1:12" ht="20.25">
      <c r="A8" s="481"/>
      <c r="B8" s="34"/>
      <c r="C8" s="34"/>
      <c r="D8" s="34"/>
      <c r="E8" s="34"/>
      <c r="F8" s="34"/>
      <c r="G8" s="34"/>
      <c r="H8" s="34"/>
      <c r="I8" s="34"/>
      <c r="J8" s="34"/>
      <c r="K8" s="34"/>
      <c r="L8" s="34"/>
    </row>
    <row r="9" spans="1:12" ht="20.25">
      <c r="A9" s="481"/>
      <c r="B9" s="34"/>
      <c r="C9" s="34"/>
      <c r="D9" s="34"/>
      <c r="E9" s="34"/>
      <c r="F9" s="34"/>
      <c r="G9" s="34"/>
      <c r="H9" s="34"/>
      <c r="I9" s="34"/>
      <c r="J9" s="34"/>
      <c r="K9" s="34"/>
      <c r="L9" s="34"/>
    </row>
    <row r="10" spans="1:12" ht="20.25">
      <c r="A10" s="481"/>
      <c r="B10" s="34"/>
      <c r="C10" s="34"/>
      <c r="D10" s="34"/>
      <c r="E10" s="34"/>
      <c r="F10" s="34"/>
      <c r="G10" s="34"/>
      <c r="H10" s="34"/>
      <c r="I10" s="34"/>
      <c r="J10" s="34"/>
      <c r="K10" s="34"/>
      <c r="L10" s="34"/>
    </row>
    <row r="11" spans="1:12" ht="20.25">
      <c r="A11" s="481" t="s">
        <v>404</v>
      </c>
      <c r="B11" s="34"/>
      <c r="C11" s="34"/>
      <c r="D11" s="34"/>
      <c r="E11" s="34"/>
      <c r="F11" s="34"/>
      <c r="G11" s="34"/>
      <c r="H11" s="34"/>
      <c r="I11" s="34"/>
      <c r="J11" s="34"/>
      <c r="K11" s="34"/>
      <c r="L11" s="34"/>
    </row>
    <row r="12" spans="1:12" ht="16.5" thickBot="1">
      <c r="A12" s="114"/>
      <c r="B12" s="34"/>
      <c r="C12" s="34"/>
      <c r="D12" s="34"/>
      <c r="E12" s="34"/>
      <c r="F12" s="34"/>
      <c r="G12" s="34"/>
      <c r="H12" s="34"/>
      <c r="I12" s="34"/>
    </row>
    <row r="13" spans="1:12" s="2" customFormat="1" ht="16.5" thickBot="1">
      <c r="A13" s="539" t="s">
        <v>683</v>
      </c>
      <c r="B13" s="540"/>
      <c r="C13" s="472" t="s">
        <v>98</v>
      </c>
      <c r="D13" s="474" t="s">
        <v>134</v>
      </c>
      <c r="E13" s="474" t="s">
        <v>102</v>
      </c>
      <c r="F13" s="474" t="s">
        <v>103</v>
      </c>
      <c r="G13" s="517" t="s">
        <v>126</v>
      </c>
      <c r="H13" s="474" t="s">
        <v>104</v>
      </c>
      <c r="I13" s="474" t="s">
        <v>105</v>
      </c>
      <c r="J13" s="474" t="s">
        <v>106</v>
      </c>
      <c r="K13" s="474" t="s">
        <v>107</v>
      </c>
      <c r="L13" s="530" t="s">
        <v>108</v>
      </c>
    </row>
    <row r="14" spans="1:12" ht="15" customHeight="1" thickTop="1">
      <c r="A14" s="536" t="s">
        <v>684</v>
      </c>
      <c r="B14" s="537"/>
      <c r="C14" s="518" t="s">
        <v>0</v>
      </c>
      <c r="D14" s="479" t="s">
        <v>0</v>
      </c>
      <c r="E14" s="479" t="s">
        <v>0</v>
      </c>
      <c r="F14" s="479" t="s">
        <v>0</v>
      </c>
      <c r="G14" s="529"/>
      <c r="H14" s="519">
        <v>0.1144</v>
      </c>
      <c r="I14" s="479" t="s">
        <v>0</v>
      </c>
      <c r="J14" s="479" t="s">
        <v>0</v>
      </c>
      <c r="K14" s="479" t="s">
        <v>0</v>
      </c>
      <c r="L14" s="531" t="s">
        <v>0</v>
      </c>
    </row>
    <row r="15" spans="1:12" ht="15" customHeight="1">
      <c r="A15" s="536" t="s">
        <v>685</v>
      </c>
      <c r="B15" s="537"/>
      <c r="C15" s="800"/>
      <c r="D15" s="515"/>
      <c r="E15" s="515"/>
      <c r="F15" s="515"/>
      <c r="G15" s="527"/>
      <c r="H15" s="801">
        <v>0.10639999999999999</v>
      </c>
      <c r="I15" s="515"/>
      <c r="J15" s="515"/>
      <c r="K15" s="515"/>
      <c r="L15" s="532"/>
    </row>
    <row r="16" spans="1:12" ht="15" customHeight="1">
      <c r="A16" s="536" t="s">
        <v>686</v>
      </c>
      <c r="B16" s="537"/>
      <c r="C16" s="800"/>
      <c r="D16" s="515"/>
      <c r="E16" s="515"/>
      <c r="F16" s="515"/>
      <c r="G16" s="527"/>
      <c r="H16" s="801">
        <v>6.8599999999999994E-2</v>
      </c>
      <c r="I16" s="515"/>
      <c r="J16" s="515"/>
      <c r="K16" s="515"/>
      <c r="L16" s="532"/>
    </row>
    <row r="17" spans="1:12" ht="15" customHeight="1">
      <c r="A17" s="536" t="s">
        <v>687</v>
      </c>
      <c r="B17" s="537"/>
      <c r="C17" s="800"/>
      <c r="D17" s="515"/>
      <c r="E17" s="515"/>
      <c r="F17" s="515"/>
      <c r="G17" s="527"/>
      <c r="H17" s="801">
        <v>5.3999999999999999E-2</v>
      </c>
      <c r="I17" s="515"/>
      <c r="J17" s="515"/>
      <c r="K17" s="515"/>
      <c r="L17" s="532"/>
    </row>
    <row r="18" spans="1:12" ht="15" customHeight="1">
      <c r="A18" s="536" t="s">
        <v>688</v>
      </c>
      <c r="B18" s="537"/>
      <c r="C18" s="520"/>
      <c r="D18" s="515"/>
      <c r="E18" s="515"/>
      <c r="F18" s="515"/>
      <c r="G18" s="521">
        <v>0.98809999999999998</v>
      </c>
      <c r="H18" s="522"/>
      <c r="I18" s="515"/>
      <c r="J18" s="515"/>
      <c r="K18" s="515"/>
      <c r="L18" s="532"/>
    </row>
    <row r="19" spans="1:12" ht="15" customHeight="1">
      <c r="A19" s="538" t="s">
        <v>689</v>
      </c>
      <c r="B19" s="537"/>
      <c r="C19" s="802"/>
      <c r="D19" s="553"/>
      <c r="E19" s="553"/>
      <c r="F19" s="553"/>
      <c r="G19" s="553"/>
      <c r="H19" s="553"/>
      <c r="I19" s="553"/>
      <c r="J19" s="553"/>
      <c r="K19" s="521">
        <v>0.16</v>
      </c>
      <c r="L19" s="803"/>
    </row>
    <row r="20" spans="1:12" ht="15" customHeight="1">
      <c r="A20" s="538" t="s">
        <v>690</v>
      </c>
      <c r="B20" s="537"/>
      <c r="C20" s="523"/>
      <c r="D20" s="464"/>
      <c r="E20" s="464"/>
      <c r="F20" s="464"/>
      <c r="G20" s="464"/>
      <c r="H20" s="464"/>
      <c r="I20" s="464"/>
      <c r="J20" s="464"/>
      <c r="K20" s="524">
        <v>9.4600000000000004E-2</v>
      </c>
      <c r="L20" s="533"/>
    </row>
    <row r="21" spans="1:12" ht="15" customHeight="1">
      <c r="A21" s="536" t="s">
        <v>691</v>
      </c>
      <c r="B21" s="537"/>
      <c r="C21" s="518" t="s">
        <v>0</v>
      </c>
      <c r="D21" s="479" t="s">
        <v>0</v>
      </c>
      <c r="E21" s="479" t="s">
        <v>0</v>
      </c>
      <c r="F21" s="479" t="s">
        <v>0</v>
      </c>
      <c r="G21" s="529"/>
      <c r="H21" s="479" t="s">
        <v>0</v>
      </c>
      <c r="I21" s="479" t="s">
        <v>0</v>
      </c>
      <c r="J21" s="479" t="s">
        <v>0</v>
      </c>
      <c r="K21" s="525">
        <v>0.26889999999999997</v>
      </c>
      <c r="L21" s="531" t="s">
        <v>0</v>
      </c>
    </row>
    <row r="22" spans="1:12" ht="15" customHeight="1">
      <c r="A22" s="538" t="s">
        <v>150</v>
      </c>
      <c r="B22" s="537"/>
      <c r="C22" s="523"/>
      <c r="D22" s="524">
        <v>0.98</v>
      </c>
      <c r="E22" s="464"/>
      <c r="F22" s="464"/>
      <c r="G22" s="464"/>
      <c r="H22" s="464"/>
      <c r="I22" s="464"/>
      <c r="J22" s="464"/>
      <c r="K22" s="464"/>
      <c r="L22" s="533"/>
    </row>
    <row r="23" spans="1:12" ht="15" customHeight="1">
      <c r="A23" s="536" t="s">
        <v>692</v>
      </c>
      <c r="B23" s="537"/>
      <c r="C23" s="518" t="s">
        <v>0</v>
      </c>
      <c r="D23" s="479" t="s">
        <v>0</v>
      </c>
      <c r="E23" s="479" t="s">
        <v>0</v>
      </c>
      <c r="F23" s="479" t="s">
        <v>0</v>
      </c>
      <c r="G23" s="529"/>
      <c r="H23" s="479" t="s">
        <v>0</v>
      </c>
      <c r="I23" s="526">
        <v>0.05</v>
      </c>
      <c r="J23" s="479" t="s">
        <v>0</v>
      </c>
      <c r="K23" s="479" t="s">
        <v>0</v>
      </c>
      <c r="L23" s="531" t="s">
        <v>0</v>
      </c>
    </row>
    <row r="24" spans="1:12" ht="15" customHeight="1">
      <c r="A24" s="536" t="s">
        <v>693</v>
      </c>
      <c r="B24" s="537"/>
      <c r="C24" s="520"/>
      <c r="D24" s="515"/>
      <c r="E24" s="515"/>
      <c r="F24" s="515"/>
      <c r="G24" s="515"/>
      <c r="H24" s="515"/>
      <c r="I24" s="521">
        <v>6.2E-2</v>
      </c>
      <c r="J24" s="515"/>
      <c r="K24" s="515"/>
      <c r="L24" s="532"/>
    </row>
    <row r="25" spans="1:12" ht="15" customHeight="1">
      <c r="A25" s="536" t="s">
        <v>694</v>
      </c>
      <c r="B25" s="537"/>
      <c r="C25" s="520"/>
      <c r="D25" s="515"/>
      <c r="E25" s="515"/>
      <c r="F25" s="515"/>
      <c r="G25" s="515"/>
      <c r="H25" s="515"/>
      <c r="I25" s="521">
        <v>5.6000000000000001E-2</v>
      </c>
      <c r="J25" s="515"/>
      <c r="K25" s="515"/>
      <c r="L25" s="532"/>
    </row>
    <row r="26" spans="1:12" ht="15" customHeight="1">
      <c r="A26" s="536" t="s">
        <v>695</v>
      </c>
      <c r="B26" s="537"/>
      <c r="C26" s="520"/>
      <c r="D26" s="515"/>
      <c r="E26" s="515"/>
      <c r="F26" s="515"/>
      <c r="G26" s="515"/>
      <c r="H26" s="515"/>
      <c r="I26" s="521">
        <v>5.6000000000000001E-2</v>
      </c>
      <c r="J26" s="515"/>
      <c r="K26" s="515"/>
      <c r="L26" s="532"/>
    </row>
    <row r="27" spans="1:12" ht="15" customHeight="1">
      <c r="A27" s="536" t="s">
        <v>696</v>
      </c>
      <c r="B27" s="537"/>
      <c r="C27" s="520"/>
      <c r="D27" s="515"/>
      <c r="E27" s="515"/>
      <c r="F27" s="515"/>
      <c r="G27" s="515"/>
      <c r="H27" s="515"/>
      <c r="I27" s="521">
        <v>0.10299999999999999</v>
      </c>
      <c r="J27" s="515"/>
      <c r="K27" s="515"/>
      <c r="L27" s="532"/>
    </row>
    <row r="28" spans="1:12" ht="15" customHeight="1">
      <c r="A28" s="536" t="s">
        <v>697</v>
      </c>
      <c r="B28" s="537"/>
      <c r="C28" s="520"/>
      <c r="D28" s="515"/>
      <c r="E28" s="515"/>
      <c r="F28" s="521">
        <v>0.39989999999999998</v>
      </c>
      <c r="G28" s="521"/>
      <c r="H28" s="527"/>
      <c r="I28" s="515"/>
      <c r="J28" s="515"/>
      <c r="K28" s="515"/>
      <c r="L28" s="532"/>
    </row>
    <row r="29" spans="1:12" ht="15" customHeight="1">
      <c r="A29" s="536" t="s">
        <v>698</v>
      </c>
      <c r="B29" s="537"/>
      <c r="C29" s="520"/>
      <c r="D29" s="515"/>
      <c r="E29" s="515"/>
      <c r="F29" s="521">
        <v>0.22500000000000001</v>
      </c>
      <c r="G29" s="521"/>
      <c r="H29" s="527"/>
      <c r="I29" s="515"/>
      <c r="J29" s="515"/>
      <c r="K29" s="515"/>
      <c r="L29" s="532"/>
    </row>
    <row r="30" spans="1:12" ht="15" customHeight="1">
      <c r="A30" s="536" t="s">
        <v>699</v>
      </c>
      <c r="B30" s="537"/>
      <c r="C30" s="520"/>
      <c r="D30" s="515"/>
      <c r="E30" s="515"/>
      <c r="F30" s="521">
        <v>0.22500000000000001</v>
      </c>
      <c r="G30" s="521"/>
      <c r="H30" s="527"/>
      <c r="I30" s="515"/>
      <c r="J30" s="515"/>
      <c r="K30" s="515"/>
      <c r="L30" s="532"/>
    </row>
    <row r="31" spans="1:12" ht="15" customHeight="1">
      <c r="A31" s="536" t="s">
        <v>700</v>
      </c>
      <c r="B31" s="537"/>
      <c r="C31" s="520"/>
      <c r="D31" s="515"/>
      <c r="E31" s="515"/>
      <c r="F31" s="521">
        <v>0.05</v>
      </c>
      <c r="G31" s="521"/>
      <c r="H31" s="527"/>
      <c r="I31" s="515"/>
      <c r="J31" s="515"/>
      <c r="K31" s="515"/>
      <c r="L31" s="532"/>
    </row>
    <row r="32" spans="1:12" ht="15" customHeight="1">
      <c r="A32" s="536" t="s">
        <v>701</v>
      </c>
      <c r="B32" s="537"/>
      <c r="C32" s="528">
        <v>0.93120000000000003</v>
      </c>
      <c r="D32" s="515"/>
      <c r="E32" s="515"/>
      <c r="F32" s="515"/>
      <c r="G32" s="515"/>
      <c r="H32" s="515"/>
      <c r="I32" s="515"/>
      <c r="J32" s="515"/>
      <c r="K32" s="515"/>
      <c r="L32" s="532"/>
    </row>
    <row r="33" spans="1:12" ht="15" customHeight="1">
      <c r="A33" s="536" t="s">
        <v>702</v>
      </c>
      <c r="B33" s="537"/>
      <c r="C33" s="520"/>
      <c r="D33" s="515"/>
      <c r="E33" s="515"/>
      <c r="F33" s="515"/>
      <c r="G33" s="515"/>
      <c r="H33" s="515"/>
      <c r="I33" s="515"/>
      <c r="J33" s="515"/>
      <c r="K33" s="515"/>
      <c r="L33" s="534">
        <v>6.3E-2</v>
      </c>
    </row>
    <row r="34" spans="1:12" ht="15" customHeight="1">
      <c r="A34" s="536" t="s">
        <v>150</v>
      </c>
      <c r="B34" s="537"/>
      <c r="C34" s="520"/>
      <c r="D34" s="515"/>
      <c r="E34" s="515"/>
      <c r="F34" s="515"/>
      <c r="G34" s="515"/>
      <c r="H34" s="515"/>
      <c r="I34" s="515"/>
      <c r="J34" s="515"/>
      <c r="K34" s="515"/>
      <c r="L34" s="534">
        <v>0.2</v>
      </c>
    </row>
    <row r="35" spans="1:12" ht="15" customHeight="1">
      <c r="A35" s="536" t="s">
        <v>703</v>
      </c>
      <c r="B35" s="537"/>
      <c r="C35" s="520"/>
      <c r="D35" s="515"/>
      <c r="E35" s="515"/>
      <c r="F35" s="515"/>
      <c r="G35" s="515"/>
      <c r="H35" s="515"/>
      <c r="I35" s="515"/>
      <c r="J35" s="521">
        <v>0.1535</v>
      </c>
      <c r="K35" s="527"/>
      <c r="L35" s="532"/>
    </row>
    <row r="36" spans="1:12" ht="15" customHeight="1">
      <c r="A36" s="536" t="s">
        <v>704</v>
      </c>
      <c r="B36" s="537"/>
      <c r="C36" s="520"/>
      <c r="D36" s="515"/>
      <c r="E36" s="515"/>
      <c r="F36" s="515"/>
      <c r="G36" s="515"/>
      <c r="H36" s="515"/>
      <c r="I36" s="515"/>
      <c r="J36" s="521">
        <v>0.1535</v>
      </c>
      <c r="K36" s="527"/>
      <c r="L36" s="532"/>
    </row>
    <row r="37" spans="1:12" ht="15" customHeight="1">
      <c r="A37" s="536" t="s">
        <v>705</v>
      </c>
      <c r="B37" s="537"/>
      <c r="C37" s="520"/>
      <c r="D37" s="515"/>
      <c r="E37" s="515"/>
      <c r="F37" s="515"/>
      <c r="G37" s="515"/>
      <c r="H37" s="515"/>
      <c r="I37" s="515"/>
      <c r="J37" s="521">
        <v>7.6700000000000004E-2</v>
      </c>
      <c r="K37" s="527"/>
      <c r="L37" s="532"/>
    </row>
    <row r="38" spans="1:12" ht="15" customHeight="1" thickBot="1">
      <c r="A38" s="536" t="s">
        <v>706</v>
      </c>
      <c r="B38" s="537"/>
      <c r="C38" s="520"/>
      <c r="D38" s="515"/>
      <c r="E38" s="521">
        <v>0.23619999999999999</v>
      </c>
      <c r="F38" s="527"/>
      <c r="G38" s="527"/>
      <c r="H38" s="515"/>
      <c r="I38" s="515"/>
      <c r="J38" s="521"/>
      <c r="K38" s="527"/>
      <c r="L38" s="532"/>
    </row>
    <row r="39" spans="1:12" ht="16.5" thickBot="1">
      <c r="C39" s="541">
        <f>SUM(C14:C38)</f>
        <v>0.93120000000000003</v>
      </c>
      <c r="D39" s="541">
        <f t="shared" ref="D39:L39" si="0">SUM(D14:D38)</f>
        <v>0.98</v>
      </c>
      <c r="E39" s="541">
        <f>SUM(E38:E38)</f>
        <v>0.23619999999999999</v>
      </c>
      <c r="F39" s="541">
        <f t="shared" si="0"/>
        <v>0.89990000000000003</v>
      </c>
      <c r="G39" s="541">
        <f t="shared" si="0"/>
        <v>0.98809999999999998</v>
      </c>
      <c r="H39" s="541">
        <f t="shared" si="0"/>
        <v>0.34339999999999998</v>
      </c>
      <c r="I39" s="541">
        <f t="shared" si="0"/>
        <v>0.32700000000000001</v>
      </c>
      <c r="J39" s="541">
        <f t="shared" si="0"/>
        <v>0.38369999999999999</v>
      </c>
      <c r="K39" s="541">
        <f t="shared" si="0"/>
        <v>0.52349999999999997</v>
      </c>
      <c r="L39" s="542">
        <f t="shared" si="0"/>
        <v>0.26300000000000001</v>
      </c>
    </row>
    <row r="40" spans="1:12">
      <c r="C40" s="1046"/>
      <c r="D40" s="1046"/>
      <c r="E40" s="1046"/>
      <c r="F40" s="1046"/>
      <c r="G40" s="1046"/>
      <c r="H40" s="1046"/>
      <c r="I40" s="1046"/>
      <c r="J40" s="1046"/>
      <c r="K40" s="1046"/>
      <c r="L40" s="1046"/>
    </row>
    <row r="41" spans="1:12">
      <c r="C41" s="1046"/>
      <c r="D41" s="1046"/>
      <c r="E41" s="1046"/>
      <c r="F41" s="1046"/>
      <c r="G41" s="1046"/>
      <c r="H41" s="1046"/>
      <c r="I41" s="1046"/>
      <c r="J41" s="1046"/>
      <c r="K41" s="1046"/>
      <c r="L41" s="1046"/>
    </row>
    <row r="43" spans="1:12" ht="16.5">
      <c r="A43" s="543" t="s">
        <v>707</v>
      </c>
    </row>
    <row r="44" spans="1:12" ht="12" customHeight="1">
      <c r="A44" s="544" t="s">
        <v>708</v>
      </c>
    </row>
    <row r="45" spans="1:12" ht="16.5">
      <c r="A45" s="544" t="s">
        <v>709</v>
      </c>
    </row>
    <row r="46" spans="1:12" ht="16.5">
      <c r="A46" s="965" t="s">
        <v>710</v>
      </c>
    </row>
  </sheetData>
  <pageMargins left="0.74" right="0.28000000000000003" top="0.52" bottom="0.33" header="0.4" footer="0.17"/>
  <pageSetup scale="63" orientation="landscape" r:id="rId1"/>
  <headerFooter alignWithMargins="0">
    <oddFooter>&amp;R&amp;P</oddFooter>
  </headerFooter>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72"/>
  <sheetViews>
    <sheetView workbookViewId="0"/>
  </sheetViews>
  <sheetFormatPr defaultRowHeight="12.75"/>
  <cols>
    <col min="1" max="9" width="18.125" style="577" customWidth="1"/>
    <col min="10" max="10" width="14.375" style="577" customWidth="1"/>
    <col min="11" max="11" width="16.875" style="577" customWidth="1"/>
    <col min="12" max="12" width="15.25" style="577" customWidth="1"/>
    <col min="13" max="13" width="15.375" style="577" customWidth="1"/>
    <col min="14" max="14" width="13.75" style="577" customWidth="1"/>
    <col min="15" max="15" width="2" style="577" customWidth="1"/>
    <col min="16" max="16" width="10.375" style="577" hidden="1" customWidth="1"/>
    <col min="17" max="17" width="0.5" style="577" hidden="1" customWidth="1"/>
    <col min="18" max="256" width="11" style="577" customWidth="1"/>
    <col min="257" max="16384" width="9" style="577"/>
  </cols>
  <sheetData>
    <row r="1" spans="1:17" ht="18">
      <c r="A1" s="576"/>
      <c r="B1" s="576"/>
      <c r="C1" s="576"/>
      <c r="D1" s="576"/>
      <c r="E1" s="576"/>
      <c r="F1" s="576"/>
      <c r="G1" s="576"/>
      <c r="H1" s="576"/>
      <c r="I1" s="576"/>
    </row>
    <row r="2" spans="1:17" ht="30">
      <c r="A2" s="578" t="s">
        <v>711</v>
      </c>
      <c r="B2" s="579"/>
      <c r="C2" s="579"/>
      <c r="D2" s="579"/>
      <c r="E2" s="579"/>
      <c r="F2" s="579"/>
      <c r="G2" s="579"/>
      <c r="H2" s="579"/>
      <c r="I2" s="579"/>
      <c r="J2" s="580"/>
      <c r="K2" s="580"/>
      <c r="L2" s="580"/>
      <c r="M2" s="580"/>
      <c r="N2" s="580"/>
      <c r="O2" s="580"/>
      <c r="P2" s="580"/>
      <c r="Q2" s="580"/>
    </row>
    <row r="3" spans="1:17" ht="30">
      <c r="A3" s="581"/>
      <c r="B3" s="576"/>
      <c r="C3" s="576"/>
      <c r="D3" s="576"/>
      <c r="E3" s="576"/>
      <c r="F3" s="576"/>
      <c r="G3" s="576"/>
      <c r="H3" s="576"/>
      <c r="I3" s="576"/>
    </row>
    <row r="4" spans="1:17" ht="30">
      <c r="A4" s="582" t="s">
        <v>712</v>
      </c>
      <c r="B4" s="583"/>
      <c r="C4" s="579"/>
      <c r="D4" s="579"/>
      <c r="E4" s="579"/>
      <c r="F4" s="579"/>
      <c r="G4" s="579"/>
      <c r="H4" s="579"/>
      <c r="I4" s="579"/>
      <c r="J4" s="580"/>
      <c r="K4" s="580"/>
      <c r="L4" s="580"/>
      <c r="M4" s="580"/>
      <c r="N4" s="580"/>
    </row>
    <row r="5" spans="1:17" ht="30">
      <c r="A5" s="582" t="s">
        <v>404</v>
      </c>
      <c r="B5" s="583"/>
      <c r="C5" s="579"/>
      <c r="D5" s="579"/>
      <c r="E5" s="579"/>
      <c r="F5" s="579"/>
      <c r="G5" s="579"/>
      <c r="H5" s="579"/>
      <c r="I5" s="579"/>
      <c r="J5" s="580"/>
      <c r="K5" s="580"/>
      <c r="L5" s="580"/>
      <c r="M5" s="580"/>
      <c r="N5" s="580"/>
    </row>
    <row r="6" spans="1:17" ht="18.75" thickBot="1">
      <c r="A6" s="584"/>
      <c r="B6" s="583"/>
      <c r="C6" s="579"/>
      <c r="D6" s="579"/>
      <c r="E6" s="579"/>
      <c r="F6" s="579"/>
      <c r="G6" s="579"/>
      <c r="H6" s="579"/>
      <c r="I6" s="579"/>
    </row>
    <row r="7" spans="1:17" ht="18">
      <c r="A7" s="584"/>
      <c r="D7" s="585"/>
      <c r="E7" s="586"/>
      <c r="F7" s="586"/>
      <c r="G7" s="586"/>
      <c r="H7" s="586"/>
      <c r="I7" s="586"/>
      <c r="J7" s="587"/>
    </row>
    <row r="8" spans="1:17" ht="15.75">
      <c r="D8" s="588" t="s">
        <v>713</v>
      </c>
      <c r="E8" s="589"/>
      <c r="F8" s="589"/>
      <c r="G8" s="589"/>
      <c r="H8" s="589"/>
      <c r="I8" s="589"/>
      <c r="J8" s="590"/>
    </row>
    <row r="9" spans="1:17" ht="15">
      <c r="D9" s="591" t="s">
        <v>714</v>
      </c>
      <c r="E9" s="589"/>
      <c r="F9" s="589"/>
      <c r="G9" s="589"/>
      <c r="H9" s="589"/>
      <c r="I9" s="589"/>
      <c r="J9" s="590"/>
    </row>
    <row r="10" spans="1:17" ht="15">
      <c r="D10" s="591" t="s">
        <v>715</v>
      </c>
      <c r="E10" s="589"/>
      <c r="F10" s="589"/>
      <c r="G10" s="589"/>
      <c r="H10" s="589"/>
      <c r="I10" s="589"/>
      <c r="J10" s="590"/>
    </row>
    <row r="11" spans="1:17" ht="15">
      <c r="D11" s="591" t="s">
        <v>716</v>
      </c>
      <c r="E11" s="589"/>
      <c r="F11" s="589"/>
      <c r="G11" s="589"/>
      <c r="H11" s="589"/>
      <c r="I11" s="589"/>
      <c r="J11" s="590"/>
    </row>
    <row r="12" spans="1:17" ht="15">
      <c r="D12" s="591"/>
      <c r="E12" s="589"/>
      <c r="F12" s="589"/>
      <c r="G12" s="589"/>
      <c r="H12" s="589"/>
      <c r="I12" s="589"/>
      <c r="J12" s="590"/>
    </row>
    <row r="13" spans="1:17" ht="15">
      <c r="D13" s="591" t="s">
        <v>717</v>
      </c>
      <c r="E13" s="589"/>
      <c r="F13" s="589"/>
      <c r="G13" s="589"/>
      <c r="H13" s="589"/>
      <c r="I13" s="589"/>
      <c r="J13" s="590"/>
    </row>
    <row r="14" spans="1:17" ht="15">
      <c r="D14" s="591" t="s">
        <v>718</v>
      </c>
      <c r="E14" s="589"/>
      <c r="F14" s="589"/>
      <c r="G14" s="589"/>
      <c r="H14" s="589"/>
      <c r="I14" s="589"/>
      <c r="J14" s="590"/>
    </row>
    <row r="15" spans="1:17" ht="15">
      <c r="D15" s="591"/>
      <c r="E15" s="589"/>
      <c r="F15" s="589"/>
      <c r="G15" s="589"/>
      <c r="H15" s="589"/>
      <c r="I15" s="589"/>
      <c r="J15" s="590"/>
    </row>
    <row r="16" spans="1:17" ht="15.75">
      <c r="D16" s="588" t="s">
        <v>719</v>
      </c>
      <c r="E16" s="589"/>
      <c r="F16" s="589"/>
      <c r="G16" s="589"/>
      <c r="H16" s="589"/>
      <c r="I16" s="589"/>
      <c r="J16" s="590"/>
    </row>
    <row r="17" spans="1:26" ht="15">
      <c r="D17" s="591" t="s">
        <v>720</v>
      </c>
      <c r="E17" s="589"/>
      <c r="F17" s="589"/>
      <c r="G17" s="589"/>
      <c r="H17" s="589"/>
      <c r="I17" s="589"/>
      <c r="J17" s="590"/>
    </row>
    <row r="18" spans="1:26" ht="15">
      <c r="D18" s="591" t="s">
        <v>721</v>
      </c>
      <c r="E18" s="589"/>
      <c r="F18" s="589"/>
      <c r="G18" s="589"/>
      <c r="H18" s="589"/>
      <c r="I18" s="589"/>
      <c r="J18" s="590"/>
    </row>
    <row r="19" spans="1:26" ht="15">
      <c r="D19" s="591"/>
      <c r="E19" s="589"/>
      <c r="F19" s="589"/>
      <c r="G19" s="589"/>
      <c r="H19" s="589"/>
      <c r="I19" s="589"/>
      <c r="J19" s="590"/>
    </row>
    <row r="20" spans="1:26" ht="15">
      <c r="D20" s="591" t="s">
        <v>722</v>
      </c>
      <c r="E20" s="589"/>
      <c r="F20" s="589"/>
      <c r="G20" s="589"/>
      <c r="H20" s="589"/>
      <c r="I20" s="589"/>
      <c r="J20" s="590"/>
    </row>
    <row r="21" spans="1:26" ht="15">
      <c r="D21" s="591" t="s">
        <v>718</v>
      </c>
      <c r="E21" s="589"/>
      <c r="F21" s="589"/>
      <c r="G21" s="589"/>
      <c r="H21" s="589"/>
      <c r="I21" s="589"/>
      <c r="J21" s="590"/>
    </row>
    <row r="22" spans="1:26" ht="15.75" thickBot="1">
      <c r="D22" s="592" t="s">
        <v>0</v>
      </c>
      <c r="E22" s="593"/>
      <c r="F22" s="594"/>
      <c r="G22" s="594"/>
      <c r="H22" s="594"/>
      <c r="I22" s="594"/>
      <c r="J22" s="595"/>
    </row>
    <row r="23" spans="1:26" ht="18">
      <c r="B23" s="596"/>
      <c r="D23" s="589"/>
      <c r="E23" s="589"/>
      <c r="F23" s="589"/>
      <c r="G23" s="589"/>
      <c r="H23" s="589"/>
      <c r="I23" s="579"/>
    </row>
    <row r="24" spans="1:26" ht="18">
      <c r="B24" s="596"/>
      <c r="C24" s="596"/>
      <c r="D24" s="589"/>
      <c r="E24" s="589"/>
      <c r="F24" s="589"/>
      <c r="G24" s="589"/>
      <c r="H24" s="589"/>
      <c r="I24" s="579"/>
    </row>
    <row r="25" spans="1:26" ht="18">
      <c r="A25" s="583" t="s">
        <v>0</v>
      </c>
      <c r="B25" s="583"/>
      <c r="C25" s="579"/>
      <c r="D25" s="579"/>
      <c r="E25" s="579"/>
      <c r="F25" s="579"/>
      <c r="G25" s="579"/>
      <c r="H25" s="579"/>
      <c r="I25" s="579"/>
    </row>
    <row r="26" spans="1:26" ht="18">
      <c r="A26" s="597" t="s">
        <v>723</v>
      </c>
      <c r="B26" s="576"/>
      <c r="C26" s="576"/>
      <c r="D26" s="576"/>
      <c r="E26" s="576"/>
      <c r="F26" s="576"/>
      <c r="G26" s="576"/>
      <c r="H26" s="576"/>
      <c r="I26" s="576"/>
    </row>
    <row r="27" spans="1:26" ht="18">
      <c r="A27" s="583"/>
      <c r="B27" s="576"/>
      <c r="C27" s="576"/>
      <c r="D27" s="576"/>
      <c r="E27" s="576"/>
      <c r="F27" s="576"/>
      <c r="G27" s="576"/>
      <c r="H27" s="576"/>
      <c r="I27" s="576"/>
    </row>
    <row r="28" spans="1:26" ht="23.25">
      <c r="A28" s="598"/>
      <c r="B28" s="599" t="s">
        <v>724</v>
      </c>
      <c r="C28" s="600"/>
      <c r="D28" s="601" t="s">
        <v>725</v>
      </c>
      <c r="E28" s="600"/>
      <c r="F28" s="601" t="s">
        <v>726</v>
      </c>
      <c r="G28" s="600"/>
      <c r="H28" s="601" t="s">
        <v>311</v>
      </c>
      <c r="I28" s="602"/>
      <c r="K28" s="603" t="s">
        <v>727</v>
      </c>
      <c r="L28" s="604"/>
      <c r="M28" s="604"/>
      <c r="N28" s="604"/>
    </row>
    <row r="29" spans="1:26" ht="15.75">
      <c r="A29" s="605"/>
      <c r="B29" s="606" t="s">
        <v>728</v>
      </c>
      <c r="C29" s="607" t="s">
        <v>729</v>
      </c>
      <c r="D29" s="606" t="s">
        <v>728</v>
      </c>
      <c r="E29" s="607" t="s">
        <v>729</v>
      </c>
      <c r="F29" s="606" t="s">
        <v>728</v>
      </c>
      <c r="G29" s="607" t="s">
        <v>729</v>
      </c>
      <c r="H29" s="606" t="s">
        <v>728</v>
      </c>
      <c r="I29" s="608" t="s">
        <v>729</v>
      </c>
      <c r="J29" s="608"/>
      <c r="K29" s="609" t="s">
        <v>730</v>
      </c>
      <c r="L29" s="609" t="s">
        <v>730</v>
      </c>
      <c r="M29" s="609" t="s">
        <v>730</v>
      </c>
      <c r="N29" s="610"/>
      <c r="O29" s="610"/>
      <c r="P29" s="610"/>
      <c r="Q29" s="610"/>
      <c r="R29" s="610"/>
      <c r="S29" s="610"/>
      <c r="T29" s="610"/>
      <c r="U29" s="610"/>
      <c r="V29" s="610"/>
      <c r="W29" s="610"/>
      <c r="X29" s="610"/>
      <c r="Y29" s="610"/>
      <c r="Z29" s="610"/>
    </row>
    <row r="30" spans="1:26" ht="23.25">
      <c r="A30" s="611"/>
      <c r="B30" s="609" t="s">
        <v>731</v>
      </c>
      <c r="C30" s="612" t="s">
        <v>732</v>
      </c>
      <c r="D30" s="609" t="s">
        <v>731</v>
      </c>
      <c r="E30" s="612" t="s">
        <v>732</v>
      </c>
      <c r="F30" s="609" t="s">
        <v>731</v>
      </c>
      <c r="G30" s="612" t="s">
        <v>732</v>
      </c>
      <c r="H30" s="609" t="s">
        <v>731</v>
      </c>
      <c r="I30" s="613" t="s">
        <v>732</v>
      </c>
      <c r="J30" s="614"/>
      <c r="K30" s="615" t="s">
        <v>733</v>
      </c>
      <c r="L30" s="615" t="s">
        <v>734</v>
      </c>
      <c r="M30" s="615" t="s">
        <v>735</v>
      </c>
      <c r="N30" s="616" t="s">
        <v>311</v>
      </c>
    </row>
    <row r="31" spans="1:26" ht="13.5" thickBot="1">
      <c r="A31" s="590"/>
      <c r="B31" s="617" t="s">
        <v>736</v>
      </c>
      <c r="C31" s="618" t="s">
        <v>0</v>
      </c>
      <c r="D31" s="617" t="s">
        <v>736</v>
      </c>
      <c r="E31" s="618" t="s">
        <v>0</v>
      </c>
      <c r="F31" s="617" t="s">
        <v>736</v>
      </c>
      <c r="G31" s="618" t="s">
        <v>0</v>
      </c>
      <c r="H31" s="617" t="s">
        <v>736</v>
      </c>
      <c r="I31" s="619" t="s">
        <v>0</v>
      </c>
      <c r="J31" s="620"/>
      <c r="K31" s="621"/>
      <c r="L31" s="622"/>
      <c r="M31" s="623"/>
      <c r="N31" s="624"/>
    </row>
    <row r="32" spans="1:26" ht="18">
      <c r="A32" s="625" t="s">
        <v>98</v>
      </c>
      <c r="B32" s="626">
        <v>2</v>
      </c>
      <c r="C32" s="627">
        <v>101990</v>
      </c>
      <c r="D32" s="857">
        <v>0</v>
      </c>
      <c r="E32" s="901">
        <v>0</v>
      </c>
      <c r="F32" s="857">
        <v>0</v>
      </c>
      <c r="G32" s="901">
        <v>0</v>
      </c>
      <c r="H32" s="626">
        <f>+B32+D32+F32</f>
        <v>2</v>
      </c>
      <c r="I32" s="628">
        <f>+C32+E32+G32</f>
        <v>101990</v>
      </c>
      <c r="J32" s="629"/>
      <c r="K32" s="630">
        <f>+C32/I32</f>
        <v>1</v>
      </c>
      <c r="L32" s="857">
        <f t="shared" ref="L32:L42" si="0">+E32/I32</f>
        <v>0</v>
      </c>
      <c r="M32" s="857">
        <f>+G32/I32</f>
        <v>0</v>
      </c>
      <c r="N32" s="631">
        <f t="shared" ref="N32:N42" si="1">SUM(K32:M32)</f>
        <v>1</v>
      </c>
      <c r="O32" s="632"/>
      <c r="P32" s="632"/>
      <c r="Q32" s="632"/>
      <c r="R32" s="632"/>
      <c r="S32" s="632"/>
      <c r="T32" s="632"/>
      <c r="U32" s="632"/>
    </row>
    <row r="33" spans="1:21" ht="18">
      <c r="A33" s="625" t="s">
        <v>127</v>
      </c>
      <c r="B33" s="857">
        <v>0</v>
      </c>
      <c r="C33" s="901">
        <v>0</v>
      </c>
      <c r="D33" s="857">
        <v>0</v>
      </c>
      <c r="E33" s="901">
        <v>0</v>
      </c>
      <c r="F33" s="857">
        <v>0</v>
      </c>
      <c r="G33" s="901">
        <v>0</v>
      </c>
      <c r="H33" s="857">
        <f t="shared" ref="H33:I41" si="2">+B33+D33+F33</f>
        <v>0</v>
      </c>
      <c r="I33" s="1160">
        <f t="shared" si="2"/>
        <v>0</v>
      </c>
      <c r="J33" s="629"/>
      <c r="K33" s="630"/>
      <c r="L33" s="857"/>
      <c r="M33" s="857"/>
      <c r="N33" s="631"/>
      <c r="O33" s="632"/>
      <c r="P33" s="632"/>
      <c r="Q33" s="632"/>
      <c r="R33" s="632"/>
      <c r="S33" s="632"/>
      <c r="T33" s="632"/>
      <c r="U33" s="632"/>
    </row>
    <row r="34" spans="1:21" ht="18">
      <c r="A34" s="625" t="s">
        <v>100</v>
      </c>
      <c r="B34" s="902">
        <v>10</v>
      </c>
      <c r="C34" s="903">
        <v>2774000</v>
      </c>
      <c r="D34" s="857">
        <v>0</v>
      </c>
      <c r="E34" s="901">
        <v>0</v>
      </c>
      <c r="F34" s="626">
        <v>1</v>
      </c>
      <c r="G34" s="627">
        <v>27500000</v>
      </c>
      <c r="H34" s="626">
        <f t="shared" si="2"/>
        <v>11</v>
      </c>
      <c r="I34" s="628">
        <f t="shared" si="2"/>
        <v>30274000</v>
      </c>
      <c r="J34" s="629"/>
      <c r="K34" s="630">
        <f t="shared" ref="K34:K44" si="3">+C34/I34</f>
        <v>9.1629781330514637E-2</v>
      </c>
      <c r="L34" s="857">
        <f t="shared" si="0"/>
        <v>0</v>
      </c>
      <c r="M34" s="630">
        <f t="shared" ref="M34:M42" si="4">+G34/I34</f>
        <v>0.90837021866948542</v>
      </c>
      <c r="N34" s="631">
        <f t="shared" si="1"/>
        <v>1</v>
      </c>
      <c r="O34" s="632"/>
      <c r="P34" s="632"/>
      <c r="Q34" s="632"/>
      <c r="R34" s="632"/>
      <c r="S34" s="632"/>
      <c r="T34" s="632"/>
      <c r="U34" s="632"/>
    </row>
    <row r="35" spans="1:21" ht="18">
      <c r="A35" s="625" t="s">
        <v>101</v>
      </c>
      <c r="B35" s="626">
        <v>2</v>
      </c>
      <c r="C35" s="627">
        <v>1793330</v>
      </c>
      <c r="D35" s="857">
        <v>0</v>
      </c>
      <c r="E35" s="901">
        <v>0</v>
      </c>
      <c r="F35" s="902">
        <v>0</v>
      </c>
      <c r="G35" s="901">
        <v>0</v>
      </c>
      <c r="H35" s="626">
        <f t="shared" si="2"/>
        <v>2</v>
      </c>
      <c r="I35" s="628">
        <f t="shared" si="2"/>
        <v>1793330</v>
      </c>
      <c r="J35" s="629"/>
      <c r="K35" s="630">
        <f t="shared" si="3"/>
        <v>1</v>
      </c>
      <c r="L35" s="857">
        <f t="shared" si="0"/>
        <v>0</v>
      </c>
      <c r="M35" s="857">
        <f t="shared" si="4"/>
        <v>0</v>
      </c>
      <c r="N35" s="631">
        <f t="shared" si="1"/>
        <v>1</v>
      </c>
      <c r="O35" s="632"/>
      <c r="P35" s="632"/>
      <c r="Q35" s="632"/>
      <c r="R35" s="632"/>
      <c r="S35" s="632"/>
      <c r="T35" s="632"/>
      <c r="U35" s="632"/>
    </row>
    <row r="36" spans="1:21" ht="18">
      <c r="A36" s="625" t="s">
        <v>102</v>
      </c>
      <c r="B36" s="626">
        <v>15</v>
      </c>
      <c r="C36" s="627">
        <v>10282000</v>
      </c>
      <c r="D36" s="902">
        <v>2</v>
      </c>
      <c r="E36" s="903">
        <v>26713000</v>
      </c>
      <c r="F36" s="626">
        <v>1</v>
      </c>
      <c r="G36" s="627">
        <v>23268000</v>
      </c>
      <c r="H36" s="626">
        <f t="shared" si="2"/>
        <v>18</v>
      </c>
      <c r="I36" s="628">
        <f t="shared" si="2"/>
        <v>60263000</v>
      </c>
      <c r="J36" s="629"/>
      <c r="K36" s="630">
        <f t="shared" si="3"/>
        <v>0.17061878764747856</v>
      </c>
      <c r="L36" s="1055">
        <f t="shared" si="0"/>
        <v>0.44327365049864759</v>
      </c>
      <c r="M36" s="630">
        <f t="shared" si="4"/>
        <v>0.38610756185387385</v>
      </c>
      <c r="N36" s="631">
        <f t="shared" si="1"/>
        <v>1</v>
      </c>
      <c r="O36" s="632"/>
      <c r="P36" s="632"/>
      <c r="Q36" s="632"/>
      <c r="R36" s="632"/>
      <c r="S36" s="632"/>
      <c r="T36" s="632"/>
      <c r="U36" s="632"/>
    </row>
    <row r="37" spans="1:21" ht="18">
      <c r="A37" s="625" t="s">
        <v>107</v>
      </c>
      <c r="B37" s="626">
        <v>5</v>
      </c>
      <c r="C37" s="627">
        <v>16512480</v>
      </c>
      <c r="D37" s="902">
        <v>1</v>
      </c>
      <c r="E37" s="903">
        <v>20584550</v>
      </c>
      <c r="F37" s="857">
        <v>0</v>
      </c>
      <c r="G37" s="901">
        <v>0</v>
      </c>
      <c r="H37" s="626">
        <f t="shared" si="2"/>
        <v>6</v>
      </c>
      <c r="I37" s="628">
        <f t="shared" si="2"/>
        <v>37097030</v>
      </c>
      <c r="J37" s="633" t="s">
        <v>0</v>
      </c>
      <c r="K37" s="630">
        <f t="shared" si="3"/>
        <v>0.44511595672214188</v>
      </c>
      <c r="L37" s="1055">
        <f t="shared" si="0"/>
        <v>0.55488404327785812</v>
      </c>
      <c r="M37" s="857">
        <f t="shared" si="4"/>
        <v>0</v>
      </c>
      <c r="N37" s="631">
        <f t="shared" si="1"/>
        <v>1</v>
      </c>
      <c r="O37" s="632"/>
      <c r="P37" s="632"/>
      <c r="Q37" s="632"/>
      <c r="R37" s="632"/>
      <c r="S37" s="632"/>
      <c r="T37" s="632"/>
      <c r="U37" s="632"/>
    </row>
    <row r="38" spans="1:21" ht="18">
      <c r="A38" s="625" t="s">
        <v>103</v>
      </c>
      <c r="B38" s="902">
        <v>4</v>
      </c>
      <c r="C38" s="903">
        <v>19400000</v>
      </c>
      <c r="D38" s="902">
        <v>2</v>
      </c>
      <c r="E38" s="903">
        <v>35299000</v>
      </c>
      <c r="F38" s="902">
        <v>1</v>
      </c>
      <c r="G38" s="903">
        <v>20065000</v>
      </c>
      <c r="H38" s="902">
        <f t="shared" si="2"/>
        <v>7</v>
      </c>
      <c r="I38" s="1202">
        <f t="shared" si="2"/>
        <v>74764000</v>
      </c>
      <c r="J38" s="629"/>
      <c r="K38" s="630">
        <f t="shared" si="3"/>
        <v>0.2594831737199722</v>
      </c>
      <c r="L38" s="1055">
        <f t="shared" si="0"/>
        <v>0.47213899737841741</v>
      </c>
      <c r="M38" s="630">
        <f t="shared" si="4"/>
        <v>0.26837782890161038</v>
      </c>
      <c r="N38" s="1042">
        <f t="shared" si="1"/>
        <v>1</v>
      </c>
      <c r="O38" s="632"/>
      <c r="P38" s="632"/>
      <c r="Q38" s="632"/>
      <c r="R38" s="632"/>
      <c r="S38" s="632"/>
      <c r="T38" s="632"/>
      <c r="U38" s="632"/>
    </row>
    <row r="39" spans="1:21" ht="18">
      <c r="A39" s="625" t="s">
        <v>104</v>
      </c>
      <c r="B39" s="626">
        <v>11</v>
      </c>
      <c r="C39" s="627">
        <v>34860000</v>
      </c>
      <c r="D39" s="626">
        <v>4</v>
      </c>
      <c r="E39" s="627">
        <v>104995000</v>
      </c>
      <c r="F39" s="857">
        <v>0</v>
      </c>
      <c r="G39" s="901">
        <v>0</v>
      </c>
      <c r="H39" s="626">
        <f t="shared" si="2"/>
        <v>15</v>
      </c>
      <c r="I39" s="628">
        <f t="shared" si="2"/>
        <v>139855000</v>
      </c>
      <c r="J39" s="629"/>
      <c r="K39" s="630">
        <f t="shared" si="3"/>
        <v>0.24925816023738873</v>
      </c>
      <c r="L39" s="630">
        <f t="shared" si="0"/>
        <v>0.75074183976261133</v>
      </c>
      <c r="M39" s="857">
        <f t="shared" si="4"/>
        <v>0</v>
      </c>
      <c r="N39" s="631">
        <f t="shared" si="1"/>
        <v>1</v>
      </c>
      <c r="O39" s="632"/>
      <c r="P39" s="632"/>
      <c r="Q39" s="632"/>
      <c r="R39" s="632"/>
      <c r="S39" s="632"/>
      <c r="T39" s="632"/>
      <c r="U39" s="632"/>
    </row>
    <row r="40" spans="1:21" ht="18">
      <c r="A40" s="625" t="s">
        <v>105</v>
      </c>
      <c r="B40" s="626">
        <v>10</v>
      </c>
      <c r="C40" s="627">
        <v>76178622</v>
      </c>
      <c r="D40" s="626">
        <v>2</v>
      </c>
      <c r="E40" s="627">
        <v>95196469</v>
      </c>
      <c r="F40" s="902">
        <v>2</v>
      </c>
      <c r="G40" s="903">
        <v>220584413</v>
      </c>
      <c r="H40" s="626">
        <f t="shared" si="2"/>
        <v>14</v>
      </c>
      <c r="I40" s="628">
        <f t="shared" si="2"/>
        <v>391959504</v>
      </c>
      <c r="J40" s="629"/>
      <c r="K40" s="630">
        <f t="shared" si="3"/>
        <v>0.19435329727328157</v>
      </c>
      <c r="L40" s="630">
        <f t="shared" si="0"/>
        <v>0.24287322549525422</v>
      </c>
      <c r="M40" s="1055">
        <f t="shared" si="4"/>
        <v>0.5627734772314642</v>
      </c>
      <c r="N40" s="631">
        <f t="shared" si="1"/>
        <v>1</v>
      </c>
      <c r="O40" s="632"/>
      <c r="P40" s="632"/>
      <c r="Q40" s="632"/>
      <c r="R40" s="632"/>
      <c r="S40" s="632"/>
      <c r="T40" s="632"/>
      <c r="U40" s="632"/>
    </row>
    <row r="41" spans="1:21" ht="18">
      <c r="A41" s="625" t="s">
        <v>108</v>
      </c>
      <c r="B41" s="626">
        <v>8</v>
      </c>
      <c r="C41" s="627">
        <v>2706131</v>
      </c>
      <c r="D41" s="857">
        <v>0</v>
      </c>
      <c r="E41" s="901">
        <v>0</v>
      </c>
      <c r="F41" s="857">
        <v>0</v>
      </c>
      <c r="G41" s="901">
        <v>0</v>
      </c>
      <c r="H41" s="626">
        <f t="shared" si="2"/>
        <v>8</v>
      </c>
      <c r="I41" s="628">
        <f t="shared" si="2"/>
        <v>2706131</v>
      </c>
      <c r="J41" s="629"/>
      <c r="K41" s="630">
        <f t="shared" si="3"/>
        <v>1</v>
      </c>
      <c r="L41" s="857">
        <f t="shared" si="0"/>
        <v>0</v>
      </c>
      <c r="M41" s="857">
        <f t="shared" si="4"/>
        <v>0</v>
      </c>
      <c r="N41" s="631">
        <f t="shared" si="1"/>
        <v>1</v>
      </c>
      <c r="O41" s="632"/>
      <c r="P41" s="632"/>
      <c r="Q41" s="632"/>
      <c r="R41" s="632"/>
      <c r="S41" s="632"/>
      <c r="T41" s="632"/>
      <c r="U41" s="632"/>
    </row>
    <row r="42" spans="1:21" ht="18">
      <c r="A42" s="625" t="s">
        <v>106</v>
      </c>
      <c r="B42" s="626">
        <v>12</v>
      </c>
      <c r="C42" s="627">
        <v>58543000</v>
      </c>
      <c r="D42" s="857">
        <v>0</v>
      </c>
      <c r="E42" s="901">
        <v>0</v>
      </c>
      <c r="F42" s="857">
        <v>0</v>
      </c>
      <c r="G42" s="901">
        <v>0</v>
      </c>
      <c r="H42" s="626">
        <f t="shared" ref="H42:I44" si="5">+B42+D42+F42</f>
        <v>12</v>
      </c>
      <c r="I42" s="628">
        <f t="shared" si="5"/>
        <v>58543000</v>
      </c>
      <c r="J42" s="629"/>
      <c r="K42" s="1164">
        <f t="shared" si="3"/>
        <v>1</v>
      </c>
      <c r="L42" s="1165">
        <f t="shared" si="0"/>
        <v>0</v>
      </c>
      <c r="M42" s="1165">
        <f t="shared" si="4"/>
        <v>0</v>
      </c>
      <c r="N42" s="1167">
        <f t="shared" si="1"/>
        <v>1</v>
      </c>
      <c r="O42" s="632"/>
      <c r="P42" s="632"/>
      <c r="Q42" s="632"/>
      <c r="R42" s="632"/>
      <c r="S42" s="632"/>
      <c r="T42" s="632"/>
      <c r="U42" s="632"/>
    </row>
    <row r="43" spans="1:21" ht="18">
      <c r="A43" s="1161" t="s">
        <v>109</v>
      </c>
      <c r="B43" s="1168">
        <v>1</v>
      </c>
      <c r="C43" s="1162">
        <v>759000</v>
      </c>
      <c r="D43" s="1168"/>
      <c r="E43" s="1162"/>
      <c r="F43" s="1169"/>
      <c r="G43" s="1163"/>
      <c r="H43" s="626">
        <f t="shared" si="5"/>
        <v>1</v>
      </c>
      <c r="I43" s="628">
        <f t="shared" si="5"/>
        <v>759000</v>
      </c>
      <c r="J43" s="629"/>
      <c r="K43" s="1164">
        <f t="shared" si="3"/>
        <v>1</v>
      </c>
      <c r="L43" s="1165">
        <f>+E43/I43</f>
        <v>0</v>
      </c>
      <c r="M43" s="1165">
        <f>+G43/I43</f>
        <v>0</v>
      </c>
      <c r="N43" s="1167">
        <f>SUM(K43:M43)</f>
        <v>1</v>
      </c>
      <c r="O43" s="632"/>
      <c r="P43" s="632"/>
      <c r="Q43" s="632"/>
      <c r="R43" s="632"/>
      <c r="S43" s="632"/>
      <c r="T43" s="632"/>
      <c r="U43" s="632"/>
    </row>
    <row r="44" spans="1:21" ht="18">
      <c r="A44" s="1161" t="s">
        <v>737</v>
      </c>
      <c r="B44" s="1168">
        <v>2</v>
      </c>
      <c r="C44" s="1162">
        <v>2250000</v>
      </c>
      <c r="D44" s="1168"/>
      <c r="E44" s="1162"/>
      <c r="F44" s="1169"/>
      <c r="G44" s="1163"/>
      <c r="H44" s="626">
        <f t="shared" si="5"/>
        <v>2</v>
      </c>
      <c r="I44" s="628">
        <f t="shared" si="5"/>
        <v>2250000</v>
      </c>
      <c r="J44" s="629"/>
      <c r="K44" s="1164">
        <f t="shared" si="3"/>
        <v>1</v>
      </c>
      <c r="L44" s="1165">
        <f>+E44/I44</f>
        <v>0</v>
      </c>
      <c r="M44" s="1165">
        <f>+G44/I44</f>
        <v>0</v>
      </c>
      <c r="N44" s="1167">
        <f>SUM(K44:M44)</f>
        <v>1</v>
      </c>
      <c r="O44" s="632"/>
      <c r="P44" s="632"/>
      <c r="Q44" s="632"/>
      <c r="R44" s="632"/>
      <c r="S44" s="632"/>
      <c r="T44" s="632"/>
      <c r="U44" s="632"/>
    </row>
    <row r="45" spans="1:21">
      <c r="B45" s="634"/>
      <c r="C45" s="634"/>
      <c r="D45" s="634"/>
      <c r="E45" s="634"/>
      <c r="F45" s="634"/>
      <c r="G45" s="634"/>
      <c r="H45" s="634"/>
      <c r="I45" s="634"/>
      <c r="J45" s="632"/>
      <c r="K45" s="632"/>
      <c r="L45" s="632"/>
      <c r="M45" s="632"/>
      <c r="N45" s="632"/>
      <c r="O45" s="632"/>
      <c r="P45" s="632"/>
      <c r="Q45" s="632"/>
      <c r="R45" s="632"/>
      <c r="S45" s="632"/>
      <c r="T45" s="632"/>
      <c r="U45" s="632"/>
    </row>
    <row r="46" spans="1:21">
      <c r="B46" s="634"/>
      <c r="C46" s="634"/>
      <c r="D46" s="634"/>
      <c r="E46" s="634"/>
      <c r="F46" s="634"/>
      <c r="G46" s="634"/>
      <c r="H46" s="634"/>
      <c r="I46" s="634"/>
      <c r="J46" s="632"/>
      <c r="K46" s="632"/>
      <c r="L46" s="632"/>
      <c r="M46" s="632"/>
      <c r="N46" s="632"/>
      <c r="O46" s="632"/>
      <c r="P46" s="632"/>
      <c r="Q46" s="632"/>
      <c r="R46" s="632"/>
      <c r="S46" s="632"/>
      <c r="T46" s="632"/>
      <c r="U46" s="632"/>
    </row>
    <row r="47" spans="1:21">
      <c r="B47" s="634"/>
      <c r="C47" s="634"/>
      <c r="D47" s="634"/>
      <c r="E47" s="634"/>
      <c r="F47" s="634"/>
      <c r="G47" s="634"/>
      <c r="H47" s="634"/>
      <c r="I47" s="634"/>
      <c r="J47" s="632"/>
      <c r="K47" s="632"/>
      <c r="L47" s="632"/>
      <c r="M47" s="632"/>
      <c r="N47" s="632"/>
      <c r="O47" s="632"/>
      <c r="P47" s="632"/>
      <c r="Q47" s="632"/>
      <c r="R47" s="632"/>
      <c r="S47" s="632"/>
      <c r="T47" s="632"/>
      <c r="U47" s="632"/>
    </row>
    <row r="48" spans="1:21">
      <c r="B48" s="632"/>
      <c r="C48" s="632"/>
      <c r="D48" s="632"/>
      <c r="E48" s="632"/>
      <c r="F48" s="632"/>
      <c r="G48" s="632"/>
      <c r="H48" s="632"/>
      <c r="I48" s="632"/>
      <c r="J48" s="632"/>
      <c r="K48" s="632"/>
      <c r="L48" s="632"/>
      <c r="M48" s="632"/>
      <c r="N48" s="632"/>
      <c r="O48" s="632"/>
      <c r="P48" s="632"/>
      <c r="Q48" s="632"/>
      <c r="R48" s="632"/>
      <c r="S48" s="632"/>
      <c r="T48" s="632"/>
      <c r="U48" s="632"/>
    </row>
    <row r="49" spans="1:21">
      <c r="B49" s="632"/>
      <c r="C49" s="632"/>
      <c r="D49" s="632"/>
      <c r="E49" s="632"/>
      <c r="F49" s="632"/>
      <c r="G49" s="632"/>
      <c r="H49" s="632"/>
      <c r="I49" s="632"/>
      <c r="J49" s="632"/>
      <c r="K49" s="632"/>
      <c r="L49" s="632"/>
      <c r="M49" s="632"/>
      <c r="N49" s="632"/>
      <c r="O49" s="632"/>
      <c r="P49" s="632"/>
      <c r="Q49" s="632"/>
      <c r="R49" s="632"/>
      <c r="S49" s="632"/>
      <c r="T49" s="632"/>
      <c r="U49" s="632"/>
    </row>
    <row r="50" spans="1:21" ht="18">
      <c r="A50" s="597" t="s">
        <v>738</v>
      </c>
      <c r="B50" s="632"/>
      <c r="C50" s="632"/>
      <c r="D50" s="632"/>
      <c r="E50" s="632"/>
      <c r="F50" s="632"/>
      <c r="G50" s="632"/>
      <c r="H50" s="632"/>
      <c r="I50" s="632"/>
      <c r="J50" s="632"/>
      <c r="K50" s="632"/>
      <c r="L50" s="632"/>
      <c r="M50" s="632"/>
      <c r="N50" s="632"/>
      <c r="O50" s="632"/>
      <c r="P50" s="632"/>
      <c r="Q50" s="632"/>
      <c r="R50" s="632"/>
      <c r="S50" s="632"/>
      <c r="T50" s="632"/>
      <c r="U50" s="632"/>
    </row>
    <row r="51" spans="1:21">
      <c r="B51" s="632"/>
      <c r="C51" s="632"/>
      <c r="D51" s="632"/>
      <c r="E51" s="632"/>
      <c r="F51" s="632"/>
      <c r="G51" s="632"/>
      <c r="H51" s="632"/>
      <c r="I51" s="632"/>
      <c r="J51" s="632"/>
      <c r="K51" s="632"/>
      <c r="L51" s="632"/>
      <c r="M51" s="632"/>
      <c r="N51" s="632"/>
      <c r="O51" s="632"/>
      <c r="P51" s="632"/>
      <c r="Q51" s="632"/>
      <c r="R51" s="632"/>
      <c r="S51" s="632"/>
      <c r="T51" s="632"/>
      <c r="U51" s="632"/>
    </row>
    <row r="52" spans="1:21" ht="15.75">
      <c r="A52" s="635"/>
      <c r="B52" s="606" t="s">
        <v>739</v>
      </c>
      <c r="C52" s="636" t="s">
        <v>740</v>
      </c>
      <c r="D52" s="637" t="s">
        <v>0</v>
      </c>
      <c r="E52" s="632"/>
      <c r="F52" s="632"/>
      <c r="G52" s="632"/>
      <c r="H52" s="632"/>
      <c r="I52" s="632"/>
      <c r="J52" s="632"/>
      <c r="K52" s="632"/>
      <c r="L52" s="632"/>
      <c r="M52" s="632"/>
      <c r="N52" s="632"/>
      <c r="O52" s="632"/>
      <c r="P52" s="632"/>
      <c r="Q52" s="632"/>
      <c r="R52" s="632"/>
      <c r="S52" s="632"/>
      <c r="T52" s="632"/>
      <c r="U52" s="632"/>
    </row>
    <row r="53" spans="1:21" ht="15.75">
      <c r="A53" s="635"/>
      <c r="B53" s="606" t="s">
        <v>741</v>
      </c>
      <c r="C53" s="606" t="s">
        <v>742</v>
      </c>
      <c r="D53" s="637" t="s">
        <v>0</v>
      </c>
      <c r="E53" s="632"/>
      <c r="F53" s="632"/>
      <c r="G53" s="632"/>
      <c r="H53" s="632"/>
      <c r="I53" s="632"/>
      <c r="J53" s="632"/>
      <c r="K53" s="632"/>
      <c r="L53" s="632"/>
      <c r="M53" s="632"/>
      <c r="N53" s="632"/>
      <c r="O53" s="632"/>
      <c r="P53" s="632"/>
      <c r="Q53" s="632"/>
      <c r="R53" s="632"/>
      <c r="S53" s="632"/>
      <c r="T53" s="632"/>
      <c r="U53" s="632"/>
    </row>
    <row r="54" spans="1:21" ht="15.75">
      <c r="A54" s="635"/>
      <c r="B54" s="638" t="s">
        <v>743</v>
      </c>
      <c r="C54" s="638" t="s">
        <v>743</v>
      </c>
      <c r="D54" s="637" t="s">
        <v>0</v>
      </c>
      <c r="E54" s="632"/>
      <c r="F54" s="632"/>
      <c r="G54" s="632"/>
      <c r="H54" s="632"/>
      <c r="I54" s="632"/>
      <c r="J54" s="632"/>
      <c r="K54" s="632"/>
      <c r="L54" s="632"/>
      <c r="M54" s="632"/>
      <c r="N54" s="632"/>
      <c r="O54" s="632"/>
      <c r="P54" s="632"/>
      <c r="Q54" s="632"/>
      <c r="R54" s="632"/>
      <c r="S54" s="632"/>
      <c r="T54" s="632"/>
      <c r="U54" s="632"/>
    </row>
    <row r="55" spans="1:21" ht="15.75" thickBot="1">
      <c r="A55" s="635"/>
      <c r="B55" s="639" t="s">
        <v>744</v>
      </c>
      <c r="C55" s="639" t="s">
        <v>745</v>
      </c>
      <c r="D55" s="640" t="s">
        <v>746</v>
      </c>
      <c r="E55" s="632"/>
      <c r="F55" s="632"/>
      <c r="G55" s="632"/>
      <c r="H55" s="632"/>
      <c r="I55" s="632"/>
      <c r="J55" s="632"/>
      <c r="K55" s="632"/>
      <c r="L55" s="632"/>
      <c r="M55" s="632"/>
      <c r="N55" s="632"/>
      <c r="O55" s="632"/>
      <c r="P55" s="632"/>
      <c r="Q55" s="632"/>
      <c r="R55" s="632"/>
      <c r="S55" s="632"/>
      <c r="T55" s="632"/>
      <c r="U55" s="632"/>
    </row>
    <row r="56" spans="1:21" ht="18">
      <c r="A56" s="625" t="s">
        <v>98</v>
      </c>
      <c r="B56" s="641">
        <f>+I32</f>
        <v>101990</v>
      </c>
      <c r="C56" s="641">
        <v>5789661</v>
      </c>
      <c r="D56" s="1042">
        <f>+B56/C56</f>
        <v>1.7615884591515807E-2</v>
      </c>
      <c r="E56" s="632"/>
      <c r="F56" s="632"/>
      <c r="G56" s="632"/>
      <c r="H56" s="632"/>
      <c r="I56" s="632"/>
      <c r="J56" s="632"/>
      <c r="K56" s="632"/>
      <c r="L56" s="632"/>
      <c r="M56" s="632"/>
      <c r="N56" s="632"/>
      <c r="O56" s="632"/>
      <c r="P56" s="632"/>
      <c r="Q56" s="632"/>
      <c r="R56" s="632"/>
      <c r="S56" s="632"/>
      <c r="T56" s="632"/>
      <c r="U56" s="632"/>
    </row>
    <row r="57" spans="1:21" ht="18">
      <c r="A57" s="625" t="s">
        <v>127</v>
      </c>
      <c r="B57" s="904">
        <v>0</v>
      </c>
      <c r="C57" s="904">
        <v>0</v>
      </c>
      <c r="D57" s="906">
        <v>0</v>
      </c>
      <c r="E57" s="632"/>
      <c r="F57" s="632"/>
      <c r="G57" s="632"/>
      <c r="H57" s="632"/>
      <c r="I57" s="632"/>
      <c r="J57" s="632"/>
      <c r="K57" s="632"/>
      <c r="L57" s="632"/>
      <c r="M57" s="632"/>
      <c r="N57" s="632"/>
      <c r="O57" s="632"/>
      <c r="P57" s="632"/>
      <c r="Q57" s="632"/>
      <c r="R57" s="632"/>
      <c r="S57" s="632"/>
      <c r="T57" s="632"/>
      <c r="U57" s="632"/>
    </row>
    <row r="58" spans="1:21" ht="18">
      <c r="A58" s="625" t="s">
        <v>100</v>
      </c>
      <c r="B58" s="641">
        <v>30274000</v>
      </c>
      <c r="C58" s="641">
        <v>45382570</v>
      </c>
      <c r="D58" s="631">
        <f t="shared" ref="D58:D68" si="6">+B58/C58</f>
        <v>0.66708430130774876</v>
      </c>
      <c r="E58" s="632"/>
      <c r="F58" s="632"/>
      <c r="G58" s="632"/>
      <c r="H58" s="632"/>
      <c r="I58" s="632"/>
      <c r="J58" s="632"/>
      <c r="K58" s="632"/>
      <c r="L58" s="632"/>
      <c r="M58" s="632"/>
      <c r="N58" s="632"/>
      <c r="O58" s="632"/>
      <c r="P58" s="632"/>
      <c r="Q58" s="632"/>
      <c r="R58" s="632"/>
      <c r="S58" s="632"/>
      <c r="T58" s="632"/>
      <c r="U58" s="632"/>
    </row>
    <row r="59" spans="1:21" ht="18">
      <c r="A59" s="625" t="s">
        <v>101</v>
      </c>
      <c r="B59" s="641">
        <v>1793330</v>
      </c>
      <c r="C59" s="641">
        <v>4674998</v>
      </c>
      <c r="D59" s="631">
        <f t="shared" si="6"/>
        <v>0.38360016410702208</v>
      </c>
    </row>
    <row r="60" spans="1:21" ht="18">
      <c r="A60" s="625" t="s">
        <v>102</v>
      </c>
      <c r="B60" s="641">
        <v>60263000</v>
      </c>
      <c r="C60" s="641">
        <v>75000000</v>
      </c>
      <c r="D60" s="631">
        <f t="shared" si="6"/>
        <v>0.8035066666666667</v>
      </c>
    </row>
    <row r="61" spans="1:21" ht="18">
      <c r="A61" s="625" t="s">
        <v>107</v>
      </c>
      <c r="B61" s="641">
        <v>42279400</v>
      </c>
      <c r="C61" s="641">
        <v>121959000</v>
      </c>
      <c r="D61" s="631">
        <f t="shared" si="6"/>
        <v>0.34666896252019119</v>
      </c>
    </row>
    <row r="62" spans="1:21" ht="18">
      <c r="A62" s="625" t="s">
        <v>103</v>
      </c>
      <c r="B62" s="1203">
        <v>74765000</v>
      </c>
      <c r="C62" s="1203">
        <v>95372000</v>
      </c>
      <c r="D62" s="631">
        <f t="shared" si="6"/>
        <v>0.78393029400662673</v>
      </c>
    </row>
    <row r="63" spans="1:21" ht="18">
      <c r="A63" s="625" t="s">
        <v>104</v>
      </c>
      <c r="B63" s="641">
        <v>139855000</v>
      </c>
      <c r="C63" s="641">
        <v>145705630</v>
      </c>
      <c r="D63" s="631">
        <f t="shared" si="6"/>
        <v>0.9598462324345326</v>
      </c>
    </row>
    <row r="64" spans="1:21" ht="18">
      <c r="A64" s="625" t="s">
        <v>105</v>
      </c>
      <c r="B64" s="641">
        <v>391959504</v>
      </c>
      <c r="C64" s="641">
        <v>298855566</v>
      </c>
      <c r="D64" s="631">
        <f t="shared" si="6"/>
        <v>1.3115348970947391</v>
      </c>
    </row>
    <row r="65" spans="1:14" ht="18">
      <c r="A65" s="625" t="s">
        <v>108</v>
      </c>
      <c r="B65" s="641">
        <v>2706131</v>
      </c>
      <c r="C65" s="641">
        <v>44472215</v>
      </c>
      <c r="D65" s="631">
        <f t="shared" si="6"/>
        <v>6.0849926184247852E-2</v>
      </c>
    </row>
    <row r="66" spans="1:14" ht="18">
      <c r="A66" s="625" t="s">
        <v>106</v>
      </c>
      <c r="B66" s="1170">
        <v>58543000</v>
      </c>
      <c r="C66" s="1171">
        <v>216050000</v>
      </c>
      <c r="D66" s="1172">
        <f t="shared" si="6"/>
        <v>0.270969682943763</v>
      </c>
    </row>
    <row r="67" spans="1:14" ht="18">
      <c r="A67" s="1161" t="s">
        <v>109</v>
      </c>
      <c r="B67" s="1170">
        <v>759000</v>
      </c>
      <c r="C67" s="1173">
        <v>80263000</v>
      </c>
      <c r="D67" s="1166">
        <f t="shared" si="6"/>
        <v>9.4564120454007448E-3</v>
      </c>
    </row>
    <row r="68" spans="1:14" ht="18">
      <c r="A68" s="1161" t="s">
        <v>737</v>
      </c>
      <c r="B68" s="1170">
        <v>2250000</v>
      </c>
      <c r="C68" s="1173">
        <v>54740000</v>
      </c>
      <c r="D68" s="1166">
        <f t="shared" si="6"/>
        <v>4.1103397880891485E-2</v>
      </c>
    </row>
    <row r="69" spans="1:14">
      <c r="B69" s="642"/>
      <c r="C69" s="642"/>
      <c r="D69" s="642"/>
    </row>
    <row r="70" spans="1:14" ht="15.75">
      <c r="A70" s="961" t="s">
        <v>747</v>
      </c>
      <c r="N70"/>
    </row>
    <row r="71" spans="1:14" ht="15.75">
      <c r="A71" s="962" t="s">
        <v>0</v>
      </c>
    </row>
    <row r="72" spans="1:14" ht="15.75">
      <c r="A72" s="962" t="s">
        <v>0</v>
      </c>
    </row>
  </sheetData>
  <pageMargins left="0.53" right="0.49" top="0.4" bottom="0.35" header="0.18" footer="0.17"/>
  <pageSetup scale="44" orientation="landscape" r:id="rId1"/>
  <headerFooter alignWithMargins="0">
    <oddFooter>&amp;L&amp;"CG Times,Bold"&amp;11 &amp;X1&amp;"CG Times,Regular"&amp;12&amp;X &amp;"CG Times,Bold"Tel que soumis dans le formulaire de déclaration transmis à la BRH, un écart existe par rapport au chiffre définitif soumis dans le Bilan transmis à la BRH à la même date.&amp;R&amp;P</oddFooter>
  </headerFooter>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66"/>
  <sheetViews>
    <sheetView workbookViewId="0"/>
  </sheetViews>
  <sheetFormatPr defaultRowHeight="12.75"/>
  <cols>
    <col min="1" max="3" width="18.125" style="644" customWidth="1"/>
    <col min="4" max="4" width="17.875" style="644" customWidth="1"/>
    <col min="5" max="9" width="18.125" style="644" customWidth="1"/>
    <col min="10" max="10" width="11.125" style="644" customWidth="1"/>
    <col min="11" max="11" width="16.25" style="644" customWidth="1"/>
    <col min="12" max="12" width="15.75" style="644" customWidth="1"/>
    <col min="13" max="13" width="13.75" style="644" customWidth="1"/>
    <col min="14" max="14" width="13.5" style="644" customWidth="1"/>
    <col min="15" max="15" width="4.875" style="644" customWidth="1"/>
    <col min="16" max="16" width="3.5" style="644" hidden="1" customWidth="1"/>
    <col min="17" max="17" width="7.375" style="644" hidden="1" customWidth="1"/>
    <col min="18" max="256" width="11" style="644" customWidth="1"/>
    <col min="257" max="16384" width="9" style="644"/>
  </cols>
  <sheetData>
    <row r="1" spans="1:17" ht="18">
      <c r="A1" s="643"/>
      <c r="B1" s="643"/>
      <c r="C1" s="643"/>
      <c r="D1" s="643"/>
      <c r="E1" s="643"/>
      <c r="F1" s="643"/>
      <c r="G1" s="643"/>
      <c r="H1" s="643"/>
      <c r="I1" s="643"/>
    </row>
    <row r="2" spans="1:17" ht="30">
      <c r="A2" s="645" t="s">
        <v>711</v>
      </c>
      <c r="B2" s="646"/>
      <c r="C2" s="647"/>
      <c r="D2" s="647"/>
      <c r="E2" s="647"/>
      <c r="F2" s="647"/>
      <c r="G2" s="647"/>
      <c r="H2" s="647"/>
      <c r="I2" s="647"/>
      <c r="J2" s="646"/>
      <c r="K2" s="646"/>
      <c r="L2" s="646"/>
      <c r="M2" s="646"/>
      <c r="N2" s="646"/>
      <c r="O2" s="646"/>
      <c r="P2" s="646"/>
      <c r="Q2" s="646"/>
    </row>
    <row r="3" spans="1:17" ht="30">
      <c r="A3" s="643"/>
      <c r="B3" s="648"/>
      <c r="C3" s="643"/>
      <c r="D3" s="643"/>
      <c r="E3" s="643"/>
      <c r="F3" s="643"/>
      <c r="G3" s="643"/>
      <c r="H3" s="643"/>
      <c r="I3" s="643"/>
    </row>
    <row r="4" spans="1:17" ht="30">
      <c r="A4" s="649" t="s">
        <v>748</v>
      </c>
      <c r="B4" s="650"/>
      <c r="C4" s="647"/>
      <c r="D4" s="647"/>
      <c r="E4" s="647"/>
      <c r="F4" s="647"/>
      <c r="G4" s="647"/>
      <c r="H4" s="647"/>
      <c r="I4" s="647"/>
      <c r="J4" s="646"/>
      <c r="K4" s="646"/>
      <c r="L4" s="646"/>
      <c r="M4" s="646"/>
      <c r="N4" s="646"/>
    </row>
    <row r="5" spans="1:17" ht="30">
      <c r="A5" s="649" t="s">
        <v>404</v>
      </c>
      <c r="B5" s="650"/>
      <c r="C5" s="647"/>
      <c r="D5" s="647"/>
      <c r="E5" s="647"/>
      <c r="F5" s="647"/>
      <c r="G5" s="647"/>
      <c r="H5" s="647"/>
      <c r="I5" s="647"/>
      <c r="J5" s="646"/>
      <c r="K5" s="646"/>
      <c r="L5" s="646"/>
      <c r="M5" s="646"/>
      <c r="N5" s="646"/>
    </row>
    <row r="6" spans="1:17" ht="18.75" thickBot="1">
      <c r="A6" s="651"/>
      <c r="B6" s="650"/>
      <c r="C6" s="647"/>
      <c r="E6" s="647"/>
      <c r="F6" s="647"/>
      <c r="G6" s="647"/>
      <c r="H6" s="647"/>
      <c r="I6" s="647"/>
    </row>
    <row r="7" spans="1:17" ht="18">
      <c r="A7" s="651"/>
      <c r="D7" s="652"/>
      <c r="E7" s="653"/>
      <c r="F7" s="654"/>
      <c r="G7" s="654"/>
      <c r="H7" s="654"/>
      <c r="I7" s="654"/>
      <c r="J7" s="654"/>
      <c r="K7" s="655"/>
    </row>
    <row r="8" spans="1:17" ht="18">
      <c r="D8" s="656" t="s">
        <v>749</v>
      </c>
      <c r="F8" s="657"/>
      <c r="G8" s="657"/>
      <c r="H8" s="657"/>
      <c r="I8" s="657"/>
      <c r="J8" s="657"/>
      <c r="K8" s="655"/>
    </row>
    <row r="9" spans="1:17" ht="18">
      <c r="D9" s="659" t="s">
        <v>750</v>
      </c>
      <c r="F9" s="657"/>
      <c r="G9" s="657"/>
      <c r="H9" s="657"/>
      <c r="I9" s="657"/>
      <c r="J9" s="657"/>
      <c r="K9" s="655"/>
    </row>
    <row r="10" spans="1:17" ht="18">
      <c r="D10" s="659" t="s">
        <v>751</v>
      </c>
      <c r="F10" s="657"/>
      <c r="G10" s="657"/>
      <c r="H10" s="657"/>
      <c r="I10" s="657"/>
      <c r="J10" s="657"/>
      <c r="K10" s="655"/>
    </row>
    <row r="11" spans="1:17" ht="18">
      <c r="D11" s="659" t="s">
        <v>752</v>
      </c>
      <c r="F11" s="657"/>
      <c r="G11" s="657"/>
      <c r="H11" s="657"/>
      <c r="I11" s="657"/>
      <c r="J11" s="657"/>
      <c r="K11" s="655"/>
    </row>
    <row r="12" spans="1:17" ht="18">
      <c r="D12" s="659"/>
      <c r="F12" s="657"/>
      <c r="G12" s="657"/>
      <c r="H12" s="657"/>
      <c r="I12" s="657"/>
      <c r="J12" s="657"/>
      <c r="K12" s="655"/>
    </row>
    <row r="13" spans="1:17" ht="18">
      <c r="D13" s="659" t="s">
        <v>753</v>
      </c>
      <c r="F13" s="657"/>
      <c r="G13" s="657"/>
      <c r="H13" s="657"/>
      <c r="I13" s="657"/>
      <c r="J13" s="657"/>
      <c r="K13" s="655"/>
    </row>
    <row r="14" spans="1:17" ht="18">
      <c r="D14" s="659" t="s">
        <v>718</v>
      </c>
      <c r="F14" s="657"/>
      <c r="G14" s="657"/>
      <c r="H14" s="657"/>
      <c r="I14" s="657"/>
      <c r="J14" s="657"/>
      <c r="K14" s="655"/>
    </row>
    <row r="15" spans="1:17" ht="18.75" thickBot="1">
      <c r="D15" s="660" t="s">
        <v>0</v>
      </c>
      <c r="E15" s="661"/>
      <c r="F15" s="661"/>
      <c r="G15" s="661"/>
      <c r="H15" s="661"/>
      <c r="I15" s="661"/>
      <c r="J15" s="661"/>
      <c r="K15" s="655"/>
    </row>
    <row r="16" spans="1:17" ht="18">
      <c r="B16" s="662"/>
      <c r="D16" s="657"/>
      <c r="E16" s="657"/>
      <c r="F16" s="657"/>
      <c r="G16" s="657"/>
      <c r="H16" s="657"/>
      <c r="I16" s="647"/>
    </row>
    <row r="17" spans="1:26" ht="18">
      <c r="B17" s="662"/>
      <c r="C17" s="662"/>
      <c r="D17" s="657"/>
      <c r="E17" s="657"/>
      <c r="F17" s="657"/>
      <c r="G17" s="657"/>
      <c r="H17" s="657"/>
      <c r="I17" s="647"/>
    </row>
    <row r="18" spans="1:26" ht="18">
      <c r="A18" s="650" t="s">
        <v>0</v>
      </c>
      <c r="B18" s="650"/>
      <c r="C18" s="647"/>
      <c r="D18" s="647"/>
      <c r="E18" s="647"/>
      <c r="F18" s="647"/>
      <c r="G18" s="647"/>
      <c r="H18" s="647"/>
      <c r="I18" s="647"/>
    </row>
    <row r="19" spans="1:26" ht="18">
      <c r="A19" s="663" t="s">
        <v>723</v>
      </c>
      <c r="B19" s="643"/>
      <c r="C19" s="643"/>
      <c r="D19" s="643"/>
      <c r="E19" s="643"/>
      <c r="F19" s="643"/>
      <c r="G19" s="643"/>
      <c r="H19" s="643"/>
      <c r="I19" s="643"/>
    </row>
    <row r="20" spans="1:26" ht="18">
      <c r="A20" s="650"/>
      <c r="B20" s="643"/>
      <c r="C20" s="643"/>
      <c r="D20" s="643"/>
      <c r="E20" s="643"/>
      <c r="F20" s="643"/>
      <c r="G20" s="643"/>
      <c r="H20" s="643"/>
      <c r="I20" s="643"/>
    </row>
    <row r="21" spans="1:26" ht="23.25">
      <c r="A21" s="664"/>
      <c r="B21" s="665" t="s">
        <v>754</v>
      </c>
      <c r="C21" s="666"/>
      <c r="D21" s="667" t="s">
        <v>755</v>
      </c>
      <c r="E21" s="666"/>
      <c r="F21" s="667" t="s">
        <v>756</v>
      </c>
      <c r="G21" s="666"/>
      <c r="H21" s="667" t="s">
        <v>311</v>
      </c>
      <c r="I21" s="668"/>
      <c r="K21" s="669" t="s">
        <v>757</v>
      </c>
      <c r="L21" s="670"/>
      <c r="M21" s="670"/>
      <c r="N21" s="670"/>
    </row>
    <row r="22" spans="1:26" ht="15.75">
      <c r="A22" s="671"/>
      <c r="B22" s="672" t="s">
        <v>728</v>
      </c>
      <c r="C22" s="673" t="s">
        <v>729</v>
      </c>
      <c r="D22" s="672" t="s">
        <v>728</v>
      </c>
      <c r="E22" s="673" t="s">
        <v>729</v>
      </c>
      <c r="F22" s="672" t="s">
        <v>728</v>
      </c>
      <c r="G22" s="673" t="s">
        <v>729</v>
      </c>
      <c r="H22" s="672" t="s">
        <v>728</v>
      </c>
      <c r="I22" s="674" t="s">
        <v>729</v>
      </c>
      <c r="J22" s="674"/>
      <c r="K22" s="675" t="s">
        <v>730</v>
      </c>
      <c r="L22" s="675" t="s">
        <v>730</v>
      </c>
      <c r="M22" s="675" t="s">
        <v>730</v>
      </c>
      <c r="N22" s="676"/>
      <c r="O22" s="676"/>
      <c r="P22" s="676"/>
      <c r="Q22" s="676"/>
      <c r="R22" s="676"/>
      <c r="S22" s="676"/>
      <c r="T22" s="676"/>
      <c r="U22" s="676"/>
      <c r="V22" s="676"/>
      <c r="W22" s="676"/>
      <c r="X22" s="676"/>
      <c r="Y22" s="676"/>
      <c r="Z22" s="676"/>
    </row>
    <row r="23" spans="1:26" ht="20.25">
      <c r="A23" s="677"/>
      <c r="B23" s="675" t="s">
        <v>731</v>
      </c>
      <c r="C23" s="678" t="s">
        <v>732</v>
      </c>
      <c r="D23" s="675" t="s">
        <v>731</v>
      </c>
      <c r="E23" s="678" t="s">
        <v>732</v>
      </c>
      <c r="F23" s="675" t="s">
        <v>731</v>
      </c>
      <c r="G23" s="678" t="s">
        <v>732</v>
      </c>
      <c r="H23" s="675" t="s">
        <v>731</v>
      </c>
      <c r="I23" s="679" t="s">
        <v>732</v>
      </c>
      <c r="J23" s="680"/>
      <c r="K23" s="675" t="s">
        <v>758</v>
      </c>
      <c r="L23" s="681" t="s">
        <v>759</v>
      </c>
      <c r="M23" s="681" t="s">
        <v>760</v>
      </c>
      <c r="N23" s="682" t="s">
        <v>311</v>
      </c>
    </row>
    <row r="24" spans="1:26" ht="13.5" thickBot="1">
      <c r="A24" s="658"/>
      <c r="B24" s="683" t="s">
        <v>736</v>
      </c>
      <c r="C24" s="684" t="s">
        <v>0</v>
      </c>
      <c r="D24" s="683" t="s">
        <v>736</v>
      </c>
      <c r="E24" s="684" t="s">
        <v>0</v>
      </c>
      <c r="F24" s="683" t="s">
        <v>736</v>
      </c>
      <c r="G24" s="684" t="s">
        <v>0</v>
      </c>
      <c r="H24" s="683" t="s">
        <v>736</v>
      </c>
      <c r="I24" s="685" t="s">
        <v>0</v>
      </c>
      <c r="J24" s="686"/>
      <c r="K24" s="687"/>
      <c r="L24" s="688"/>
      <c r="M24" s="689"/>
      <c r="N24" s="690"/>
    </row>
    <row r="25" spans="1:26" ht="18">
      <c r="A25" s="691" t="s">
        <v>98</v>
      </c>
      <c r="B25" s="692">
        <v>1</v>
      </c>
      <c r="C25" s="693">
        <v>398210</v>
      </c>
      <c r="D25" s="902">
        <v>2</v>
      </c>
      <c r="E25" s="903">
        <v>2482952</v>
      </c>
      <c r="F25" s="857">
        <v>0</v>
      </c>
      <c r="G25" s="901">
        <v>0</v>
      </c>
      <c r="H25" s="692">
        <f>+B25+D25+F25</f>
        <v>3</v>
      </c>
      <c r="I25" s="692">
        <f>+C25+E25+G25</f>
        <v>2881162</v>
      </c>
      <c r="J25" s="694"/>
      <c r="K25" s="695">
        <f t="shared" ref="K25:K35" si="0">+C25/I25</f>
        <v>0.13821159657110568</v>
      </c>
      <c r="L25" s="1055">
        <f t="shared" ref="L25:L35" si="1">+E25/I25</f>
        <v>0.86178840342889429</v>
      </c>
      <c r="M25" s="857">
        <f t="shared" ref="M25:M35" si="2">+G25/I25</f>
        <v>0</v>
      </c>
      <c r="N25" s="696">
        <f t="shared" ref="N25:N35" si="3">SUM(K25:M25)</f>
        <v>1</v>
      </c>
      <c r="O25" s="697"/>
      <c r="P25" s="698"/>
      <c r="Q25" s="698"/>
      <c r="R25" s="698"/>
      <c r="S25" s="698"/>
      <c r="T25" s="698"/>
      <c r="U25" s="698"/>
    </row>
    <row r="26" spans="1:26" ht="18">
      <c r="A26" s="691" t="s">
        <v>127</v>
      </c>
      <c r="B26" s="857">
        <v>0</v>
      </c>
      <c r="C26" s="901">
        <v>0</v>
      </c>
      <c r="D26" s="902">
        <v>0</v>
      </c>
      <c r="E26" s="903">
        <v>0</v>
      </c>
      <c r="F26" s="857">
        <v>0</v>
      </c>
      <c r="G26" s="901">
        <v>0</v>
      </c>
      <c r="H26" s="857">
        <f>+B26+D26+F26</f>
        <v>0</v>
      </c>
      <c r="I26" s="857">
        <f>+C26+E26+G26</f>
        <v>0</v>
      </c>
      <c r="J26" s="694"/>
      <c r="K26" s="695"/>
      <c r="L26" s="857"/>
      <c r="M26" s="857"/>
      <c r="N26" s="696"/>
      <c r="O26" s="697"/>
      <c r="P26" s="698"/>
      <c r="Q26" s="698"/>
      <c r="R26" s="698"/>
      <c r="S26" s="698"/>
      <c r="T26" s="698"/>
      <c r="U26" s="698"/>
    </row>
    <row r="27" spans="1:26" ht="18">
      <c r="A27" s="691" t="s">
        <v>100</v>
      </c>
      <c r="B27" s="692">
        <v>11</v>
      </c>
      <c r="C27" s="693">
        <v>58230000</v>
      </c>
      <c r="D27" s="902">
        <v>0</v>
      </c>
      <c r="E27" s="903">
        <v>0</v>
      </c>
      <c r="F27" s="902">
        <v>1</v>
      </c>
      <c r="G27" s="903">
        <v>17233000</v>
      </c>
      <c r="H27" s="692">
        <f>+B27+D27+F27</f>
        <v>12</v>
      </c>
      <c r="I27" s="692">
        <f t="shared" ref="I27:I35" si="4">+C27+E27+G27</f>
        <v>75463000</v>
      </c>
      <c r="J27" s="694"/>
      <c r="K27" s="695">
        <f t="shared" si="0"/>
        <v>0.77163643109868407</v>
      </c>
      <c r="L27" s="857">
        <f t="shared" si="1"/>
        <v>0</v>
      </c>
      <c r="M27" s="1055">
        <f t="shared" si="2"/>
        <v>0.22836356890131587</v>
      </c>
      <c r="N27" s="696">
        <f t="shared" si="3"/>
        <v>1</v>
      </c>
      <c r="O27" s="697"/>
      <c r="P27" s="698"/>
      <c r="Q27" s="698"/>
      <c r="R27" s="698"/>
      <c r="S27" s="698"/>
      <c r="T27" s="698"/>
      <c r="U27" s="698"/>
    </row>
    <row r="28" spans="1:26" ht="18">
      <c r="A28" s="691" t="s">
        <v>101</v>
      </c>
      <c r="B28" s="692">
        <v>30</v>
      </c>
      <c r="C28" s="693">
        <v>79750730</v>
      </c>
      <c r="D28" s="692">
        <v>3</v>
      </c>
      <c r="E28" s="693">
        <v>20996180</v>
      </c>
      <c r="F28" s="692">
        <v>5</v>
      </c>
      <c r="G28" s="693">
        <v>77129730</v>
      </c>
      <c r="H28" s="692">
        <f t="shared" ref="H28:H35" si="5">+B28+D28+F28</f>
        <v>38</v>
      </c>
      <c r="I28" s="692">
        <f t="shared" si="4"/>
        <v>177876640</v>
      </c>
      <c r="J28" s="694"/>
      <c r="K28" s="695">
        <f t="shared" si="0"/>
        <v>0.44834852963267124</v>
      </c>
      <c r="L28" s="695">
        <f t="shared" si="1"/>
        <v>0.11803787163958122</v>
      </c>
      <c r="M28" s="695">
        <f t="shared" si="2"/>
        <v>0.43361359872774752</v>
      </c>
      <c r="N28" s="696">
        <f t="shared" si="3"/>
        <v>1</v>
      </c>
      <c r="O28" s="697"/>
      <c r="P28" s="698"/>
      <c r="Q28" s="698"/>
      <c r="R28" s="698"/>
      <c r="S28" s="698"/>
      <c r="T28" s="698"/>
      <c r="U28" s="698"/>
    </row>
    <row r="29" spans="1:26" ht="18">
      <c r="A29" s="691" t="s">
        <v>102</v>
      </c>
      <c r="B29" s="692">
        <v>10</v>
      </c>
      <c r="C29" s="693">
        <v>61237000</v>
      </c>
      <c r="D29" s="692">
        <v>4</v>
      </c>
      <c r="E29" s="693">
        <v>71813000</v>
      </c>
      <c r="F29" s="902">
        <v>3</v>
      </c>
      <c r="G29" s="903">
        <v>78983000</v>
      </c>
      <c r="H29" s="692">
        <f t="shared" si="5"/>
        <v>17</v>
      </c>
      <c r="I29" s="692">
        <f t="shared" si="4"/>
        <v>212033000</v>
      </c>
      <c r="J29" s="694"/>
      <c r="K29" s="695">
        <f t="shared" si="0"/>
        <v>0.28880881749538989</v>
      </c>
      <c r="L29" s="695">
        <f t="shared" si="1"/>
        <v>0.33868784575985811</v>
      </c>
      <c r="M29" s="1055">
        <f t="shared" si="2"/>
        <v>0.372503336744752</v>
      </c>
      <c r="N29" s="696">
        <f t="shared" si="3"/>
        <v>1</v>
      </c>
      <c r="O29" s="697"/>
      <c r="P29" s="698"/>
      <c r="Q29" s="698"/>
      <c r="R29" s="698"/>
      <c r="S29" s="698"/>
      <c r="T29" s="698"/>
      <c r="U29" s="698"/>
    </row>
    <row r="30" spans="1:26" ht="18">
      <c r="A30" s="691" t="s">
        <v>107</v>
      </c>
      <c r="B30" s="692">
        <v>7</v>
      </c>
      <c r="C30" s="693">
        <v>70987710</v>
      </c>
      <c r="D30" s="902">
        <v>0</v>
      </c>
      <c r="E30" s="903">
        <v>0</v>
      </c>
      <c r="F30" s="857">
        <v>0</v>
      </c>
      <c r="G30" s="901">
        <v>0</v>
      </c>
      <c r="H30" s="692">
        <f t="shared" si="5"/>
        <v>7</v>
      </c>
      <c r="I30" s="692">
        <f t="shared" si="4"/>
        <v>70987710</v>
      </c>
      <c r="J30" s="699" t="s">
        <v>0</v>
      </c>
      <c r="K30" s="695">
        <f t="shared" si="0"/>
        <v>1</v>
      </c>
      <c r="L30" s="857">
        <f t="shared" si="1"/>
        <v>0</v>
      </c>
      <c r="M30" s="857">
        <f t="shared" si="2"/>
        <v>0</v>
      </c>
      <c r="N30" s="696">
        <f t="shared" si="3"/>
        <v>1</v>
      </c>
      <c r="O30" s="697"/>
      <c r="P30" s="698"/>
      <c r="Q30" s="698"/>
      <c r="R30" s="698"/>
      <c r="S30" s="698"/>
      <c r="T30" s="698"/>
      <c r="U30" s="698"/>
    </row>
    <row r="31" spans="1:26" ht="18">
      <c r="A31" s="691" t="s">
        <v>103</v>
      </c>
      <c r="B31" s="902">
        <v>18</v>
      </c>
      <c r="C31" s="903">
        <v>215066000</v>
      </c>
      <c r="D31" s="902">
        <v>2</v>
      </c>
      <c r="E31" s="903">
        <v>47412000</v>
      </c>
      <c r="F31" s="902">
        <v>2</v>
      </c>
      <c r="G31" s="903">
        <v>90351000</v>
      </c>
      <c r="H31" s="692">
        <f t="shared" si="5"/>
        <v>22</v>
      </c>
      <c r="I31" s="692">
        <f t="shared" si="4"/>
        <v>352829000</v>
      </c>
      <c r="J31" s="694"/>
      <c r="K31" s="695">
        <f t="shared" si="0"/>
        <v>0.60954740114899852</v>
      </c>
      <c r="L31" s="857">
        <f t="shared" si="1"/>
        <v>0.13437670939747015</v>
      </c>
      <c r="M31" s="695">
        <f t="shared" si="2"/>
        <v>0.25607588945353132</v>
      </c>
      <c r="N31" s="696">
        <f t="shared" si="3"/>
        <v>1</v>
      </c>
      <c r="O31" s="697"/>
      <c r="P31" s="698"/>
      <c r="Q31" s="698"/>
      <c r="R31" s="698"/>
      <c r="S31" s="698"/>
      <c r="T31" s="698"/>
      <c r="U31" s="698"/>
    </row>
    <row r="32" spans="1:26" ht="18">
      <c r="A32" s="691" t="s">
        <v>104</v>
      </c>
      <c r="B32" s="692">
        <v>22</v>
      </c>
      <c r="C32" s="693">
        <v>282912000</v>
      </c>
      <c r="D32" s="902">
        <v>4</v>
      </c>
      <c r="E32" s="693">
        <v>138770000</v>
      </c>
      <c r="F32" s="902">
        <v>0</v>
      </c>
      <c r="G32" s="903">
        <v>0</v>
      </c>
      <c r="H32" s="692">
        <f t="shared" si="5"/>
        <v>26</v>
      </c>
      <c r="I32" s="692">
        <f t="shared" si="4"/>
        <v>421682000</v>
      </c>
      <c r="J32" s="694"/>
      <c r="K32" s="695">
        <f t="shared" si="0"/>
        <v>0.67091315256520312</v>
      </c>
      <c r="L32" s="695">
        <f t="shared" si="1"/>
        <v>0.32908684743479683</v>
      </c>
      <c r="M32" s="857">
        <f t="shared" si="2"/>
        <v>0</v>
      </c>
      <c r="N32" s="696">
        <f t="shared" si="3"/>
        <v>1</v>
      </c>
      <c r="O32" s="697"/>
      <c r="P32" s="698"/>
      <c r="Q32" s="698"/>
      <c r="R32" s="698"/>
      <c r="S32" s="698"/>
      <c r="T32" s="698"/>
      <c r="U32" s="698"/>
    </row>
    <row r="33" spans="1:21" ht="18">
      <c r="A33" s="691" t="s">
        <v>105</v>
      </c>
      <c r="B33" s="692">
        <v>16</v>
      </c>
      <c r="C33" s="693">
        <v>490335592</v>
      </c>
      <c r="D33" s="902">
        <v>2</v>
      </c>
      <c r="E33" s="903">
        <v>137733970</v>
      </c>
      <c r="F33" s="857">
        <v>0</v>
      </c>
      <c r="G33" s="901">
        <v>0</v>
      </c>
      <c r="H33" s="692">
        <f t="shared" si="5"/>
        <v>18</v>
      </c>
      <c r="I33" s="692">
        <f t="shared" si="4"/>
        <v>628069562</v>
      </c>
      <c r="J33" s="694"/>
      <c r="K33" s="695">
        <f t="shared" si="0"/>
        <v>0.78070268273882693</v>
      </c>
      <c r="L33" s="857">
        <f t="shared" si="1"/>
        <v>0.21929731726117305</v>
      </c>
      <c r="M33" s="857">
        <f t="shared" si="2"/>
        <v>0</v>
      </c>
      <c r="N33" s="696">
        <f t="shared" si="3"/>
        <v>1</v>
      </c>
      <c r="O33" s="697"/>
      <c r="P33" s="698"/>
      <c r="Q33" s="698"/>
      <c r="R33" s="698"/>
      <c r="S33" s="698"/>
      <c r="T33" s="698"/>
      <c r="U33" s="698"/>
    </row>
    <row r="34" spans="1:21" ht="18">
      <c r="A34" s="691" t="s">
        <v>108</v>
      </c>
      <c r="B34" s="692">
        <v>7</v>
      </c>
      <c r="C34" s="693">
        <v>26242264</v>
      </c>
      <c r="D34" s="902">
        <v>0</v>
      </c>
      <c r="E34" s="901">
        <v>0</v>
      </c>
      <c r="F34" s="857">
        <v>0</v>
      </c>
      <c r="G34" s="901">
        <v>0</v>
      </c>
      <c r="H34" s="692">
        <f t="shared" si="5"/>
        <v>7</v>
      </c>
      <c r="I34" s="692">
        <f t="shared" si="4"/>
        <v>26242264</v>
      </c>
      <c r="J34" s="694"/>
      <c r="K34" s="695">
        <f t="shared" si="0"/>
        <v>1</v>
      </c>
      <c r="L34" s="857">
        <f t="shared" si="1"/>
        <v>0</v>
      </c>
      <c r="M34" s="857">
        <f t="shared" si="2"/>
        <v>0</v>
      </c>
      <c r="N34" s="696">
        <f t="shared" si="3"/>
        <v>1</v>
      </c>
      <c r="O34" s="697"/>
      <c r="P34" s="698"/>
      <c r="Q34" s="698"/>
      <c r="R34" s="698"/>
      <c r="S34" s="698"/>
      <c r="T34" s="698"/>
      <c r="U34" s="698"/>
    </row>
    <row r="35" spans="1:21" ht="18">
      <c r="A35" s="691" t="s">
        <v>106</v>
      </c>
      <c r="B35" s="692">
        <v>22</v>
      </c>
      <c r="C35" s="693">
        <v>509690000</v>
      </c>
      <c r="D35" s="902">
        <v>8</v>
      </c>
      <c r="E35" s="693">
        <v>403162000</v>
      </c>
      <c r="F35" s="902">
        <v>0</v>
      </c>
      <c r="G35" s="903">
        <v>0</v>
      </c>
      <c r="H35" s="692">
        <f t="shared" si="5"/>
        <v>30</v>
      </c>
      <c r="I35" s="692">
        <f t="shared" si="4"/>
        <v>912852000</v>
      </c>
      <c r="J35" s="694"/>
      <c r="K35" s="1176">
        <f t="shared" si="0"/>
        <v>0.55834899852330933</v>
      </c>
      <c r="L35" s="1177">
        <f t="shared" si="1"/>
        <v>0.44165100147669062</v>
      </c>
      <c r="M35" s="1165">
        <f t="shared" si="2"/>
        <v>0</v>
      </c>
      <c r="N35" s="1178">
        <f t="shared" si="3"/>
        <v>1</v>
      </c>
      <c r="O35" s="697"/>
      <c r="P35" s="698"/>
      <c r="Q35" s="698"/>
      <c r="R35" s="698"/>
      <c r="S35" s="698"/>
      <c r="T35" s="698"/>
      <c r="U35" s="698"/>
    </row>
    <row r="36" spans="1:21" ht="18">
      <c r="A36" s="708" t="s">
        <v>109</v>
      </c>
      <c r="B36" s="1179">
        <v>16</v>
      </c>
      <c r="C36" s="1174">
        <v>161699000</v>
      </c>
      <c r="D36" s="1180">
        <v>3</v>
      </c>
      <c r="E36" s="1174">
        <v>55775000</v>
      </c>
      <c r="F36" s="1180">
        <v>8</v>
      </c>
      <c r="G36" s="1175">
        <v>292707000</v>
      </c>
      <c r="H36" s="692">
        <f>+B36+D36+F36</f>
        <v>27</v>
      </c>
      <c r="I36" s="692">
        <f>+C36+E36+G36</f>
        <v>510181000</v>
      </c>
      <c r="J36" s="694"/>
      <c r="K36" s="1176">
        <f>+C36/I36</f>
        <v>0.31694437856368624</v>
      </c>
      <c r="L36" s="1177">
        <f>+E36/I36</f>
        <v>0.10932394581530869</v>
      </c>
      <c r="M36" s="1181">
        <f>+G36/I36</f>
        <v>0.57373167562100513</v>
      </c>
      <c r="N36" s="1178">
        <f>SUM(K36:M36)</f>
        <v>1</v>
      </c>
      <c r="O36" s="697"/>
      <c r="P36" s="698"/>
      <c r="Q36" s="698"/>
      <c r="R36" s="698"/>
      <c r="S36" s="698"/>
      <c r="T36" s="698"/>
      <c r="U36" s="698"/>
    </row>
    <row r="37" spans="1:21" ht="18">
      <c r="A37" s="708" t="s">
        <v>737</v>
      </c>
      <c r="B37" s="1179">
        <v>6</v>
      </c>
      <c r="C37" s="1174">
        <v>25866000</v>
      </c>
      <c r="D37" s="1180">
        <v>0</v>
      </c>
      <c r="E37" s="1163">
        <v>0</v>
      </c>
      <c r="F37" s="1180">
        <v>4</v>
      </c>
      <c r="G37" s="1175">
        <v>168872000</v>
      </c>
      <c r="H37" s="692">
        <f>+B37+D37+F37</f>
        <v>10</v>
      </c>
      <c r="I37" s="692">
        <f>+C37+E37+G37</f>
        <v>194738000</v>
      </c>
      <c r="J37" s="694"/>
      <c r="K37" s="1176">
        <f>+C37/I37</f>
        <v>0.13282461563742054</v>
      </c>
      <c r="L37" s="1165">
        <f>+E37/I37</f>
        <v>0</v>
      </c>
      <c r="M37" s="1181">
        <f>+G37/I37</f>
        <v>0.86717538436257946</v>
      </c>
      <c r="N37" s="1178">
        <f>SUM(K37:M37)</f>
        <v>1</v>
      </c>
      <c r="O37" s="697"/>
      <c r="P37" s="698"/>
      <c r="Q37" s="698"/>
      <c r="R37" s="698"/>
      <c r="S37" s="698"/>
      <c r="T37" s="698"/>
      <c r="U37" s="698"/>
    </row>
    <row r="38" spans="1:21">
      <c r="B38" s="700"/>
      <c r="C38" s="700"/>
      <c r="D38" s="700"/>
      <c r="E38" s="700"/>
      <c r="F38" s="700"/>
      <c r="G38" s="700"/>
      <c r="H38" s="700"/>
      <c r="I38" s="700"/>
      <c r="J38" s="698"/>
      <c r="K38" s="698"/>
      <c r="L38" s="698"/>
      <c r="M38" s="698"/>
      <c r="N38" s="698"/>
      <c r="O38" s="698"/>
      <c r="P38" s="698"/>
      <c r="Q38" s="698"/>
      <c r="R38" s="698"/>
      <c r="S38" s="698"/>
      <c r="T38" s="698"/>
      <c r="U38" s="698"/>
    </row>
    <row r="39" spans="1:21">
      <c r="B39" s="700"/>
      <c r="C39" s="700"/>
      <c r="D39" s="700"/>
      <c r="E39" s="700"/>
      <c r="F39" s="700"/>
      <c r="G39" s="700"/>
      <c r="H39" s="700"/>
      <c r="I39" s="700"/>
      <c r="J39" s="698"/>
      <c r="K39" s="698"/>
      <c r="L39" s="698"/>
      <c r="M39" s="698"/>
      <c r="N39" s="698"/>
      <c r="O39" s="698"/>
      <c r="P39" s="698"/>
      <c r="Q39" s="698"/>
      <c r="R39" s="698"/>
      <c r="S39" s="698"/>
      <c r="T39" s="698"/>
      <c r="U39" s="698"/>
    </row>
    <row r="40" spans="1:21">
      <c r="B40" s="700"/>
      <c r="C40" s="700"/>
      <c r="D40" s="700"/>
      <c r="E40" s="700"/>
      <c r="F40" s="700"/>
      <c r="G40" s="700"/>
      <c r="H40" s="700"/>
      <c r="I40" s="700"/>
      <c r="J40" s="698"/>
      <c r="K40" s="698"/>
      <c r="L40" s="698"/>
      <c r="M40" s="698"/>
      <c r="N40" s="698"/>
      <c r="O40" s="698"/>
      <c r="P40" s="698"/>
      <c r="Q40" s="698"/>
      <c r="R40" s="698"/>
      <c r="S40" s="698"/>
      <c r="T40" s="698"/>
      <c r="U40" s="698"/>
    </row>
    <row r="41" spans="1:21">
      <c r="B41" s="698"/>
      <c r="C41" s="698"/>
      <c r="D41" s="698"/>
      <c r="E41" s="698"/>
      <c r="F41" s="698"/>
      <c r="G41" s="698"/>
      <c r="H41" s="698"/>
      <c r="I41" s="698"/>
      <c r="J41" s="698"/>
      <c r="K41" s="698"/>
      <c r="L41" s="698"/>
      <c r="M41" s="698"/>
      <c r="N41" s="698"/>
      <c r="O41" s="698"/>
      <c r="P41" s="698"/>
      <c r="Q41" s="698"/>
      <c r="R41" s="698"/>
      <c r="S41" s="698"/>
      <c r="T41" s="698"/>
      <c r="U41" s="698"/>
    </row>
    <row r="42" spans="1:21">
      <c r="B42" s="698"/>
      <c r="C42" s="698"/>
      <c r="D42" s="698"/>
      <c r="E42" s="698"/>
      <c r="F42" s="698"/>
      <c r="G42" s="698"/>
      <c r="H42" s="698"/>
      <c r="I42" s="698"/>
      <c r="J42" s="698"/>
      <c r="K42" s="698"/>
      <c r="L42" s="698"/>
      <c r="M42" s="698"/>
      <c r="N42" s="698"/>
      <c r="O42" s="698"/>
      <c r="P42" s="698"/>
      <c r="Q42" s="698"/>
      <c r="R42" s="698"/>
      <c r="S42" s="698"/>
      <c r="T42" s="698"/>
      <c r="U42" s="698"/>
    </row>
    <row r="43" spans="1:21" ht="18">
      <c r="A43" s="663" t="s">
        <v>761</v>
      </c>
      <c r="B43" s="698"/>
      <c r="C43" s="698"/>
      <c r="D43" s="698"/>
      <c r="E43" s="698"/>
      <c r="F43" s="698"/>
      <c r="G43" s="698"/>
      <c r="H43" s="698"/>
      <c r="I43" s="698"/>
      <c r="J43" s="698"/>
      <c r="K43" s="698"/>
      <c r="L43" s="698"/>
      <c r="M43" s="698"/>
      <c r="N43" s="698"/>
      <c r="O43" s="698"/>
      <c r="P43" s="698"/>
      <c r="Q43" s="698"/>
      <c r="R43" s="698"/>
      <c r="S43" s="698"/>
      <c r="T43" s="698"/>
      <c r="U43" s="698"/>
    </row>
    <row r="44" spans="1:21">
      <c r="B44" s="698"/>
      <c r="C44" s="698"/>
      <c r="D44" s="698"/>
      <c r="E44" s="698"/>
      <c r="F44" s="698"/>
      <c r="G44" s="698"/>
      <c r="H44" s="698"/>
      <c r="I44" s="698"/>
      <c r="J44" s="698"/>
      <c r="K44" s="698"/>
      <c r="L44" s="698"/>
      <c r="M44" s="698"/>
      <c r="N44" s="698"/>
      <c r="O44" s="698"/>
      <c r="P44" s="698"/>
      <c r="Q44" s="698"/>
      <c r="R44" s="698"/>
      <c r="S44" s="698"/>
      <c r="T44" s="698"/>
      <c r="U44" s="698"/>
    </row>
    <row r="45" spans="1:21" ht="18">
      <c r="A45" s="701"/>
      <c r="B45" s="665" t="s">
        <v>109</v>
      </c>
      <c r="C45" s="702"/>
      <c r="D45" s="665" t="s">
        <v>737</v>
      </c>
      <c r="E45" s="668"/>
      <c r="F45" s="698"/>
      <c r="G45" s="698"/>
      <c r="H45" s="698"/>
      <c r="I45" s="698"/>
      <c r="J45" s="698"/>
      <c r="K45" s="698"/>
      <c r="L45" s="698"/>
      <c r="M45" s="698"/>
      <c r="N45" s="698"/>
      <c r="O45" s="698"/>
      <c r="P45" s="698"/>
      <c r="Q45" s="698"/>
      <c r="R45" s="698"/>
      <c r="S45" s="698"/>
      <c r="T45" s="698"/>
      <c r="U45" s="698"/>
    </row>
    <row r="46" spans="1:21" ht="15.75">
      <c r="A46" s="701"/>
      <c r="B46" s="672" t="s">
        <v>728</v>
      </c>
      <c r="C46" s="703" t="s">
        <v>729</v>
      </c>
      <c r="D46" s="672" t="s">
        <v>728</v>
      </c>
      <c r="E46" s="704" t="s">
        <v>729</v>
      </c>
      <c r="F46" s="698"/>
      <c r="G46" s="698"/>
      <c r="H46" s="698"/>
      <c r="I46" s="698"/>
      <c r="J46" s="698"/>
      <c r="K46" s="698"/>
      <c r="L46" s="698"/>
      <c r="M46" s="698"/>
      <c r="N46" s="698"/>
      <c r="O46" s="698"/>
      <c r="P46" s="698"/>
      <c r="Q46" s="698"/>
      <c r="R46" s="698"/>
      <c r="S46" s="698"/>
      <c r="T46" s="698"/>
      <c r="U46" s="698"/>
    </row>
    <row r="47" spans="1:21" ht="15">
      <c r="A47" s="701"/>
      <c r="B47" s="675" t="s">
        <v>731</v>
      </c>
      <c r="C47" s="705" t="s">
        <v>732</v>
      </c>
      <c r="D47" s="675" t="s">
        <v>731</v>
      </c>
      <c r="E47" s="679" t="s">
        <v>732</v>
      </c>
      <c r="F47" s="698"/>
      <c r="G47" s="698"/>
      <c r="H47" s="698"/>
      <c r="I47" s="698"/>
      <c r="J47" s="698"/>
      <c r="K47" s="698"/>
      <c r="L47" s="698"/>
      <c r="M47" s="698"/>
      <c r="N47" s="698"/>
      <c r="O47" s="698"/>
      <c r="P47" s="698"/>
      <c r="Q47" s="698"/>
      <c r="R47" s="698"/>
      <c r="S47" s="698"/>
      <c r="T47" s="698"/>
      <c r="U47" s="698"/>
    </row>
    <row r="48" spans="1:21" ht="13.5" thickBot="1">
      <c r="A48" s="701"/>
      <c r="B48" s="683" t="s">
        <v>736</v>
      </c>
      <c r="C48" s="706" t="s">
        <v>0</v>
      </c>
      <c r="D48" s="683" t="s">
        <v>736</v>
      </c>
      <c r="E48" s="685" t="s">
        <v>0</v>
      </c>
      <c r="F48" s="698"/>
      <c r="G48" s="698"/>
      <c r="H48" s="698"/>
      <c r="I48" s="698"/>
      <c r="J48" s="698"/>
      <c r="K48" s="698"/>
      <c r="L48" s="698"/>
      <c r="M48" s="698"/>
      <c r="N48" s="698"/>
      <c r="O48" s="698"/>
      <c r="P48" s="698"/>
      <c r="Q48" s="698"/>
      <c r="R48" s="698"/>
      <c r="S48" s="698"/>
      <c r="T48" s="698"/>
      <c r="U48" s="698"/>
    </row>
    <row r="49" spans="1:21" ht="18">
      <c r="A49" s="691" t="s">
        <v>762</v>
      </c>
      <c r="B49" s="904">
        <v>0</v>
      </c>
      <c r="C49" s="904">
        <v>0</v>
      </c>
      <c r="D49" s="950">
        <v>0</v>
      </c>
      <c r="E49" s="906">
        <v>0</v>
      </c>
      <c r="F49" s="698"/>
      <c r="G49" s="698"/>
      <c r="H49" s="698"/>
      <c r="I49" s="698"/>
      <c r="J49" s="698"/>
      <c r="K49" s="698"/>
      <c r="L49" s="698"/>
      <c r="M49" s="698"/>
      <c r="N49" s="698"/>
      <c r="O49" s="698"/>
      <c r="P49" s="698"/>
      <c r="Q49" s="698"/>
      <c r="R49" s="698"/>
      <c r="S49" s="698"/>
      <c r="T49" s="698"/>
      <c r="U49" s="698"/>
    </row>
    <row r="50" spans="1:21" ht="18">
      <c r="A50" s="691" t="s">
        <v>763</v>
      </c>
      <c r="B50" s="904">
        <v>0</v>
      </c>
      <c r="C50" s="904">
        <v>0</v>
      </c>
      <c r="D50" s="950">
        <v>0</v>
      </c>
      <c r="E50" s="906">
        <v>0</v>
      </c>
      <c r="F50" s="698"/>
      <c r="G50" s="698"/>
      <c r="H50" s="698"/>
      <c r="I50" s="698"/>
      <c r="J50" s="698"/>
      <c r="K50" s="698"/>
      <c r="L50" s="698"/>
      <c r="M50" s="698"/>
      <c r="N50" s="698"/>
      <c r="O50" s="698"/>
      <c r="P50" s="698"/>
      <c r="Q50" s="698"/>
      <c r="R50" s="698"/>
      <c r="S50" s="698"/>
      <c r="T50" s="698"/>
      <c r="U50" s="698"/>
    </row>
    <row r="51" spans="1:21" ht="18">
      <c r="A51" s="691" t="s">
        <v>764</v>
      </c>
      <c r="B51" s="904">
        <v>0</v>
      </c>
      <c r="C51" s="904">
        <v>0</v>
      </c>
      <c r="D51" s="950">
        <v>0</v>
      </c>
      <c r="E51" s="906">
        <v>0</v>
      </c>
      <c r="F51" s="698"/>
      <c r="G51" s="698"/>
      <c r="H51" s="698"/>
      <c r="I51" s="698"/>
      <c r="J51" s="698"/>
      <c r="K51" s="698"/>
      <c r="L51" s="698"/>
      <c r="M51" s="698"/>
      <c r="N51" s="698"/>
      <c r="O51" s="698"/>
      <c r="P51" s="698"/>
      <c r="Q51" s="698"/>
      <c r="R51" s="698"/>
      <c r="S51" s="698"/>
      <c r="T51" s="698"/>
      <c r="U51" s="698"/>
    </row>
    <row r="52" spans="1:21" ht="18">
      <c r="A52" s="691" t="s">
        <v>765</v>
      </c>
      <c r="B52" s="904">
        <v>0</v>
      </c>
      <c r="C52" s="904">
        <v>0</v>
      </c>
      <c r="D52" s="950">
        <v>0</v>
      </c>
      <c r="E52" s="906">
        <v>0</v>
      </c>
    </row>
    <row r="53" spans="1:21" ht="18">
      <c r="A53" s="691" t="s">
        <v>766</v>
      </c>
      <c r="B53" s="904">
        <v>0</v>
      </c>
      <c r="C53" s="904">
        <v>0</v>
      </c>
      <c r="D53" s="950">
        <v>0</v>
      </c>
      <c r="E53" s="906">
        <v>0</v>
      </c>
    </row>
    <row r="54" spans="1:21" ht="18">
      <c r="A54" s="691" t="s">
        <v>767</v>
      </c>
      <c r="B54" s="904">
        <v>0</v>
      </c>
      <c r="C54" s="904">
        <v>0</v>
      </c>
      <c r="D54" s="950">
        <v>0</v>
      </c>
      <c r="E54" s="906">
        <v>0</v>
      </c>
    </row>
    <row r="55" spans="1:21" ht="18">
      <c r="A55" s="691" t="s">
        <v>768</v>
      </c>
      <c r="B55" s="904">
        <v>0</v>
      </c>
      <c r="C55" s="904">
        <v>0</v>
      </c>
      <c r="D55" s="950">
        <v>0</v>
      </c>
      <c r="E55" s="906">
        <v>0</v>
      </c>
    </row>
    <row r="56" spans="1:21" ht="18">
      <c r="A56" s="691" t="s">
        <v>769</v>
      </c>
      <c r="B56" s="905">
        <v>0</v>
      </c>
      <c r="C56" s="905">
        <v>0</v>
      </c>
      <c r="D56" s="949">
        <v>0</v>
      </c>
      <c r="E56" s="907">
        <v>0</v>
      </c>
    </row>
    <row r="57" spans="1:21" ht="18">
      <c r="A57" s="707" t="s">
        <v>311</v>
      </c>
      <c r="B57" s="1182">
        <f>SUM(B49:B56)</f>
        <v>0</v>
      </c>
      <c r="C57" s="1182">
        <f>SUM(C49:C56)</f>
        <v>0</v>
      </c>
      <c r="D57" s="1182">
        <f>SUM(D49:D56)</f>
        <v>0</v>
      </c>
      <c r="E57" s="1183">
        <f>SUM(E49:E56)</f>
        <v>0</v>
      </c>
    </row>
    <row r="58" spans="1:21" ht="18">
      <c r="A58" s="708" t="s">
        <v>0</v>
      </c>
      <c r="B58" s="709" t="s">
        <v>0</v>
      </c>
      <c r="C58" s="709" t="s">
        <v>0</v>
      </c>
      <c r="D58" s="710" t="s">
        <v>0</v>
      </c>
      <c r="E58" s="711"/>
      <c r="F58" s="711"/>
      <c r="G58" s="711"/>
      <c r="H58" s="711"/>
      <c r="I58" s="711"/>
      <c r="J58" s="711"/>
      <c r="K58" s="711"/>
      <c r="L58" s="711"/>
      <c r="M58" s="711"/>
    </row>
    <row r="59" spans="1:21" ht="18">
      <c r="A59" s="708" t="s">
        <v>0</v>
      </c>
      <c r="B59" s="709" t="s">
        <v>0</v>
      </c>
      <c r="C59" s="709" t="s">
        <v>0</v>
      </c>
      <c r="D59" s="710" t="s">
        <v>0</v>
      </c>
      <c r="E59" s="711"/>
      <c r="F59" s="711"/>
      <c r="G59" s="711"/>
      <c r="H59" s="711"/>
      <c r="I59" s="711"/>
      <c r="J59" s="711"/>
      <c r="K59" s="711"/>
      <c r="L59" s="711"/>
      <c r="M59" s="711"/>
    </row>
    <row r="60" spans="1:21">
      <c r="A60" s="644" t="s">
        <v>0</v>
      </c>
      <c r="B60" s="712"/>
      <c r="C60" s="712"/>
      <c r="D60" s="712"/>
    </row>
    <row r="61" spans="1:21" ht="15.75">
      <c r="A61" s="961" t="s">
        <v>747</v>
      </c>
      <c r="B61" s="577"/>
      <c r="C61" s="577"/>
      <c r="D61" s="577"/>
      <c r="E61" s="577"/>
      <c r="F61" s="577"/>
      <c r="G61" s="577"/>
      <c r="H61" s="577"/>
      <c r="I61" s="577"/>
      <c r="J61" s="577"/>
      <c r="K61" s="577"/>
      <c r="L61" s="577"/>
      <c r="M61" s="577"/>
      <c r="N61"/>
    </row>
    <row r="62" spans="1:21" ht="15.75">
      <c r="A62" s="962" t="s">
        <v>0</v>
      </c>
      <c r="B62" s="577"/>
      <c r="C62" s="577"/>
      <c r="D62" s="577"/>
      <c r="E62" s="577"/>
      <c r="F62" s="577"/>
      <c r="G62" s="577"/>
      <c r="H62" s="577"/>
      <c r="I62" s="577"/>
      <c r="J62" s="577"/>
      <c r="K62" s="577"/>
      <c r="L62" s="577"/>
      <c r="M62" s="577"/>
      <c r="N62" s="577"/>
    </row>
    <row r="63" spans="1:21">
      <c r="A63" s="644" t="s">
        <v>0</v>
      </c>
    </row>
    <row r="65" spans="1:1" ht="15.75">
      <c r="A65" s="963"/>
    </row>
    <row r="66" spans="1:1" ht="15.75">
      <c r="A66" s="963"/>
    </row>
  </sheetData>
  <pageMargins left="0.57999999999999996" right="0.21" top="0.61" bottom="0.52" header="0.31" footer="0.19"/>
  <pageSetup scale="47" orientation="landscape" r:id="rId1"/>
  <headerFooter alignWithMargins="0">
    <oddFooter>&amp;R&amp;P</oddFooter>
  </headerFooter>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239"/>
  <sheetViews>
    <sheetView workbookViewId="0"/>
  </sheetViews>
  <sheetFormatPr defaultRowHeight="12.75"/>
  <cols>
    <col min="1" max="2" width="18.125" style="714" customWidth="1"/>
    <col min="3" max="3" width="28.25" style="714" customWidth="1"/>
    <col min="4" max="4" width="12" style="714" customWidth="1"/>
    <col min="5" max="5" width="11.75" style="714" customWidth="1"/>
    <col min="6" max="16" width="12" style="714" customWidth="1"/>
    <col min="17" max="17" width="13.625" style="714" customWidth="1"/>
    <col min="18" max="256" width="11" style="714" customWidth="1"/>
    <col min="257" max="16384" width="9" style="714"/>
  </cols>
  <sheetData>
    <row r="1" spans="1:17" ht="18">
      <c r="A1" s="713"/>
      <c r="B1" s="713"/>
      <c r="C1" s="713"/>
      <c r="D1" s="713"/>
      <c r="E1" s="713"/>
      <c r="F1" s="713"/>
      <c r="G1" s="713"/>
      <c r="H1" s="713"/>
    </row>
    <row r="2" spans="1:17" ht="30">
      <c r="A2" s="715" t="s">
        <v>711</v>
      </c>
      <c r="B2" s="716"/>
      <c r="C2" s="717"/>
      <c r="D2" s="717"/>
      <c r="E2" s="717"/>
      <c r="F2" s="717"/>
      <c r="G2" s="717"/>
      <c r="H2" s="717"/>
      <c r="I2" s="718"/>
      <c r="J2" s="718"/>
      <c r="K2" s="718"/>
      <c r="L2" s="718"/>
      <c r="M2" s="718"/>
      <c r="N2" s="718"/>
      <c r="O2" s="718"/>
      <c r="P2" s="718"/>
      <c r="Q2" s="718"/>
    </row>
    <row r="3" spans="1:17" ht="30">
      <c r="A3" s="719"/>
      <c r="B3" s="716"/>
      <c r="C3" s="717"/>
      <c r="D3" s="717"/>
      <c r="E3" s="717"/>
      <c r="F3" s="717"/>
      <c r="G3" s="717"/>
      <c r="H3" s="717"/>
      <c r="I3" s="718"/>
      <c r="J3" s="718"/>
      <c r="K3" s="718"/>
      <c r="L3" s="718"/>
      <c r="M3" s="718"/>
      <c r="N3" s="718"/>
      <c r="O3" s="718"/>
      <c r="P3" s="718"/>
      <c r="Q3" s="718"/>
    </row>
    <row r="4" spans="1:17" ht="30">
      <c r="A4" s="720" t="s">
        <v>770</v>
      </c>
      <c r="B4" s="716"/>
      <c r="C4" s="717"/>
      <c r="D4" s="717"/>
      <c r="E4" s="717"/>
      <c r="F4" s="717"/>
      <c r="G4" s="717"/>
      <c r="H4" s="717"/>
      <c r="I4" s="718"/>
      <c r="J4" s="718"/>
      <c r="K4" s="718"/>
      <c r="L4" s="718"/>
      <c r="M4" s="718"/>
      <c r="N4" s="718"/>
      <c r="O4" s="718"/>
      <c r="P4" s="718"/>
      <c r="Q4" s="718"/>
    </row>
    <row r="5" spans="1:17" ht="30">
      <c r="A5" s="720" t="s">
        <v>404</v>
      </c>
      <c r="B5" s="716"/>
      <c r="C5" s="717"/>
      <c r="D5" s="717"/>
      <c r="E5" s="717"/>
      <c r="F5" s="717"/>
      <c r="G5" s="717"/>
      <c r="H5" s="717"/>
      <c r="I5" s="718"/>
      <c r="J5" s="718"/>
      <c r="K5" s="718"/>
      <c r="L5" s="718"/>
      <c r="M5" s="718"/>
      <c r="N5" s="718"/>
      <c r="O5" s="718"/>
      <c r="P5" s="718"/>
      <c r="Q5" s="718"/>
    </row>
    <row r="6" spans="1:17" ht="18.75" thickBot="1">
      <c r="A6" s="721"/>
      <c r="B6" s="716"/>
      <c r="C6" s="717"/>
      <c r="E6" s="717"/>
      <c r="F6" s="717"/>
      <c r="G6" s="717"/>
      <c r="H6" s="717"/>
    </row>
    <row r="7" spans="1:17" ht="18">
      <c r="A7" s="721"/>
      <c r="D7" s="722"/>
      <c r="E7" s="724"/>
      <c r="F7" s="724"/>
      <c r="G7" s="724"/>
      <c r="H7" s="724"/>
      <c r="I7" s="724"/>
      <c r="J7" s="724"/>
      <c r="K7" s="723"/>
      <c r="L7" s="723"/>
      <c r="M7" s="723"/>
      <c r="N7" s="723"/>
      <c r="O7" s="723"/>
      <c r="P7" s="725"/>
    </row>
    <row r="8" spans="1:17" ht="18">
      <c r="D8" s="726" t="s">
        <v>749</v>
      </c>
      <c r="E8" s="727"/>
      <c r="F8" s="727"/>
      <c r="G8" s="727"/>
      <c r="H8" s="727"/>
      <c r="I8" s="727"/>
      <c r="J8" s="728"/>
      <c r="L8" s="737"/>
      <c r="P8" s="729"/>
    </row>
    <row r="9" spans="1:17" ht="18">
      <c r="D9" s="811" t="s">
        <v>771</v>
      </c>
      <c r="E9" s="727"/>
      <c r="F9" s="727"/>
      <c r="G9" s="727"/>
      <c r="H9" s="727"/>
      <c r="I9" s="727"/>
      <c r="J9" s="728"/>
      <c r="L9" s="737"/>
      <c r="P9" s="729"/>
    </row>
    <row r="10" spans="1:17" ht="18">
      <c r="D10" s="811" t="s">
        <v>772</v>
      </c>
      <c r="E10" s="727"/>
      <c r="F10" s="727"/>
      <c r="G10" s="727"/>
      <c r="H10" s="727"/>
      <c r="I10" s="727"/>
      <c r="J10" s="728"/>
      <c r="L10" s="737"/>
      <c r="P10" s="729"/>
    </row>
    <row r="11" spans="1:17" ht="18">
      <c r="D11" s="811" t="s">
        <v>773</v>
      </c>
      <c r="E11" s="727"/>
      <c r="F11" s="727"/>
      <c r="G11" s="727"/>
      <c r="H11" s="727"/>
      <c r="I11" s="727"/>
      <c r="J11" s="728"/>
      <c r="L11" s="737"/>
      <c r="P11" s="729"/>
    </row>
    <row r="12" spans="1:17" ht="9.75" customHeight="1">
      <c r="D12" s="730" t="s">
        <v>0</v>
      </c>
      <c r="E12" s="727"/>
      <c r="F12" s="727"/>
      <c r="G12" s="727"/>
      <c r="H12" s="727"/>
      <c r="I12" s="727"/>
      <c r="J12" s="728"/>
      <c r="L12" s="737"/>
      <c r="P12" s="729"/>
    </row>
    <row r="13" spans="1:17" ht="18">
      <c r="D13" s="811" t="s">
        <v>774</v>
      </c>
      <c r="E13" s="727"/>
      <c r="F13" s="727"/>
      <c r="G13" s="727"/>
      <c r="H13" s="727"/>
      <c r="I13" s="727"/>
      <c r="J13" s="728"/>
      <c r="L13" s="737"/>
      <c r="P13" s="729"/>
    </row>
    <row r="14" spans="1:17" ht="18">
      <c r="D14" s="811" t="s">
        <v>775</v>
      </c>
      <c r="E14" s="727"/>
      <c r="F14" s="727"/>
      <c r="G14" s="727"/>
      <c r="H14" s="727"/>
      <c r="I14" s="727"/>
      <c r="J14" s="728"/>
      <c r="L14" s="737"/>
      <c r="P14" s="729"/>
    </row>
    <row r="15" spans="1:17" ht="18.75" thickBot="1">
      <c r="D15" s="731"/>
      <c r="E15" s="732"/>
      <c r="F15" s="732"/>
      <c r="G15" s="732"/>
      <c r="H15" s="732"/>
      <c r="I15" s="732"/>
      <c r="J15" s="733"/>
      <c r="K15" s="734"/>
      <c r="L15" s="734"/>
      <c r="M15" s="734"/>
      <c r="N15" s="734"/>
      <c r="O15" s="734"/>
      <c r="P15" s="735"/>
    </row>
    <row r="16" spans="1:17" ht="18">
      <c r="B16" s="736"/>
      <c r="E16" s="727"/>
      <c r="F16" s="727"/>
      <c r="G16" s="727"/>
      <c r="H16" s="717"/>
    </row>
    <row r="17" spans="1:58" ht="18">
      <c r="B17" s="736"/>
      <c r="C17" s="736"/>
      <c r="D17" s="727"/>
      <c r="E17" s="727"/>
      <c r="F17" s="727"/>
      <c r="G17" s="727"/>
      <c r="H17" s="717"/>
    </row>
    <row r="18" spans="1:58" ht="18">
      <c r="A18" s="716" t="s">
        <v>0</v>
      </c>
      <c r="B18" s="716"/>
      <c r="C18" s="728"/>
      <c r="D18" s="728"/>
      <c r="E18" s="728"/>
      <c r="F18" s="728"/>
      <c r="G18" s="728"/>
      <c r="H18" s="728"/>
      <c r="I18" s="737"/>
      <c r="J18" s="737"/>
      <c r="K18" s="737"/>
      <c r="L18" s="737"/>
      <c r="M18" s="737"/>
      <c r="N18" s="737"/>
      <c r="O18" s="737"/>
      <c r="P18" s="737"/>
      <c r="Q18" s="737"/>
      <c r="R18" s="737"/>
      <c r="S18" s="737"/>
      <c r="T18" s="737"/>
      <c r="U18" s="737"/>
      <c r="V18" s="737"/>
      <c r="W18" s="737"/>
      <c r="X18" s="737"/>
      <c r="Y18" s="737"/>
      <c r="Z18" s="737"/>
      <c r="AA18" s="737"/>
      <c r="AB18" s="737"/>
      <c r="AC18" s="737"/>
      <c r="AD18" s="737"/>
      <c r="AE18" s="737"/>
      <c r="AF18" s="737"/>
      <c r="AG18" s="737"/>
      <c r="AH18" s="737"/>
      <c r="AI18" s="737"/>
      <c r="AJ18" s="737"/>
      <c r="AK18" s="737"/>
      <c r="AL18" s="737"/>
      <c r="AM18" s="737"/>
      <c r="AN18" s="737"/>
      <c r="AO18" s="737"/>
      <c r="AP18" s="737"/>
      <c r="AQ18" s="737"/>
      <c r="AR18" s="737"/>
      <c r="AS18" s="737"/>
      <c r="AT18" s="737"/>
      <c r="AU18" s="737"/>
      <c r="AV18" s="737"/>
      <c r="AW18" s="737"/>
      <c r="AX18" s="737"/>
      <c r="AY18" s="737"/>
      <c r="AZ18" s="737"/>
      <c r="BA18" s="737"/>
      <c r="BB18" s="737"/>
      <c r="BC18" s="737"/>
      <c r="BD18" s="737"/>
      <c r="BE18" s="737"/>
      <c r="BF18" s="737"/>
    </row>
    <row r="19" spans="1:58" ht="18">
      <c r="A19" s="738" t="s">
        <v>776</v>
      </c>
      <c r="B19" s="713"/>
      <c r="C19" s="739"/>
      <c r="D19" s="739"/>
      <c r="E19" s="739"/>
      <c r="F19" s="739"/>
      <c r="G19" s="739"/>
      <c r="H19" s="739"/>
      <c r="I19" s="737"/>
      <c r="J19" s="737"/>
      <c r="K19" s="737"/>
      <c r="L19" s="737"/>
      <c r="M19" s="737"/>
      <c r="N19" s="737"/>
      <c r="O19" s="737"/>
      <c r="P19" s="737"/>
      <c r="Q19" s="737"/>
      <c r="R19" s="737"/>
      <c r="S19" s="737"/>
      <c r="T19" s="737"/>
      <c r="U19" s="737"/>
      <c r="V19" s="737"/>
      <c r="W19" s="737"/>
      <c r="X19" s="737"/>
      <c r="Y19" s="737"/>
      <c r="Z19" s="737"/>
      <c r="AA19" s="737"/>
      <c r="AB19" s="737"/>
      <c r="AC19" s="737"/>
      <c r="AD19" s="737"/>
      <c r="AE19" s="737"/>
      <c r="AF19" s="737"/>
      <c r="AG19" s="737"/>
      <c r="AH19" s="737"/>
      <c r="AI19" s="737"/>
      <c r="AJ19" s="737"/>
      <c r="AK19" s="737"/>
      <c r="AL19" s="737"/>
      <c r="AM19" s="737"/>
      <c r="AN19" s="737"/>
      <c r="AO19" s="737"/>
      <c r="AP19" s="737"/>
      <c r="AQ19" s="737"/>
      <c r="AR19" s="737"/>
      <c r="AS19" s="737"/>
      <c r="AT19" s="737"/>
      <c r="AU19" s="737"/>
      <c r="AV19" s="737"/>
      <c r="AW19" s="737"/>
      <c r="AX19" s="737"/>
      <c r="AY19" s="737"/>
      <c r="AZ19" s="737"/>
      <c r="BA19" s="737"/>
      <c r="BB19" s="737"/>
      <c r="BC19" s="737"/>
      <c r="BD19" s="737"/>
      <c r="BE19" s="737"/>
      <c r="BF19" s="737"/>
    </row>
    <row r="20" spans="1:58" ht="18">
      <c r="A20" s="716"/>
      <c r="B20" s="713"/>
      <c r="C20" s="739"/>
      <c r="D20" s="739"/>
      <c r="E20" s="739"/>
      <c r="F20" s="739"/>
      <c r="G20" s="739"/>
      <c r="H20" s="739"/>
      <c r="I20" s="737"/>
      <c r="J20" s="737"/>
      <c r="K20" s="737"/>
      <c r="L20" s="737"/>
      <c r="M20" s="737"/>
      <c r="N20" s="737"/>
      <c r="O20" s="737"/>
      <c r="P20" s="737"/>
      <c r="Q20" s="737"/>
      <c r="R20" s="737"/>
      <c r="S20" s="737"/>
      <c r="T20" s="737"/>
      <c r="U20" s="737"/>
      <c r="V20" s="737"/>
      <c r="W20" s="737"/>
      <c r="X20" s="737"/>
      <c r="Y20" s="737"/>
      <c r="Z20" s="737"/>
      <c r="AA20" s="737"/>
      <c r="AB20" s="737"/>
      <c r="AC20" s="737"/>
      <c r="AD20" s="737"/>
      <c r="AE20" s="737"/>
      <c r="AF20" s="737"/>
      <c r="AG20" s="737"/>
      <c r="AH20" s="737"/>
      <c r="AI20" s="737"/>
      <c r="AJ20" s="737"/>
      <c r="AK20" s="737"/>
      <c r="AL20" s="737"/>
      <c r="AM20" s="737"/>
      <c r="AN20" s="737"/>
      <c r="AO20" s="737"/>
      <c r="AP20" s="737"/>
      <c r="AQ20" s="737"/>
      <c r="AR20" s="737"/>
      <c r="AS20" s="737"/>
      <c r="AT20" s="737"/>
      <c r="AU20" s="737"/>
      <c r="AV20" s="737"/>
      <c r="AW20" s="737"/>
      <c r="AX20" s="737"/>
      <c r="AY20" s="737"/>
      <c r="AZ20" s="737"/>
      <c r="BA20" s="737"/>
      <c r="BB20" s="737"/>
      <c r="BC20" s="737"/>
      <c r="BD20" s="737"/>
      <c r="BE20" s="737"/>
      <c r="BF20" s="737"/>
    </row>
    <row r="21" spans="1:58" ht="16.5" thickBot="1">
      <c r="A21" s="740" t="s">
        <v>777</v>
      </c>
      <c r="B21" s="741" t="s">
        <v>778</v>
      </c>
      <c r="C21" s="742"/>
      <c r="D21" s="743" t="s">
        <v>98</v>
      </c>
      <c r="E21" s="743" t="s">
        <v>100</v>
      </c>
      <c r="F21" s="743" t="s">
        <v>101</v>
      </c>
      <c r="G21" s="743" t="s">
        <v>102</v>
      </c>
      <c r="H21" s="743" t="s">
        <v>103</v>
      </c>
      <c r="I21" s="743" t="s">
        <v>104</v>
      </c>
      <c r="J21" s="743" t="s">
        <v>105</v>
      </c>
      <c r="K21" s="743" t="s">
        <v>106</v>
      </c>
      <c r="L21" s="743" t="s">
        <v>107</v>
      </c>
      <c r="M21" s="743" t="s">
        <v>114</v>
      </c>
      <c r="N21" s="743" t="s">
        <v>127</v>
      </c>
      <c r="O21" s="743" t="s">
        <v>109</v>
      </c>
      <c r="P21" s="743" t="s">
        <v>110</v>
      </c>
      <c r="Q21" s="741" t="s">
        <v>111</v>
      </c>
      <c r="R21" s="736"/>
      <c r="S21" s="737"/>
      <c r="T21" s="737"/>
      <c r="U21" s="737"/>
      <c r="V21" s="737"/>
      <c r="W21" s="737"/>
      <c r="X21" s="737"/>
      <c r="Y21" s="737"/>
      <c r="Z21" s="737"/>
      <c r="AA21" s="737"/>
      <c r="AB21" s="737"/>
      <c r="AC21" s="737"/>
      <c r="AD21" s="737"/>
      <c r="AE21" s="737"/>
      <c r="AF21" s="737"/>
      <c r="AG21" s="737"/>
      <c r="AH21" s="737"/>
      <c r="AI21" s="737"/>
      <c r="AJ21" s="737"/>
      <c r="AK21" s="737"/>
      <c r="AL21" s="737"/>
      <c r="AM21" s="737"/>
      <c r="AN21" s="737"/>
      <c r="AO21" s="737"/>
      <c r="AP21" s="737"/>
      <c r="AQ21" s="737"/>
      <c r="AR21" s="737"/>
      <c r="AS21" s="737"/>
      <c r="AT21" s="737"/>
      <c r="AU21" s="737"/>
      <c r="AV21" s="737"/>
      <c r="AW21" s="737"/>
      <c r="AX21" s="737"/>
      <c r="AY21" s="737"/>
      <c r="AZ21" s="737"/>
      <c r="BA21" s="737"/>
      <c r="BB21" s="737"/>
      <c r="BC21" s="737"/>
      <c r="BD21" s="737"/>
      <c r="BE21" s="737"/>
      <c r="BF21" s="737"/>
    </row>
    <row r="22" spans="1:58" ht="15.75">
      <c r="A22" s="744">
        <v>100</v>
      </c>
      <c r="B22" s="745" t="s">
        <v>779</v>
      </c>
      <c r="C22" s="746"/>
      <c r="D22" s="747" t="s">
        <v>439</v>
      </c>
      <c r="E22" s="852">
        <v>0</v>
      </c>
      <c r="F22" s="893">
        <v>0</v>
      </c>
      <c r="G22" s="758">
        <v>0</v>
      </c>
      <c r="H22" s="749">
        <v>1.6999999999999999E-3</v>
      </c>
      <c r="I22" s="749">
        <v>5.8999999999999999E-3</v>
      </c>
      <c r="J22" s="749">
        <v>1.4E-3</v>
      </c>
      <c r="K22" s="854">
        <v>0</v>
      </c>
      <c r="L22" s="747" t="s">
        <v>439</v>
      </c>
      <c r="M22" s="747" t="s">
        <v>439</v>
      </c>
      <c r="N22" s="852">
        <v>0</v>
      </c>
      <c r="O22" s="747" t="s">
        <v>439</v>
      </c>
      <c r="P22" s="893">
        <v>0</v>
      </c>
      <c r="Q22" s="750">
        <v>1.5E-3</v>
      </c>
      <c r="R22" s="751"/>
      <c r="S22" s="736"/>
      <c r="T22" s="737"/>
      <c r="U22" s="737"/>
      <c r="V22" s="737"/>
      <c r="W22" s="737"/>
      <c r="X22" s="737"/>
      <c r="Y22" s="737"/>
      <c r="Z22" s="737"/>
      <c r="AA22" s="737"/>
      <c r="AB22" s="737"/>
      <c r="AC22" s="737"/>
      <c r="AD22" s="737"/>
      <c r="AE22" s="737"/>
      <c r="AF22" s="737"/>
      <c r="AG22" s="737"/>
      <c r="AH22" s="737"/>
      <c r="AI22" s="737"/>
      <c r="AJ22" s="737"/>
      <c r="AK22" s="737"/>
      <c r="AL22" s="737"/>
      <c r="AM22" s="737"/>
      <c r="AN22" s="737"/>
      <c r="AO22" s="737"/>
      <c r="AP22" s="737"/>
      <c r="AQ22" s="737"/>
      <c r="AR22" s="737"/>
      <c r="AS22" s="737"/>
      <c r="AT22" s="737"/>
      <c r="AU22" s="737"/>
      <c r="AV22" s="737"/>
      <c r="AW22" s="737"/>
      <c r="AX22" s="737"/>
      <c r="AY22" s="737"/>
      <c r="AZ22" s="737"/>
      <c r="BA22" s="737"/>
      <c r="BB22" s="737"/>
      <c r="BC22" s="737"/>
      <c r="BD22" s="737"/>
      <c r="BE22" s="737"/>
      <c r="BF22" s="737"/>
    </row>
    <row r="23" spans="1:58" ht="15.75">
      <c r="A23" s="744">
        <v>200</v>
      </c>
      <c r="B23" s="745" t="s">
        <v>780</v>
      </c>
      <c r="C23" s="746"/>
      <c r="D23" s="747" t="s">
        <v>439</v>
      </c>
      <c r="E23" s="747">
        <v>0.104</v>
      </c>
      <c r="F23" s="753">
        <v>5.3499999999999999E-2</v>
      </c>
      <c r="G23" s="752">
        <v>1.66E-2</v>
      </c>
      <c r="H23" s="754">
        <v>4.4900000000000002E-2</v>
      </c>
      <c r="I23" s="754">
        <v>6.3500000000000001E-2</v>
      </c>
      <c r="J23" s="754">
        <v>5.4300000000000001E-2</v>
      </c>
      <c r="K23" s="754">
        <v>6.9599999999999995E-2</v>
      </c>
      <c r="L23" s="748">
        <v>5.96E-2</v>
      </c>
      <c r="M23" s="747" t="s">
        <v>439</v>
      </c>
      <c r="N23" s="852">
        <v>0</v>
      </c>
      <c r="O23" s="754">
        <v>0.19359999999999999</v>
      </c>
      <c r="P23" s="754">
        <v>8.3799999999999999E-2</v>
      </c>
      <c r="Q23" s="750">
        <v>6.6500000000000004E-2</v>
      </c>
      <c r="R23" s="751"/>
      <c r="S23" s="736"/>
      <c r="T23" s="737"/>
      <c r="U23" s="737"/>
      <c r="V23" s="737"/>
      <c r="W23" s="737"/>
      <c r="X23" s="737"/>
      <c r="Y23" s="737"/>
      <c r="Z23" s="737"/>
      <c r="AA23" s="737"/>
      <c r="AB23" s="737"/>
      <c r="AC23" s="737"/>
      <c r="AD23" s="737"/>
      <c r="AE23" s="737"/>
      <c r="AF23" s="737"/>
      <c r="AG23" s="737"/>
      <c r="AH23" s="737"/>
      <c r="AI23" s="737"/>
      <c r="AJ23" s="737"/>
      <c r="AK23" s="737"/>
      <c r="AL23" s="737"/>
      <c r="AM23" s="737"/>
      <c r="AN23" s="737"/>
      <c r="AO23" s="737"/>
      <c r="AP23" s="737"/>
      <c r="AQ23" s="737"/>
      <c r="AR23" s="737"/>
      <c r="AS23" s="737"/>
      <c r="AT23" s="737"/>
      <c r="AU23" s="737"/>
      <c r="AV23" s="737"/>
      <c r="AW23" s="737"/>
      <c r="AX23" s="737"/>
      <c r="AY23" s="737"/>
      <c r="AZ23" s="737"/>
      <c r="BA23" s="737"/>
      <c r="BB23" s="737"/>
      <c r="BC23" s="737"/>
      <c r="BD23" s="737"/>
      <c r="BE23" s="737"/>
      <c r="BF23" s="737"/>
    </row>
    <row r="24" spans="1:58" ht="15.75">
      <c r="A24" s="744">
        <v>210</v>
      </c>
      <c r="B24" s="745" t="s">
        <v>781</v>
      </c>
      <c r="C24" s="755"/>
      <c r="D24" s="747" t="s">
        <v>439</v>
      </c>
      <c r="E24" s="747">
        <v>5.7000000000000002E-3</v>
      </c>
      <c r="F24" s="753">
        <v>5.7999999999999996E-3</v>
      </c>
      <c r="G24" s="752">
        <v>3.3399999999999999E-2</v>
      </c>
      <c r="H24" s="754">
        <v>8.0799999999999997E-2</v>
      </c>
      <c r="I24" s="754">
        <v>1.01E-2</v>
      </c>
      <c r="J24" s="754">
        <v>4.3900000000000002E-2</v>
      </c>
      <c r="K24" s="754">
        <v>7.8200000000000006E-2</v>
      </c>
      <c r="L24" s="747" t="s">
        <v>439</v>
      </c>
      <c r="M24" s="747" t="s">
        <v>439</v>
      </c>
      <c r="N24" s="852">
        <v>0</v>
      </c>
      <c r="O24" s="754">
        <v>0.18690000000000001</v>
      </c>
      <c r="P24" s="754">
        <v>5.0000000000000001E-4</v>
      </c>
      <c r="Q24" s="750">
        <v>4.8800000000000003E-2</v>
      </c>
      <c r="R24" s="751"/>
      <c r="S24" s="736"/>
      <c r="T24" s="756"/>
      <c r="U24" s="756"/>
      <c r="V24" s="737"/>
      <c r="W24" s="737"/>
      <c r="X24" s="737"/>
      <c r="Y24" s="737"/>
      <c r="Z24" s="737"/>
      <c r="AA24" s="737"/>
      <c r="AB24" s="737"/>
      <c r="AC24" s="737"/>
      <c r="AD24" s="737"/>
      <c r="AE24" s="737"/>
      <c r="AF24" s="737"/>
      <c r="AG24" s="737"/>
      <c r="AH24" s="737"/>
      <c r="AI24" s="737"/>
      <c r="AJ24" s="737"/>
      <c r="AK24" s="737"/>
      <c r="AL24" s="737"/>
      <c r="AM24" s="737"/>
      <c r="AN24" s="737"/>
      <c r="AO24" s="737"/>
      <c r="AP24" s="737"/>
      <c r="AQ24" s="737"/>
      <c r="AR24" s="737"/>
      <c r="AS24" s="737"/>
      <c r="AT24" s="737"/>
      <c r="AU24" s="737"/>
      <c r="AV24" s="737"/>
      <c r="AW24" s="737"/>
      <c r="AX24" s="737"/>
      <c r="AY24" s="737"/>
      <c r="AZ24" s="737"/>
      <c r="BA24" s="737"/>
      <c r="BB24" s="737"/>
      <c r="BC24" s="737"/>
      <c r="BD24" s="737"/>
      <c r="BE24" s="737"/>
      <c r="BF24" s="737"/>
    </row>
    <row r="25" spans="1:58" ht="15.75">
      <c r="A25" s="744">
        <v>220</v>
      </c>
      <c r="B25" s="745" t="s">
        <v>782</v>
      </c>
      <c r="C25" s="755"/>
      <c r="D25" s="747" t="s">
        <v>439</v>
      </c>
      <c r="E25" s="747">
        <v>4.4000000000000003E-3</v>
      </c>
      <c r="F25" s="748">
        <v>2.2000000000000001E-3</v>
      </c>
      <c r="G25" s="752">
        <v>2.0000000000000001E-4</v>
      </c>
      <c r="H25" s="854">
        <v>0</v>
      </c>
      <c r="I25" s="749">
        <v>1.6E-2</v>
      </c>
      <c r="J25" s="749">
        <v>4.1000000000000003E-3</v>
      </c>
      <c r="K25" s="749">
        <v>1.1000000000000001E-3</v>
      </c>
      <c r="L25" s="747" t="s">
        <v>439</v>
      </c>
      <c r="M25" s="747" t="s">
        <v>439</v>
      </c>
      <c r="N25" s="852">
        <v>0</v>
      </c>
      <c r="O25" s="747" t="s">
        <v>439</v>
      </c>
      <c r="P25" s="749">
        <v>2.0000000000000001E-4</v>
      </c>
      <c r="Q25" s="750">
        <v>3.8999999999999998E-3</v>
      </c>
      <c r="R25" s="751"/>
      <c r="S25" s="736"/>
      <c r="T25" s="756"/>
      <c r="U25" s="756"/>
      <c r="V25" s="737"/>
      <c r="W25" s="737"/>
      <c r="X25" s="737"/>
      <c r="Y25" s="737"/>
      <c r="Z25" s="737"/>
      <c r="AA25" s="737"/>
      <c r="AB25" s="737"/>
      <c r="AC25" s="737"/>
      <c r="AD25" s="737"/>
      <c r="AE25" s="737"/>
      <c r="AF25" s="737"/>
      <c r="AG25" s="737"/>
      <c r="AH25" s="737"/>
      <c r="AI25" s="737"/>
      <c r="AJ25" s="737"/>
      <c r="AK25" s="737"/>
      <c r="AL25" s="737"/>
      <c r="AM25" s="737"/>
      <c r="AN25" s="737"/>
      <c r="AO25" s="737"/>
      <c r="AP25" s="737"/>
      <c r="AQ25" s="737"/>
      <c r="AR25" s="737"/>
      <c r="AS25" s="737"/>
      <c r="AT25" s="737"/>
      <c r="AU25" s="737"/>
      <c r="AV25" s="737"/>
      <c r="AW25" s="737"/>
      <c r="AX25" s="737"/>
      <c r="AY25" s="737"/>
      <c r="AZ25" s="737"/>
      <c r="BA25" s="737"/>
      <c r="BB25" s="737"/>
      <c r="BC25" s="737"/>
      <c r="BD25" s="737"/>
      <c r="BE25" s="737"/>
      <c r="BF25" s="737"/>
    </row>
    <row r="26" spans="1:58" ht="15.75">
      <c r="A26" s="744">
        <v>230</v>
      </c>
      <c r="B26" s="745" t="s">
        <v>783</v>
      </c>
      <c r="C26" s="755"/>
      <c r="D26" s="747" t="s">
        <v>439</v>
      </c>
      <c r="E26" s="747">
        <v>1.9900000000000001E-2</v>
      </c>
      <c r="F26" s="748">
        <v>3.5999999999999999E-3</v>
      </c>
      <c r="G26" s="758">
        <v>0</v>
      </c>
      <c r="H26" s="749">
        <v>4.1000000000000003E-3</v>
      </c>
      <c r="I26" s="854">
        <v>0</v>
      </c>
      <c r="J26" s="749">
        <v>1.6199999999999999E-2</v>
      </c>
      <c r="K26" s="749">
        <v>1.04E-2</v>
      </c>
      <c r="L26" s="747" t="s">
        <v>439</v>
      </c>
      <c r="M26" s="747" t="s">
        <v>439</v>
      </c>
      <c r="N26" s="852">
        <v>0</v>
      </c>
      <c r="O26" s="747" t="s">
        <v>439</v>
      </c>
      <c r="P26" s="893">
        <v>0</v>
      </c>
      <c r="Q26" s="750">
        <v>6.4999999999999997E-3</v>
      </c>
      <c r="R26" s="751"/>
      <c r="S26" s="736"/>
      <c r="T26" s="756"/>
      <c r="U26" s="756"/>
      <c r="V26" s="737"/>
      <c r="W26" s="737"/>
      <c r="X26" s="737"/>
      <c r="Y26" s="737"/>
      <c r="Z26" s="737"/>
      <c r="AA26" s="737"/>
      <c r="AB26" s="737"/>
      <c r="AC26" s="737"/>
      <c r="AD26" s="737"/>
      <c r="AE26" s="737"/>
      <c r="AF26" s="737"/>
      <c r="AG26" s="737"/>
      <c r="AH26" s="737"/>
      <c r="AI26" s="737"/>
      <c r="AJ26" s="737"/>
      <c r="AK26" s="737"/>
      <c r="AL26" s="737"/>
      <c r="AM26" s="737"/>
      <c r="AN26" s="737"/>
      <c r="AO26" s="737"/>
      <c r="AP26" s="737"/>
      <c r="AQ26" s="737"/>
      <c r="AR26" s="737"/>
      <c r="AS26" s="737"/>
      <c r="AT26" s="737"/>
      <c r="AU26" s="737"/>
      <c r="AV26" s="737"/>
      <c r="AW26" s="737"/>
      <c r="AX26" s="737"/>
      <c r="AY26" s="737"/>
      <c r="AZ26" s="737"/>
      <c r="BA26" s="737"/>
      <c r="BB26" s="737"/>
      <c r="BC26" s="737"/>
      <c r="BD26" s="737"/>
      <c r="BE26" s="737"/>
      <c r="BF26" s="737"/>
    </row>
    <row r="27" spans="1:58" ht="15.75">
      <c r="A27" s="744">
        <v>240</v>
      </c>
      <c r="B27" s="745" t="s">
        <v>784</v>
      </c>
      <c r="C27" s="755"/>
      <c r="D27" s="747" t="s">
        <v>439</v>
      </c>
      <c r="E27" s="747">
        <v>1E-4</v>
      </c>
      <c r="F27" s="748">
        <v>2.0000000000000001E-4</v>
      </c>
      <c r="G27" s="752">
        <v>4.0000000000000001E-3</v>
      </c>
      <c r="H27" s="749">
        <v>8.0000000000000004E-4</v>
      </c>
      <c r="I27" s="749">
        <v>2.0999999999999999E-3</v>
      </c>
      <c r="J27" s="749">
        <v>1.38E-2</v>
      </c>
      <c r="K27" s="749">
        <v>1.77E-2</v>
      </c>
      <c r="L27" s="747" t="s">
        <v>439</v>
      </c>
      <c r="M27" s="747" t="s">
        <v>439</v>
      </c>
      <c r="N27" s="852">
        <v>0</v>
      </c>
      <c r="O27" s="747" t="s">
        <v>439</v>
      </c>
      <c r="P27" s="748">
        <v>1.49E-2</v>
      </c>
      <c r="Q27" s="1184">
        <v>7.6E-3</v>
      </c>
      <c r="R27" s="751"/>
      <c r="S27" s="736"/>
      <c r="T27" s="756"/>
      <c r="U27" s="756"/>
      <c r="V27" s="737"/>
      <c r="W27" s="737"/>
      <c r="X27" s="737"/>
      <c r="Y27" s="737"/>
      <c r="Z27" s="737"/>
      <c r="AA27" s="737"/>
      <c r="AB27" s="737"/>
      <c r="AC27" s="737"/>
      <c r="AD27" s="737"/>
      <c r="AE27" s="737"/>
      <c r="AF27" s="737"/>
      <c r="AG27" s="737"/>
      <c r="AH27" s="737"/>
      <c r="AI27" s="737"/>
      <c r="AJ27" s="737"/>
      <c r="AK27" s="737"/>
      <c r="AL27" s="737"/>
      <c r="AM27" s="737"/>
      <c r="AN27" s="737"/>
      <c r="AO27" s="737"/>
      <c r="AP27" s="737"/>
      <c r="AQ27" s="737"/>
      <c r="AR27" s="737"/>
      <c r="AS27" s="737"/>
      <c r="AT27" s="737"/>
      <c r="AU27" s="737"/>
      <c r="AV27" s="737"/>
      <c r="AW27" s="737"/>
      <c r="AX27" s="737"/>
      <c r="AY27" s="737"/>
      <c r="AZ27" s="737"/>
      <c r="BA27" s="737"/>
      <c r="BB27" s="737"/>
      <c r="BC27" s="737"/>
      <c r="BD27" s="737"/>
      <c r="BE27" s="737"/>
      <c r="BF27" s="737"/>
    </row>
    <row r="28" spans="1:58" ht="15.75">
      <c r="A28" s="744">
        <v>250</v>
      </c>
      <c r="B28" s="745" t="s">
        <v>785</v>
      </c>
      <c r="C28" s="755"/>
      <c r="D28" s="747">
        <v>0.2132</v>
      </c>
      <c r="E28" s="747" t="s">
        <v>439</v>
      </c>
      <c r="F28" s="747" t="s">
        <v>439</v>
      </c>
      <c r="G28" s="752">
        <v>7.4000000000000003E-3</v>
      </c>
      <c r="H28" s="749">
        <v>2.0000000000000001E-4</v>
      </c>
      <c r="I28" s="749">
        <v>8.3999999999999995E-3</v>
      </c>
      <c r="J28" s="748">
        <v>2.9999999999999997E-4</v>
      </c>
      <c r="K28" s="747" t="s">
        <v>439</v>
      </c>
      <c r="L28" s="893">
        <v>0</v>
      </c>
      <c r="M28" s="747" t="s">
        <v>439</v>
      </c>
      <c r="N28" s="852">
        <v>0</v>
      </c>
      <c r="O28" s="749">
        <v>1.4E-3</v>
      </c>
      <c r="P28" s="893">
        <v>0</v>
      </c>
      <c r="Q28" s="750">
        <v>2.2000000000000001E-3</v>
      </c>
      <c r="R28" s="751"/>
      <c r="S28" s="736"/>
      <c r="T28" s="756"/>
      <c r="U28" s="756"/>
      <c r="V28" s="737"/>
      <c r="W28" s="737"/>
      <c r="X28" s="737"/>
      <c r="Y28" s="737"/>
      <c r="Z28" s="737"/>
      <c r="AA28" s="737"/>
      <c r="AB28" s="737"/>
      <c r="AC28" s="737"/>
      <c r="AD28" s="737"/>
      <c r="AE28" s="737"/>
      <c r="AF28" s="737"/>
      <c r="AG28" s="737"/>
      <c r="AH28" s="737"/>
      <c r="AI28" s="737"/>
      <c r="AJ28" s="737"/>
      <c r="AK28" s="737"/>
      <c r="AL28" s="737"/>
      <c r="AM28" s="737"/>
      <c r="AN28" s="737"/>
      <c r="AO28" s="737"/>
      <c r="AP28" s="737"/>
      <c r="AQ28" s="737"/>
      <c r="AR28" s="737"/>
      <c r="AS28" s="737"/>
      <c r="AT28" s="737"/>
      <c r="AU28" s="737"/>
      <c r="AV28" s="737"/>
      <c r="AW28" s="737"/>
      <c r="AX28" s="737"/>
      <c r="AY28" s="737"/>
      <c r="AZ28" s="737"/>
      <c r="BA28" s="737"/>
      <c r="BB28" s="737"/>
      <c r="BC28" s="737"/>
      <c r="BD28" s="737"/>
      <c r="BE28" s="737"/>
      <c r="BF28" s="737"/>
    </row>
    <row r="29" spans="1:58" ht="15.75">
      <c r="A29" s="744">
        <v>260</v>
      </c>
      <c r="B29" s="745" t="s">
        <v>786</v>
      </c>
      <c r="C29" s="755"/>
      <c r="D29" s="747" t="s">
        <v>439</v>
      </c>
      <c r="E29" s="852">
        <v>0</v>
      </c>
      <c r="F29" s="754">
        <v>8.0000000000000004E-4</v>
      </c>
      <c r="G29" s="758">
        <v>5.0000000000000001E-4</v>
      </c>
      <c r="H29" s="853">
        <v>0</v>
      </c>
      <c r="I29" s="754">
        <v>3.5799999999999998E-2</v>
      </c>
      <c r="J29" s="754">
        <v>1.46E-2</v>
      </c>
      <c r="K29" s="754">
        <v>8.6999999999999994E-3</v>
      </c>
      <c r="L29" s="893">
        <v>0</v>
      </c>
      <c r="M29" s="747" t="s">
        <v>439</v>
      </c>
      <c r="N29" s="852">
        <v>0</v>
      </c>
      <c r="O29" s="748">
        <v>9.2999999999999992E-3</v>
      </c>
      <c r="P29" s="893">
        <v>0</v>
      </c>
      <c r="Q29" s="750">
        <v>1.11E-2</v>
      </c>
      <c r="R29" s="751"/>
      <c r="S29" s="736"/>
      <c r="T29" s="756"/>
      <c r="U29" s="756"/>
      <c r="V29" s="737"/>
      <c r="W29" s="737"/>
      <c r="X29" s="737"/>
      <c r="Y29" s="737"/>
      <c r="Z29" s="737"/>
      <c r="AA29" s="737"/>
      <c r="AB29" s="737"/>
      <c r="AC29" s="737"/>
      <c r="AD29" s="737"/>
      <c r="AE29" s="737"/>
      <c r="AF29" s="737"/>
      <c r="AG29" s="737"/>
      <c r="AH29" s="737"/>
      <c r="AI29" s="737"/>
      <c r="AJ29" s="737"/>
      <c r="AK29" s="737"/>
      <c r="AL29" s="737"/>
      <c r="AM29" s="737"/>
      <c r="AN29" s="737"/>
      <c r="AO29" s="737"/>
      <c r="AP29" s="737"/>
      <c r="AQ29" s="737"/>
      <c r="AR29" s="737"/>
      <c r="AS29" s="737"/>
      <c r="AT29" s="737"/>
      <c r="AU29" s="737"/>
      <c r="AV29" s="737"/>
      <c r="AW29" s="737"/>
      <c r="AX29" s="737"/>
      <c r="AY29" s="737"/>
      <c r="AZ29" s="737"/>
      <c r="BA29" s="737"/>
      <c r="BB29" s="737"/>
      <c r="BC29" s="737"/>
      <c r="BD29" s="737"/>
      <c r="BE29" s="737"/>
      <c r="BF29" s="737"/>
    </row>
    <row r="30" spans="1:58" ht="15.75">
      <c r="A30" s="744">
        <v>270</v>
      </c>
      <c r="B30" s="745" t="s">
        <v>787</v>
      </c>
      <c r="C30" s="755"/>
      <c r="D30" s="747" t="s">
        <v>439</v>
      </c>
      <c r="E30" s="852">
        <v>0</v>
      </c>
      <c r="F30" s="747" t="s">
        <v>439</v>
      </c>
      <c r="G30" s="752">
        <v>2.1899999999999999E-2</v>
      </c>
      <c r="H30" s="754">
        <v>2.1499999999999998E-2</v>
      </c>
      <c r="I30" s="747" t="s">
        <v>439</v>
      </c>
      <c r="J30" s="754">
        <v>1.7299999999999999E-2</v>
      </c>
      <c r="K30" s="754">
        <v>2.76E-2</v>
      </c>
      <c r="L30" s="749">
        <v>2.8000000000000001E-2</v>
      </c>
      <c r="M30" s="747" t="s">
        <v>439</v>
      </c>
      <c r="N30" s="852">
        <v>0</v>
      </c>
      <c r="O30" s="754">
        <v>9.6600000000000005E-2</v>
      </c>
      <c r="P30" s="748">
        <v>5.0000000000000001E-4</v>
      </c>
      <c r="Q30" s="750">
        <v>2.07E-2</v>
      </c>
      <c r="R30" s="751"/>
      <c r="S30" s="736"/>
      <c r="T30" s="756"/>
      <c r="U30" s="756"/>
      <c r="V30" s="737"/>
      <c r="W30" s="737"/>
      <c r="X30" s="737"/>
      <c r="Y30" s="737"/>
      <c r="Z30" s="737"/>
      <c r="AA30" s="737"/>
      <c r="AB30" s="737"/>
      <c r="AC30" s="737"/>
      <c r="AD30" s="737"/>
      <c r="AE30" s="737"/>
      <c r="AF30" s="737"/>
      <c r="AG30" s="737"/>
      <c r="AH30" s="737"/>
      <c r="AI30" s="737"/>
      <c r="AJ30" s="737"/>
      <c r="AK30" s="737"/>
      <c r="AL30" s="737"/>
      <c r="AM30" s="737"/>
      <c r="AN30" s="737"/>
      <c r="AO30" s="737"/>
      <c r="AP30" s="737"/>
      <c r="AQ30" s="737"/>
      <c r="AR30" s="737"/>
      <c r="AS30" s="737"/>
      <c r="AT30" s="737"/>
      <c r="AU30" s="737"/>
      <c r="AV30" s="737"/>
      <c r="AW30" s="737"/>
      <c r="AX30" s="737"/>
      <c r="AY30" s="737"/>
      <c r="AZ30" s="737"/>
      <c r="BA30" s="737"/>
      <c r="BB30" s="737"/>
      <c r="BC30" s="737"/>
      <c r="BD30" s="737"/>
      <c r="BE30" s="737"/>
      <c r="BF30" s="737"/>
    </row>
    <row r="31" spans="1:58" ht="15.75">
      <c r="A31" s="744">
        <v>280</v>
      </c>
      <c r="B31" s="745" t="s">
        <v>788</v>
      </c>
      <c r="C31" s="755"/>
      <c r="D31" s="747" t="s">
        <v>439</v>
      </c>
      <c r="E31" s="747">
        <v>2.7400000000000001E-2</v>
      </c>
      <c r="F31" s="754">
        <v>4.7000000000000002E-3</v>
      </c>
      <c r="G31" s="752">
        <v>7.4000000000000003E-3</v>
      </c>
      <c r="H31" s="754">
        <v>2.47E-2</v>
      </c>
      <c r="I31" s="754">
        <v>4.2099999999999999E-2</v>
      </c>
      <c r="J31" s="754">
        <v>5.5899999999999998E-2</v>
      </c>
      <c r="K31" s="754">
        <v>2.3400000000000001E-2</v>
      </c>
      <c r="L31" s="893">
        <v>0</v>
      </c>
      <c r="M31" s="747" t="s">
        <v>439</v>
      </c>
      <c r="N31" s="852">
        <v>0</v>
      </c>
      <c r="O31" s="748">
        <v>1E-4</v>
      </c>
      <c r="P31" s="754">
        <v>0.02</v>
      </c>
      <c r="Q31" s="750">
        <v>2.75E-2</v>
      </c>
      <c r="R31" s="751"/>
      <c r="S31" s="736"/>
      <c r="T31" s="756"/>
      <c r="U31" s="756"/>
      <c r="V31" s="737"/>
      <c r="W31" s="737"/>
      <c r="X31" s="737"/>
      <c r="Y31" s="737"/>
      <c r="Z31" s="737"/>
      <c r="AA31" s="737"/>
      <c r="AB31" s="737"/>
      <c r="AC31" s="737"/>
      <c r="AD31" s="737"/>
      <c r="AE31" s="737"/>
      <c r="AF31" s="737"/>
      <c r="AG31" s="737"/>
      <c r="AH31" s="737"/>
      <c r="AI31" s="737"/>
      <c r="AJ31" s="737"/>
      <c r="AK31" s="737"/>
      <c r="AL31" s="737"/>
      <c r="AM31" s="737"/>
      <c r="AN31" s="737"/>
      <c r="AO31" s="737"/>
      <c r="AP31" s="737"/>
      <c r="AQ31" s="737"/>
      <c r="AR31" s="737"/>
      <c r="AS31" s="737"/>
      <c r="AT31" s="737"/>
      <c r="AU31" s="737"/>
      <c r="AV31" s="737"/>
      <c r="AW31" s="737"/>
      <c r="AX31" s="737"/>
      <c r="AY31" s="737"/>
      <c r="AZ31" s="737"/>
      <c r="BA31" s="737"/>
      <c r="BB31" s="737"/>
      <c r="BC31" s="737"/>
      <c r="BD31" s="737"/>
      <c r="BE31" s="737"/>
      <c r="BF31" s="737"/>
    </row>
    <row r="32" spans="1:58" ht="15.75">
      <c r="A32" s="744">
        <v>290</v>
      </c>
      <c r="B32" s="745" t="s">
        <v>789</v>
      </c>
      <c r="C32" s="755"/>
      <c r="D32" s="747">
        <v>5.6000000000000001E-2</v>
      </c>
      <c r="E32" s="747">
        <v>5.0000000000000001E-3</v>
      </c>
      <c r="F32" s="757">
        <v>2.86E-2</v>
      </c>
      <c r="G32" s="752">
        <v>6.4999999999999997E-3</v>
      </c>
      <c r="H32" s="748">
        <v>8.0000000000000004E-4</v>
      </c>
      <c r="I32" s="749">
        <v>5.7000000000000002E-3</v>
      </c>
      <c r="J32" s="757">
        <v>2.01E-2</v>
      </c>
      <c r="K32" s="854">
        <v>0</v>
      </c>
      <c r="L32" s="757">
        <v>9.5999999999999992E-3</v>
      </c>
      <c r="M32" s="747" t="s">
        <v>439</v>
      </c>
      <c r="N32" s="852">
        <v>0</v>
      </c>
      <c r="O32" s="749">
        <v>2.93E-2</v>
      </c>
      <c r="P32" s="757">
        <v>1.9699999999999999E-2</v>
      </c>
      <c r="Q32" s="750">
        <v>1.06E-2</v>
      </c>
      <c r="R32" s="751"/>
      <c r="S32" s="736"/>
      <c r="T32" s="756"/>
      <c r="U32" s="756"/>
      <c r="V32" s="737"/>
      <c r="W32" s="737"/>
      <c r="X32" s="737"/>
      <c r="Y32" s="737"/>
      <c r="Z32" s="737"/>
      <c r="AA32" s="737"/>
      <c r="AB32" s="737"/>
      <c r="AC32" s="737"/>
      <c r="AD32" s="737"/>
      <c r="AE32" s="737"/>
      <c r="AF32" s="737"/>
      <c r="AG32" s="737"/>
      <c r="AH32" s="737"/>
      <c r="AI32" s="737"/>
      <c r="AJ32" s="737"/>
      <c r="AK32" s="737"/>
      <c r="AL32" s="737"/>
      <c r="AM32" s="737"/>
      <c r="AN32" s="737"/>
      <c r="AO32" s="737"/>
      <c r="AP32" s="737"/>
      <c r="AQ32" s="737"/>
      <c r="AR32" s="737"/>
      <c r="AS32" s="737"/>
      <c r="AT32" s="737"/>
      <c r="AU32" s="737"/>
      <c r="AV32" s="737"/>
      <c r="AW32" s="737"/>
      <c r="AX32" s="737"/>
      <c r="AY32" s="737"/>
      <c r="AZ32" s="737"/>
      <c r="BA32" s="737"/>
      <c r="BB32" s="737"/>
      <c r="BC32" s="737"/>
      <c r="BD32" s="737"/>
      <c r="BE32" s="737"/>
      <c r="BF32" s="737"/>
    </row>
    <row r="33" spans="1:58" ht="15.75">
      <c r="A33" s="744">
        <v>300</v>
      </c>
      <c r="B33" s="745" t="s">
        <v>790</v>
      </c>
      <c r="C33" s="755"/>
      <c r="D33" s="747" t="s">
        <v>439</v>
      </c>
      <c r="E33" s="747" t="s">
        <v>439</v>
      </c>
      <c r="F33" s="747" t="s">
        <v>439</v>
      </c>
      <c r="G33" s="758">
        <v>0</v>
      </c>
      <c r="H33" s="748">
        <v>1E-4</v>
      </c>
      <c r="I33" s="893">
        <v>0</v>
      </c>
      <c r="J33" s="747" t="s">
        <v>439</v>
      </c>
      <c r="K33" s="893">
        <v>0</v>
      </c>
      <c r="L33" s="852">
        <v>0</v>
      </c>
      <c r="M33" s="747" t="s">
        <v>439</v>
      </c>
      <c r="N33" s="852">
        <v>0</v>
      </c>
      <c r="O33" s="747" t="s">
        <v>439</v>
      </c>
      <c r="P33" s="852">
        <v>0</v>
      </c>
      <c r="Q33" s="933">
        <v>0</v>
      </c>
      <c r="R33" s="759"/>
      <c r="S33" s="760"/>
      <c r="T33" s="761"/>
      <c r="U33" s="761"/>
      <c r="V33" s="762"/>
      <c r="W33" s="762"/>
      <c r="X33" s="762"/>
      <c r="Y33" s="762"/>
      <c r="Z33" s="762"/>
      <c r="AA33" s="737"/>
      <c r="AB33" s="737"/>
      <c r="AC33" s="737"/>
      <c r="AD33" s="737"/>
      <c r="AE33" s="737"/>
      <c r="AF33" s="737"/>
      <c r="AG33" s="737"/>
      <c r="AH33" s="737"/>
      <c r="AI33" s="737"/>
      <c r="AJ33" s="737"/>
      <c r="AK33" s="737"/>
      <c r="AL33" s="737"/>
      <c r="AM33" s="737"/>
      <c r="AN33" s="737"/>
      <c r="AO33" s="737"/>
      <c r="AP33" s="737"/>
      <c r="AQ33" s="737"/>
      <c r="AR33" s="737"/>
      <c r="AS33" s="737"/>
      <c r="AT33" s="737"/>
      <c r="AU33" s="737"/>
      <c r="AV33" s="737"/>
      <c r="AW33" s="737"/>
      <c r="AX33" s="737"/>
      <c r="AY33" s="737"/>
      <c r="AZ33" s="737"/>
      <c r="BA33" s="737"/>
      <c r="BB33" s="737"/>
      <c r="BC33" s="737"/>
      <c r="BD33" s="737"/>
      <c r="BE33" s="737"/>
      <c r="BF33" s="737"/>
    </row>
    <row r="34" spans="1:58" ht="15.75">
      <c r="A34" s="744">
        <v>400</v>
      </c>
      <c r="B34" s="745" t="s">
        <v>791</v>
      </c>
      <c r="C34" s="755"/>
      <c r="D34" s="747">
        <v>7.2800000000000004E-2</v>
      </c>
      <c r="E34" s="893">
        <v>0</v>
      </c>
      <c r="F34" s="748">
        <v>1E-4</v>
      </c>
      <c r="G34" s="758">
        <v>0</v>
      </c>
      <c r="H34" s="747" t="s">
        <v>439</v>
      </c>
      <c r="I34" s="893">
        <v>0</v>
      </c>
      <c r="J34" s="749">
        <v>1.6400000000000001E-2</v>
      </c>
      <c r="K34" s="893">
        <v>0</v>
      </c>
      <c r="L34" s="852">
        <v>0</v>
      </c>
      <c r="M34" s="747" t="s">
        <v>439</v>
      </c>
      <c r="N34" s="852">
        <v>0</v>
      </c>
      <c r="O34" s="757">
        <v>7.9000000000000008E-3</v>
      </c>
      <c r="P34" s="893">
        <v>0</v>
      </c>
      <c r="Q34" s="750">
        <v>4.0000000000000001E-3</v>
      </c>
      <c r="R34" s="759"/>
      <c r="S34" s="760"/>
      <c r="T34" s="761"/>
      <c r="U34" s="761"/>
      <c r="V34" s="762"/>
      <c r="W34" s="762"/>
      <c r="X34" s="762"/>
      <c r="Y34" s="762"/>
      <c r="Z34" s="762"/>
      <c r="AA34" s="737"/>
      <c r="AB34" s="737"/>
      <c r="AC34" s="737"/>
      <c r="AD34" s="737"/>
      <c r="AE34" s="737"/>
      <c r="AF34" s="737"/>
      <c r="AG34" s="737"/>
      <c r="AH34" s="737"/>
      <c r="AI34" s="737"/>
      <c r="AJ34" s="737"/>
      <c r="AK34" s="737"/>
      <c r="AL34" s="737"/>
      <c r="AM34" s="737"/>
      <c r="AN34" s="737"/>
      <c r="AO34" s="737"/>
      <c r="AP34" s="737"/>
      <c r="AQ34" s="737"/>
      <c r="AR34" s="737"/>
      <c r="AS34" s="737"/>
      <c r="AT34" s="737"/>
      <c r="AU34" s="737"/>
      <c r="AV34" s="737"/>
      <c r="AW34" s="737"/>
      <c r="AX34" s="737"/>
      <c r="AY34" s="737"/>
      <c r="AZ34" s="737"/>
      <c r="BA34" s="737"/>
      <c r="BB34" s="737"/>
      <c r="BC34" s="737"/>
      <c r="BD34" s="737"/>
      <c r="BE34" s="737"/>
      <c r="BF34" s="737"/>
    </row>
    <row r="35" spans="1:58" ht="15.75">
      <c r="A35" s="744">
        <v>500</v>
      </c>
      <c r="B35" s="745" t="s">
        <v>792</v>
      </c>
      <c r="C35" s="755"/>
      <c r="D35" s="747" t="s">
        <v>439</v>
      </c>
      <c r="E35" s="747" t="s">
        <v>439</v>
      </c>
      <c r="F35" s="757">
        <v>1.6299999999999999E-2</v>
      </c>
      <c r="G35" s="758">
        <v>0</v>
      </c>
      <c r="H35" s="747" t="s">
        <v>439</v>
      </c>
      <c r="I35" s="748">
        <v>1.2999999999999999E-3</v>
      </c>
      <c r="J35" s="757">
        <v>1E-4</v>
      </c>
      <c r="K35" s="893">
        <v>0</v>
      </c>
      <c r="L35" s="748">
        <v>3.61E-2</v>
      </c>
      <c r="M35" s="747" t="s">
        <v>439</v>
      </c>
      <c r="N35" s="852">
        <v>0</v>
      </c>
      <c r="O35" s="748">
        <v>1.8200000000000001E-2</v>
      </c>
      <c r="P35" s="893">
        <v>0</v>
      </c>
      <c r="Q35" s="750">
        <v>4.0000000000000001E-3</v>
      </c>
      <c r="R35" s="751"/>
      <c r="S35" s="736"/>
      <c r="T35" s="756"/>
      <c r="U35" s="756"/>
      <c r="V35" s="737"/>
      <c r="W35" s="737"/>
      <c r="X35" s="737"/>
      <c r="Y35" s="737"/>
      <c r="Z35" s="737"/>
      <c r="AA35" s="737"/>
      <c r="AB35" s="737"/>
      <c r="AC35" s="737"/>
      <c r="AD35" s="737"/>
      <c r="AE35" s="737"/>
      <c r="AF35" s="737"/>
      <c r="AG35" s="737"/>
      <c r="AH35" s="737"/>
      <c r="AI35" s="737"/>
      <c r="AJ35" s="737"/>
      <c r="AK35" s="737"/>
      <c r="AL35" s="737"/>
      <c r="AM35" s="737"/>
      <c r="AN35" s="737"/>
      <c r="AO35" s="737"/>
      <c r="AP35" s="737"/>
      <c r="AQ35" s="737"/>
      <c r="AR35" s="737"/>
      <c r="AS35" s="737"/>
      <c r="AT35" s="737"/>
      <c r="AU35" s="737"/>
      <c r="AV35" s="737"/>
      <c r="AW35" s="737"/>
      <c r="AX35" s="737"/>
      <c r="AY35" s="737"/>
      <c r="AZ35" s="737"/>
      <c r="BA35" s="737"/>
      <c r="BB35" s="737"/>
      <c r="BC35" s="737"/>
      <c r="BD35" s="737"/>
      <c r="BE35" s="737"/>
      <c r="BF35" s="737"/>
    </row>
    <row r="36" spans="1:58" ht="15.75">
      <c r="A36" s="744">
        <v>600</v>
      </c>
      <c r="B36" s="745" t="s">
        <v>793</v>
      </c>
      <c r="C36" s="755"/>
      <c r="D36" s="747" t="s">
        <v>439</v>
      </c>
      <c r="E36" s="747" t="s">
        <v>439</v>
      </c>
      <c r="F36" s="754">
        <v>0.13059999999999999</v>
      </c>
      <c r="G36" s="752">
        <v>0.124</v>
      </c>
      <c r="H36" s="754">
        <v>4.2500000000000003E-2</v>
      </c>
      <c r="I36" s="747" t="s">
        <v>439</v>
      </c>
      <c r="J36" s="754">
        <v>3.4700000000000002E-2</v>
      </c>
      <c r="K36" s="754">
        <v>7.4000000000000003E-3</v>
      </c>
      <c r="L36" s="754">
        <v>2.4199999999999999E-2</v>
      </c>
      <c r="M36" s="747" t="s">
        <v>439</v>
      </c>
      <c r="N36" s="852">
        <v>0</v>
      </c>
      <c r="O36" s="754">
        <v>0.1449</v>
      </c>
      <c r="P36" s="754">
        <v>1.5299999999999999E-2</v>
      </c>
      <c r="Q36" s="750">
        <v>4.0099999999999997E-2</v>
      </c>
      <c r="R36" s="751"/>
      <c r="S36" s="736"/>
      <c r="T36" s="756"/>
      <c r="U36" s="756"/>
      <c r="V36" s="737"/>
      <c r="W36" s="737"/>
      <c r="X36" s="737"/>
      <c r="Y36" s="737"/>
      <c r="Z36" s="737"/>
      <c r="AA36" s="737"/>
      <c r="AB36" s="737"/>
      <c r="AC36" s="737"/>
      <c r="AD36" s="737"/>
      <c r="AE36" s="737"/>
      <c r="AF36" s="737"/>
      <c r="AG36" s="737"/>
      <c r="AH36" s="737"/>
      <c r="AI36" s="737"/>
      <c r="AJ36" s="737"/>
      <c r="AK36" s="737"/>
      <c r="AL36" s="737"/>
      <c r="AM36" s="737"/>
      <c r="AN36" s="737"/>
      <c r="AO36" s="737"/>
      <c r="AP36" s="737"/>
      <c r="AQ36" s="737"/>
      <c r="AR36" s="737"/>
      <c r="AS36" s="737"/>
      <c r="AT36" s="737"/>
      <c r="AU36" s="737"/>
      <c r="AV36" s="737"/>
      <c r="AW36" s="737"/>
      <c r="AX36" s="737"/>
      <c r="AY36" s="737"/>
      <c r="AZ36" s="737"/>
      <c r="BA36" s="737"/>
      <c r="BB36" s="737"/>
      <c r="BC36" s="737"/>
      <c r="BD36" s="737"/>
      <c r="BE36" s="737"/>
      <c r="BF36" s="737"/>
    </row>
    <row r="37" spans="1:58" ht="15.75">
      <c r="A37" s="744">
        <v>700</v>
      </c>
      <c r="B37" s="745" t="s">
        <v>794</v>
      </c>
      <c r="C37" s="755"/>
      <c r="D37" s="747" t="s">
        <v>439</v>
      </c>
      <c r="E37" s="747">
        <v>8.72E-2</v>
      </c>
      <c r="F37" s="754">
        <v>0.1663</v>
      </c>
      <c r="G37" s="752">
        <v>0.1182</v>
      </c>
      <c r="H37" s="754">
        <v>0.24790000000000001</v>
      </c>
      <c r="I37" s="754">
        <v>0.17080000000000001</v>
      </c>
      <c r="J37" s="754">
        <v>0.19159999999999999</v>
      </c>
      <c r="K37" s="754">
        <v>0.17899999999999999</v>
      </c>
      <c r="L37" s="754">
        <v>5.8599999999999999E-2</v>
      </c>
      <c r="M37" s="747" t="s">
        <v>439</v>
      </c>
      <c r="N37" s="852">
        <v>0</v>
      </c>
      <c r="O37" s="754">
        <v>0.1157</v>
      </c>
      <c r="P37" s="754">
        <v>0.25850000000000001</v>
      </c>
      <c r="Q37" s="750">
        <v>0.1643</v>
      </c>
      <c r="R37" s="751"/>
      <c r="S37" s="736"/>
      <c r="T37" s="756"/>
      <c r="U37" s="756"/>
      <c r="V37" s="737"/>
      <c r="W37" s="737"/>
      <c r="X37" s="737"/>
      <c r="Y37" s="737"/>
      <c r="Z37" s="737"/>
      <c r="AA37" s="737"/>
      <c r="AB37" s="737"/>
      <c r="AC37" s="737"/>
      <c r="AD37" s="737"/>
      <c r="AE37" s="737"/>
      <c r="AF37" s="737"/>
      <c r="AG37" s="737"/>
      <c r="AH37" s="737"/>
      <c r="AI37" s="737"/>
      <c r="AJ37" s="737"/>
      <c r="AK37" s="737"/>
      <c r="AL37" s="737"/>
      <c r="AM37" s="737"/>
      <c r="AN37" s="737"/>
      <c r="AO37" s="737"/>
      <c r="AP37" s="737"/>
      <c r="AQ37" s="737"/>
      <c r="AR37" s="737"/>
      <c r="AS37" s="737"/>
      <c r="AT37" s="737"/>
      <c r="AU37" s="737"/>
      <c r="AV37" s="737"/>
      <c r="AW37" s="737"/>
      <c r="AX37" s="737"/>
      <c r="AY37" s="737"/>
      <c r="AZ37" s="737"/>
      <c r="BA37" s="737"/>
      <c r="BB37" s="737"/>
      <c r="BC37" s="737"/>
      <c r="BD37" s="737"/>
      <c r="BE37" s="737"/>
      <c r="BF37" s="737"/>
    </row>
    <row r="38" spans="1:58" ht="15.75">
      <c r="A38" s="744">
        <v>800</v>
      </c>
      <c r="B38" s="745" t="s">
        <v>795</v>
      </c>
      <c r="C38" s="763"/>
      <c r="D38" s="747" t="s">
        <v>439</v>
      </c>
      <c r="E38" s="747">
        <v>0.15110000000000001</v>
      </c>
      <c r="F38" s="749">
        <v>0.161</v>
      </c>
      <c r="G38" s="752">
        <v>0.23230000000000001</v>
      </c>
      <c r="H38" s="754">
        <v>0.24890000000000001</v>
      </c>
      <c r="I38" s="754">
        <v>0.14610000000000001</v>
      </c>
      <c r="J38" s="754">
        <v>0.25190000000000001</v>
      </c>
      <c r="K38" s="754">
        <v>0.25640000000000002</v>
      </c>
      <c r="L38" s="754">
        <v>0.1353</v>
      </c>
      <c r="M38" s="747" t="s">
        <v>439</v>
      </c>
      <c r="N38" s="852">
        <v>0</v>
      </c>
      <c r="O38" s="754">
        <v>0.14380000000000001</v>
      </c>
      <c r="P38" s="754">
        <v>2.69E-2</v>
      </c>
      <c r="Q38" s="750">
        <v>0.19320000000000001</v>
      </c>
      <c r="R38" s="751"/>
      <c r="S38" s="736"/>
      <c r="T38" s="756"/>
      <c r="U38" s="756"/>
      <c r="V38" s="737"/>
      <c r="W38" s="737"/>
      <c r="X38" s="737"/>
      <c r="Y38" s="737"/>
      <c r="Z38" s="737"/>
      <c r="AA38" s="737"/>
      <c r="AB38" s="737"/>
      <c r="AC38" s="737"/>
      <c r="AD38" s="737"/>
      <c r="AE38" s="737"/>
      <c r="AF38" s="737"/>
      <c r="AG38" s="737"/>
      <c r="AH38" s="737"/>
      <c r="AI38" s="737"/>
      <c r="AJ38" s="737"/>
      <c r="AK38" s="737"/>
      <c r="AL38" s="737"/>
      <c r="AM38" s="737"/>
      <c r="AN38" s="737"/>
      <c r="AO38" s="737"/>
      <c r="AP38" s="737"/>
      <c r="AQ38" s="737"/>
      <c r="AR38" s="737"/>
      <c r="AS38" s="737"/>
      <c r="AT38" s="737"/>
      <c r="AU38" s="737"/>
      <c r="AV38" s="737"/>
      <c r="AW38" s="737"/>
      <c r="AX38" s="737"/>
      <c r="AY38" s="737"/>
      <c r="AZ38" s="737"/>
      <c r="BA38" s="737"/>
      <c r="BB38" s="737"/>
      <c r="BC38" s="737"/>
      <c r="BD38" s="737"/>
      <c r="BE38" s="737"/>
      <c r="BF38" s="737"/>
    </row>
    <row r="39" spans="1:58" ht="15.75">
      <c r="A39" s="744">
        <v>900</v>
      </c>
      <c r="B39" s="745" t="s">
        <v>796</v>
      </c>
      <c r="C39" s="763"/>
      <c r="D39" s="747" t="s">
        <v>439</v>
      </c>
      <c r="E39" s="747">
        <v>4.8999999999999998E-3</v>
      </c>
      <c r="F39" s="748">
        <v>3.0999999999999999E-3</v>
      </c>
      <c r="G39" s="758">
        <v>0</v>
      </c>
      <c r="H39" s="749">
        <v>5.0000000000000001E-4</v>
      </c>
      <c r="I39" s="749">
        <v>8.9999999999999993E-3</v>
      </c>
      <c r="J39" s="749">
        <v>2E-3</v>
      </c>
      <c r="K39" s="749">
        <v>4.0000000000000002E-4</v>
      </c>
      <c r="L39" s="854">
        <v>0</v>
      </c>
      <c r="M39" s="747" t="s">
        <v>439</v>
      </c>
      <c r="N39" s="852">
        <v>0</v>
      </c>
      <c r="O39" s="852">
        <v>0</v>
      </c>
      <c r="P39" s="748">
        <v>5.1000000000000004E-3</v>
      </c>
      <c r="Q39" s="750">
        <v>2.5000000000000001E-3</v>
      </c>
      <c r="R39" s="759"/>
      <c r="S39" s="760"/>
      <c r="T39" s="761"/>
      <c r="U39" s="761"/>
      <c r="V39" s="762"/>
      <c r="W39" s="762"/>
      <c r="X39" s="762"/>
      <c r="Y39" s="762"/>
      <c r="Z39" s="762"/>
      <c r="AA39" s="762"/>
      <c r="AB39" s="762"/>
      <c r="AC39" s="762"/>
      <c r="AD39" s="762"/>
      <c r="AE39" s="762"/>
      <c r="AF39" s="762"/>
      <c r="AG39" s="762"/>
      <c r="AH39" s="762"/>
      <c r="AI39" s="762"/>
      <c r="AJ39" s="762"/>
      <c r="AK39" s="762"/>
      <c r="AL39" s="762"/>
      <c r="AM39" s="762"/>
      <c r="AN39" s="762"/>
      <c r="AO39" s="737"/>
      <c r="AP39" s="737"/>
      <c r="AQ39" s="737"/>
      <c r="AR39" s="737"/>
      <c r="AS39" s="737"/>
      <c r="AT39" s="737"/>
      <c r="AU39" s="737"/>
      <c r="AV39" s="737"/>
      <c r="AW39" s="737"/>
      <c r="AX39" s="737"/>
      <c r="AY39" s="737"/>
      <c r="AZ39" s="737"/>
      <c r="BA39" s="737"/>
      <c r="BB39" s="737"/>
      <c r="BC39" s="737"/>
      <c r="BD39" s="737"/>
      <c r="BE39" s="737"/>
      <c r="BF39" s="737"/>
    </row>
    <row r="40" spans="1:58" ht="15.75">
      <c r="A40" s="744">
        <v>1000</v>
      </c>
      <c r="B40" s="745" t="s">
        <v>797</v>
      </c>
      <c r="C40" s="763"/>
      <c r="D40" s="747" t="s">
        <v>439</v>
      </c>
      <c r="E40" s="747">
        <v>1.5599999999999999E-2</v>
      </c>
      <c r="F40" s="754">
        <v>3.95E-2</v>
      </c>
      <c r="G40" s="758">
        <v>0</v>
      </c>
      <c r="H40" s="749">
        <v>2.58E-2</v>
      </c>
      <c r="I40" s="749">
        <v>1.4800000000000001E-2</v>
      </c>
      <c r="J40" s="749">
        <v>2.6499999999999999E-2</v>
      </c>
      <c r="K40" s="748">
        <v>1.9E-3</v>
      </c>
      <c r="L40" s="753">
        <v>1.5E-3</v>
      </c>
      <c r="M40" s="747" t="s">
        <v>439</v>
      </c>
      <c r="N40" s="852">
        <v>0</v>
      </c>
      <c r="O40" s="852">
        <v>0</v>
      </c>
      <c r="P40" s="748">
        <v>8.0000000000000004E-4</v>
      </c>
      <c r="Q40" s="750">
        <v>1.26E-2</v>
      </c>
      <c r="R40" s="759"/>
      <c r="S40" s="760"/>
      <c r="T40" s="761"/>
      <c r="U40" s="761"/>
      <c r="V40" s="762"/>
      <c r="W40" s="762"/>
      <c r="X40" s="762"/>
      <c r="Y40" s="762"/>
      <c r="Z40" s="762"/>
      <c r="AA40" s="762"/>
      <c r="AB40" s="762"/>
      <c r="AC40" s="762"/>
      <c r="AD40" s="762"/>
      <c r="AE40" s="762"/>
      <c r="AF40" s="762"/>
      <c r="AG40" s="762"/>
      <c r="AH40" s="762"/>
      <c r="AI40" s="762"/>
      <c r="AJ40" s="762"/>
      <c r="AK40" s="762"/>
      <c r="AL40" s="762"/>
      <c r="AM40" s="762"/>
      <c r="AN40" s="762"/>
      <c r="AO40" s="737"/>
      <c r="AP40" s="737"/>
      <c r="AQ40" s="737"/>
      <c r="AR40" s="737"/>
      <c r="AS40" s="737"/>
      <c r="AT40" s="737"/>
      <c r="AU40" s="737"/>
      <c r="AV40" s="737"/>
      <c r="AW40" s="737"/>
      <c r="AX40" s="737"/>
      <c r="AY40" s="737"/>
      <c r="AZ40" s="737"/>
      <c r="BA40" s="737"/>
      <c r="BB40" s="737"/>
      <c r="BC40" s="737"/>
      <c r="BD40" s="737"/>
      <c r="BE40" s="737"/>
      <c r="BF40" s="737"/>
    </row>
    <row r="41" spans="1:58" ht="15.75">
      <c r="A41" s="744">
        <v>1100</v>
      </c>
      <c r="B41" s="745" t="s">
        <v>798</v>
      </c>
      <c r="C41" s="763"/>
      <c r="D41" s="747" t="s">
        <v>439</v>
      </c>
      <c r="E41" s="747">
        <v>2.4500000000000001E-2</v>
      </c>
      <c r="F41" s="754">
        <v>1.2999999999999999E-3</v>
      </c>
      <c r="G41" s="752">
        <v>2.18E-2</v>
      </c>
      <c r="H41" s="754">
        <v>4.8999999999999998E-3</v>
      </c>
      <c r="I41" s="754">
        <v>9.7999999999999997E-3</v>
      </c>
      <c r="J41" s="748">
        <v>5.7000000000000002E-3</v>
      </c>
      <c r="K41" s="754">
        <v>4.4999999999999997E-3</v>
      </c>
      <c r="L41" s="748">
        <v>1.7999999999999999E-2</v>
      </c>
      <c r="M41" s="747" t="s">
        <v>439</v>
      </c>
      <c r="N41" s="852">
        <v>0</v>
      </c>
      <c r="O41" s="754">
        <v>1.8E-3</v>
      </c>
      <c r="P41" s="754">
        <v>1.3100000000000001E-2</v>
      </c>
      <c r="Q41" s="750">
        <v>8.3999999999999995E-3</v>
      </c>
      <c r="R41" s="751"/>
      <c r="S41" s="736"/>
      <c r="T41" s="756"/>
      <c r="U41" s="756"/>
      <c r="V41" s="737"/>
      <c r="W41" s="737"/>
      <c r="X41" s="737"/>
      <c r="Y41" s="737"/>
      <c r="Z41" s="737"/>
      <c r="AA41" s="737"/>
      <c r="AB41" s="737"/>
      <c r="AC41" s="737"/>
      <c r="AD41" s="737"/>
      <c r="AE41" s="737"/>
      <c r="AF41" s="737"/>
      <c r="AG41" s="737"/>
      <c r="AH41" s="737"/>
      <c r="AI41" s="737"/>
      <c r="AJ41" s="737"/>
      <c r="AK41" s="737"/>
      <c r="AL41" s="737"/>
      <c r="AM41" s="737"/>
      <c r="AN41" s="737"/>
      <c r="AO41" s="737"/>
      <c r="AP41" s="737"/>
      <c r="AQ41" s="737"/>
      <c r="AR41" s="737"/>
      <c r="AS41" s="737"/>
      <c r="AT41" s="737"/>
      <c r="AU41" s="737"/>
      <c r="AV41" s="737"/>
      <c r="AW41" s="737"/>
      <c r="AX41" s="737"/>
      <c r="AY41" s="737"/>
      <c r="AZ41" s="737"/>
      <c r="BA41" s="737"/>
      <c r="BB41" s="737"/>
      <c r="BC41" s="737"/>
      <c r="BD41" s="737"/>
      <c r="BE41" s="737"/>
      <c r="BF41" s="737"/>
    </row>
    <row r="42" spans="1:58" ht="15.75">
      <c r="A42" s="744">
        <v>1200</v>
      </c>
      <c r="B42" s="745" t="s">
        <v>799</v>
      </c>
      <c r="C42" s="764"/>
      <c r="D42" s="852">
        <v>0</v>
      </c>
      <c r="E42" s="747">
        <v>0.31979999999999997</v>
      </c>
      <c r="F42" s="754">
        <v>0.15379999999999999</v>
      </c>
      <c r="G42" s="752">
        <v>7.2999999999999995E-2</v>
      </c>
      <c r="H42" s="754">
        <v>3.95E-2</v>
      </c>
      <c r="I42" s="754">
        <v>3.1199999999999999E-2</v>
      </c>
      <c r="J42" s="754">
        <v>1.47E-2</v>
      </c>
      <c r="K42" s="754">
        <v>7.5399999999999995E-2</v>
      </c>
      <c r="L42" s="754">
        <v>0.43240000000000001</v>
      </c>
      <c r="M42" s="754">
        <v>0.62749999999999995</v>
      </c>
      <c r="N42" s="853">
        <v>0</v>
      </c>
      <c r="O42" s="748">
        <v>1.18E-2</v>
      </c>
      <c r="P42" s="754">
        <v>0.28549999999999998</v>
      </c>
      <c r="Q42" s="1184">
        <v>0.1066</v>
      </c>
      <c r="R42" s="751"/>
      <c r="S42" s="736"/>
      <c r="T42" s="756"/>
      <c r="U42" s="756"/>
      <c r="V42" s="737"/>
      <c r="W42" s="737"/>
      <c r="X42" s="737"/>
      <c r="Y42" s="737"/>
      <c r="Z42" s="737"/>
      <c r="AA42" s="737"/>
      <c r="AB42" s="737"/>
      <c r="AC42" s="737"/>
      <c r="AD42" s="737"/>
      <c r="AE42" s="737"/>
      <c r="AF42" s="737"/>
      <c r="AG42" s="737"/>
      <c r="AH42" s="737"/>
      <c r="AI42" s="737"/>
      <c r="AJ42" s="737"/>
      <c r="AK42" s="737"/>
      <c r="AL42" s="737"/>
      <c r="AM42" s="737"/>
      <c r="AN42" s="737"/>
      <c r="AO42" s="737"/>
      <c r="AP42" s="737"/>
      <c r="AQ42" s="737"/>
      <c r="AR42" s="737"/>
      <c r="AS42" s="737"/>
      <c r="AT42" s="737"/>
      <c r="AU42" s="737"/>
      <c r="AV42" s="737"/>
      <c r="AW42" s="737"/>
      <c r="AX42" s="737"/>
      <c r="AY42" s="737"/>
      <c r="AZ42" s="737"/>
      <c r="BA42" s="737"/>
      <c r="BB42" s="737"/>
      <c r="BC42" s="737"/>
      <c r="BD42" s="737"/>
      <c r="BE42" s="737"/>
      <c r="BF42" s="737"/>
    </row>
    <row r="43" spans="1:58" ht="15.75">
      <c r="A43" s="744">
        <v>1300</v>
      </c>
      <c r="B43" s="745" t="s">
        <v>800</v>
      </c>
      <c r="C43" s="746"/>
      <c r="D43" s="747" t="s">
        <v>439</v>
      </c>
      <c r="E43" s="747">
        <v>5.79E-2</v>
      </c>
      <c r="F43" s="754">
        <v>2.1499999999999998E-2</v>
      </c>
      <c r="G43" s="752">
        <v>8.6999999999999994E-3</v>
      </c>
      <c r="H43" s="754">
        <v>1.77E-2</v>
      </c>
      <c r="I43" s="754">
        <v>2.23E-2</v>
      </c>
      <c r="J43" s="754">
        <v>8.8999999999999999E-3</v>
      </c>
      <c r="K43" s="754">
        <v>7.6600000000000001E-2</v>
      </c>
      <c r="L43" s="754">
        <v>0.1085</v>
      </c>
      <c r="M43" s="754">
        <v>0.2616</v>
      </c>
      <c r="N43" s="853">
        <v>0</v>
      </c>
      <c r="O43" s="852">
        <v>0</v>
      </c>
      <c r="P43" s="853">
        <v>0</v>
      </c>
      <c r="Q43" s="750">
        <v>3.8899999999999997E-2</v>
      </c>
      <c r="R43" s="751"/>
      <c r="S43" s="736"/>
      <c r="T43" s="756"/>
      <c r="U43" s="756"/>
      <c r="V43" s="737"/>
      <c r="W43" s="737"/>
      <c r="X43" s="737"/>
      <c r="Y43" s="737"/>
      <c r="Z43" s="737"/>
      <c r="AA43" s="737"/>
      <c r="AB43" s="737"/>
      <c r="AC43" s="737"/>
      <c r="AD43" s="737"/>
      <c r="AE43" s="737"/>
      <c r="AF43" s="737"/>
      <c r="AG43" s="737"/>
      <c r="AH43" s="737"/>
      <c r="AI43" s="737"/>
      <c r="AJ43" s="737"/>
      <c r="AK43" s="737"/>
      <c r="AL43" s="737"/>
      <c r="AM43" s="737"/>
      <c r="AN43" s="737"/>
      <c r="AO43" s="737"/>
      <c r="AP43" s="737"/>
      <c r="AQ43" s="737"/>
      <c r="AR43" s="737"/>
      <c r="AS43" s="737"/>
      <c r="AT43" s="737"/>
      <c r="AU43" s="737"/>
      <c r="AV43" s="737"/>
      <c r="AW43" s="737"/>
      <c r="AX43" s="737"/>
      <c r="AY43" s="737"/>
      <c r="AZ43" s="737"/>
      <c r="BA43" s="737"/>
      <c r="BB43" s="737"/>
      <c r="BC43" s="737"/>
      <c r="BD43" s="737"/>
      <c r="BE43" s="737"/>
      <c r="BF43" s="737"/>
    </row>
    <row r="44" spans="1:58" ht="15.75">
      <c r="A44" s="744">
        <v>1400</v>
      </c>
      <c r="B44" s="745" t="s">
        <v>801</v>
      </c>
      <c r="C44" s="746"/>
      <c r="D44" s="747" t="s">
        <v>439</v>
      </c>
      <c r="E44" s="747">
        <v>3.5999999999999999E-3</v>
      </c>
      <c r="F44" s="853">
        <v>0</v>
      </c>
      <c r="G44" s="752">
        <v>8.9999999999999998E-4</v>
      </c>
      <c r="H44" s="749">
        <v>1E-4</v>
      </c>
      <c r="I44" s="749">
        <v>0.17849999999999999</v>
      </c>
      <c r="J44" s="749">
        <v>4.0000000000000002E-4</v>
      </c>
      <c r="K44" s="749">
        <v>1.4E-3</v>
      </c>
      <c r="L44" s="893">
        <v>0</v>
      </c>
      <c r="M44" s="747" t="s">
        <v>439</v>
      </c>
      <c r="N44" s="852">
        <v>0</v>
      </c>
      <c r="O44" s="748">
        <v>4.0000000000000002E-4</v>
      </c>
      <c r="P44" s="754">
        <v>2E-3</v>
      </c>
      <c r="Q44" s="750">
        <v>2.93E-2</v>
      </c>
      <c r="R44" s="751"/>
      <c r="S44" s="736"/>
      <c r="T44" s="756"/>
      <c r="U44" s="756"/>
      <c r="V44" s="737"/>
      <c r="W44" s="737"/>
      <c r="X44" s="737"/>
      <c r="Y44" s="737"/>
      <c r="Z44" s="737"/>
      <c r="AA44" s="737"/>
      <c r="AB44" s="737"/>
      <c r="AC44" s="737"/>
      <c r="AD44" s="737"/>
      <c r="AE44" s="737"/>
      <c r="AF44" s="737"/>
      <c r="AG44" s="737"/>
      <c r="AH44" s="737"/>
      <c r="AI44" s="737"/>
      <c r="AJ44" s="737"/>
      <c r="AK44" s="737"/>
      <c r="AL44" s="737"/>
      <c r="AM44" s="737"/>
      <c r="AN44" s="737"/>
      <c r="AO44" s="737"/>
      <c r="AP44" s="737"/>
      <c r="AQ44" s="737"/>
      <c r="AR44" s="737"/>
      <c r="AS44" s="737"/>
      <c r="AT44" s="737"/>
      <c r="AU44" s="737"/>
      <c r="AV44" s="737"/>
      <c r="AW44" s="737"/>
      <c r="AX44" s="737"/>
      <c r="AY44" s="737"/>
      <c r="AZ44" s="737"/>
      <c r="BA44" s="737"/>
      <c r="BB44" s="737"/>
      <c r="BC44" s="737"/>
      <c r="BD44" s="737"/>
      <c r="BE44" s="737"/>
      <c r="BF44" s="737"/>
    </row>
    <row r="45" spans="1:58" ht="15.75">
      <c r="A45" s="744">
        <v>1500</v>
      </c>
      <c r="B45" s="745" t="s">
        <v>802</v>
      </c>
      <c r="C45" s="746"/>
      <c r="D45" s="747" t="s">
        <v>439</v>
      </c>
      <c r="E45" s="747">
        <v>2.8999999999999998E-3</v>
      </c>
      <c r="F45" s="754">
        <v>1.3100000000000001E-2</v>
      </c>
      <c r="G45" s="752">
        <v>1.6199999999999999E-2</v>
      </c>
      <c r="H45" s="754">
        <v>4.2799999999999998E-2</v>
      </c>
      <c r="I45" s="754">
        <v>3.1099999999999999E-2</v>
      </c>
      <c r="J45" s="754">
        <v>7.1800000000000003E-2</v>
      </c>
      <c r="K45" s="754">
        <v>8.2500000000000004E-2</v>
      </c>
      <c r="L45" s="754">
        <v>4.0000000000000002E-4</v>
      </c>
      <c r="M45" s="747" t="s">
        <v>439</v>
      </c>
      <c r="N45" s="852">
        <v>0</v>
      </c>
      <c r="O45" s="754">
        <v>6.1999999999999998E-3</v>
      </c>
      <c r="P45" s="853">
        <v>0</v>
      </c>
      <c r="Q45" s="750">
        <v>4.1000000000000002E-2</v>
      </c>
      <c r="R45" s="751"/>
      <c r="S45" s="736"/>
      <c r="T45" s="756"/>
      <c r="U45" s="756"/>
      <c r="V45" s="737"/>
      <c r="W45" s="737"/>
      <c r="X45" s="737"/>
      <c r="Y45" s="737"/>
      <c r="Z45" s="737"/>
      <c r="AA45" s="737"/>
      <c r="AB45" s="737"/>
      <c r="AC45" s="737"/>
      <c r="AD45" s="737"/>
      <c r="AE45" s="737"/>
      <c r="AF45" s="737"/>
      <c r="AG45" s="737"/>
      <c r="AH45" s="737"/>
      <c r="AI45" s="737"/>
      <c r="AJ45" s="737"/>
      <c r="AK45" s="737"/>
      <c r="AL45" s="737"/>
      <c r="AM45" s="737"/>
      <c r="AN45" s="737"/>
      <c r="AO45" s="737"/>
      <c r="AP45" s="737"/>
      <c r="AQ45" s="737"/>
      <c r="AR45" s="737"/>
      <c r="AS45" s="737"/>
      <c r="AT45" s="737"/>
      <c r="AU45" s="737"/>
      <c r="AV45" s="737"/>
      <c r="AW45" s="737"/>
      <c r="AX45" s="737"/>
      <c r="AY45" s="737"/>
      <c r="AZ45" s="737"/>
      <c r="BA45" s="737"/>
      <c r="BB45" s="737"/>
      <c r="BC45" s="737"/>
      <c r="BD45" s="737"/>
      <c r="BE45" s="737"/>
      <c r="BF45" s="737"/>
    </row>
    <row r="46" spans="1:58" ht="15.75">
      <c r="A46" s="744">
        <v>1510</v>
      </c>
      <c r="B46" s="745" t="s">
        <v>803</v>
      </c>
      <c r="C46" s="755"/>
      <c r="D46" s="747" t="s">
        <v>439</v>
      </c>
      <c r="E46" s="747">
        <v>8.3000000000000001E-3</v>
      </c>
      <c r="F46" s="754">
        <v>8.2000000000000007E-3</v>
      </c>
      <c r="G46" s="752">
        <v>1E-3</v>
      </c>
      <c r="H46" s="754">
        <v>4.1500000000000002E-2</v>
      </c>
      <c r="I46" s="754">
        <v>0.1142</v>
      </c>
      <c r="J46" s="754">
        <v>6.8999999999999999E-3</v>
      </c>
      <c r="K46" s="754">
        <v>8.8999999999999999E-3</v>
      </c>
      <c r="L46" s="748">
        <v>2.8999999999999998E-3</v>
      </c>
      <c r="M46" s="747" t="s">
        <v>439</v>
      </c>
      <c r="N46" s="852">
        <v>0</v>
      </c>
      <c r="O46" s="748">
        <v>5.0000000000000001E-4</v>
      </c>
      <c r="P46" s="754">
        <v>3.0000000000000001E-3</v>
      </c>
      <c r="Q46" s="750">
        <v>2.5999999999999999E-2</v>
      </c>
      <c r="R46" s="751"/>
      <c r="S46" s="736"/>
      <c r="T46" s="756"/>
      <c r="U46" s="756"/>
      <c r="V46" s="737"/>
      <c r="W46" s="737"/>
      <c r="X46" s="737"/>
      <c r="Y46" s="737"/>
      <c r="Z46" s="737"/>
      <c r="AA46" s="737"/>
      <c r="AB46" s="737"/>
      <c r="AC46" s="737"/>
      <c r="AD46" s="737"/>
      <c r="AE46" s="737"/>
      <c r="AF46" s="737"/>
      <c r="AG46" s="737"/>
      <c r="AH46" s="737"/>
      <c r="AI46" s="737"/>
      <c r="AJ46" s="737"/>
      <c r="AK46" s="737"/>
      <c r="AL46" s="737"/>
      <c r="AM46" s="737"/>
      <c r="AN46" s="737"/>
      <c r="AO46" s="737"/>
      <c r="AP46" s="737"/>
      <c r="AQ46" s="737"/>
      <c r="AR46" s="737"/>
      <c r="AS46" s="737"/>
      <c r="AT46" s="737"/>
      <c r="AU46" s="737"/>
      <c r="AV46" s="737"/>
      <c r="AW46" s="737"/>
      <c r="AX46" s="737"/>
      <c r="AY46" s="737"/>
      <c r="AZ46" s="737"/>
      <c r="BA46" s="737"/>
      <c r="BB46" s="737"/>
      <c r="BC46" s="737"/>
      <c r="BD46" s="737"/>
      <c r="BE46" s="737"/>
      <c r="BF46" s="737"/>
    </row>
    <row r="47" spans="1:58" ht="15.75">
      <c r="A47" s="744">
        <v>1520</v>
      </c>
      <c r="B47" s="745" t="s">
        <v>804</v>
      </c>
      <c r="C47" s="755"/>
      <c r="D47" s="747" t="s">
        <v>439</v>
      </c>
      <c r="E47" s="747">
        <v>6.1000000000000004E-3</v>
      </c>
      <c r="F47" s="754">
        <v>4.7999999999999996E-3</v>
      </c>
      <c r="G47" s="752">
        <v>2.0000000000000001E-4</v>
      </c>
      <c r="H47" s="749">
        <v>5.9999999999999995E-4</v>
      </c>
      <c r="I47" s="749">
        <v>2.5000000000000001E-3</v>
      </c>
      <c r="J47" s="749">
        <v>1.1999999999999999E-3</v>
      </c>
      <c r="K47" s="749">
        <v>8.0000000000000004E-4</v>
      </c>
      <c r="L47" s="747" t="s">
        <v>439</v>
      </c>
      <c r="M47" s="747" t="s">
        <v>439</v>
      </c>
      <c r="N47" s="852">
        <v>0</v>
      </c>
      <c r="O47" s="747" t="s">
        <v>439</v>
      </c>
      <c r="P47" s="754">
        <v>6.9999999999999999E-4</v>
      </c>
      <c r="Q47" s="750">
        <v>1.2999999999999999E-3</v>
      </c>
      <c r="R47" s="751"/>
      <c r="S47" s="736"/>
      <c r="T47" s="756"/>
      <c r="U47" s="756"/>
      <c r="V47" s="737"/>
      <c r="W47" s="737"/>
      <c r="X47" s="737"/>
      <c r="Y47" s="737"/>
      <c r="Z47" s="737"/>
      <c r="AA47" s="737"/>
      <c r="AB47" s="737"/>
      <c r="AC47" s="737"/>
      <c r="AD47" s="737"/>
      <c r="AE47" s="737"/>
      <c r="AF47" s="737"/>
      <c r="AG47" s="737"/>
      <c r="AH47" s="737"/>
      <c r="AI47" s="737"/>
      <c r="AJ47" s="737"/>
      <c r="AK47" s="737"/>
      <c r="AL47" s="737"/>
      <c r="AM47" s="737"/>
      <c r="AN47" s="737"/>
      <c r="AO47" s="737"/>
      <c r="AP47" s="737"/>
      <c r="AQ47" s="737"/>
      <c r="AR47" s="737"/>
      <c r="AS47" s="737"/>
      <c r="AT47" s="737"/>
      <c r="AU47" s="737"/>
      <c r="AV47" s="737"/>
      <c r="AW47" s="737"/>
      <c r="AX47" s="737"/>
      <c r="AY47" s="737"/>
      <c r="AZ47" s="737"/>
      <c r="BA47" s="737"/>
      <c r="BB47" s="737"/>
      <c r="BC47" s="737"/>
      <c r="BD47" s="737"/>
      <c r="BE47" s="737"/>
      <c r="BF47" s="737"/>
    </row>
    <row r="48" spans="1:58" ht="15.75">
      <c r="A48" s="744">
        <v>1530</v>
      </c>
      <c r="B48" s="745" t="s">
        <v>805</v>
      </c>
      <c r="C48" s="755"/>
      <c r="D48" s="747" t="s">
        <v>439</v>
      </c>
      <c r="E48" s="747">
        <v>2.8999999999999998E-3</v>
      </c>
      <c r="F48" s="754">
        <v>1.2999999999999999E-3</v>
      </c>
      <c r="G48" s="758">
        <v>0</v>
      </c>
      <c r="H48" s="749">
        <v>8.2000000000000007E-3</v>
      </c>
      <c r="I48" s="749">
        <v>5.7999999999999996E-3</v>
      </c>
      <c r="J48" s="749">
        <v>8.0000000000000002E-3</v>
      </c>
      <c r="K48" s="749">
        <v>8.8000000000000005E-3</v>
      </c>
      <c r="L48" s="748">
        <v>3.0999999999999999E-3</v>
      </c>
      <c r="M48" s="747" t="s">
        <v>439</v>
      </c>
      <c r="N48" s="852">
        <v>0</v>
      </c>
      <c r="O48" s="749">
        <v>9.4000000000000004E-3</v>
      </c>
      <c r="P48" s="754">
        <v>7.5399999999999995E-2</v>
      </c>
      <c r="Q48" s="750">
        <v>9.5999999999999992E-3</v>
      </c>
      <c r="R48" s="751"/>
      <c r="S48" s="736"/>
      <c r="T48" s="756"/>
      <c r="U48" s="756"/>
      <c r="V48" s="737"/>
      <c r="W48" s="737"/>
      <c r="X48" s="737"/>
      <c r="Y48" s="737"/>
      <c r="Z48" s="737"/>
      <c r="AA48" s="737"/>
      <c r="AB48" s="737"/>
      <c r="AC48" s="737"/>
      <c r="AD48" s="737"/>
      <c r="AE48" s="737"/>
      <c r="AF48" s="737"/>
      <c r="AG48" s="737"/>
      <c r="AH48" s="737"/>
      <c r="AI48" s="737"/>
      <c r="AJ48" s="737"/>
      <c r="AK48" s="737"/>
      <c r="AL48" s="737"/>
      <c r="AM48" s="737"/>
      <c r="AN48" s="737"/>
      <c r="AO48" s="737"/>
      <c r="AP48" s="737"/>
      <c r="AQ48" s="737"/>
      <c r="AR48" s="737"/>
      <c r="AS48" s="737"/>
      <c r="AT48" s="737"/>
      <c r="AU48" s="737"/>
      <c r="AV48" s="737"/>
      <c r="AW48" s="737"/>
      <c r="AX48" s="737"/>
      <c r="AY48" s="737"/>
      <c r="AZ48" s="737"/>
      <c r="BA48" s="737"/>
      <c r="BB48" s="737"/>
      <c r="BC48" s="737"/>
      <c r="BD48" s="737"/>
      <c r="BE48" s="737"/>
      <c r="BF48" s="737"/>
    </row>
    <row r="49" spans="1:58" ht="15.75">
      <c r="A49" s="744">
        <v>1540</v>
      </c>
      <c r="B49" s="745" t="s">
        <v>806</v>
      </c>
      <c r="C49" s="755"/>
      <c r="D49" s="747" t="s">
        <v>439</v>
      </c>
      <c r="E49" s="747">
        <v>4.4999999999999997E-3</v>
      </c>
      <c r="F49" s="754">
        <v>1.5699999999999999E-2</v>
      </c>
      <c r="G49" s="752">
        <v>3.8E-3</v>
      </c>
      <c r="H49" s="754">
        <v>6.3E-3</v>
      </c>
      <c r="I49" s="754">
        <v>2.0999999999999999E-3</v>
      </c>
      <c r="J49" s="754">
        <v>1.8E-3</v>
      </c>
      <c r="K49" s="754">
        <v>2.9999999999999997E-4</v>
      </c>
      <c r="L49" s="852">
        <v>0</v>
      </c>
      <c r="M49" s="747" t="s">
        <v>439</v>
      </c>
      <c r="N49" s="852">
        <v>0</v>
      </c>
      <c r="O49" s="747" t="s">
        <v>439</v>
      </c>
      <c r="P49" s="754">
        <v>1.11E-2</v>
      </c>
      <c r="Q49" s="750">
        <v>2.8999999999999998E-3</v>
      </c>
      <c r="R49" s="751"/>
      <c r="S49" s="736"/>
      <c r="T49" s="737"/>
      <c r="U49" s="737"/>
      <c r="V49" s="737"/>
      <c r="W49" s="737"/>
      <c r="X49" s="737"/>
      <c r="Y49" s="737"/>
      <c r="Z49" s="737"/>
      <c r="AA49" s="737"/>
      <c r="AB49" s="737"/>
      <c r="AC49" s="737"/>
      <c r="AD49" s="737"/>
      <c r="AE49" s="737"/>
      <c r="AF49" s="737"/>
      <c r="AG49" s="737"/>
      <c r="AH49" s="737"/>
      <c r="AI49" s="737"/>
      <c r="AJ49" s="737"/>
      <c r="AK49" s="737"/>
      <c r="AL49" s="737"/>
      <c r="AM49" s="737"/>
      <c r="AN49" s="737"/>
      <c r="AO49" s="737"/>
      <c r="AP49" s="737"/>
      <c r="AQ49" s="737"/>
      <c r="AR49" s="737"/>
      <c r="AS49" s="737"/>
      <c r="AT49" s="737"/>
      <c r="AU49" s="737"/>
      <c r="AV49" s="737"/>
      <c r="AW49" s="737"/>
      <c r="AX49" s="737"/>
      <c r="AY49" s="737"/>
      <c r="AZ49" s="737"/>
      <c r="BA49" s="737"/>
      <c r="BB49" s="737"/>
      <c r="BC49" s="737"/>
      <c r="BD49" s="737"/>
      <c r="BE49" s="737"/>
      <c r="BF49" s="737"/>
    </row>
    <row r="50" spans="1:58" ht="15.75">
      <c r="A50" s="744">
        <v>1550</v>
      </c>
      <c r="B50" s="745" t="s">
        <v>807</v>
      </c>
      <c r="C50" s="755"/>
      <c r="D50" s="747">
        <v>2.7199999999999998E-2</v>
      </c>
      <c r="E50" s="747">
        <v>2.3199999999999998E-2</v>
      </c>
      <c r="F50" s="754">
        <v>9.8599999999999993E-2</v>
      </c>
      <c r="G50" s="752">
        <v>0.02</v>
      </c>
      <c r="H50" s="754">
        <v>1.6899999999999998E-2</v>
      </c>
      <c r="I50" s="754">
        <v>3.0300000000000001E-2</v>
      </c>
      <c r="J50" s="754">
        <v>2.7900000000000001E-2</v>
      </c>
      <c r="K50" s="754">
        <v>1.4E-3</v>
      </c>
      <c r="L50" s="748">
        <v>3.3E-3</v>
      </c>
      <c r="M50" s="747" t="s">
        <v>439</v>
      </c>
      <c r="N50" s="852">
        <v>0</v>
      </c>
      <c r="O50" s="749">
        <v>2.2200000000000001E-2</v>
      </c>
      <c r="P50" s="754">
        <v>9.9000000000000008E-3</v>
      </c>
      <c r="Q50" s="750">
        <v>2.0899999999999998E-2</v>
      </c>
      <c r="R50" s="751"/>
      <c r="S50" s="736"/>
      <c r="T50" s="737"/>
      <c r="U50" s="737"/>
      <c r="V50" s="737"/>
      <c r="W50" s="737"/>
      <c r="X50" s="737"/>
      <c r="Y50" s="737"/>
      <c r="Z50" s="737"/>
      <c r="AA50" s="737"/>
      <c r="AB50" s="737"/>
      <c r="AC50" s="737"/>
      <c r="AD50" s="737"/>
      <c r="AE50" s="737"/>
      <c r="AF50" s="737"/>
      <c r="AG50" s="737"/>
      <c r="AH50" s="737"/>
      <c r="AI50" s="737"/>
      <c r="AJ50" s="737"/>
      <c r="AK50" s="737"/>
      <c r="AL50" s="737"/>
      <c r="AM50" s="737"/>
      <c r="AN50" s="737"/>
      <c r="AO50" s="737"/>
      <c r="AP50" s="737"/>
      <c r="AQ50" s="737"/>
      <c r="AR50" s="737"/>
      <c r="AS50" s="737"/>
      <c r="AT50" s="737"/>
      <c r="AU50" s="737"/>
      <c r="AV50" s="737"/>
      <c r="AW50" s="737"/>
      <c r="AX50" s="737"/>
      <c r="AY50" s="737"/>
      <c r="AZ50" s="737"/>
      <c r="BA50" s="737"/>
      <c r="BB50" s="737"/>
      <c r="BC50" s="737"/>
      <c r="BD50" s="737"/>
      <c r="BE50" s="737"/>
      <c r="BF50" s="737"/>
    </row>
    <row r="51" spans="1:58" ht="16.5" thickBot="1">
      <c r="A51" s="765">
        <v>1560</v>
      </c>
      <c r="B51" s="766" t="s">
        <v>808</v>
      </c>
      <c r="C51" s="767"/>
      <c r="D51" s="768">
        <v>0.63080000000000003</v>
      </c>
      <c r="E51" s="768">
        <v>0.121</v>
      </c>
      <c r="F51" s="770">
        <v>6.54E-2</v>
      </c>
      <c r="G51" s="769">
        <v>0.28199999999999997</v>
      </c>
      <c r="H51" s="770">
        <v>7.6300000000000007E-2</v>
      </c>
      <c r="I51" s="770">
        <v>4.0599999999999997E-2</v>
      </c>
      <c r="J51" s="770">
        <v>8.7599999999999997E-2</v>
      </c>
      <c r="K51" s="770">
        <v>5.7599999999999998E-2</v>
      </c>
      <c r="L51" s="770">
        <v>7.85E-2</v>
      </c>
      <c r="M51" s="770">
        <v>0.1109</v>
      </c>
      <c r="N51" s="1040">
        <v>0</v>
      </c>
      <c r="O51" s="768" t="s">
        <v>439</v>
      </c>
      <c r="P51" s="770">
        <v>0.15310000000000001</v>
      </c>
      <c r="Q51" s="771">
        <v>8.7499999999999994E-2</v>
      </c>
      <c r="R51" s="751"/>
      <c r="S51" s="736"/>
      <c r="T51" s="737"/>
      <c r="U51" s="737"/>
      <c r="V51" s="737"/>
      <c r="W51" s="737"/>
      <c r="X51" s="737"/>
      <c r="Y51" s="737"/>
      <c r="Z51" s="737"/>
      <c r="AA51" s="737"/>
      <c r="AB51" s="737"/>
      <c r="AC51" s="737"/>
      <c r="AD51" s="737"/>
      <c r="AE51" s="737"/>
      <c r="AF51" s="737"/>
      <c r="AG51" s="737"/>
      <c r="AH51" s="737"/>
      <c r="AI51" s="737"/>
      <c r="AJ51" s="737"/>
      <c r="AK51" s="737"/>
      <c r="AL51" s="737"/>
      <c r="AM51" s="737"/>
      <c r="AN51" s="737"/>
      <c r="AO51" s="737"/>
      <c r="AP51" s="737"/>
      <c r="AQ51" s="737"/>
      <c r="AR51" s="737"/>
      <c r="AS51" s="737"/>
      <c r="AT51" s="737"/>
      <c r="AU51" s="737"/>
      <c r="AV51" s="737"/>
      <c r="AW51" s="737"/>
      <c r="AX51" s="737"/>
      <c r="AY51" s="737"/>
      <c r="AZ51" s="737"/>
      <c r="BA51" s="737"/>
      <c r="BB51" s="737"/>
      <c r="BC51" s="737"/>
      <c r="BD51" s="737"/>
      <c r="BE51" s="737"/>
      <c r="BF51" s="737"/>
    </row>
    <row r="52" spans="1:58" ht="15.75">
      <c r="A52" s="772"/>
      <c r="B52" s="773" t="s">
        <v>0</v>
      </c>
      <c r="C52" s="773" t="s">
        <v>311</v>
      </c>
      <c r="D52" s="775">
        <f t="shared" ref="D52:Q52" si="0">SUM(D22:D51)</f>
        <v>1</v>
      </c>
      <c r="E52" s="775">
        <f t="shared" si="0"/>
        <v>1</v>
      </c>
      <c r="F52" s="776">
        <f t="shared" si="0"/>
        <v>0.99999999999999989</v>
      </c>
      <c r="G52" s="776">
        <f t="shared" si="0"/>
        <v>1</v>
      </c>
      <c r="H52" s="776">
        <f t="shared" si="0"/>
        <v>1</v>
      </c>
      <c r="I52" s="776">
        <f t="shared" si="0"/>
        <v>1</v>
      </c>
      <c r="J52" s="776">
        <f t="shared" si="0"/>
        <v>1</v>
      </c>
      <c r="K52" s="776">
        <f t="shared" si="0"/>
        <v>0.99999999999999989</v>
      </c>
      <c r="L52" s="776">
        <f t="shared" si="0"/>
        <v>1</v>
      </c>
      <c r="M52" s="776">
        <f t="shared" si="0"/>
        <v>1</v>
      </c>
      <c r="N52" s="776">
        <f t="shared" si="0"/>
        <v>0</v>
      </c>
      <c r="O52" s="776">
        <f t="shared" si="0"/>
        <v>1</v>
      </c>
      <c r="P52" s="776">
        <f t="shared" si="0"/>
        <v>1</v>
      </c>
      <c r="Q52" s="776">
        <f t="shared" si="0"/>
        <v>1</v>
      </c>
      <c r="R52" s="751"/>
      <c r="S52" s="736"/>
      <c r="T52" s="737"/>
      <c r="U52" s="737"/>
      <c r="V52" s="737"/>
      <c r="W52" s="737"/>
      <c r="X52" s="737"/>
      <c r="Y52" s="737"/>
      <c r="Z52" s="737"/>
      <c r="AA52" s="737"/>
      <c r="AB52" s="737"/>
      <c r="AC52" s="737"/>
      <c r="AD52" s="737"/>
      <c r="AE52" s="737"/>
      <c r="AF52" s="737"/>
      <c r="AG52" s="737"/>
      <c r="AH52" s="737"/>
      <c r="AI52" s="737"/>
      <c r="AJ52" s="737"/>
      <c r="AK52" s="737"/>
      <c r="AL52" s="737"/>
      <c r="AM52" s="737"/>
      <c r="AN52" s="737"/>
      <c r="AO52" s="737"/>
      <c r="AP52" s="737"/>
      <c r="AQ52" s="737"/>
      <c r="AR52" s="737"/>
      <c r="AS52" s="737"/>
      <c r="AT52" s="737"/>
      <c r="AU52" s="737"/>
      <c r="AV52" s="737"/>
      <c r="AW52" s="737"/>
      <c r="AX52" s="737"/>
      <c r="AY52" s="737"/>
      <c r="AZ52" s="737"/>
      <c r="BA52" s="737"/>
      <c r="BB52" s="737"/>
      <c r="BC52" s="737"/>
      <c r="BD52" s="737"/>
      <c r="BE52" s="737"/>
      <c r="BF52" s="737"/>
    </row>
    <row r="53" spans="1:58" ht="15">
      <c r="A53" s="777"/>
      <c r="B53" s="777"/>
      <c r="C53" s="778"/>
      <c r="D53" s="777"/>
      <c r="E53" s="777"/>
      <c r="F53" s="779"/>
      <c r="G53" s="779"/>
      <c r="H53" s="779"/>
      <c r="I53" s="779"/>
      <c r="J53" s="779"/>
      <c r="K53" s="779"/>
      <c r="L53" s="779"/>
      <c r="M53" s="779"/>
      <c r="N53" s="779"/>
      <c r="O53" s="779"/>
      <c r="P53" s="779"/>
      <c r="Q53" s="779"/>
      <c r="R53" s="751"/>
      <c r="S53" s="736"/>
      <c r="T53" s="737"/>
      <c r="U53" s="737"/>
      <c r="V53" s="737"/>
      <c r="W53" s="737"/>
      <c r="X53" s="737"/>
      <c r="Y53" s="737"/>
      <c r="Z53" s="737"/>
      <c r="AA53" s="737"/>
      <c r="AB53" s="737"/>
      <c r="AC53" s="737"/>
      <c r="AD53" s="737"/>
      <c r="AE53" s="737"/>
      <c r="AF53" s="737"/>
      <c r="AG53" s="737"/>
      <c r="AH53" s="737"/>
      <c r="AI53" s="737"/>
      <c r="AJ53" s="737"/>
      <c r="AK53" s="737"/>
      <c r="AL53" s="737"/>
      <c r="AM53" s="737"/>
      <c r="AN53" s="737"/>
      <c r="AO53" s="737"/>
      <c r="AP53" s="737"/>
      <c r="AQ53" s="737"/>
      <c r="AR53" s="737"/>
      <c r="AS53" s="737"/>
      <c r="AT53" s="737"/>
      <c r="AU53" s="737"/>
      <c r="AV53" s="737"/>
      <c r="AW53" s="737"/>
      <c r="AX53" s="737"/>
      <c r="AY53" s="737"/>
      <c r="AZ53" s="737"/>
      <c r="BA53" s="737"/>
      <c r="BB53" s="737"/>
      <c r="BC53" s="737"/>
      <c r="BD53" s="737"/>
      <c r="BE53" s="737"/>
      <c r="BF53" s="737"/>
    </row>
    <row r="54" spans="1:58" ht="15">
      <c r="A54" s="777"/>
      <c r="B54" s="777"/>
      <c r="C54" s="778"/>
      <c r="D54" s="777"/>
      <c r="E54" s="777"/>
      <c r="F54" s="779"/>
      <c r="G54" s="779"/>
      <c r="H54" s="779"/>
      <c r="I54" s="779"/>
      <c r="J54" s="779"/>
      <c r="K54" s="779"/>
      <c r="L54" s="779"/>
      <c r="M54" s="779"/>
      <c r="N54" s="779"/>
      <c r="O54" s="779"/>
      <c r="P54" s="779"/>
      <c r="Q54" s="779"/>
      <c r="R54" s="779"/>
      <c r="S54" s="777"/>
    </row>
    <row r="55" spans="1:58" ht="16.5" thickBot="1">
      <c r="A55" s="777"/>
      <c r="B55" s="780" t="s">
        <v>809</v>
      </c>
      <c r="C55" s="781"/>
      <c r="D55" s="766"/>
      <c r="E55" s="766"/>
      <c r="F55" s="782"/>
      <c r="G55" s="782"/>
      <c r="H55" s="782"/>
      <c r="I55" s="782"/>
      <c r="J55" s="782"/>
      <c r="K55" s="782"/>
      <c r="L55" s="782"/>
      <c r="M55" s="782"/>
      <c r="N55" s="782"/>
      <c r="O55" s="782"/>
      <c r="P55" s="782"/>
      <c r="Q55" s="782"/>
      <c r="R55" s="779"/>
      <c r="S55" s="777"/>
    </row>
    <row r="56" spans="1:58" ht="15.75">
      <c r="A56" s="777"/>
      <c r="B56" s="777" t="s">
        <v>810</v>
      </c>
      <c r="C56" s="783"/>
      <c r="D56" s="774" t="s">
        <v>439</v>
      </c>
      <c r="E56" s="774">
        <v>7.5399999999999995E-2</v>
      </c>
      <c r="F56" s="784">
        <v>1.54E-2</v>
      </c>
      <c r="G56" s="784">
        <v>3.2599999999999997E-2</v>
      </c>
      <c r="H56" s="784">
        <v>0.13020000000000001</v>
      </c>
      <c r="I56" s="784">
        <v>6.3799999999999996E-2</v>
      </c>
      <c r="J56" s="784">
        <v>2.2499999999999999E-2</v>
      </c>
      <c r="K56" s="784">
        <v>4.3200000000000002E-2</v>
      </c>
      <c r="L56" s="855">
        <v>0</v>
      </c>
      <c r="M56" s="774" t="s">
        <v>439</v>
      </c>
      <c r="N56" s="892">
        <v>0</v>
      </c>
      <c r="O56" s="892" t="s">
        <v>439</v>
      </c>
      <c r="P56" s="784">
        <v>0.1731</v>
      </c>
      <c r="Q56" s="785">
        <v>4.8399999999999999E-2</v>
      </c>
      <c r="R56" s="779"/>
      <c r="S56" s="777"/>
    </row>
    <row r="57" spans="1:58" ht="15.75">
      <c r="A57" s="777"/>
      <c r="B57" s="777" t="s">
        <v>811</v>
      </c>
      <c r="C57" s="772"/>
      <c r="D57" s="774" t="s">
        <v>439</v>
      </c>
      <c r="E57" s="1204">
        <v>3.0999999999999999E-3</v>
      </c>
      <c r="F57" s="774" t="s">
        <v>439</v>
      </c>
      <c r="G57" s="794">
        <v>3.2099999999999997E-2</v>
      </c>
      <c r="H57" s="786">
        <v>3.7000000000000002E-3</v>
      </c>
      <c r="I57" s="855">
        <v>0</v>
      </c>
      <c r="J57" s="786">
        <v>6.9999999999999999E-4</v>
      </c>
      <c r="K57" s="786">
        <v>6.3799999999999996E-2</v>
      </c>
      <c r="L57" s="855">
        <v>0</v>
      </c>
      <c r="M57" s="774" t="s">
        <v>439</v>
      </c>
      <c r="N57" s="892">
        <v>0</v>
      </c>
      <c r="O57" s="774" t="s">
        <v>439</v>
      </c>
      <c r="P57" s="786">
        <v>7.3700000000000002E-2</v>
      </c>
      <c r="Q57" s="785">
        <v>1.84E-2</v>
      </c>
      <c r="R57" s="779"/>
      <c r="S57" s="777"/>
    </row>
    <row r="58" spans="1:58" ht="15.75">
      <c r="A58" s="777"/>
      <c r="B58" s="777" t="s">
        <v>812</v>
      </c>
      <c r="C58" s="772"/>
      <c r="D58" s="774" t="s">
        <v>439</v>
      </c>
      <c r="E58" s="774" t="s">
        <v>439</v>
      </c>
      <c r="F58" s="784">
        <v>1.12E-2</v>
      </c>
      <c r="G58" s="784">
        <v>1.6999999999999999E-3</v>
      </c>
      <c r="H58" s="784">
        <v>1.54E-2</v>
      </c>
      <c r="I58" s="924">
        <v>0</v>
      </c>
      <c r="J58" s="784">
        <v>3.3E-3</v>
      </c>
      <c r="K58" s="784">
        <v>4.3E-3</v>
      </c>
      <c r="L58" s="855">
        <v>0</v>
      </c>
      <c r="M58" s="774" t="s">
        <v>439</v>
      </c>
      <c r="N58" s="892">
        <v>0</v>
      </c>
      <c r="O58" s="774" t="s">
        <v>439</v>
      </c>
      <c r="P58" s="924">
        <v>0</v>
      </c>
      <c r="Q58" s="785">
        <v>3.3999999999999998E-3</v>
      </c>
      <c r="R58" s="779"/>
      <c r="S58" s="777"/>
    </row>
    <row r="59" spans="1:58" ht="15.75">
      <c r="A59" s="777"/>
      <c r="B59" s="777" t="s">
        <v>813</v>
      </c>
      <c r="C59" s="772"/>
      <c r="D59" s="774" t="s">
        <v>439</v>
      </c>
      <c r="E59" s="774">
        <v>5.7000000000000002E-3</v>
      </c>
      <c r="F59" s="784">
        <v>9.6100000000000005E-2</v>
      </c>
      <c r="G59" s="784">
        <v>4.2900000000000001E-2</v>
      </c>
      <c r="H59" s="784">
        <v>5.0900000000000001E-2</v>
      </c>
      <c r="I59" s="794">
        <v>9.5600000000000004E-2</v>
      </c>
      <c r="J59" s="784">
        <v>7.4999999999999997E-2</v>
      </c>
      <c r="K59" s="784">
        <v>4.2500000000000003E-2</v>
      </c>
      <c r="L59" s="784">
        <v>2.2800000000000001E-2</v>
      </c>
      <c r="M59" s="774" t="s">
        <v>439</v>
      </c>
      <c r="N59" s="892">
        <v>0</v>
      </c>
      <c r="O59" s="774" t="s">
        <v>439</v>
      </c>
      <c r="P59" s="794">
        <v>5.1999999999999998E-3</v>
      </c>
      <c r="Q59" s="785">
        <v>5.1799999999999999E-2</v>
      </c>
      <c r="R59" s="779"/>
      <c r="S59" s="777"/>
    </row>
    <row r="60" spans="1:58" ht="15.75">
      <c r="A60" s="777"/>
      <c r="B60" s="777" t="s">
        <v>814</v>
      </c>
      <c r="C60" s="772"/>
      <c r="D60" s="892" t="s">
        <v>439</v>
      </c>
      <c r="E60" s="892">
        <v>0</v>
      </c>
      <c r="F60" s="924">
        <v>0</v>
      </c>
      <c r="G60" s="855">
        <v>0</v>
      </c>
      <c r="H60" s="924">
        <v>0</v>
      </c>
      <c r="I60" s="855">
        <v>0</v>
      </c>
      <c r="J60" s="924">
        <v>0</v>
      </c>
      <c r="K60" s="923">
        <v>0</v>
      </c>
      <c r="L60" s="924">
        <v>0</v>
      </c>
      <c r="M60" s="774"/>
      <c r="N60" s="892">
        <v>0</v>
      </c>
      <c r="O60" s="774" t="s">
        <v>439</v>
      </c>
      <c r="P60" s="855">
        <v>0</v>
      </c>
      <c r="Q60" s="925">
        <v>0</v>
      </c>
      <c r="R60" s="779"/>
      <c r="S60" s="777"/>
    </row>
    <row r="61" spans="1:58" ht="15.75">
      <c r="A61" s="777"/>
      <c r="B61" s="777" t="s">
        <v>815</v>
      </c>
      <c r="C61" s="772"/>
      <c r="D61" s="774" t="s">
        <v>439</v>
      </c>
      <c r="E61" s="774">
        <v>1.6999999999999999E-3</v>
      </c>
      <c r="F61" s="855">
        <v>0</v>
      </c>
      <c r="G61" s="794">
        <v>5.9999999999999995E-4</v>
      </c>
      <c r="H61" s="794">
        <v>1.6999999999999999E-3</v>
      </c>
      <c r="I61" s="855">
        <v>0</v>
      </c>
      <c r="J61" s="794">
        <v>8.9999999999999993E-3</v>
      </c>
      <c r="K61" s="892">
        <v>0</v>
      </c>
      <c r="L61" s="794">
        <v>1.9699999999999999E-2</v>
      </c>
      <c r="M61" s="774" t="s">
        <v>439</v>
      </c>
      <c r="N61" s="892">
        <v>0</v>
      </c>
      <c r="O61" s="774" t="s">
        <v>439</v>
      </c>
      <c r="P61" s="855">
        <v>0</v>
      </c>
      <c r="Q61" s="785">
        <v>3.0999999999999999E-3</v>
      </c>
      <c r="R61" s="779"/>
      <c r="S61" s="777"/>
    </row>
    <row r="62" spans="1:58" ht="16.5" thickBot="1">
      <c r="A62" s="777"/>
      <c r="B62" s="766" t="s">
        <v>489</v>
      </c>
      <c r="C62" s="787"/>
      <c r="D62" s="768" t="s">
        <v>439</v>
      </c>
      <c r="E62" s="768">
        <v>1.2999999999999999E-3</v>
      </c>
      <c r="F62" s="770">
        <v>4.3700000000000003E-2</v>
      </c>
      <c r="G62" s="770">
        <v>8.3000000000000001E-3</v>
      </c>
      <c r="H62" s="770">
        <v>4.5999999999999999E-2</v>
      </c>
      <c r="I62" s="770">
        <v>1.14E-2</v>
      </c>
      <c r="J62" s="770">
        <v>8.1000000000000003E-2</v>
      </c>
      <c r="K62" s="770">
        <v>2.53E-2</v>
      </c>
      <c r="L62" s="770">
        <v>1.6E-2</v>
      </c>
      <c r="M62" s="768" t="s">
        <v>439</v>
      </c>
      <c r="N62" s="934">
        <v>0</v>
      </c>
      <c r="O62" s="1056">
        <v>0.1157</v>
      </c>
      <c r="P62" s="1056">
        <v>6.4999999999999997E-3</v>
      </c>
      <c r="Q62" s="771">
        <v>3.9199999999999999E-2</v>
      </c>
      <c r="R62" s="779"/>
      <c r="S62" s="777"/>
    </row>
    <row r="63" spans="1:58" ht="15.75">
      <c r="A63" s="777"/>
      <c r="B63" s="773" t="s">
        <v>0</v>
      </c>
      <c r="C63" s="773" t="s">
        <v>816</v>
      </c>
      <c r="D63" s="774" t="s">
        <v>439</v>
      </c>
      <c r="E63" s="788">
        <f t="shared" ref="E63:Q63" si="1">SUM(E56:E62)</f>
        <v>8.7199999999999986E-2</v>
      </c>
      <c r="F63" s="788">
        <f t="shared" si="1"/>
        <v>0.16639999999999999</v>
      </c>
      <c r="G63" s="788">
        <f t="shared" si="1"/>
        <v>0.11819999999999999</v>
      </c>
      <c r="H63" s="788">
        <f t="shared" si="1"/>
        <v>0.24790000000000001</v>
      </c>
      <c r="I63" s="788">
        <f t="shared" si="1"/>
        <v>0.17079999999999998</v>
      </c>
      <c r="J63" s="788">
        <f t="shared" si="1"/>
        <v>0.1915</v>
      </c>
      <c r="K63" s="788">
        <f t="shared" si="1"/>
        <v>0.17909999999999998</v>
      </c>
      <c r="L63" s="788">
        <f t="shared" si="1"/>
        <v>5.8499999999999996E-2</v>
      </c>
      <c r="M63" s="774" t="s">
        <v>439</v>
      </c>
      <c r="N63" s="774" t="s">
        <v>439</v>
      </c>
      <c r="O63" s="1041">
        <f t="shared" si="1"/>
        <v>0.1157</v>
      </c>
      <c r="P63" s="788">
        <f t="shared" si="1"/>
        <v>0.25850000000000001</v>
      </c>
      <c r="Q63" s="789">
        <f t="shared" si="1"/>
        <v>0.1643</v>
      </c>
      <c r="R63" s="779"/>
      <c r="S63" s="777"/>
    </row>
    <row r="64" spans="1:58" ht="15.75">
      <c r="A64" s="777"/>
      <c r="B64" s="773"/>
      <c r="C64" s="736"/>
      <c r="D64" s="790"/>
      <c r="E64" s="790"/>
      <c r="F64" s="791"/>
      <c r="G64" s="791"/>
      <c r="H64" s="791"/>
      <c r="I64" s="791"/>
      <c r="J64" s="791"/>
      <c r="K64" s="791"/>
      <c r="L64" s="791"/>
      <c r="M64" s="790"/>
      <c r="N64" s="790"/>
      <c r="O64" s="791"/>
      <c r="P64" s="791"/>
      <c r="Q64" s="789"/>
      <c r="R64" s="779"/>
      <c r="S64" s="777"/>
    </row>
    <row r="65" spans="1:19" ht="15.75">
      <c r="A65" s="777"/>
      <c r="B65" s="773"/>
      <c r="C65" s="736"/>
      <c r="D65" s="790"/>
      <c r="E65" s="790"/>
      <c r="F65" s="791"/>
      <c r="G65" s="791"/>
      <c r="H65" s="791"/>
      <c r="I65" s="791"/>
      <c r="J65" s="791"/>
      <c r="K65" s="791"/>
      <c r="L65" s="791"/>
      <c r="M65" s="790"/>
      <c r="N65" s="790"/>
      <c r="O65" s="791"/>
      <c r="P65" s="791"/>
      <c r="Q65" s="789"/>
      <c r="R65" s="779"/>
      <c r="S65" s="777"/>
    </row>
    <row r="66" spans="1:19" ht="15">
      <c r="A66" s="777"/>
      <c r="B66" s="777"/>
      <c r="C66" s="777"/>
      <c r="D66" s="792"/>
      <c r="E66" s="792"/>
      <c r="F66" s="779"/>
      <c r="G66" s="779"/>
      <c r="H66" s="779"/>
      <c r="I66" s="779"/>
      <c r="J66" s="779"/>
      <c r="K66" s="779"/>
      <c r="L66" s="779"/>
      <c r="M66" s="779"/>
      <c r="N66" s="779"/>
      <c r="O66" s="779"/>
      <c r="P66" s="779"/>
      <c r="Q66" s="779"/>
      <c r="R66" s="779"/>
      <c r="S66" s="777"/>
    </row>
    <row r="67" spans="1:19" ht="16.5" thickBot="1">
      <c r="A67" s="777"/>
      <c r="B67" s="780" t="s">
        <v>817</v>
      </c>
      <c r="C67" s="766"/>
      <c r="D67" s="766"/>
      <c r="E67" s="766"/>
      <c r="F67" s="782"/>
      <c r="G67" s="782"/>
      <c r="H67" s="782"/>
      <c r="I67" s="782"/>
      <c r="J67" s="782"/>
      <c r="K67" s="782"/>
      <c r="L67" s="782"/>
      <c r="M67" s="782"/>
      <c r="N67" s="782"/>
      <c r="O67" s="782"/>
      <c r="P67" s="782"/>
      <c r="Q67" s="782"/>
      <c r="R67" s="779"/>
      <c r="S67" s="777"/>
    </row>
    <row r="68" spans="1:19" ht="15.75">
      <c r="A68" s="777"/>
      <c r="B68" s="777" t="s">
        <v>818</v>
      </c>
      <c r="C68" s="772"/>
      <c r="D68" s="774" t="s">
        <v>439</v>
      </c>
      <c r="E68" s="774">
        <v>8.3000000000000001E-3</v>
      </c>
      <c r="F68" s="784">
        <v>2.9999999999999997E-4</v>
      </c>
      <c r="G68" s="784">
        <v>4.5999999999999999E-3</v>
      </c>
      <c r="H68" s="793">
        <v>3.3500000000000002E-2</v>
      </c>
      <c r="I68" s="784">
        <v>1.2E-2</v>
      </c>
      <c r="J68" s="784">
        <v>5.7999999999999996E-3</v>
      </c>
      <c r="K68" s="784">
        <v>8.9999999999999993E-3</v>
      </c>
      <c r="L68" s="855">
        <v>0</v>
      </c>
      <c r="M68" s="774" t="s">
        <v>439</v>
      </c>
      <c r="N68" s="892">
        <v>0</v>
      </c>
      <c r="O68" s="774" t="s">
        <v>439</v>
      </c>
      <c r="P68" s="1089">
        <v>0</v>
      </c>
      <c r="Q68" s="785">
        <v>8.3000000000000001E-3</v>
      </c>
      <c r="R68" s="779"/>
      <c r="S68" s="777"/>
    </row>
    <row r="69" spans="1:19" ht="15.75">
      <c r="A69" s="777"/>
      <c r="B69" s="777" t="s">
        <v>812</v>
      </c>
      <c r="C69" s="772"/>
      <c r="D69" s="774" t="s">
        <v>439</v>
      </c>
      <c r="E69" s="774">
        <v>6.3E-3</v>
      </c>
      <c r="F69" s="794">
        <v>8.0000000000000004E-4</v>
      </c>
      <c r="G69" s="794">
        <v>6.9999999999999999E-4</v>
      </c>
      <c r="H69" s="794">
        <v>2.0999999999999999E-3</v>
      </c>
      <c r="I69" s="786">
        <v>1.5E-3</v>
      </c>
      <c r="J69" s="786">
        <v>2.2000000000000001E-3</v>
      </c>
      <c r="K69" s="786">
        <v>2.0000000000000001E-4</v>
      </c>
      <c r="L69" s="786">
        <v>1.2999999999999999E-3</v>
      </c>
      <c r="M69" s="774" t="s">
        <v>439</v>
      </c>
      <c r="N69" s="892">
        <v>0</v>
      </c>
      <c r="O69" s="774" t="s">
        <v>439</v>
      </c>
      <c r="P69" s="892">
        <v>0</v>
      </c>
      <c r="Q69" s="785">
        <v>1.2999999999999999E-3</v>
      </c>
      <c r="R69" s="779"/>
      <c r="S69" s="777"/>
    </row>
    <row r="70" spans="1:19" ht="15.75">
      <c r="A70" s="777"/>
      <c r="B70" s="777" t="s">
        <v>819</v>
      </c>
      <c r="C70" s="772"/>
      <c r="D70" s="774" t="s">
        <v>439</v>
      </c>
      <c r="E70" s="774">
        <v>4.2200000000000001E-2</v>
      </c>
      <c r="F70" s="784">
        <v>6.1000000000000004E-3</v>
      </c>
      <c r="G70" s="794">
        <v>2.0400000000000001E-2</v>
      </c>
      <c r="H70" s="794">
        <v>6.1499999999999999E-2</v>
      </c>
      <c r="I70" s="786">
        <v>8.0999999999999996E-3</v>
      </c>
      <c r="J70" s="786">
        <v>8.4199999999999997E-2</v>
      </c>
      <c r="K70" s="786">
        <v>8.2900000000000001E-2</v>
      </c>
      <c r="L70" s="786">
        <v>4.2099999999999999E-2</v>
      </c>
      <c r="M70" s="774" t="s">
        <v>439</v>
      </c>
      <c r="N70" s="892">
        <v>0</v>
      </c>
      <c r="O70" s="774" t="s">
        <v>439</v>
      </c>
      <c r="P70" s="923">
        <v>0</v>
      </c>
      <c r="Q70" s="785">
        <v>4.4699999999999997E-2</v>
      </c>
      <c r="R70" s="779"/>
      <c r="S70" s="777"/>
    </row>
    <row r="71" spans="1:19" ht="15.75">
      <c r="A71" s="777"/>
      <c r="B71" s="777" t="s">
        <v>813</v>
      </c>
      <c r="C71" s="772"/>
      <c r="D71" s="774" t="s">
        <v>439</v>
      </c>
      <c r="E71" s="774">
        <v>4.5699999999999998E-2</v>
      </c>
      <c r="F71" s="784">
        <v>1.6899999999999998E-2</v>
      </c>
      <c r="G71" s="784">
        <v>6.2399999999999997E-2</v>
      </c>
      <c r="H71" s="793">
        <v>2.8799999999999999E-2</v>
      </c>
      <c r="I71" s="784">
        <v>5.3699999999999998E-2</v>
      </c>
      <c r="J71" s="784">
        <v>4.3499999999999997E-2</v>
      </c>
      <c r="K71" s="784">
        <v>4.1999999999999997E-3</v>
      </c>
      <c r="L71" s="794">
        <v>1.49E-2</v>
      </c>
      <c r="M71" s="774" t="s">
        <v>439</v>
      </c>
      <c r="N71" s="892">
        <v>0</v>
      </c>
      <c r="O71" s="774" t="s">
        <v>439</v>
      </c>
      <c r="P71" s="793">
        <v>1.15E-2</v>
      </c>
      <c r="Q71" s="785">
        <v>2.9700000000000001E-2</v>
      </c>
      <c r="R71" s="779"/>
      <c r="S71" s="777"/>
    </row>
    <row r="72" spans="1:19" ht="15.75">
      <c r="A72" s="777"/>
      <c r="B72" s="777" t="s">
        <v>820</v>
      </c>
      <c r="C72" s="772"/>
      <c r="D72" s="774" t="s">
        <v>439</v>
      </c>
      <c r="E72" s="774">
        <v>2.5000000000000001E-3</v>
      </c>
      <c r="F72" s="786">
        <v>1.61E-2</v>
      </c>
      <c r="G72" s="923">
        <v>0</v>
      </c>
      <c r="H72" s="794">
        <v>5.1000000000000004E-3</v>
      </c>
      <c r="I72" s="786">
        <v>3.0999999999999999E-3</v>
      </c>
      <c r="J72" s="786">
        <v>7.4000000000000003E-3</v>
      </c>
      <c r="K72" s="892">
        <v>0</v>
      </c>
      <c r="L72" s="855">
        <v>0</v>
      </c>
      <c r="M72" s="774" t="s">
        <v>439</v>
      </c>
      <c r="N72" s="892">
        <v>0</v>
      </c>
      <c r="O72" s="774" t="s">
        <v>439</v>
      </c>
      <c r="P72" s="855">
        <v>0</v>
      </c>
      <c r="Q72" s="785">
        <v>3.0999999999999999E-3</v>
      </c>
      <c r="R72" s="779"/>
      <c r="S72" s="777"/>
    </row>
    <row r="73" spans="1:19" ht="15.75">
      <c r="A73" s="777"/>
      <c r="B73" s="777" t="s">
        <v>821</v>
      </c>
      <c r="C73" s="772"/>
      <c r="D73" s="774" t="s">
        <v>439</v>
      </c>
      <c r="E73" s="774">
        <v>3.3999999999999998E-3</v>
      </c>
      <c r="F73" s="784">
        <v>4.4999999999999997E-3</v>
      </c>
      <c r="G73" s="855">
        <v>0</v>
      </c>
      <c r="H73" s="794">
        <v>6.9999999999999999E-4</v>
      </c>
      <c r="I73" s="786">
        <v>1.4800000000000001E-2</v>
      </c>
      <c r="J73" s="786">
        <v>2.4500000000000001E-2</v>
      </c>
      <c r="K73" s="786">
        <v>3.44E-2</v>
      </c>
      <c r="L73" s="794">
        <v>5.74E-2</v>
      </c>
      <c r="M73" s="774" t="s">
        <v>439</v>
      </c>
      <c r="N73" s="892">
        <v>0</v>
      </c>
      <c r="O73" s="774" t="s">
        <v>439</v>
      </c>
      <c r="P73" s="784">
        <v>1.5E-3</v>
      </c>
      <c r="Q73" s="785">
        <v>1.7000000000000001E-2</v>
      </c>
      <c r="R73" s="779"/>
      <c r="S73" s="777"/>
    </row>
    <row r="74" spans="1:19" ht="15.75">
      <c r="A74" s="777"/>
      <c r="B74" s="777" t="s">
        <v>815</v>
      </c>
      <c r="C74" s="772"/>
      <c r="D74" s="774" t="s">
        <v>439</v>
      </c>
      <c r="E74" s="774">
        <v>1.38E-2</v>
      </c>
      <c r="F74" s="774" t="s">
        <v>439</v>
      </c>
      <c r="G74" s="794">
        <v>4.3900000000000002E-2</v>
      </c>
      <c r="H74" s="794">
        <v>1.9E-3</v>
      </c>
      <c r="I74" s="855">
        <v>0</v>
      </c>
      <c r="J74" s="786">
        <v>2.7199999999999998E-2</v>
      </c>
      <c r="K74" s="786">
        <v>7.6100000000000001E-2</v>
      </c>
      <c r="L74" s="794">
        <v>5.1999999999999998E-3</v>
      </c>
      <c r="M74" s="774" t="s">
        <v>439</v>
      </c>
      <c r="N74" s="892">
        <v>0</v>
      </c>
      <c r="O74" s="774" t="s">
        <v>439</v>
      </c>
      <c r="P74" s="784">
        <v>1.14E-2</v>
      </c>
      <c r="Q74" s="785">
        <v>2.46E-2</v>
      </c>
      <c r="R74" s="779"/>
      <c r="S74" s="777"/>
    </row>
    <row r="75" spans="1:19" ht="16.5" thickBot="1">
      <c r="A75" s="777"/>
      <c r="B75" s="766" t="s">
        <v>489</v>
      </c>
      <c r="C75" s="787"/>
      <c r="D75" s="768" t="s">
        <v>439</v>
      </c>
      <c r="E75" s="768">
        <v>2.8899999999999999E-2</v>
      </c>
      <c r="F75" s="770">
        <v>0.1163</v>
      </c>
      <c r="G75" s="770">
        <v>0.1002</v>
      </c>
      <c r="H75" s="795">
        <v>0.1153</v>
      </c>
      <c r="I75" s="770">
        <v>5.2900000000000003E-2</v>
      </c>
      <c r="J75" s="770">
        <v>5.7099999999999998E-2</v>
      </c>
      <c r="K75" s="770">
        <v>4.9700000000000001E-2</v>
      </c>
      <c r="L75" s="1185">
        <v>1.43E-2</v>
      </c>
      <c r="M75" s="768" t="s">
        <v>439</v>
      </c>
      <c r="N75" s="934">
        <v>0</v>
      </c>
      <c r="O75" s="1056">
        <v>0.14369999999999999</v>
      </c>
      <c r="P75" s="770">
        <v>2.3999999999999998E-3</v>
      </c>
      <c r="Q75" s="771">
        <v>6.4500000000000002E-2</v>
      </c>
      <c r="R75" s="779"/>
      <c r="S75" s="777"/>
    </row>
    <row r="76" spans="1:19" ht="15.75">
      <c r="A76" s="777"/>
      <c r="C76" s="773" t="s">
        <v>816</v>
      </c>
      <c r="D76" s="774" t="s">
        <v>439</v>
      </c>
      <c r="E76" s="788">
        <f t="shared" ref="E76:Q76" si="2">SUM(E68:E75)</f>
        <v>0.15110000000000001</v>
      </c>
      <c r="F76" s="788">
        <f t="shared" si="2"/>
        <v>0.161</v>
      </c>
      <c r="G76" s="788">
        <f t="shared" si="2"/>
        <v>0.23220000000000002</v>
      </c>
      <c r="H76" s="788">
        <f t="shared" si="2"/>
        <v>0.24890000000000001</v>
      </c>
      <c r="I76" s="788">
        <f t="shared" si="2"/>
        <v>0.14610000000000001</v>
      </c>
      <c r="J76" s="788">
        <f t="shared" si="2"/>
        <v>0.25189999999999996</v>
      </c>
      <c r="K76" s="788">
        <f t="shared" si="2"/>
        <v>0.25650000000000001</v>
      </c>
      <c r="L76" s="788">
        <f t="shared" si="2"/>
        <v>0.13519999999999999</v>
      </c>
      <c r="M76" s="774" t="s">
        <v>439</v>
      </c>
      <c r="N76" s="774" t="s">
        <v>439</v>
      </c>
      <c r="O76" s="788">
        <f t="shared" si="2"/>
        <v>0.14369999999999999</v>
      </c>
      <c r="P76" s="788">
        <f t="shared" si="2"/>
        <v>2.6799999999999997E-2</v>
      </c>
      <c r="Q76" s="789">
        <f t="shared" si="2"/>
        <v>0.19320000000000001</v>
      </c>
      <c r="R76" s="779"/>
      <c r="S76" s="777"/>
    </row>
    <row r="77" spans="1:19" ht="15">
      <c r="A77" s="777"/>
      <c r="B77" s="777"/>
      <c r="C77" s="777"/>
      <c r="D77" s="777"/>
      <c r="E77" s="777"/>
      <c r="F77" s="777"/>
      <c r="G77" s="779"/>
      <c r="H77" s="779"/>
      <c r="I77" s="779"/>
      <c r="J77" s="779"/>
      <c r="K77" s="779"/>
      <c r="L77" s="779"/>
      <c r="M77" s="779"/>
      <c r="N77" s="779"/>
      <c r="O77" s="779"/>
      <c r="P77" s="779"/>
      <c r="Q77" s="779"/>
      <c r="R77" s="779"/>
      <c r="S77" s="777"/>
    </row>
    <row r="78" spans="1:19" ht="15">
      <c r="A78" s="777"/>
      <c r="B78" s="777"/>
      <c r="C78" s="777"/>
      <c r="D78" s="777"/>
      <c r="E78" s="777"/>
      <c r="F78" s="777"/>
      <c r="G78" s="779"/>
      <c r="H78" s="779"/>
      <c r="I78" s="779"/>
      <c r="J78" s="779"/>
      <c r="K78" s="779"/>
      <c r="L78" s="779"/>
      <c r="M78" s="779"/>
      <c r="N78" s="779"/>
      <c r="O78" s="779"/>
      <c r="P78" s="779"/>
      <c r="Q78" s="779"/>
      <c r="R78" s="779"/>
      <c r="S78" s="777"/>
    </row>
    <row r="79" spans="1:19" ht="15">
      <c r="A79" s="777"/>
      <c r="B79" s="777"/>
      <c r="C79" s="777"/>
      <c r="D79" s="777"/>
      <c r="E79" s="777"/>
      <c r="F79" s="777"/>
      <c r="G79" s="779"/>
      <c r="H79" s="779"/>
      <c r="I79" s="779"/>
      <c r="J79" s="779"/>
      <c r="K79" s="779"/>
      <c r="L79" s="779"/>
      <c r="M79" s="779"/>
      <c r="N79" s="779"/>
      <c r="O79" s="779"/>
      <c r="P79" s="779"/>
      <c r="Q79" s="779"/>
      <c r="R79" s="779"/>
      <c r="S79" s="777"/>
    </row>
    <row r="80" spans="1:19" ht="15">
      <c r="A80" s="777"/>
      <c r="B80" s="777"/>
      <c r="C80" s="777"/>
      <c r="D80" s="777"/>
      <c r="E80" s="777"/>
      <c r="F80" s="777"/>
      <c r="G80" s="779"/>
      <c r="H80" s="779"/>
      <c r="I80" s="779"/>
      <c r="J80" s="779"/>
      <c r="K80" s="779"/>
      <c r="L80" s="779"/>
      <c r="M80" s="779"/>
      <c r="N80" s="779"/>
      <c r="O80" s="779"/>
      <c r="P80" s="779"/>
      <c r="Q80" s="779"/>
      <c r="R80" s="779"/>
      <c r="S80" s="777"/>
    </row>
    <row r="81" spans="1:19" ht="15">
      <c r="A81" s="777"/>
      <c r="B81" s="777"/>
      <c r="C81" s="777"/>
      <c r="D81" s="777"/>
      <c r="E81" s="777"/>
      <c r="F81" s="777"/>
      <c r="G81" s="779"/>
      <c r="H81" s="779"/>
      <c r="I81" s="779"/>
      <c r="J81" s="779"/>
      <c r="K81" s="779"/>
      <c r="L81" s="779"/>
      <c r="M81" s="779"/>
      <c r="N81" s="779"/>
      <c r="O81" s="779"/>
      <c r="P81" s="779"/>
      <c r="Q81" s="779"/>
      <c r="R81" s="779"/>
      <c r="S81" s="777"/>
    </row>
    <row r="82" spans="1:19" ht="15">
      <c r="A82" s="777"/>
      <c r="B82" s="777"/>
      <c r="C82" s="777"/>
      <c r="D82" s="777"/>
      <c r="E82" s="777"/>
      <c r="F82" s="777"/>
      <c r="G82" s="779"/>
      <c r="H82" s="779"/>
      <c r="I82" s="779"/>
      <c r="J82" s="779"/>
      <c r="K82" s="779"/>
      <c r="L82" s="779"/>
      <c r="M82" s="779"/>
      <c r="N82" s="779"/>
      <c r="O82" s="779"/>
      <c r="P82" s="779"/>
      <c r="Q82" s="779"/>
      <c r="R82" s="779"/>
      <c r="S82" s="777"/>
    </row>
    <row r="83" spans="1:19" ht="15">
      <c r="A83" s="777"/>
      <c r="B83" s="777"/>
      <c r="C83" s="777"/>
      <c r="D83" s="777"/>
      <c r="E83" s="777"/>
      <c r="F83" s="777"/>
      <c r="G83" s="779"/>
      <c r="H83" s="779"/>
      <c r="I83" s="779"/>
      <c r="J83" s="779"/>
      <c r="K83" s="779"/>
      <c r="L83" s="779"/>
      <c r="M83" s="779"/>
      <c r="N83" s="779"/>
      <c r="O83" s="779"/>
      <c r="P83" s="779"/>
      <c r="Q83" s="779"/>
      <c r="R83" s="779"/>
      <c r="S83" s="777"/>
    </row>
    <row r="84" spans="1:19" ht="15">
      <c r="A84" s="777"/>
      <c r="B84" s="777"/>
      <c r="C84" s="777"/>
      <c r="D84" s="777"/>
      <c r="E84" s="777"/>
      <c r="F84" s="777"/>
      <c r="G84" s="779"/>
      <c r="H84" s="779"/>
      <c r="I84" s="779"/>
      <c r="J84" s="779"/>
      <c r="K84" s="779"/>
      <c r="L84" s="779"/>
      <c r="M84" s="779"/>
      <c r="N84" s="779"/>
      <c r="O84" s="779"/>
      <c r="P84" s="779"/>
      <c r="Q84" s="779"/>
      <c r="R84" s="779"/>
      <c r="S84" s="777"/>
    </row>
    <row r="85" spans="1:19" ht="15">
      <c r="A85" s="777"/>
      <c r="B85" s="777"/>
      <c r="C85" s="777"/>
      <c r="D85" s="777"/>
      <c r="E85" s="777"/>
      <c r="F85" s="777"/>
      <c r="G85" s="779"/>
      <c r="H85" s="779"/>
      <c r="I85" s="779"/>
      <c r="J85" s="779"/>
      <c r="K85" s="779"/>
      <c r="L85" s="779"/>
      <c r="M85" s="779"/>
      <c r="N85" s="779"/>
      <c r="O85" s="779"/>
      <c r="P85" s="779"/>
      <c r="Q85" s="779"/>
      <c r="R85" s="779"/>
      <c r="S85" s="777"/>
    </row>
    <row r="86" spans="1:19" ht="15">
      <c r="A86" s="777"/>
      <c r="B86" s="777"/>
      <c r="C86" s="777"/>
      <c r="D86" s="777"/>
      <c r="E86" s="777"/>
      <c r="F86" s="777"/>
      <c r="G86" s="779"/>
      <c r="H86" s="779"/>
      <c r="I86" s="779"/>
      <c r="J86" s="779"/>
      <c r="K86" s="779"/>
      <c r="L86" s="779"/>
      <c r="M86" s="779"/>
      <c r="N86" s="779"/>
      <c r="O86" s="779"/>
      <c r="P86" s="779"/>
      <c r="Q86" s="779"/>
      <c r="R86" s="779"/>
      <c r="S86" s="777"/>
    </row>
    <row r="87" spans="1:19" ht="15">
      <c r="A87" s="777"/>
      <c r="B87" s="777"/>
      <c r="C87" s="777"/>
      <c r="D87" s="777"/>
      <c r="E87" s="777"/>
      <c r="F87" s="777"/>
      <c r="G87" s="779"/>
      <c r="H87" s="779"/>
      <c r="I87" s="779"/>
      <c r="J87" s="779"/>
      <c r="K87" s="779"/>
      <c r="L87" s="779"/>
      <c r="M87" s="779"/>
      <c r="N87" s="779"/>
      <c r="O87" s="779"/>
      <c r="P87" s="779"/>
      <c r="Q87" s="779"/>
      <c r="R87" s="779"/>
      <c r="S87" s="777"/>
    </row>
    <row r="88" spans="1:19" ht="15">
      <c r="A88" s="777"/>
      <c r="B88" s="777"/>
      <c r="C88" s="777"/>
      <c r="D88" s="777"/>
      <c r="E88" s="777"/>
      <c r="F88" s="777"/>
      <c r="G88" s="779"/>
      <c r="H88" s="779"/>
      <c r="I88" s="779"/>
      <c r="J88" s="779"/>
      <c r="K88" s="779"/>
      <c r="L88" s="779"/>
      <c r="M88" s="779"/>
      <c r="N88" s="779"/>
      <c r="O88" s="779"/>
      <c r="P88" s="779"/>
      <c r="Q88" s="779"/>
      <c r="R88" s="779"/>
      <c r="S88" s="777"/>
    </row>
    <row r="89" spans="1:19" ht="15">
      <c r="A89" s="777"/>
      <c r="B89" s="777"/>
      <c r="C89" s="777"/>
      <c r="D89" s="777"/>
      <c r="E89" s="777"/>
      <c r="F89" s="777"/>
      <c r="G89" s="779"/>
      <c r="H89" s="779"/>
      <c r="I89" s="779"/>
      <c r="J89" s="779"/>
      <c r="K89" s="779"/>
      <c r="L89" s="779"/>
      <c r="M89" s="779"/>
      <c r="N89" s="779"/>
      <c r="O89" s="779"/>
      <c r="P89" s="779"/>
      <c r="Q89" s="779"/>
      <c r="R89" s="779"/>
      <c r="S89" s="777"/>
    </row>
    <row r="90" spans="1:19" ht="15">
      <c r="A90" s="777"/>
      <c r="B90" s="777"/>
      <c r="C90" s="777"/>
      <c r="D90" s="777"/>
      <c r="E90" s="777"/>
      <c r="F90" s="777"/>
      <c r="G90" s="779"/>
      <c r="H90" s="779"/>
      <c r="I90" s="779"/>
      <c r="J90" s="779"/>
      <c r="K90" s="779"/>
      <c r="L90" s="779"/>
      <c r="M90" s="779"/>
      <c r="N90" s="779"/>
      <c r="O90" s="779"/>
      <c r="P90" s="779"/>
      <c r="Q90" s="779"/>
      <c r="R90" s="779"/>
      <c r="S90" s="777"/>
    </row>
    <row r="91" spans="1:19" ht="15">
      <c r="A91" s="777"/>
      <c r="B91" s="777"/>
      <c r="C91" s="777"/>
      <c r="D91" s="777"/>
      <c r="E91" s="777"/>
      <c r="F91" s="777"/>
      <c r="G91" s="779"/>
      <c r="H91" s="779"/>
      <c r="I91" s="779"/>
      <c r="J91" s="779"/>
      <c r="K91" s="779"/>
      <c r="L91" s="779"/>
      <c r="M91" s="779"/>
      <c r="N91" s="779"/>
      <c r="O91" s="779"/>
      <c r="P91" s="779"/>
      <c r="Q91" s="779"/>
      <c r="R91" s="779"/>
      <c r="S91" s="777"/>
    </row>
    <row r="92" spans="1:19" ht="15">
      <c r="A92" s="777"/>
      <c r="B92" s="777"/>
      <c r="C92" s="777"/>
      <c r="D92" s="777"/>
      <c r="E92" s="777"/>
      <c r="F92" s="777"/>
      <c r="G92" s="779"/>
      <c r="H92" s="779"/>
      <c r="I92" s="779"/>
      <c r="J92" s="779"/>
      <c r="K92" s="779"/>
      <c r="L92" s="779"/>
      <c r="M92" s="779"/>
      <c r="N92" s="779"/>
      <c r="O92" s="779"/>
      <c r="P92" s="779"/>
      <c r="Q92" s="779"/>
      <c r="R92" s="779"/>
      <c r="S92" s="777"/>
    </row>
    <row r="93" spans="1:19" ht="15">
      <c r="A93" s="777"/>
      <c r="B93" s="777"/>
      <c r="C93" s="777"/>
      <c r="D93" s="777"/>
      <c r="E93" s="777"/>
      <c r="F93" s="777"/>
      <c r="G93" s="779"/>
      <c r="H93" s="779"/>
      <c r="I93" s="779"/>
      <c r="J93" s="779"/>
      <c r="K93" s="779"/>
      <c r="L93" s="779"/>
      <c r="M93" s="779"/>
      <c r="N93" s="779"/>
      <c r="O93" s="779"/>
      <c r="P93" s="779"/>
      <c r="Q93" s="779"/>
      <c r="R93" s="779"/>
      <c r="S93" s="777"/>
    </row>
    <row r="94" spans="1:19" ht="15">
      <c r="A94" s="777"/>
      <c r="B94" s="777"/>
      <c r="C94" s="777"/>
      <c r="D94" s="777"/>
      <c r="E94" s="777"/>
      <c r="F94" s="777"/>
      <c r="G94" s="779"/>
      <c r="H94" s="779"/>
      <c r="I94" s="779"/>
      <c r="J94" s="779"/>
      <c r="K94" s="779"/>
      <c r="L94" s="779"/>
      <c r="M94" s="779"/>
      <c r="N94" s="779"/>
      <c r="O94" s="779"/>
      <c r="P94" s="779"/>
      <c r="Q94" s="779"/>
      <c r="R94" s="779"/>
      <c r="S94" s="777"/>
    </row>
    <row r="95" spans="1:19" ht="15">
      <c r="A95" s="777"/>
      <c r="B95" s="777"/>
      <c r="C95" s="777"/>
      <c r="D95" s="777"/>
      <c r="E95" s="777"/>
      <c r="F95" s="777"/>
      <c r="G95" s="779"/>
      <c r="H95" s="779"/>
      <c r="I95" s="779"/>
      <c r="J95" s="779"/>
      <c r="K95" s="779"/>
      <c r="L95" s="779"/>
      <c r="M95" s="779"/>
      <c r="N95" s="779"/>
      <c r="O95" s="779"/>
      <c r="P95" s="779"/>
      <c r="Q95" s="779"/>
      <c r="R95" s="779"/>
      <c r="S95" s="777"/>
    </row>
    <row r="96" spans="1:19" ht="15">
      <c r="A96" s="777"/>
      <c r="B96" s="777"/>
      <c r="C96" s="777"/>
      <c r="D96" s="777"/>
      <c r="E96" s="777"/>
      <c r="F96" s="777"/>
      <c r="G96" s="779"/>
      <c r="H96" s="779"/>
      <c r="I96" s="779"/>
      <c r="J96" s="779"/>
      <c r="K96" s="779"/>
      <c r="L96" s="779"/>
      <c r="M96" s="779"/>
      <c r="N96" s="779"/>
      <c r="O96" s="779"/>
      <c r="P96" s="779"/>
      <c r="Q96" s="779"/>
      <c r="R96" s="779"/>
      <c r="S96" s="777"/>
    </row>
    <row r="97" spans="1:19" ht="15">
      <c r="A97" s="777"/>
      <c r="B97" s="777"/>
      <c r="C97" s="777"/>
      <c r="D97" s="777"/>
      <c r="E97" s="777"/>
      <c r="F97" s="777"/>
      <c r="G97" s="779"/>
      <c r="H97" s="779"/>
      <c r="I97" s="779"/>
      <c r="J97" s="779"/>
      <c r="K97" s="779"/>
      <c r="L97" s="779"/>
      <c r="M97" s="779"/>
      <c r="N97" s="779"/>
      <c r="O97" s="779"/>
      <c r="P97" s="779"/>
      <c r="Q97" s="779"/>
      <c r="R97" s="779"/>
      <c r="S97" s="777"/>
    </row>
    <row r="98" spans="1:19" ht="15">
      <c r="A98" s="777"/>
      <c r="B98" s="777"/>
      <c r="C98" s="777"/>
      <c r="D98" s="777"/>
      <c r="E98" s="777"/>
      <c r="F98" s="777"/>
      <c r="G98" s="779"/>
      <c r="H98" s="779"/>
      <c r="I98" s="779"/>
      <c r="J98" s="779"/>
      <c r="K98" s="779"/>
      <c r="L98" s="779"/>
      <c r="M98" s="779"/>
      <c r="N98" s="779"/>
      <c r="O98" s="779"/>
      <c r="P98" s="779"/>
      <c r="Q98" s="779"/>
      <c r="R98" s="779"/>
      <c r="S98" s="777"/>
    </row>
    <row r="99" spans="1:19" ht="15">
      <c r="A99" s="777"/>
      <c r="B99" s="777"/>
      <c r="C99" s="777"/>
      <c r="D99" s="777"/>
      <c r="E99" s="777"/>
      <c r="F99" s="777"/>
      <c r="G99" s="779"/>
      <c r="H99" s="779"/>
      <c r="I99" s="779"/>
      <c r="J99" s="779"/>
      <c r="K99" s="779"/>
      <c r="L99" s="779"/>
      <c r="M99" s="779"/>
      <c r="N99" s="779"/>
      <c r="O99" s="779"/>
      <c r="P99" s="779"/>
      <c r="Q99" s="779"/>
      <c r="R99" s="779"/>
      <c r="S99" s="777"/>
    </row>
    <row r="100" spans="1:19" ht="15">
      <c r="A100" s="777"/>
      <c r="B100" s="777"/>
      <c r="C100" s="777"/>
      <c r="D100" s="777"/>
      <c r="E100" s="777"/>
      <c r="F100" s="777"/>
      <c r="G100" s="779"/>
      <c r="H100" s="779"/>
      <c r="I100" s="779"/>
      <c r="J100" s="779"/>
      <c r="K100" s="779"/>
      <c r="L100" s="779"/>
      <c r="M100" s="779"/>
      <c r="N100" s="779"/>
      <c r="O100" s="779"/>
      <c r="P100" s="779"/>
      <c r="Q100" s="779"/>
      <c r="R100" s="779"/>
      <c r="S100" s="777"/>
    </row>
    <row r="101" spans="1:19" ht="15">
      <c r="A101" s="777"/>
      <c r="B101" s="777"/>
      <c r="C101" s="777"/>
      <c r="D101" s="777"/>
      <c r="E101" s="777"/>
      <c r="F101" s="777"/>
      <c r="G101" s="779"/>
      <c r="H101" s="779"/>
      <c r="I101" s="779"/>
      <c r="J101" s="779"/>
      <c r="K101" s="779"/>
      <c r="L101" s="779"/>
      <c r="M101" s="779"/>
      <c r="N101" s="779"/>
      <c r="O101" s="779"/>
      <c r="P101" s="779"/>
      <c r="Q101" s="779"/>
      <c r="R101" s="779"/>
      <c r="S101" s="777"/>
    </row>
    <row r="102" spans="1:19" ht="15">
      <c r="A102" s="777"/>
      <c r="B102" s="777"/>
      <c r="C102" s="777"/>
      <c r="D102" s="777"/>
      <c r="E102" s="777"/>
      <c r="F102" s="777"/>
      <c r="G102" s="779"/>
      <c r="H102" s="779"/>
      <c r="I102" s="779"/>
      <c r="J102" s="779"/>
      <c r="K102" s="779"/>
      <c r="L102" s="779"/>
      <c r="M102" s="779"/>
      <c r="N102" s="779"/>
      <c r="O102" s="779"/>
      <c r="P102" s="779"/>
      <c r="Q102" s="779"/>
      <c r="R102" s="779"/>
      <c r="S102" s="777"/>
    </row>
    <row r="103" spans="1:19" ht="15">
      <c r="A103" s="777"/>
      <c r="B103" s="777"/>
      <c r="C103" s="777"/>
      <c r="D103" s="777"/>
      <c r="E103" s="777"/>
      <c r="F103" s="777"/>
      <c r="G103" s="779"/>
      <c r="H103" s="779"/>
      <c r="I103" s="779"/>
      <c r="J103" s="779"/>
      <c r="K103" s="779"/>
      <c r="L103" s="779"/>
      <c r="M103" s="779"/>
      <c r="N103" s="779"/>
      <c r="O103" s="779"/>
      <c r="P103" s="779"/>
      <c r="Q103" s="779"/>
      <c r="R103" s="779"/>
      <c r="S103" s="777"/>
    </row>
    <row r="104" spans="1:19" ht="15">
      <c r="A104" s="777"/>
      <c r="B104" s="777"/>
      <c r="C104" s="777"/>
      <c r="D104" s="777"/>
      <c r="E104" s="777"/>
      <c r="F104" s="777"/>
      <c r="G104" s="779"/>
      <c r="H104" s="779"/>
      <c r="I104" s="779"/>
      <c r="J104" s="779"/>
      <c r="K104" s="779"/>
      <c r="L104" s="779"/>
      <c r="M104" s="779"/>
      <c r="N104" s="779"/>
      <c r="O104" s="779"/>
      <c r="P104" s="779"/>
      <c r="Q104" s="779"/>
      <c r="R104" s="779"/>
      <c r="S104" s="777"/>
    </row>
    <row r="105" spans="1:19" ht="15">
      <c r="A105" s="777"/>
      <c r="B105" s="777"/>
      <c r="C105" s="777"/>
      <c r="D105" s="777"/>
      <c r="E105" s="777"/>
      <c r="F105" s="777"/>
      <c r="G105" s="779"/>
      <c r="H105" s="779"/>
      <c r="I105" s="779"/>
      <c r="J105" s="779"/>
      <c r="K105" s="779"/>
      <c r="L105" s="779"/>
      <c r="M105" s="779"/>
      <c r="N105" s="779"/>
      <c r="O105" s="779"/>
      <c r="P105" s="779"/>
      <c r="Q105" s="779"/>
      <c r="R105" s="779"/>
      <c r="S105" s="777"/>
    </row>
    <row r="106" spans="1:19" ht="15">
      <c r="A106" s="777"/>
      <c r="B106" s="777"/>
      <c r="C106" s="777"/>
      <c r="D106" s="777"/>
      <c r="E106" s="777"/>
      <c r="F106" s="777"/>
      <c r="G106" s="779"/>
      <c r="H106" s="779"/>
      <c r="I106" s="779"/>
      <c r="J106" s="779"/>
      <c r="K106" s="779"/>
      <c r="L106" s="779"/>
      <c r="M106" s="779"/>
      <c r="N106" s="779"/>
      <c r="O106" s="779"/>
      <c r="P106" s="779"/>
      <c r="Q106" s="779"/>
      <c r="R106" s="779"/>
      <c r="S106" s="777"/>
    </row>
    <row r="107" spans="1:19" ht="15">
      <c r="A107" s="777"/>
      <c r="B107" s="777"/>
      <c r="C107" s="777"/>
      <c r="D107" s="777"/>
      <c r="E107" s="777"/>
      <c r="F107" s="777"/>
      <c r="G107" s="779"/>
      <c r="H107" s="779"/>
      <c r="I107" s="779"/>
      <c r="J107" s="779"/>
      <c r="K107" s="779"/>
      <c r="L107" s="779"/>
      <c r="M107" s="779"/>
      <c r="N107" s="779"/>
      <c r="O107" s="779"/>
      <c r="P107" s="779"/>
      <c r="Q107" s="779"/>
      <c r="R107" s="779"/>
      <c r="S107" s="777"/>
    </row>
    <row r="108" spans="1:19" ht="15">
      <c r="A108" s="777"/>
      <c r="B108" s="777"/>
      <c r="C108" s="777"/>
      <c r="D108" s="777"/>
      <c r="E108" s="777"/>
      <c r="F108" s="777"/>
      <c r="G108" s="779"/>
      <c r="H108" s="779"/>
      <c r="I108" s="779"/>
      <c r="J108" s="779"/>
      <c r="K108" s="779"/>
      <c r="L108" s="779"/>
      <c r="M108" s="779"/>
      <c r="N108" s="779"/>
      <c r="O108" s="779"/>
      <c r="P108" s="779"/>
      <c r="Q108" s="779"/>
      <c r="R108" s="779"/>
      <c r="S108" s="777"/>
    </row>
    <row r="109" spans="1:19" ht="15">
      <c r="A109" s="777"/>
      <c r="B109" s="777"/>
      <c r="C109" s="777"/>
      <c r="D109" s="777"/>
      <c r="E109" s="777"/>
      <c r="F109" s="777"/>
      <c r="G109" s="779"/>
      <c r="H109" s="779"/>
      <c r="I109" s="779"/>
      <c r="J109" s="779"/>
      <c r="K109" s="779"/>
      <c r="L109" s="779"/>
      <c r="M109" s="779"/>
      <c r="N109" s="779"/>
      <c r="O109" s="779"/>
      <c r="P109" s="779"/>
      <c r="Q109" s="779"/>
      <c r="R109" s="779"/>
      <c r="S109" s="777"/>
    </row>
    <row r="110" spans="1:19" ht="15">
      <c r="A110" s="777"/>
      <c r="B110" s="777"/>
      <c r="C110" s="777"/>
      <c r="D110" s="777"/>
      <c r="E110" s="777"/>
      <c r="F110" s="777"/>
      <c r="G110" s="779"/>
      <c r="H110" s="779"/>
      <c r="I110" s="779"/>
      <c r="J110" s="779"/>
      <c r="K110" s="779"/>
      <c r="L110" s="779"/>
      <c r="M110" s="779"/>
      <c r="N110" s="779"/>
      <c r="O110" s="779"/>
      <c r="P110" s="779"/>
      <c r="Q110" s="779"/>
      <c r="R110" s="779"/>
      <c r="S110" s="777"/>
    </row>
    <row r="111" spans="1:19" ht="15">
      <c r="A111" s="777"/>
      <c r="B111" s="777"/>
      <c r="C111" s="777"/>
      <c r="D111" s="777"/>
      <c r="E111" s="777"/>
      <c r="F111" s="777"/>
      <c r="G111" s="779"/>
      <c r="H111" s="779"/>
      <c r="I111" s="779"/>
      <c r="J111" s="779"/>
      <c r="K111" s="779"/>
      <c r="L111" s="779"/>
      <c r="M111" s="779"/>
      <c r="N111" s="779"/>
      <c r="O111" s="779"/>
      <c r="P111" s="779"/>
      <c r="Q111" s="779"/>
      <c r="R111" s="779"/>
      <c r="S111" s="777"/>
    </row>
    <row r="112" spans="1:19" ht="15">
      <c r="A112" s="777"/>
      <c r="B112" s="777"/>
      <c r="C112" s="777"/>
      <c r="D112" s="777"/>
      <c r="E112" s="777"/>
      <c r="F112" s="777"/>
      <c r="G112" s="779"/>
      <c r="H112" s="779"/>
      <c r="I112" s="779"/>
      <c r="J112" s="779"/>
      <c r="K112" s="779"/>
      <c r="L112" s="779"/>
      <c r="M112" s="779"/>
      <c r="N112" s="779"/>
      <c r="O112" s="779"/>
      <c r="P112" s="779"/>
      <c r="Q112" s="779"/>
      <c r="R112" s="779"/>
      <c r="S112" s="777"/>
    </row>
    <row r="113" spans="1:19" ht="15">
      <c r="A113" s="777"/>
      <c r="B113" s="777"/>
      <c r="C113" s="777"/>
      <c r="D113" s="777"/>
      <c r="E113" s="777"/>
      <c r="F113" s="777"/>
      <c r="G113" s="779"/>
      <c r="H113" s="779"/>
      <c r="I113" s="779"/>
      <c r="J113" s="779"/>
      <c r="K113" s="779"/>
      <c r="L113" s="779"/>
      <c r="M113" s="779"/>
      <c r="N113" s="779"/>
      <c r="O113" s="779"/>
      <c r="P113" s="779"/>
      <c r="Q113" s="779"/>
      <c r="R113" s="779"/>
      <c r="S113" s="777"/>
    </row>
    <row r="114" spans="1:19" ht="15">
      <c r="A114" s="777"/>
      <c r="B114" s="777"/>
      <c r="C114" s="777"/>
      <c r="D114" s="777"/>
      <c r="E114" s="777"/>
      <c r="F114" s="777"/>
      <c r="G114" s="777"/>
      <c r="H114" s="777"/>
      <c r="I114" s="777"/>
      <c r="J114" s="777"/>
      <c r="K114" s="777"/>
      <c r="L114" s="777"/>
      <c r="M114" s="777"/>
      <c r="N114" s="777"/>
      <c r="O114" s="777"/>
      <c r="P114" s="777"/>
      <c r="Q114" s="777"/>
      <c r="R114" s="777"/>
      <c r="S114" s="777"/>
    </row>
    <row r="115" spans="1:19" ht="15">
      <c r="A115" s="777"/>
      <c r="B115" s="777"/>
      <c r="C115" s="777"/>
      <c r="D115" s="777"/>
      <c r="E115" s="777"/>
      <c r="F115" s="777"/>
      <c r="G115" s="777"/>
      <c r="H115" s="777"/>
      <c r="I115" s="777"/>
      <c r="J115" s="777"/>
      <c r="K115" s="777"/>
      <c r="L115" s="777"/>
      <c r="M115" s="777"/>
      <c r="N115" s="777"/>
      <c r="O115" s="777"/>
      <c r="P115" s="777"/>
      <c r="Q115" s="777"/>
      <c r="R115" s="777"/>
      <c r="S115" s="777"/>
    </row>
    <row r="116" spans="1:19" ht="15">
      <c r="A116" s="777"/>
      <c r="B116" s="777"/>
      <c r="C116" s="777"/>
      <c r="D116" s="777"/>
      <c r="E116" s="777"/>
      <c r="F116" s="777"/>
      <c r="G116" s="777"/>
      <c r="H116" s="777"/>
      <c r="I116" s="777"/>
      <c r="J116" s="777"/>
      <c r="K116" s="777"/>
      <c r="L116" s="777"/>
      <c r="M116" s="777"/>
      <c r="N116" s="777"/>
      <c r="O116" s="777"/>
      <c r="P116" s="777"/>
      <c r="Q116" s="777"/>
      <c r="R116" s="777"/>
      <c r="S116" s="777"/>
    </row>
    <row r="117" spans="1:19" ht="15">
      <c r="A117" s="777"/>
      <c r="B117" s="777"/>
      <c r="C117" s="777"/>
      <c r="D117" s="777"/>
      <c r="E117" s="777"/>
      <c r="F117" s="777"/>
      <c r="G117" s="777"/>
      <c r="H117" s="777"/>
      <c r="I117" s="777"/>
      <c r="J117" s="777"/>
      <c r="K117" s="777"/>
      <c r="L117" s="777"/>
      <c r="M117" s="777"/>
      <c r="N117" s="777"/>
      <c r="O117" s="777"/>
      <c r="P117" s="777"/>
      <c r="Q117" s="777"/>
      <c r="R117" s="777"/>
      <c r="S117" s="777"/>
    </row>
    <row r="118" spans="1:19" ht="15">
      <c r="A118" s="777"/>
      <c r="B118" s="777"/>
      <c r="C118" s="777"/>
      <c r="D118" s="777"/>
      <c r="E118" s="777"/>
      <c r="F118" s="777"/>
      <c r="G118" s="777"/>
      <c r="H118" s="777"/>
      <c r="I118" s="777"/>
      <c r="J118" s="777"/>
      <c r="K118" s="777"/>
      <c r="L118" s="777"/>
      <c r="M118" s="777"/>
      <c r="N118" s="777"/>
      <c r="O118" s="777"/>
      <c r="P118" s="777"/>
      <c r="Q118" s="777"/>
      <c r="R118" s="777"/>
      <c r="S118" s="777"/>
    </row>
    <row r="119" spans="1:19" ht="15">
      <c r="A119" s="777"/>
      <c r="B119" s="777"/>
      <c r="C119" s="777"/>
      <c r="D119" s="777"/>
      <c r="E119" s="777"/>
      <c r="F119" s="777"/>
      <c r="G119" s="777"/>
      <c r="H119" s="777"/>
      <c r="I119" s="777"/>
      <c r="J119" s="777"/>
      <c r="K119" s="777"/>
      <c r="L119" s="777"/>
      <c r="M119" s="777"/>
      <c r="N119" s="777"/>
      <c r="O119" s="777"/>
      <c r="P119" s="777"/>
      <c r="Q119" s="777"/>
      <c r="R119" s="777"/>
      <c r="S119" s="777"/>
    </row>
    <row r="120" spans="1:19" ht="15">
      <c r="A120" s="777"/>
      <c r="B120" s="777"/>
      <c r="C120" s="777"/>
      <c r="D120" s="777"/>
      <c r="E120" s="777"/>
      <c r="F120" s="777"/>
      <c r="G120" s="777"/>
      <c r="H120" s="777"/>
      <c r="I120" s="777"/>
      <c r="J120" s="777"/>
      <c r="K120" s="777"/>
      <c r="L120" s="777"/>
      <c r="M120" s="777"/>
      <c r="N120" s="777"/>
      <c r="O120" s="777"/>
      <c r="P120" s="777"/>
      <c r="Q120" s="777"/>
      <c r="R120" s="777"/>
      <c r="S120" s="777"/>
    </row>
    <row r="121" spans="1:19" ht="15">
      <c r="A121" s="777"/>
      <c r="B121" s="777"/>
      <c r="C121" s="777"/>
      <c r="D121" s="777"/>
      <c r="E121" s="777"/>
      <c r="F121" s="777"/>
      <c r="G121" s="777"/>
      <c r="H121" s="777"/>
      <c r="I121" s="777"/>
      <c r="J121" s="777"/>
      <c r="K121" s="777"/>
      <c r="L121" s="777"/>
      <c r="M121" s="777"/>
      <c r="N121" s="777"/>
      <c r="O121" s="777"/>
      <c r="P121" s="777"/>
      <c r="Q121" s="777"/>
      <c r="R121" s="777"/>
      <c r="S121" s="777"/>
    </row>
    <row r="122" spans="1:19" ht="15">
      <c r="A122" s="777"/>
      <c r="B122" s="777"/>
      <c r="C122" s="777"/>
      <c r="D122" s="777"/>
      <c r="E122" s="777"/>
      <c r="F122" s="777"/>
      <c r="G122" s="777"/>
      <c r="H122" s="777"/>
      <c r="I122" s="777"/>
      <c r="J122" s="777"/>
      <c r="K122" s="777"/>
      <c r="L122" s="777"/>
      <c r="M122" s="777"/>
      <c r="N122" s="777"/>
      <c r="O122" s="777"/>
      <c r="P122" s="777"/>
      <c r="Q122" s="777"/>
      <c r="R122" s="777"/>
      <c r="S122" s="777"/>
    </row>
    <row r="123" spans="1:19" ht="15">
      <c r="A123" s="777"/>
      <c r="B123" s="777"/>
      <c r="C123" s="777"/>
      <c r="D123" s="777"/>
      <c r="E123" s="777"/>
      <c r="F123" s="777"/>
      <c r="G123" s="777"/>
      <c r="H123" s="777"/>
      <c r="I123" s="777"/>
      <c r="J123" s="777"/>
      <c r="K123" s="777"/>
      <c r="L123" s="777"/>
      <c r="M123" s="777"/>
      <c r="N123" s="777"/>
      <c r="O123" s="777"/>
      <c r="P123" s="777"/>
      <c r="Q123" s="777"/>
      <c r="R123" s="777"/>
      <c r="S123" s="777"/>
    </row>
    <row r="124" spans="1:19" ht="15">
      <c r="A124" s="777"/>
      <c r="B124" s="777"/>
      <c r="C124" s="777"/>
      <c r="D124" s="777"/>
      <c r="E124" s="777"/>
      <c r="F124" s="777"/>
      <c r="G124" s="777"/>
      <c r="H124" s="777"/>
      <c r="I124" s="777"/>
      <c r="J124" s="777"/>
      <c r="K124" s="777"/>
      <c r="L124" s="777"/>
      <c r="M124" s="777"/>
      <c r="N124" s="777"/>
      <c r="O124" s="777"/>
      <c r="P124" s="777"/>
      <c r="Q124" s="777"/>
      <c r="R124" s="777"/>
      <c r="S124" s="777"/>
    </row>
    <row r="125" spans="1:19" ht="15">
      <c r="A125" s="777"/>
      <c r="B125" s="777"/>
      <c r="C125" s="777"/>
      <c r="D125" s="777"/>
      <c r="E125" s="777"/>
      <c r="F125" s="777"/>
      <c r="G125" s="777"/>
      <c r="H125" s="777"/>
      <c r="I125" s="777"/>
      <c r="J125" s="777"/>
      <c r="K125" s="777"/>
      <c r="L125" s="777"/>
      <c r="M125" s="777"/>
      <c r="N125" s="777"/>
      <c r="O125" s="777"/>
      <c r="P125" s="777"/>
      <c r="Q125" s="777"/>
      <c r="R125" s="777"/>
      <c r="S125" s="777"/>
    </row>
    <row r="126" spans="1:19" ht="15">
      <c r="A126" s="777"/>
      <c r="B126" s="777"/>
      <c r="C126" s="777"/>
      <c r="D126" s="777"/>
      <c r="E126" s="777"/>
      <c r="F126" s="777"/>
      <c r="G126" s="777"/>
      <c r="H126" s="777"/>
      <c r="I126" s="777"/>
      <c r="J126" s="777"/>
      <c r="K126" s="777"/>
      <c r="L126" s="777"/>
      <c r="M126" s="777"/>
      <c r="N126" s="777"/>
      <c r="O126" s="777"/>
      <c r="P126" s="777"/>
      <c r="Q126" s="777"/>
      <c r="R126" s="777"/>
      <c r="S126" s="777"/>
    </row>
    <row r="127" spans="1:19" ht="15">
      <c r="A127" s="777"/>
      <c r="B127" s="777"/>
      <c r="C127" s="777"/>
      <c r="D127" s="777"/>
      <c r="E127" s="777"/>
      <c r="F127" s="777"/>
      <c r="G127" s="777"/>
      <c r="H127" s="777"/>
      <c r="I127" s="777"/>
      <c r="J127" s="777"/>
      <c r="K127" s="777"/>
      <c r="L127" s="777"/>
      <c r="M127" s="777"/>
      <c r="N127" s="777"/>
      <c r="O127" s="777"/>
      <c r="P127" s="777"/>
      <c r="Q127" s="777"/>
      <c r="R127" s="777"/>
      <c r="S127" s="777"/>
    </row>
    <row r="128" spans="1:19" ht="15">
      <c r="A128" s="777"/>
      <c r="B128" s="777"/>
      <c r="C128" s="777"/>
      <c r="D128" s="777"/>
      <c r="E128" s="777"/>
      <c r="F128" s="777"/>
      <c r="G128" s="777"/>
      <c r="H128" s="777"/>
      <c r="I128" s="777"/>
      <c r="J128" s="777"/>
      <c r="K128" s="777"/>
      <c r="L128" s="777"/>
      <c r="M128" s="777"/>
      <c r="N128" s="777"/>
      <c r="O128" s="777"/>
      <c r="P128" s="777"/>
      <c r="Q128" s="777"/>
      <c r="R128" s="777"/>
      <c r="S128" s="777"/>
    </row>
    <row r="129" spans="1:19" ht="15">
      <c r="A129" s="777"/>
      <c r="B129" s="777"/>
      <c r="C129" s="777"/>
      <c r="D129" s="777"/>
      <c r="E129" s="777"/>
      <c r="F129" s="777"/>
      <c r="G129" s="777"/>
      <c r="H129" s="777"/>
      <c r="I129" s="777"/>
      <c r="J129" s="777"/>
      <c r="K129" s="777"/>
      <c r="L129" s="777"/>
      <c r="M129" s="777"/>
      <c r="N129" s="777"/>
      <c r="O129" s="777"/>
      <c r="P129" s="777"/>
      <c r="Q129" s="777"/>
      <c r="R129" s="777"/>
      <c r="S129" s="777"/>
    </row>
    <row r="130" spans="1:19" ht="15">
      <c r="A130" s="777"/>
      <c r="B130" s="777"/>
      <c r="C130" s="777"/>
      <c r="D130" s="777"/>
      <c r="E130" s="777"/>
      <c r="F130" s="777"/>
      <c r="G130" s="777"/>
      <c r="H130" s="777"/>
      <c r="I130" s="777"/>
      <c r="J130" s="777"/>
      <c r="K130" s="777"/>
      <c r="L130" s="777"/>
      <c r="M130" s="777"/>
      <c r="N130" s="777"/>
      <c r="O130" s="777"/>
      <c r="P130" s="777"/>
      <c r="Q130" s="777"/>
      <c r="R130" s="777"/>
      <c r="S130" s="777"/>
    </row>
    <row r="131" spans="1:19" ht="15">
      <c r="A131" s="777"/>
      <c r="B131" s="777"/>
      <c r="C131" s="777"/>
      <c r="D131" s="777"/>
      <c r="E131" s="777"/>
      <c r="F131" s="777"/>
      <c r="G131" s="777"/>
      <c r="H131" s="777"/>
      <c r="I131" s="777"/>
      <c r="J131" s="777"/>
      <c r="K131" s="777"/>
      <c r="L131" s="777"/>
      <c r="M131" s="777"/>
      <c r="N131" s="777"/>
      <c r="O131" s="777"/>
      <c r="P131" s="777"/>
      <c r="Q131" s="777"/>
      <c r="R131" s="777"/>
      <c r="S131" s="777"/>
    </row>
    <row r="132" spans="1:19" ht="15">
      <c r="A132" s="777"/>
      <c r="B132" s="777"/>
      <c r="C132" s="777"/>
      <c r="D132" s="777"/>
      <c r="E132" s="777"/>
      <c r="F132" s="777"/>
      <c r="G132" s="777"/>
      <c r="H132" s="777"/>
      <c r="I132" s="777"/>
      <c r="J132" s="777"/>
      <c r="K132" s="777"/>
      <c r="L132" s="777"/>
      <c r="M132" s="777"/>
      <c r="N132" s="777"/>
      <c r="O132" s="777"/>
      <c r="P132" s="777"/>
      <c r="Q132" s="777"/>
      <c r="R132" s="777"/>
      <c r="S132" s="777"/>
    </row>
    <row r="133" spans="1:19" ht="15">
      <c r="A133" s="777"/>
      <c r="B133" s="777"/>
      <c r="C133" s="777"/>
      <c r="D133" s="777"/>
      <c r="E133" s="777"/>
      <c r="F133" s="777"/>
      <c r="G133" s="777"/>
      <c r="H133" s="777"/>
      <c r="I133" s="777"/>
      <c r="J133" s="777"/>
      <c r="K133" s="777"/>
      <c r="L133" s="777"/>
      <c r="M133" s="777"/>
      <c r="N133" s="777"/>
      <c r="O133" s="777"/>
      <c r="P133" s="777"/>
      <c r="Q133" s="777"/>
      <c r="R133" s="777"/>
      <c r="S133" s="777"/>
    </row>
    <row r="134" spans="1:19" ht="15">
      <c r="A134" s="777"/>
      <c r="B134" s="777"/>
      <c r="C134" s="777"/>
      <c r="D134" s="777"/>
      <c r="E134" s="777"/>
      <c r="F134" s="777"/>
      <c r="G134" s="777"/>
      <c r="H134" s="777"/>
      <c r="I134" s="777"/>
      <c r="J134" s="777"/>
      <c r="K134" s="777"/>
      <c r="L134" s="777"/>
      <c r="M134" s="777"/>
      <c r="N134" s="777"/>
      <c r="O134" s="777"/>
      <c r="P134" s="777"/>
      <c r="Q134" s="777"/>
      <c r="R134" s="777"/>
      <c r="S134" s="777"/>
    </row>
    <row r="135" spans="1:19" ht="15">
      <c r="A135" s="777"/>
      <c r="B135" s="777"/>
      <c r="C135" s="777"/>
      <c r="D135" s="777"/>
      <c r="E135" s="777"/>
      <c r="F135" s="777"/>
      <c r="G135" s="777"/>
      <c r="H135" s="777"/>
      <c r="I135" s="777"/>
      <c r="J135" s="777"/>
      <c r="K135" s="777"/>
      <c r="L135" s="777"/>
      <c r="M135" s="777"/>
      <c r="N135" s="777"/>
      <c r="O135" s="777"/>
      <c r="P135" s="777"/>
      <c r="Q135" s="777"/>
      <c r="R135" s="777"/>
      <c r="S135" s="777"/>
    </row>
    <row r="136" spans="1:19" ht="15">
      <c r="A136" s="777"/>
      <c r="B136" s="777"/>
      <c r="C136" s="777"/>
      <c r="D136" s="777"/>
      <c r="E136" s="777"/>
      <c r="F136" s="777"/>
      <c r="G136" s="777"/>
      <c r="H136" s="777"/>
      <c r="I136" s="777"/>
      <c r="J136" s="777"/>
      <c r="K136" s="777"/>
      <c r="L136" s="777"/>
      <c r="M136" s="777"/>
      <c r="N136" s="777"/>
      <c r="O136" s="777"/>
      <c r="P136" s="777"/>
      <c r="Q136" s="777"/>
      <c r="R136" s="777"/>
      <c r="S136" s="777"/>
    </row>
    <row r="137" spans="1:19" ht="15">
      <c r="A137" s="777"/>
      <c r="B137" s="777"/>
      <c r="C137" s="777"/>
      <c r="D137" s="777"/>
      <c r="E137" s="777"/>
      <c r="F137" s="777"/>
      <c r="G137" s="777"/>
      <c r="H137" s="777"/>
      <c r="I137" s="777"/>
      <c r="J137" s="777"/>
      <c r="K137" s="777"/>
      <c r="L137" s="777"/>
      <c r="M137" s="777"/>
      <c r="N137" s="777"/>
      <c r="O137" s="777"/>
      <c r="P137" s="777"/>
      <c r="Q137" s="777"/>
      <c r="R137" s="777"/>
      <c r="S137" s="777"/>
    </row>
    <row r="138" spans="1:19" ht="15">
      <c r="A138" s="777"/>
      <c r="B138" s="777"/>
      <c r="C138" s="777"/>
      <c r="D138" s="777"/>
      <c r="E138" s="777"/>
      <c r="F138" s="777"/>
      <c r="G138" s="777"/>
      <c r="H138" s="777"/>
      <c r="I138" s="777"/>
      <c r="J138" s="777"/>
      <c r="K138" s="777"/>
      <c r="L138" s="777"/>
      <c r="M138" s="777"/>
      <c r="N138" s="777"/>
      <c r="O138" s="777"/>
      <c r="P138" s="777"/>
      <c r="Q138" s="777"/>
      <c r="R138" s="777"/>
      <c r="S138" s="777"/>
    </row>
    <row r="139" spans="1:19" ht="15">
      <c r="A139" s="777"/>
      <c r="B139" s="777"/>
      <c r="C139" s="777"/>
      <c r="D139" s="777"/>
      <c r="E139" s="777"/>
      <c r="F139" s="777"/>
      <c r="G139" s="777"/>
      <c r="H139" s="777"/>
      <c r="I139" s="777"/>
      <c r="J139" s="777"/>
      <c r="K139" s="777"/>
      <c r="L139" s="777"/>
      <c r="M139" s="777"/>
      <c r="N139" s="777"/>
      <c r="O139" s="777"/>
      <c r="P139" s="777"/>
      <c r="Q139" s="777"/>
      <c r="R139" s="777"/>
      <c r="S139" s="777"/>
    </row>
    <row r="140" spans="1:19" ht="15">
      <c r="A140" s="777"/>
      <c r="B140" s="777"/>
      <c r="C140" s="777"/>
      <c r="D140" s="777"/>
      <c r="E140" s="777"/>
      <c r="F140" s="777"/>
      <c r="G140" s="777"/>
      <c r="H140" s="777"/>
      <c r="I140" s="777"/>
      <c r="J140" s="777"/>
      <c r="K140" s="777"/>
      <c r="L140" s="777"/>
      <c r="M140" s="777"/>
      <c r="N140" s="777"/>
      <c r="O140" s="777"/>
      <c r="P140" s="777"/>
      <c r="Q140" s="777"/>
      <c r="R140" s="777"/>
      <c r="S140" s="777"/>
    </row>
    <row r="141" spans="1:19" ht="15">
      <c r="A141" s="777"/>
      <c r="B141" s="777"/>
      <c r="C141" s="777"/>
      <c r="D141" s="777"/>
      <c r="E141" s="777"/>
      <c r="F141" s="777"/>
      <c r="G141" s="777"/>
      <c r="H141" s="777"/>
      <c r="I141" s="777"/>
      <c r="J141" s="777"/>
      <c r="K141" s="777"/>
      <c r="L141" s="777"/>
      <c r="M141" s="777"/>
      <c r="N141" s="777"/>
      <c r="O141" s="777"/>
      <c r="P141" s="777"/>
      <c r="Q141" s="777"/>
      <c r="R141" s="777"/>
      <c r="S141" s="777"/>
    </row>
    <row r="142" spans="1:19" ht="15">
      <c r="A142" s="777"/>
      <c r="B142" s="777"/>
      <c r="C142" s="777"/>
      <c r="D142" s="777"/>
      <c r="E142" s="777"/>
      <c r="F142" s="777"/>
      <c r="G142" s="777"/>
      <c r="H142" s="777"/>
      <c r="I142" s="777"/>
      <c r="J142" s="777"/>
      <c r="K142" s="777"/>
      <c r="L142" s="777"/>
      <c r="M142" s="777"/>
      <c r="N142" s="777"/>
      <c r="O142" s="777"/>
      <c r="P142" s="777"/>
      <c r="Q142" s="777"/>
      <c r="R142" s="777"/>
      <c r="S142" s="777"/>
    </row>
    <row r="143" spans="1:19" ht="15">
      <c r="A143" s="777"/>
      <c r="B143" s="777"/>
      <c r="C143" s="777"/>
      <c r="D143" s="777"/>
      <c r="E143" s="777"/>
      <c r="F143" s="777"/>
      <c r="G143" s="777"/>
      <c r="H143" s="777"/>
      <c r="I143" s="777"/>
      <c r="J143" s="777"/>
      <c r="K143" s="777"/>
      <c r="L143" s="777"/>
      <c r="M143" s="777"/>
      <c r="N143" s="777"/>
      <c r="O143" s="777"/>
      <c r="P143" s="777"/>
      <c r="Q143" s="777"/>
      <c r="R143" s="777"/>
      <c r="S143" s="777"/>
    </row>
    <row r="144" spans="1:19" ht="15">
      <c r="A144" s="777"/>
      <c r="B144" s="777"/>
      <c r="C144" s="777"/>
      <c r="D144" s="777"/>
      <c r="E144" s="777"/>
      <c r="F144" s="777"/>
      <c r="G144" s="777"/>
      <c r="H144" s="777"/>
      <c r="I144" s="777"/>
      <c r="J144" s="777"/>
      <c r="K144" s="777"/>
      <c r="L144" s="777"/>
      <c r="M144" s="777"/>
      <c r="N144" s="777"/>
      <c r="O144" s="777"/>
      <c r="P144" s="777"/>
      <c r="Q144" s="777"/>
      <c r="R144" s="777"/>
      <c r="S144" s="777"/>
    </row>
    <row r="145" spans="1:19" ht="15">
      <c r="A145" s="777"/>
      <c r="B145" s="777"/>
      <c r="C145" s="777"/>
      <c r="D145" s="777"/>
      <c r="E145" s="777"/>
      <c r="F145" s="777"/>
      <c r="G145" s="777"/>
      <c r="H145" s="777"/>
      <c r="I145" s="777"/>
      <c r="J145" s="777"/>
      <c r="K145" s="777"/>
      <c r="L145" s="777"/>
      <c r="M145" s="777"/>
      <c r="N145" s="777"/>
      <c r="O145" s="777"/>
      <c r="P145" s="777"/>
      <c r="Q145" s="777"/>
      <c r="R145" s="777"/>
      <c r="S145" s="777"/>
    </row>
    <row r="146" spans="1:19" ht="15">
      <c r="A146" s="777"/>
      <c r="B146" s="777"/>
      <c r="C146" s="777"/>
      <c r="D146" s="777"/>
      <c r="E146" s="777"/>
      <c r="F146" s="777"/>
      <c r="G146" s="777"/>
      <c r="H146" s="777"/>
      <c r="I146" s="777"/>
      <c r="J146" s="777"/>
      <c r="K146" s="777"/>
      <c r="L146" s="777"/>
      <c r="M146" s="777"/>
      <c r="N146" s="777"/>
      <c r="O146" s="777"/>
      <c r="P146" s="777"/>
      <c r="Q146" s="777"/>
      <c r="R146" s="777"/>
      <c r="S146" s="777"/>
    </row>
    <row r="147" spans="1:19" ht="15">
      <c r="A147" s="777"/>
      <c r="B147" s="777"/>
      <c r="C147" s="777"/>
      <c r="D147" s="777"/>
      <c r="E147" s="777"/>
      <c r="F147" s="777"/>
      <c r="G147" s="777"/>
      <c r="H147" s="777"/>
      <c r="I147" s="777"/>
      <c r="J147" s="777"/>
      <c r="K147" s="777"/>
      <c r="L147" s="777"/>
      <c r="M147" s="777"/>
      <c r="N147" s="777"/>
      <c r="O147" s="777"/>
      <c r="P147" s="777"/>
      <c r="Q147" s="777"/>
      <c r="R147" s="777"/>
      <c r="S147" s="777"/>
    </row>
    <row r="148" spans="1:19" ht="15">
      <c r="A148" s="777"/>
      <c r="B148" s="777"/>
      <c r="C148" s="777"/>
      <c r="D148" s="777"/>
      <c r="E148" s="777"/>
      <c r="F148" s="777"/>
      <c r="G148" s="777"/>
      <c r="H148" s="777"/>
      <c r="I148" s="777"/>
      <c r="J148" s="777"/>
      <c r="K148" s="777"/>
      <c r="L148" s="777"/>
      <c r="M148" s="777"/>
      <c r="N148" s="777"/>
      <c r="O148" s="777"/>
      <c r="P148" s="777"/>
      <c r="Q148" s="777"/>
      <c r="R148" s="777"/>
      <c r="S148" s="777"/>
    </row>
    <row r="149" spans="1:19" ht="15">
      <c r="A149" s="777"/>
      <c r="B149" s="777"/>
      <c r="C149" s="777"/>
      <c r="D149" s="777"/>
      <c r="E149" s="777"/>
      <c r="F149" s="777"/>
      <c r="G149" s="777"/>
      <c r="H149" s="777"/>
      <c r="I149" s="777"/>
      <c r="J149" s="777"/>
      <c r="K149" s="777"/>
      <c r="L149" s="777"/>
      <c r="M149" s="777"/>
      <c r="N149" s="777"/>
      <c r="O149" s="777"/>
      <c r="P149" s="777"/>
      <c r="Q149" s="777"/>
      <c r="R149" s="777"/>
      <c r="S149" s="777"/>
    </row>
    <row r="150" spans="1:19" ht="15">
      <c r="A150" s="777"/>
      <c r="B150" s="777"/>
      <c r="C150" s="777"/>
      <c r="D150" s="777"/>
      <c r="E150" s="777"/>
      <c r="F150" s="777"/>
      <c r="G150" s="777"/>
      <c r="H150" s="777"/>
      <c r="I150" s="777"/>
      <c r="J150" s="777"/>
      <c r="K150" s="777"/>
      <c r="L150" s="777"/>
      <c r="M150" s="777"/>
      <c r="N150" s="777"/>
      <c r="O150" s="777"/>
      <c r="P150" s="777"/>
      <c r="Q150" s="777"/>
      <c r="R150" s="777"/>
      <c r="S150" s="777"/>
    </row>
    <row r="151" spans="1:19" ht="15">
      <c r="A151" s="777"/>
      <c r="B151" s="777"/>
      <c r="C151" s="777"/>
      <c r="D151" s="777"/>
      <c r="E151" s="777"/>
      <c r="F151" s="777"/>
      <c r="G151" s="777"/>
      <c r="H151" s="777"/>
      <c r="I151" s="777"/>
      <c r="J151" s="777"/>
      <c r="K151" s="777"/>
      <c r="L151" s="777"/>
      <c r="M151" s="777"/>
      <c r="N151" s="777"/>
      <c r="O151" s="777"/>
      <c r="P151" s="777"/>
      <c r="Q151" s="777"/>
      <c r="R151" s="777"/>
      <c r="S151" s="777"/>
    </row>
    <row r="152" spans="1:19" ht="15">
      <c r="A152" s="777"/>
      <c r="B152" s="777"/>
      <c r="C152" s="777"/>
      <c r="D152" s="777"/>
      <c r="E152" s="777"/>
      <c r="F152" s="777"/>
      <c r="G152" s="777"/>
      <c r="H152" s="777"/>
      <c r="I152" s="777"/>
      <c r="J152" s="777"/>
      <c r="K152" s="777"/>
      <c r="L152" s="777"/>
      <c r="M152" s="777"/>
      <c r="N152" s="777"/>
      <c r="O152" s="777"/>
      <c r="P152" s="777"/>
      <c r="Q152" s="777"/>
      <c r="R152" s="777"/>
      <c r="S152" s="777"/>
    </row>
    <row r="153" spans="1:19" ht="15">
      <c r="A153" s="777"/>
      <c r="B153" s="777"/>
      <c r="C153" s="777"/>
      <c r="D153" s="777"/>
      <c r="E153" s="777"/>
      <c r="F153" s="777"/>
      <c r="G153" s="777"/>
      <c r="H153" s="777"/>
      <c r="I153" s="777"/>
      <c r="J153" s="777"/>
      <c r="K153" s="777"/>
      <c r="L153" s="777"/>
      <c r="M153" s="777"/>
      <c r="N153" s="777"/>
      <c r="O153" s="777"/>
      <c r="P153" s="777"/>
      <c r="Q153" s="777"/>
      <c r="R153" s="777"/>
      <c r="S153" s="777"/>
    </row>
    <row r="154" spans="1:19" ht="15">
      <c r="A154" s="777"/>
      <c r="B154" s="777"/>
      <c r="C154" s="777"/>
      <c r="D154" s="777"/>
      <c r="E154" s="777"/>
      <c r="F154" s="777"/>
      <c r="G154" s="777"/>
      <c r="H154" s="777"/>
      <c r="I154" s="777"/>
      <c r="J154" s="777"/>
      <c r="K154" s="777"/>
      <c r="L154" s="777"/>
      <c r="M154" s="777"/>
      <c r="N154" s="777"/>
      <c r="O154" s="777"/>
      <c r="P154" s="777"/>
      <c r="Q154" s="777"/>
      <c r="R154" s="777"/>
      <c r="S154" s="777"/>
    </row>
    <row r="155" spans="1:19" ht="15">
      <c r="A155" s="777"/>
      <c r="B155" s="777"/>
      <c r="C155" s="777"/>
      <c r="D155" s="777"/>
      <c r="E155" s="777"/>
      <c r="F155" s="777"/>
      <c r="G155" s="777"/>
      <c r="H155" s="777"/>
      <c r="I155" s="777"/>
      <c r="J155" s="777"/>
      <c r="K155" s="777"/>
      <c r="L155" s="777"/>
      <c r="M155" s="777"/>
      <c r="N155" s="777"/>
      <c r="O155" s="777"/>
      <c r="P155" s="777"/>
      <c r="Q155" s="777"/>
      <c r="R155" s="777"/>
      <c r="S155" s="777"/>
    </row>
    <row r="156" spans="1:19" ht="15">
      <c r="A156" s="777"/>
      <c r="B156" s="777"/>
      <c r="C156" s="777"/>
      <c r="D156" s="777"/>
      <c r="E156" s="777"/>
      <c r="F156" s="777"/>
      <c r="G156" s="777"/>
      <c r="H156" s="777"/>
      <c r="I156" s="777"/>
      <c r="J156" s="777"/>
      <c r="K156" s="777"/>
      <c r="L156" s="777"/>
      <c r="M156" s="777"/>
      <c r="N156" s="777"/>
      <c r="O156" s="777"/>
      <c r="P156" s="777"/>
      <c r="Q156" s="777"/>
      <c r="R156" s="777"/>
      <c r="S156" s="777"/>
    </row>
    <row r="157" spans="1:19" ht="15">
      <c r="A157" s="777"/>
      <c r="B157" s="777"/>
      <c r="C157" s="777"/>
      <c r="D157" s="777"/>
      <c r="E157" s="777"/>
      <c r="F157" s="777"/>
      <c r="G157" s="777"/>
      <c r="H157" s="777"/>
      <c r="I157" s="777"/>
      <c r="J157" s="777"/>
      <c r="K157" s="777"/>
      <c r="L157" s="777"/>
      <c r="M157" s="777"/>
      <c r="N157" s="777"/>
      <c r="O157" s="777"/>
      <c r="P157" s="777"/>
      <c r="Q157" s="777"/>
      <c r="R157" s="777"/>
      <c r="S157" s="777"/>
    </row>
    <row r="158" spans="1:19" ht="15">
      <c r="A158" s="777"/>
      <c r="B158" s="777"/>
      <c r="C158" s="777"/>
      <c r="D158" s="777"/>
      <c r="E158" s="777"/>
      <c r="F158" s="777"/>
      <c r="G158" s="777"/>
      <c r="H158" s="777"/>
      <c r="I158" s="777"/>
      <c r="J158" s="777"/>
      <c r="K158" s="777"/>
      <c r="L158" s="777"/>
      <c r="M158" s="777"/>
      <c r="N158" s="777"/>
      <c r="O158" s="777"/>
      <c r="P158" s="777"/>
      <c r="Q158" s="777"/>
      <c r="R158" s="777"/>
      <c r="S158" s="777"/>
    </row>
    <row r="159" spans="1:19" ht="15">
      <c r="A159" s="777"/>
      <c r="B159" s="777"/>
      <c r="C159" s="777"/>
      <c r="D159" s="777"/>
      <c r="E159" s="777"/>
      <c r="F159" s="777"/>
      <c r="G159" s="777"/>
      <c r="H159" s="777"/>
      <c r="I159" s="777"/>
      <c r="J159" s="777"/>
      <c r="K159" s="777"/>
      <c r="L159" s="777"/>
      <c r="M159" s="777"/>
      <c r="N159" s="777"/>
      <c r="O159" s="777"/>
      <c r="P159" s="777"/>
      <c r="Q159" s="777"/>
      <c r="R159" s="777"/>
      <c r="S159" s="777"/>
    </row>
    <row r="160" spans="1:19" ht="15">
      <c r="A160" s="777"/>
      <c r="B160" s="777"/>
      <c r="C160" s="777"/>
      <c r="D160" s="777"/>
      <c r="E160" s="777"/>
      <c r="F160" s="777"/>
      <c r="G160" s="777"/>
      <c r="H160" s="777"/>
      <c r="I160" s="777"/>
      <c r="J160" s="777"/>
      <c r="K160" s="777"/>
      <c r="L160" s="777"/>
      <c r="M160" s="777"/>
      <c r="N160" s="777"/>
      <c r="O160" s="777"/>
      <c r="P160" s="777"/>
      <c r="Q160" s="777"/>
      <c r="R160" s="777"/>
      <c r="S160" s="777"/>
    </row>
    <row r="161" spans="1:19" ht="15">
      <c r="A161" s="777"/>
      <c r="B161" s="777"/>
      <c r="C161" s="777"/>
      <c r="D161" s="777"/>
      <c r="E161" s="777"/>
      <c r="F161" s="777"/>
      <c r="G161" s="777"/>
      <c r="H161" s="777"/>
      <c r="I161" s="777"/>
      <c r="J161" s="777"/>
      <c r="K161" s="777"/>
      <c r="L161" s="777"/>
      <c r="M161" s="777"/>
      <c r="N161" s="777"/>
      <c r="O161" s="777"/>
      <c r="P161" s="777"/>
      <c r="Q161" s="777"/>
      <c r="R161" s="777"/>
      <c r="S161" s="777"/>
    </row>
    <row r="162" spans="1:19" ht="15">
      <c r="A162" s="777"/>
      <c r="B162" s="777"/>
      <c r="C162" s="777"/>
      <c r="D162" s="777"/>
      <c r="E162" s="777"/>
      <c r="F162" s="777"/>
      <c r="G162" s="777"/>
      <c r="H162" s="777"/>
      <c r="I162" s="777"/>
      <c r="J162" s="777"/>
      <c r="K162" s="777"/>
      <c r="L162" s="777"/>
      <c r="M162" s="777"/>
      <c r="N162" s="777"/>
      <c r="O162" s="777"/>
      <c r="P162" s="777"/>
      <c r="Q162" s="777"/>
      <c r="R162" s="777"/>
      <c r="S162" s="777"/>
    </row>
    <row r="163" spans="1:19" ht="15">
      <c r="A163" s="777"/>
      <c r="B163" s="777"/>
      <c r="C163" s="777"/>
      <c r="D163" s="777"/>
      <c r="E163" s="777"/>
      <c r="F163" s="777"/>
      <c r="G163" s="777"/>
      <c r="H163" s="777"/>
      <c r="I163" s="777"/>
      <c r="J163" s="777"/>
      <c r="K163" s="777"/>
      <c r="L163" s="777"/>
      <c r="M163" s="777"/>
      <c r="N163" s="777"/>
      <c r="O163" s="777"/>
      <c r="P163" s="777"/>
      <c r="Q163" s="777"/>
      <c r="R163" s="777"/>
      <c r="S163" s="777"/>
    </row>
    <row r="164" spans="1:19" ht="15">
      <c r="A164" s="777"/>
      <c r="B164" s="777"/>
      <c r="C164" s="777"/>
      <c r="D164" s="777"/>
      <c r="E164" s="777"/>
      <c r="F164" s="777"/>
      <c r="G164" s="777"/>
      <c r="H164" s="777"/>
      <c r="I164" s="777"/>
      <c r="J164" s="777"/>
      <c r="K164" s="777"/>
      <c r="L164" s="777"/>
      <c r="M164" s="777"/>
      <c r="N164" s="777"/>
      <c r="O164" s="777"/>
      <c r="P164" s="777"/>
      <c r="Q164" s="777"/>
      <c r="R164" s="777"/>
      <c r="S164" s="777"/>
    </row>
    <row r="165" spans="1:19" ht="15">
      <c r="A165" s="777"/>
      <c r="B165" s="777"/>
      <c r="C165" s="777"/>
      <c r="D165" s="777"/>
      <c r="E165" s="777"/>
      <c r="F165" s="777"/>
      <c r="G165" s="777"/>
      <c r="H165" s="777"/>
      <c r="I165" s="777"/>
      <c r="J165" s="777"/>
      <c r="K165" s="777"/>
      <c r="L165" s="777"/>
      <c r="M165" s="777"/>
      <c r="N165" s="777"/>
      <c r="O165" s="777"/>
      <c r="P165" s="777"/>
      <c r="Q165" s="777"/>
      <c r="R165" s="777"/>
      <c r="S165" s="777"/>
    </row>
    <row r="166" spans="1:19" ht="15">
      <c r="A166" s="777"/>
      <c r="B166" s="777"/>
      <c r="C166" s="777"/>
      <c r="D166" s="777"/>
      <c r="E166" s="777"/>
      <c r="F166" s="777"/>
      <c r="G166" s="777"/>
      <c r="H166" s="777"/>
      <c r="I166" s="777"/>
      <c r="J166" s="777"/>
      <c r="K166" s="777"/>
      <c r="L166" s="777"/>
      <c r="M166" s="777"/>
      <c r="N166" s="777"/>
      <c r="O166" s="777"/>
      <c r="P166" s="777"/>
      <c r="Q166" s="777"/>
      <c r="R166" s="777"/>
      <c r="S166" s="777"/>
    </row>
    <row r="167" spans="1:19" ht="15">
      <c r="A167" s="777"/>
      <c r="B167" s="777"/>
      <c r="C167" s="777"/>
      <c r="D167" s="777"/>
      <c r="E167" s="777"/>
      <c r="F167" s="777"/>
      <c r="G167" s="777"/>
      <c r="H167" s="777"/>
      <c r="I167" s="777"/>
      <c r="J167" s="777"/>
      <c r="K167" s="777"/>
      <c r="L167" s="777"/>
      <c r="M167" s="777"/>
      <c r="N167" s="777"/>
      <c r="O167" s="777"/>
      <c r="P167" s="777"/>
      <c r="Q167" s="777"/>
      <c r="R167" s="777"/>
      <c r="S167" s="777"/>
    </row>
    <row r="168" spans="1:19" ht="15">
      <c r="A168" s="777"/>
      <c r="B168" s="777"/>
      <c r="C168" s="777"/>
      <c r="D168" s="777"/>
      <c r="E168" s="777"/>
      <c r="F168" s="777"/>
      <c r="G168" s="777"/>
      <c r="H168" s="777"/>
      <c r="I168" s="777"/>
      <c r="J168" s="777"/>
      <c r="K168" s="777"/>
      <c r="L168" s="777"/>
      <c r="M168" s="777"/>
      <c r="N168" s="777"/>
      <c r="O168" s="777"/>
      <c r="P168" s="777"/>
      <c r="Q168" s="777"/>
      <c r="R168" s="777"/>
      <c r="S168" s="777"/>
    </row>
    <row r="169" spans="1:19" ht="15">
      <c r="A169" s="777"/>
      <c r="B169" s="777"/>
      <c r="C169" s="777"/>
      <c r="D169" s="777"/>
      <c r="E169" s="777"/>
      <c r="F169" s="777"/>
      <c r="G169" s="777"/>
      <c r="H169" s="777"/>
      <c r="I169" s="777"/>
      <c r="J169" s="777"/>
      <c r="K169" s="777"/>
      <c r="L169" s="777"/>
      <c r="M169" s="777"/>
      <c r="N169" s="777"/>
      <c r="O169" s="777"/>
      <c r="P169" s="777"/>
      <c r="Q169" s="777"/>
      <c r="R169" s="777"/>
      <c r="S169" s="777"/>
    </row>
    <row r="170" spans="1:19" ht="15">
      <c r="A170" s="777"/>
      <c r="B170" s="777"/>
      <c r="C170" s="777"/>
      <c r="D170" s="777"/>
      <c r="E170" s="777"/>
      <c r="F170" s="777"/>
      <c r="G170" s="777"/>
      <c r="H170" s="777"/>
      <c r="I170" s="777"/>
      <c r="J170" s="777"/>
      <c r="K170" s="777"/>
      <c r="L170" s="777"/>
      <c r="M170" s="777"/>
      <c r="N170" s="777"/>
      <c r="O170" s="777"/>
      <c r="P170" s="777"/>
      <c r="Q170" s="777"/>
      <c r="R170" s="777"/>
      <c r="S170" s="777"/>
    </row>
    <row r="171" spans="1:19" ht="15">
      <c r="A171" s="777"/>
      <c r="B171" s="777"/>
      <c r="C171" s="777"/>
      <c r="D171" s="777"/>
      <c r="E171" s="777"/>
      <c r="F171" s="777"/>
      <c r="G171" s="777"/>
      <c r="H171" s="777"/>
      <c r="I171" s="777"/>
      <c r="J171" s="777"/>
      <c r="K171" s="777"/>
      <c r="L171" s="777"/>
      <c r="M171" s="777"/>
      <c r="N171" s="777"/>
      <c r="O171" s="777"/>
      <c r="P171" s="777"/>
      <c r="Q171" s="777"/>
      <c r="R171" s="777"/>
      <c r="S171" s="777"/>
    </row>
    <row r="172" spans="1:19" ht="15">
      <c r="A172" s="777"/>
      <c r="B172" s="777"/>
      <c r="C172" s="777"/>
      <c r="D172" s="777"/>
      <c r="E172" s="777"/>
      <c r="F172" s="777"/>
      <c r="G172" s="777"/>
      <c r="H172" s="777"/>
      <c r="I172" s="777"/>
      <c r="J172" s="777"/>
      <c r="K172" s="777"/>
      <c r="L172" s="777"/>
      <c r="M172" s="777"/>
      <c r="N172" s="777"/>
      <c r="O172" s="777"/>
      <c r="P172" s="777"/>
      <c r="Q172" s="777"/>
      <c r="R172" s="777"/>
      <c r="S172" s="777"/>
    </row>
    <row r="173" spans="1:19" ht="15">
      <c r="A173" s="777"/>
      <c r="B173" s="777"/>
      <c r="C173" s="777"/>
      <c r="D173" s="777"/>
      <c r="E173" s="777"/>
      <c r="F173" s="777"/>
      <c r="G173" s="777"/>
      <c r="H173" s="777"/>
      <c r="I173" s="777"/>
      <c r="J173" s="777"/>
      <c r="K173" s="777"/>
      <c r="L173" s="777"/>
      <c r="M173" s="777"/>
      <c r="N173" s="777"/>
      <c r="O173" s="777"/>
      <c r="P173" s="777"/>
      <c r="Q173" s="777"/>
      <c r="R173" s="777"/>
      <c r="S173" s="777"/>
    </row>
    <row r="174" spans="1:19" ht="15">
      <c r="A174" s="777"/>
      <c r="B174" s="777"/>
      <c r="C174" s="777"/>
      <c r="D174" s="777"/>
      <c r="E174" s="777"/>
      <c r="F174" s="777"/>
      <c r="G174" s="777"/>
      <c r="H174" s="777"/>
      <c r="I174" s="777"/>
      <c r="J174" s="777"/>
      <c r="K174" s="777"/>
      <c r="L174" s="777"/>
      <c r="M174" s="777"/>
      <c r="N174" s="777"/>
      <c r="O174" s="777"/>
      <c r="P174" s="777"/>
      <c r="Q174" s="777"/>
      <c r="R174" s="777"/>
      <c r="S174" s="777"/>
    </row>
    <row r="175" spans="1:19" ht="15">
      <c r="A175" s="777"/>
      <c r="B175" s="777"/>
      <c r="C175" s="777"/>
      <c r="D175" s="777"/>
      <c r="E175" s="777"/>
      <c r="F175" s="777"/>
      <c r="G175" s="777"/>
      <c r="H175" s="777"/>
      <c r="I175" s="777"/>
      <c r="J175" s="777"/>
      <c r="K175" s="777"/>
      <c r="L175" s="777"/>
      <c r="M175" s="777"/>
      <c r="N175" s="777"/>
      <c r="O175" s="777"/>
      <c r="P175" s="777"/>
      <c r="Q175" s="777"/>
      <c r="R175" s="777"/>
      <c r="S175" s="777"/>
    </row>
    <row r="176" spans="1:19" ht="15">
      <c r="A176" s="777"/>
      <c r="B176" s="777"/>
      <c r="C176" s="777"/>
      <c r="D176" s="777"/>
      <c r="E176" s="777"/>
      <c r="F176" s="777"/>
      <c r="G176" s="777"/>
      <c r="H176" s="777"/>
      <c r="I176" s="777"/>
      <c r="J176" s="777"/>
      <c r="K176" s="777"/>
      <c r="L176" s="777"/>
      <c r="M176" s="777"/>
      <c r="N176" s="777"/>
      <c r="O176" s="777"/>
      <c r="P176" s="777"/>
      <c r="Q176" s="777"/>
      <c r="R176" s="777"/>
      <c r="S176" s="777"/>
    </row>
    <row r="177" spans="1:19" ht="15">
      <c r="A177" s="777"/>
      <c r="B177" s="777"/>
      <c r="C177" s="777"/>
      <c r="D177" s="777"/>
      <c r="E177" s="777"/>
      <c r="F177" s="777"/>
      <c r="G177" s="777"/>
      <c r="H177" s="777"/>
      <c r="I177" s="777"/>
      <c r="J177" s="777"/>
      <c r="K177" s="777"/>
      <c r="L177" s="777"/>
      <c r="M177" s="777"/>
      <c r="N177" s="777"/>
      <c r="O177" s="777"/>
      <c r="P177" s="777"/>
      <c r="Q177" s="777"/>
      <c r="R177" s="777"/>
      <c r="S177" s="777"/>
    </row>
    <row r="178" spans="1:19" ht="15">
      <c r="A178" s="777"/>
      <c r="B178" s="777"/>
      <c r="C178" s="777"/>
      <c r="D178" s="777"/>
      <c r="E178" s="777"/>
      <c r="F178" s="777"/>
      <c r="G178" s="777"/>
      <c r="H178" s="777"/>
      <c r="I178" s="777"/>
      <c r="J178" s="777"/>
      <c r="K178" s="777"/>
      <c r="L178" s="777"/>
      <c r="M178" s="777"/>
      <c r="N178" s="777"/>
      <c r="O178" s="777"/>
      <c r="P178" s="777"/>
      <c r="Q178" s="777"/>
      <c r="R178" s="777"/>
      <c r="S178" s="777"/>
    </row>
    <row r="179" spans="1:19" ht="15">
      <c r="A179" s="777"/>
      <c r="B179" s="777"/>
      <c r="C179" s="777"/>
      <c r="D179" s="777"/>
      <c r="E179" s="777"/>
      <c r="F179" s="777"/>
      <c r="G179" s="777"/>
      <c r="H179" s="777"/>
      <c r="I179" s="777"/>
      <c r="J179" s="777"/>
      <c r="K179" s="777"/>
      <c r="L179" s="777"/>
      <c r="M179" s="777"/>
      <c r="N179" s="777"/>
      <c r="O179" s="777"/>
      <c r="P179" s="777"/>
      <c r="Q179" s="777"/>
      <c r="R179" s="777"/>
      <c r="S179" s="777"/>
    </row>
    <row r="180" spans="1:19" ht="15">
      <c r="A180" s="777"/>
      <c r="B180" s="777"/>
      <c r="C180" s="777"/>
      <c r="D180" s="777"/>
      <c r="E180" s="777"/>
      <c r="F180" s="777"/>
      <c r="G180" s="777"/>
      <c r="H180" s="777"/>
      <c r="I180" s="777"/>
      <c r="J180" s="777"/>
      <c r="K180" s="777"/>
      <c r="L180" s="777"/>
      <c r="M180" s="777"/>
      <c r="N180" s="777"/>
      <c r="O180" s="777"/>
      <c r="P180" s="777"/>
      <c r="Q180" s="777"/>
      <c r="R180" s="777"/>
      <c r="S180" s="777"/>
    </row>
    <row r="181" spans="1:19" ht="15">
      <c r="A181" s="777"/>
      <c r="B181" s="777"/>
      <c r="C181" s="777"/>
      <c r="D181" s="777"/>
      <c r="E181" s="777"/>
      <c r="F181" s="777"/>
      <c r="G181" s="777"/>
      <c r="H181" s="777"/>
      <c r="I181" s="777"/>
      <c r="J181" s="777"/>
      <c r="K181" s="777"/>
      <c r="L181" s="777"/>
      <c r="M181" s="777"/>
      <c r="N181" s="777"/>
      <c r="O181" s="777"/>
      <c r="P181" s="777"/>
      <c r="Q181" s="777"/>
      <c r="R181" s="777"/>
      <c r="S181" s="777"/>
    </row>
    <row r="182" spans="1:19" ht="15">
      <c r="A182" s="777"/>
      <c r="B182" s="777"/>
      <c r="C182" s="777"/>
      <c r="D182" s="777"/>
      <c r="E182" s="777"/>
      <c r="F182" s="777"/>
      <c r="G182" s="777"/>
      <c r="H182" s="777"/>
      <c r="I182" s="777"/>
      <c r="J182" s="777"/>
      <c r="K182" s="777"/>
      <c r="L182" s="777"/>
      <c r="M182" s="777"/>
      <c r="N182" s="777"/>
      <c r="O182" s="777"/>
      <c r="P182" s="777"/>
      <c r="Q182" s="777"/>
      <c r="R182" s="777"/>
      <c r="S182" s="777"/>
    </row>
    <row r="183" spans="1:19" ht="15">
      <c r="A183" s="777"/>
      <c r="B183" s="777"/>
      <c r="C183" s="777"/>
      <c r="D183" s="777"/>
      <c r="E183" s="777"/>
      <c r="F183" s="777"/>
      <c r="G183" s="777"/>
      <c r="H183" s="777"/>
      <c r="I183" s="777"/>
      <c r="J183" s="777"/>
      <c r="K183" s="777"/>
      <c r="L183" s="777"/>
      <c r="M183" s="777"/>
      <c r="N183" s="777"/>
      <c r="O183" s="777"/>
      <c r="P183" s="777"/>
      <c r="Q183" s="777"/>
      <c r="R183" s="777"/>
      <c r="S183" s="777"/>
    </row>
    <row r="184" spans="1:19" ht="15">
      <c r="A184" s="777"/>
      <c r="B184" s="777"/>
      <c r="C184" s="777"/>
      <c r="D184" s="777"/>
      <c r="E184" s="777"/>
      <c r="F184" s="777"/>
      <c r="G184" s="777"/>
      <c r="H184" s="777"/>
      <c r="I184" s="777"/>
      <c r="J184" s="777"/>
      <c r="K184" s="777"/>
      <c r="L184" s="777"/>
      <c r="M184" s="777"/>
      <c r="N184" s="777"/>
      <c r="O184" s="777"/>
      <c r="P184" s="777"/>
      <c r="Q184" s="777"/>
      <c r="R184" s="777"/>
      <c r="S184" s="777"/>
    </row>
    <row r="185" spans="1:19" ht="15">
      <c r="A185" s="777"/>
      <c r="B185" s="777"/>
      <c r="C185" s="777"/>
      <c r="D185" s="777"/>
      <c r="E185" s="777"/>
      <c r="F185" s="777"/>
      <c r="G185" s="777"/>
      <c r="H185" s="777"/>
      <c r="I185" s="777"/>
      <c r="J185" s="777"/>
      <c r="K185" s="777"/>
      <c r="L185" s="777"/>
      <c r="M185" s="777"/>
      <c r="N185" s="777"/>
      <c r="O185" s="777"/>
      <c r="P185" s="777"/>
      <c r="Q185" s="777"/>
      <c r="R185" s="777"/>
      <c r="S185" s="777"/>
    </row>
    <row r="186" spans="1:19" ht="15">
      <c r="A186" s="777"/>
      <c r="B186" s="777"/>
      <c r="C186" s="777"/>
      <c r="D186" s="777"/>
      <c r="E186" s="777"/>
      <c r="F186" s="777"/>
      <c r="G186" s="777"/>
      <c r="H186" s="777"/>
      <c r="I186" s="777"/>
      <c r="J186" s="777"/>
      <c r="K186" s="777"/>
      <c r="L186" s="777"/>
      <c r="M186" s="777"/>
      <c r="N186" s="777"/>
      <c r="O186" s="777"/>
      <c r="P186" s="777"/>
      <c r="Q186" s="777"/>
      <c r="R186" s="777"/>
      <c r="S186" s="777"/>
    </row>
    <row r="187" spans="1:19" ht="15">
      <c r="A187" s="777"/>
      <c r="B187" s="777"/>
      <c r="C187" s="777"/>
      <c r="D187" s="777"/>
      <c r="E187" s="777"/>
      <c r="F187" s="777"/>
      <c r="G187" s="777"/>
      <c r="H187" s="777"/>
      <c r="I187" s="777"/>
      <c r="J187" s="777"/>
      <c r="K187" s="777"/>
      <c r="L187" s="777"/>
      <c r="M187" s="777"/>
      <c r="N187" s="777"/>
      <c r="O187" s="777"/>
      <c r="P187" s="777"/>
      <c r="Q187" s="777"/>
      <c r="R187" s="777"/>
      <c r="S187" s="777"/>
    </row>
    <row r="188" spans="1:19" ht="15">
      <c r="A188" s="777"/>
      <c r="B188" s="777"/>
      <c r="C188" s="777"/>
      <c r="D188" s="777"/>
      <c r="E188" s="777"/>
      <c r="F188" s="777"/>
      <c r="G188" s="777"/>
      <c r="H188" s="777"/>
      <c r="I188" s="777"/>
      <c r="J188" s="777"/>
      <c r="K188" s="777"/>
      <c r="L188" s="777"/>
      <c r="M188" s="777"/>
      <c r="N188" s="777"/>
      <c r="O188" s="777"/>
      <c r="P188" s="777"/>
      <c r="Q188" s="777"/>
      <c r="R188" s="777"/>
      <c r="S188" s="777"/>
    </row>
    <row r="189" spans="1:19" ht="15">
      <c r="A189" s="777"/>
      <c r="B189" s="777"/>
      <c r="C189" s="777"/>
      <c r="D189" s="777"/>
      <c r="E189" s="777"/>
      <c r="F189" s="777"/>
      <c r="G189" s="777"/>
      <c r="H189" s="777"/>
      <c r="I189" s="777"/>
      <c r="J189" s="777"/>
      <c r="K189" s="777"/>
      <c r="L189" s="777"/>
      <c r="M189" s="777"/>
      <c r="N189" s="777"/>
      <c r="O189" s="777"/>
      <c r="P189" s="777"/>
      <c r="Q189" s="777"/>
      <c r="R189" s="777"/>
      <c r="S189" s="777"/>
    </row>
    <row r="190" spans="1:19" ht="15">
      <c r="A190" s="777"/>
      <c r="B190" s="777"/>
      <c r="C190" s="777"/>
      <c r="D190" s="777"/>
      <c r="E190" s="777"/>
      <c r="F190" s="777"/>
      <c r="G190" s="777"/>
      <c r="H190" s="777"/>
      <c r="I190" s="777"/>
      <c r="J190" s="777"/>
      <c r="K190" s="777"/>
      <c r="L190" s="777"/>
      <c r="M190" s="777"/>
      <c r="N190" s="777"/>
      <c r="O190" s="777"/>
      <c r="P190" s="777"/>
      <c r="Q190" s="777"/>
      <c r="R190" s="777"/>
      <c r="S190" s="777"/>
    </row>
    <row r="191" spans="1:19" ht="15">
      <c r="A191" s="777"/>
      <c r="B191" s="777"/>
      <c r="C191" s="777"/>
      <c r="D191" s="777"/>
      <c r="E191" s="777"/>
      <c r="F191" s="777"/>
      <c r="G191" s="777"/>
      <c r="H191" s="777"/>
      <c r="I191" s="777"/>
      <c r="J191" s="777"/>
      <c r="K191" s="777"/>
      <c r="L191" s="777"/>
      <c r="M191" s="777"/>
      <c r="N191" s="777"/>
      <c r="O191" s="777"/>
      <c r="P191" s="777"/>
      <c r="Q191" s="777"/>
      <c r="R191" s="777"/>
      <c r="S191" s="777"/>
    </row>
    <row r="192" spans="1:19" ht="15">
      <c r="A192" s="777"/>
      <c r="B192" s="777"/>
      <c r="C192" s="777"/>
      <c r="D192" s="777"/>
      <c r="E192" s="777"/>
      <c r="F192" s="777"/>
      <c r="G192" s="777"/>
      <c r="H192" s="777"/>
      <c r="I192" s="777"/>
      <c r="J192" s="777"/>
      <c r="K192" s="777"/>
      <c r="L192" s="777"/>
      <c r="M192" s="777"/>
      <c r="N192" s="777"/>
      <c r="O192" s="777"/>
      <c r="P192" s="777"/>
      <c r="Q192" s="777"/>
      <c r="R192" s="777"/>
      <c r="S192" s="777"/>
    </row>
    <row r="193" spans="1:19" ht="15">
      <c r="A193" s="777"/>
      <c r="B193" s="777"/>
      <c r="C193" s="777"/>
      <c r="D193" s="777"/>
      <c r="E193" s="777"/>
      <c r="F193" s="777"/>
      <c r="G193" s="777"/>
      <c r="H193" s="777"/>
      <c r="I193" s="777"/>
      <c r="J193" s="777"/>
      <c r="K193" s="777"/>
      <c r="L193" s="777"/>
      <c r="M193" s="777"/>
      <c r="N193" s="777"/>
      <c r="O193" s="777"/>
      <c r="P193" s="777"/>
      <c r="Q193" s="777"/>
      <c r="R193" s="777"/>
      <c r="S193" s="777"/>
    </row>
    <row r="194" spans="1:19" ht="15">
      <c r="A194" s="777"/>
      <c r="B194" s="777"/>
      <c r="C194" s="777"/>
      <c r="D194" s="777"/>
      <c r="E194" s="777"/>
      <c r="F194" s="777"/>
      <c r="G194" s="777"/>
      <c r="H194" s="777"/>
      <c r="I194" s="777"/>
      <c r="J194" s="777"/>
      <c r="K194" s="777"/>
      <c r="L194" s="777"/>
      <c r="M194" s="777"/>
      <c r="N194" s="777"/>
      <c r="O194" s="777"/>
      <c r="P194" s="777"/>
      <c r="Q194" s="777"/>
      <c r="R194" s="777"/>
      <c r="S194" s="777"/>
    </row>
    <row r="195" spans="1:19" ht="15">
      <c r="A195" s="777"/>
      <c r="B195" s="777"/>
      <c r="C195" s="777"/>
      <c r="D195" s="777"/>
      <c r="E195" s="777"/>
      <c r="F195" s="777"/>
      <c r="G195" s="777"/>
      <c r="H195" s="777"/>
      <c r="I195" s="777"/>
      <c r="J195" s="777"/>
      <c r="K195" s="777"/>
      <c r="L195" s="777"/>
      <c r="M195" s="777"/>
      <c r="N195" s="777"/>
      <c r="O195" s="777"/>
      <c r="P195" s="777"/>
      <c r="Q195" s="777"/>
      <c r="R195" s="777"/>
      <c r="S195" s="777"/>
    </row>
    <row r="196" spans="1:19" ht="15">
      <c r="A196" s="777"/>
      <c r="B196" s="777"/>
      <c r="C196" s="777"/>
      <c r="D196" s="777"/>
      <c r="E196" s="777"/>
      <c r="F196" s="777"/>
      <c r="G196" s="777"/>
      <c r="H196" s="777"/>
      <c r="I196" s="777"/>
      <c r="J196" s="777"/>
      <c r="K196" s="777"/>
      <c r="L196" s="777"/>
      <c r="M196" s="777"/>
      <c r="N196" s="777"/>
      <c r="O196" s="777"/>
      <c r="P196" s="777"/>
      <c r="Q196" s="777"/>
      <c r="R196" s="777"/>
      <c r="S196" s="777"/>
    </row>
    <row r="197" spans="1:19" ht="15">
      <c r="A197" s="777"/>
      <c r="B197" s="777"/>
      <c r="C197" s="777"/>
      <c r="D197" s="777"/>
      <c r="E197" s="777"/>
      <c r="F197" s="777"/>
      <c r="G197" s="777"/>
      <c r="H197" s="777"/>
      <c r="I197" s="777"/>
      <c r="J197" s="777"/>
      <c r="K197" s="777"/>
      <c r="L197" s="777"/>
      <c r="M197" s="777"/>
      <c r="N197" s="777"/>
      <c r="O197" s="777"/>
      <c r="P197" s="777"/>
      <c r="Q197" s="777"/>
      <c r="R197" s="777"/>
      <c r="S197" s="777"/>
    </row>
    <row r="198" spans="1:19" ht="15">
      <c r="A198" s="777"/>
      <c r="B198" s="777"/>
      <c r="C198" s="777"/>
      <c r="D198" s="777"/>
      <c r="E198" s="777"/>
      <c r="F198" s="777"/>
      <c r="G198" s="777"/>
      <c r="H198" s="777"/>
      <c r="I198" s="777"/>
      <c r="J198" s="777"/>
      <c r="K198" s="777"/>
      <c r="L198" s="777"/>
      <c r="M198" s="777"/>
      <c r="N198" s="777"/>
      <c r="O198" s="777"/>
      <c r="P198" s="777"/>
      <c r="Q198" s="777"/>
      <c r="R198" s="777"/>
      <c r="S198" s="777"/>
    </row>
    <row r="199" spans="1:19" ht="15">
      <c r="A199" s="777"/>
      <c r="B199" s="777"/>
      <c r="C199" s="777"/>
      <c r="D199" s="777"/>
      <c r="E199" s="777"/>
      <c r="F199" s="777"/>
      <c r="G199" s="777"/>
      <c r="H199" s="777"/>
      <c r="I199" s="777"/>
      <c r="J199" s="777"/>
      <c r="K199" s="777"/>
      <c r="L199" s="777"/>
      <c r="M199" s="777"/>
      <c r="N199" s="777"/>
      <c r="O199" s="777"/>
      <c r="P199" s="777"/>
      <c r="Q199" s="777"/>
      <c r="R199" s="777"/>
      <c r="S199" s="777"/>
    </row>
    <row r="200" spans="1:19" ht="15">
      <c r="A200" s="777"/>
      <c r="B200" s="777"/>
      <c r="C200" s="777"/>
      <c r="D200" s="777"/>
      <c r="E200" s="777"/>
      <c r="F200" s="777"/>
      <c r="G200" s="777"/>
      <c r="H200" s="777"/>
      <c r="I200" s="777"/>
      <c r="J200" s="777"/>
      <c r="K200" s="777"/>
      <c r="L200" s="777"/>
      <c r="M200" s="777"/>
      <c r="N200" s="777"/>
      <c r="O200" s="777"/>
      <c r="P200" s="777"/>
      <c r="Q200" s="777"/>
      <c r="R200" s="777"/>
      <c r="S200" s="777"/>
    </row>
    <row r="201" spans="1:19" ht="15">
      <c r="A201" s="777"/>
      <c r="B201" s="777"/>
      <c r="C201" s="777"/>
      <c r="D201" s="777"/>
      <c r="E201" s="777"/>
      <c r="F201" s="777"/>
      <c r="G201" s="777"/>
      <c r="H201" s="777"/>
      <c r="I201" s="777"/>
      <c r="J201" s="777"/>
      <c r="K201" s="777"/>
      <c r="L201" s="777"/>
      <c r="M201" s="777"/>
      <c r="N201" s="777"/>
      <c r="O201" s="777"/>
      <c r="P201" s="777"/>
      <c r="Q201" s="777"/>
      <c r="R201" s="777"/>
      <c r="S201" s="777"/>
    </row>
    <row r="202" spans="1:19" ht="15">
      <c r="A202" s="777"/>
      <c r="B202" s="777"/>
      <c r="C202" s="777"/>
      <c r="D202" s="777"/>
      <c r="E202" s="777"/>
      <c r="F202" s="777"/>
      <c r="G202" s="777"/>
      <c r="H202" s="777"/>
      <c r="I202" s="777"/>
      <c r="J202" s="777"/>
      <c r="K202" s="777"/>
      <c r="L202" s="777"/>
      <c r="M202" s="777"/>
      <c r="N202" s="777"/>
      <c r="O202" s="777"/>
      <c r="P202" s="777"/>
      <c r="Q202" s="777"/>
      <c r="R202" s="777"/>
      <c r="S202" s="777"/>
    </row>
    <row r="203" spans="1:19" ht="15">
      <c r="A203" s="777"/>
      <c r="B203" s="777"/>
      <c r="C203" s="777"/>
      <c r="D203" s="777"/>
      <c r="E203" s="777"/>
      <c r="F203" s="777"/>
      <c r="G203" s="777"/>
      <c r="H203" s="777"/>
      <c r="I203" s="777"/>
      <c r="J203" s="777"/>
      <c r="K203" s="777"/>
      <c r="L203" s="777"/>
      <c r="M203" s="777"/>
      <c r="N203" s="777"/>
      <c r="O203" s="777"/>
      <c r="P203" s="777"/>
      <c r="Q203" s="777"/>
      <c r="R203" s="777"/>
      <c r="S203" s="777"/>
    </row>
    <row r="204" spans="1:19" ht="15">
      <c r="A204" s="777"/>
      <c r="B204" s="777"/>
      <c r="C204" s="777"/>
      <c r="D204" s="777"/>
      <c r="E204" s="777"/>
      <c r="F204" s="777"/>
      <c r="G204" s="777"/>
      <c r="H204" s="777"/>
      <c r="I204" s="777"/>
      <c r="J204" s="777"/>
      <c r="K204" s="777"/>
      <c r="L204" s="777"/>
      <c r="M204" s="777"/>
      <c r="N204" s="777"/>
      <c r="O204" s="777"/>
      <c r="P204" s="777"/>
      <c r="Q204" s="777"/>
      <c r="R204" s="777"/>
      <c r="S204" s="777"/>
    </row>
    <row r="205" spans="1:19" ht="15">
      <c r="A205" s="777"/>
      <c r="B205" s="777"/>
      <c r="C205" s="777"/>
      <c r="D205" s="777"/>
      <c r="E205" s="777"/>
      <c r="F205" s="777"/>
      <c r="G205" s="777"/>
      <c r="H205" s="777"/>
      <c r="I205" s="777"/>
      <c r="J205" s="777"/>
      <c r="K205" s="777"/>
      <c r="L205" s="777"/>
      <c r="M205" s="777"/>
      <c r="N205" s="777"/>
      <c r="O205" s="777"/>
      <c r="P205" s="777"/>
      <c r="Q205" s="777"/>
      <c r="R205" s="777"/>
      <c r="S205" s="777"/>
    </row>
    <row r="206" spans="1:19" ht="15">
      <c r="A206" s="777"/>
      <c r="B206" s="777"/>
      <c r="C206" s="777"/>
      <c r="D206" s="777"/>
      <c r="E206" s="777"/>
      <c r="F206" s="777"/>
      <c r="G206" s="777"/>
      <c r="H206" s="777"/>
      <c r="I206" s="777"/>
      <c r="J206" s="777"/>
      <c r="K206" s="777"/>
      <c r="L206" s="777"/>
      <c r="M206" s="777"/>
      <c r="N206" s="777"/>
      <c r="O206" s="777"/>
      <c r="P206" s="777"/>
      <c r="Q206" s="777"/>
      <c r="R206" s="777"/>
      <c r="S206" s="777"/>
    </row>
    <row r="207" spans="1:19" ht="15">
      <c r="A207" s="777"/>
      <c r="B207" s="777"/>
      <c r="C207" s="777"/>
      <c r="D207" s="777"/>
      <c r="E207" s="777"/>
      <c r="F207" s="777"/>
      <c r="G207" s="777"/>
      <c r="H207" s="777"/>
      <c r="I207" s="777"/>
      <c r="J207" s="777"/>
      <c r="K207" s="777"/>
      <c r="L207" s="777"/>
      <c r="M207" s="777"/>
      <c r="N207" s="777"/>
      <c r="O207" s="777"/>
      <c r="P207" s="777"/>
      <c r="Q207" s="777"/>
      <c r="R207" s="777"/>
      <c r="S207" s="777"/>
    </row>
    <row r="208" spans="1:19" ht="15">
      <c r="A208" s="777"/>
      <c r="B208" s="777"/>
      <c r="C208" s="777"/>
      <c r="D208" s="777"/>
      <c r="E208" s="777"/>
      <c r="F208" s="777"/>
      <c r="G208" s="777"/>
      <c r="H208" s="777"/>
      <c r="I208" s="777"/>
      <c r="J208" s="777"/>
      <c r="K208" s="777"/>
      <c r="L208" s="777"/>
      <c r="M208" s="777"/>
      <c r="N208" s="777"/>
      <c r="O208" s="777"/>
      <c r="P208" s="777"/>
      <c r="Q208" s="777"/>
      <c r="R208" s="777"/>
      <c r="S208" s="777"/>
    </row>
    <row r="209" spans="1:19" ht="15">
      <c r="A209" s="777"/>
      <c r="B209" s="777"/>
      <c r="C209" s="777"/>
      <c r="D209" s="777"/>
      <c r="E209" s="777"/>
      <c r="F209" s="777"/>
      <c r="G209" s="777"/>
      <c r="H209" s="777"/>
      <c r="I209" s="777"/>
      <c r="J209" s="777"/>
      <c r="K209" s="777"/>
      <c r="L209" s="777"/>
      <c r="M209" s="777"/>
      <c r="N209" s="777"/>
      <c r="O209" s="777"/>
      <c r="P209" s="777"/>
      <c r="Q209" s="777"/>
      <c r="R209" s="777"/>
      <c r="S209" s="777"/>
    </row>
    <row r="210" spans="1:19" ht="15">
      <c r="A210" s="777"/>
      <c r="B210" s="777"/>
      <c r="C210" s="777"/>
      <c r="D210" s="777"/>
      <c r="E210" s="777"/>
      <c r="F210" s="777"/>
      <c r="G210" s="777"/>
      <c r="H210" s="777"/>
      <c r="I210" s="777"/>
      <c r="J210" s="777"/>
      <c r="K210" s="777"/>
      <c r="L210" s="777"/>
      <c r="M210" s="777"/>
      <c r="N210" s="777"/>
      <c r="O210" s="777"/>
      <c r="P210" s="777"/>
      <c r="Q210" s="777"/>
      <c r="R210" s="777"/>
      <c r="S210" s="777"/>
    </row>
    <row r="211" spans="1:19" ht="15">
      <c r="A211" s="777"/>
      <c r="B211" s="777"/>
      <c r="C211" s="777"/>
      <c r="D211" s="777"/>
      <c r="E211" s="777"/>
      <c r="F211" s="777"/>
      <c r="G211" s="777"/>
      <c r="H211" s="777"/>
      <c r="I211" s="777"/>
      <c r="J211" s="777"/>
      <c r="K211" s="777"/>
      <c r="L211" s="777"/>
      <c r="M211" s="777"/>
      <c r="N211" s="777"/>
      <c r="O211" s="777"/>
      <c r="P211" s="777"/>
      <c r="Q211" s="777"/>
      <c r="R211" s="777"/>
      <c r="S211" s="777"/>
    </row>
    <row r="212" spans="1:19" ht="15">
      <c r="A212" s="777"/>
      <c r="B212" s="777"/>
      <c r="C212" s="777"/>
      <c r="D212" s="777"/>
      <c r="E212" s="777"/>
      <c r="F212" s="777"/>
      <c r="G212" s="777"/>
      <c r="H212" s="777"/>
      <c r="I212" s="777"/>
      <c r="J212" s="777"/>
      <c r="K212" s="777"/>
      <c r="L212" s="777"/>
      <c r="M212" s="777"/>
      <c r="N212" s="777"/>
      <c r="O212" s="777"/>
      <c r="P212" s="777"/>
      <c r="Q212" s="777"/>
      <c r="R212" s="777"/>
      <c r="S212" s="777"/>
    </row>
    <row r="213" spans="1:19" ht="15">
      <c r="A213" s="777"/>
      <c r="B213" s="777"/>
      <c r="C213" s="777"/>
      <c r="D213" s="777"/>
      <c r="E213" s="777"/>
      <c r="F213" s="777"/>
      <c r="G213" s="777"/>
      <c r="H213" s="777"/>
      <c r="I213" s="777"/>
      <c r="J213" s="777"/>
      <c r="K213" s="777"/>
      <c r="L213" s="777"/>
      <c r="M213" s="777"/>
      <c r="N213" s="777"/>
      <c r="O213" s="777"/>
      <c r="P213" s="777"/>
      <c r="Q213" s="777"/>
      <c r="R213" s="777"/>
      <c r="S213" s="777"/>
    </row>
    <row r="214" spans="1:19" ht="15">
      <c r="A214" s="777"/>
      <c r="B214" s="777"/>
      <c r="C214" s="777"/>
      <c r="D214" s="777"/>
      <c r="E214" s="777"/>
      <c r="F214" s="777"/>
      <c r="G214" s="777"/>
      <c r="H214" s="777"/>
      <c r="I214" s="777"/>
      <c r="J214" s="777"/>
      <c r="K214" s="777"/>
      <c r="L214" s="777"/>
      <c r="M214" s="777"/>
      <c r="N214" s="777"/>
      <c r="O214" s="777"/>
      <c r="P214" s="777"/>
      <c r="Q214" s="777"/>
      <c r="R214" s="777"/>
      <c r="S214" s="777"/>
    </row>
    <row r="215" spans="1:19" ht="15">
      <c r="A215" s="777"/>
      <c r="B215" s="777"/>
      <c r="C215" s="777"/>
      <c r="D215" s="777"/>
      <c r="E215" s="777"/>
      <c r="F215" s="777"/>
      <c r="G215" s="777"/>
      <c r="H215" s="777"/>
      <c r="I215" s="777"/>
      <c r="J215" s="777"/>
      <c r="K215" s="777"/>
      <c r="L215" s="777"/>
      <c r="M215" s="777"/>
      <c r="N215" s="777"/>
      <c r="O215" s="777"/>
      <c r="P215" s="777"/>
      <c r="Q215" s="777"/>
      <c r="R215" s="777"/>
      <c r="S215" s="777"/>
    </row>
    <row r="216" spans="1:19" ht="15">
      <c r="A216" s="777"/>
      <c r="B216" s="777"/>
      <c r="C216" s="777"/>
      <c r="D216" s="777"/>
      <c r="E216" s="777"/>
      <c r="F216" s="777"/>
      <c r="G216" s="777"/>
      <c r="H216" s="777"/>
      <c r="I216" s="777"/>
      <c r="J216" s="777"/>
      <c r="K216" s="777"/>
      <c r="L216" s="777"/>
      <c r="M216" s="777"/>
      <c r="N216" s="777"/>
      <c r="O216" s="777"/>
      <c r="P216" s="777"/>
      <c r="Q216" s="777"/>
      <c r="R216" s="777"/>
      <c r="S216" s="777"/>
    </row>
    <row r="217" spans="1:19" ht="15">
      <c r="A217" s="777"/>
      <c r="B217" s="777"/>
      <c r="C217" s="777"/>
      <c r="D217" s="777"/>
      <c r="E217" s="777"/>
      <c r="F217" s="777"/>
      <c r="G217" s="777"/>
      <c r="H217" s="777"/>
      <c r="I217" s="777"/>
      <c r="J217" s="777"/>
      <c r="K217" s="777"/>
      <c r="L217" s="777"/>
      <c r="M217" s="777"/>
      <c r="N217" s="777"/>
      <c r="O217" s="777"/>
      <c r="P217" s="777"/>
      <c r="Q217" s="777"/>
      <c r="R217" s="777"/>
      <c r="S217" s="777"/>
    </row>
    <row r="218" spans="1:19" ht="15">
      <c r="A218" s="777"/>
      <c r="B218" s="777"/>
      <c r="C218" s="777"/>
      <c r="D218" s="777"/>
      <c r="E218" s="777"/>
      <c r="F218" s="777"/>
      <c r="G218" s="777"/>
      <c r="H218" s="777"/>
      <c r="I218" s="777"/>
      <c r="J218" s="777"/>
      <c r="K218" s="777"/>
      <c r="L218" s="777"/>
      <c r="M218" s="777"/>
      <c r="N218" s="777"/>
      <c r="O218" s="777"/>
      <c r="P218" s="777"/>
      <c r="Q218" s="777"/>
      <c r="R218" s="777"/>
      <c r="S218" s="777"/>
    </row>
    <row r="219" spans="1:19" ht="15">
      <c r="A219" s="777"/>
      <c r="B219" s="777"/>
      <c r="C219" s="777"/>
      <c r="D219" s="777"/>
      <c r="E219" s="777"/>
      <c r="F219" s="777"/>
      <c r="G219" s="777"/>
      <c r="H219" s="777"/>
      <c r="I219" s="777"/>
      <c r="J219" s="777"/>
      <c r="K219" s="777"/>
      <c r="L219" s="777"/>
      <c r="M219" s="777"/>
      <c r="N219" s="777"/>
      <c r="O219" s="777"/>
      <c r="P219" s="777"/>
      <c r="Q219" s="777"/>
      <c r="R219" s="777"/>
      <c r="S219" s="777"/>
    </row>
    <row r="220" spans="1:19" ht="15">
      <c r="A220" s="777"/>
      <c r="B220" s="777"/>
      <c r="C220" s="777"/>
      <c r="D220" s="777"/>
      <c r="E220" s="777"/>
      <c r="F220" s="777"/>
      <c r="G220" s="777"/>
      <c r="H220" s="777"/>
      <c r="I220" s="777"/>
      <c r="J220" s="777"/>
      <c r="K220" s="777"/>
      <c r="L220" s="777"/>
      <c r="M220" s="777"/>
      <c r="N220" s="777"/>
      <c r="O220" s="777"/>
      <c r="P220" s="777"/>
      <c r="Q220" s="777"/>
      <c r="R220" s="777"/>
      <c r="S220" s="777"/>
    </row>
    <row r="221" spans="1:19" ht="15">
      <c r="A221" s="777"/>
      <c r="B221" s="777"/>
      <c r="C221" s="777"/>
      <c r="D221" s="777"/>
      <c r="E221" s="777"/>
      <c r="F221" s="777"/>
      <c r="G221" s="777"/>
      <c r="H221" s="777"/>
      <c r="I221" s="777"/>
      <c r="J221" s="777"/>
      <c r="K221" s="777"/>
      <c r="L221" s="777"/>
      <c r="M221" s="777"/>
      <c r="N221" s="777"/>
      <c r="O221" s="777"/>
      <c r="P221" s="777"/>
      <c r="Q221" s="777"/>
      <c r="R221" s="777"/>
      <c r="S221" s="777"/>
    </row>
    <row r="222" spans="1:19" ht="15">
      <c r="A222" s="777"/>
      <c r="B222" s="777"/>
      <c r="C222" s="777"/>
      <c r="D222" s="777"/>
      <c r="E222" s="777"/>
      <c r="F222" s="777"/>
      <c r="G222" s="777"/>
      <c r="H222" s="777"/>
      <c r="I222" s="777"/>
      <c r="J222" s="777"/>
      <c r="K222" s="777"/>
      <c r="L222" s="777"/>
      <c r="M222" s="777"/>
      <c r="N222" s="777"/>
      <c r="O222" s="777"/>
      <c r="P222" s="777"/>
      <c r="Q222" s="777"/>
      <c r="R222" s="777"/>
      <c r="S222" s="777"/>
    </row>
    <row r="223" spans="1:19" ht="15">
      <c r="A223" s="777"/>
      <c r="B223" s="777"/>
      <c r="C223" s="777"/>
      <c r="D223" s="777"/>
      <c r="E223" s="777"/>
      <c r="F223" s="777"/>
      <c r="G223" s="777"/>
      <c r="H223" s="777"/>
      <c r="I223" s="777"/>
      <c r="J223" s="777"/>
      <c r="K223" s="777"/>
      <c r="L223" s="777"/>
      <c r="M223" s="777"/>
      <c r="N223" s="777"/>
      <c r="O223" s="777"/>
      <c r="P223" s="777"/>
      <c r="Q223" s="777"/>
      <c r="R223" s="777"/>
      <c r="S223" s="777"/>
    </row>
    <row r="224" spans="1:19" ht="15">
      <c r="A224" s="777"/>
      <c r="B224" s="777"/>
      <c r="C224" s="777"/>
      <c r="D224" s="777"/>
      <c r="E224" s="777"/>
      <c r="F224" s="777"/>
      <c r="G224" s="777"/>
      <c r="H224" s="777"/>
      <c r="I224" s="777"/>
      <c r="J224" s="777"/>
      <c r="K224" s="777"/>
      <c r="L224" s="777"/>
      <c r="M224" s="777"/>
      <c r="N224" s="777"/>
      <c r="O224" s="777"/>
      <c r="P224" s="777"/>
      <c r="Q224" s="777"/>
      <c r="R224" s="777"/>
      <c r="S224" s="777"/>
    </row>
    <row r="225" spans="1:19" ht="15">
      <c r="A225" s="777"/>
      <c r="B225" s="777"/>
      <c r="C225" s="777"/>
      <c r="D225" s="777"/>
      <c r="E225" s="777"/>
      <c r="F225" s="777"/>
      <c r="G225" s="777"/>
      <c r="H225" s="777"/>
      <c r="I225" s="777"/>
      <c r="J225" s="777"/>
      <c r="K225" s="777"/>
      <c r="L225" s="777"/>
      <c r="M225" s="777"/>
      <c r="N225" s="777"/>
      <c r="O225" s="777"/>
      <c r="P225" s="777"/>
      <c r="Q225" s="777"/>
      <c r="R225" s="777"/>
      <c r="S225" s="777"/>
    </row>
    <row r="226" spans="1:19" ht="15">
      <c r="A226" s="777"/>
      <c r="B226" s="777"/>
      <c r="C226" s="777"/>
      <c r="D226" s="777"/>
      <c r="E226" s="777"/>
      <c r="F226" s="777"/>
      <c r="G226" s="777"/>
      <c r="H226" s="777"/>
      <c r="I226" s="777"/>
      <c r="J226" s="777"/>
      <c r="K226" s="777"/>
      <c r="L226" s="777"/>
      <c r="M226" s="777"/>
      <c r="N226" s="777"/>
      <c r="O226" s="777"/>
      <c r="P226" s="777"/>
      <c r="Q226" s="777"/>
      <c r="R226" s="777"/>
      <c r="S226" s="777"/>
    </row>
    <row r="227" spans="1:19" ht="15">
      <c r="A227" s="777"/>
      <c r="B227" s="777"/>
      <c r="C227" s="777"/>
      <c r="D227" s="777"/>
      <c r="E227" s="777"/>
      <c r="F227" s="777"/>
      <c r="G227" s="777"/>
      <c r="H227" s="777"/>
      <c r="I227" s="777"/>
      <c r="J227" s="777"/>
      <c r="K227" s="777"/>
      <c r="L227" s="777"/>
      <c r="M227" s="777"/>
      <c r="N227" s="777"/>
      <c r="O227" s="777"/>
      <c r="P227" s="777"/>
      <c r="Q227" s="777"/>
      <c r="R227" s="777"/>
      <c r="S227" s="777"/>
    </row>
    <row r="228" spans="1:19" ht="15">
      <c r="A228" s="777"/>
      <c r="B228" s="777"/>
      <c r="C228" s="777"/>
      <c r="D228" s="777"/>
      <c r="E228" s="777"/>
      <c r="F228" s="777"/>
      <c r="G228" s="777"/>
      <c r="H228" s="777"/>
      <c r="I228" s="777"/>
      <c r="J228" s="777"/>
      <c r="K228" s="777"/>
      <c r="L228" s="777"/>
      <c r="M228" s="777"/>
      <c r="N228" s="777"/>
      <c r="O228" s="777"/>
      <c r="P228" s="777"/>
      <c r="Q228" s="777"/>
      <c r="R228" s="777"/>
      <c r="S228" s="777"/>
    </row>
    <row r="229" spans="1:19" ht="15">
      <c r="A229" s="777"/>
      <c r="B229" s="777"/>
      <c r="C229" s="777"/>
      <c r="D229" s="777"/>
      <c r="E229" s="777"/>
      <c r="F229" s="777"/>
      <c r="G229" s="777"/>
      <c r="H229" s="777"/>
      <c r="I229" s="777"/>
      <c r="J229" s="777"/>
      <c r="K229" s="777"/>
      <c r="L229" s="777"/>
      <c r="M229" s="777"/>
      <c r="N229" s="777"/>
      <c r="O229" s="777"/>
      <c r="P229" s="777"/>
      <c r="Q229" s="777"/>
      <c r="R229" s="777"/>
      <c r="S229" s="777"/>
    </row>
    <row r="230" spans="1:19" ht="15">
      <c r="A230" s="777"/>
      <c r="B230" s="777"/>
      <c r="C230" s="777"/>
      <c r="D230" s="777"/>
      <c r="E230" s="777"/>
      <c r="F230" s="777"/>
      <c r="G230" s="777"/>
      <c r="H230" s="777"/>
      <c r="I230" s="777"/>
      <c r="J230" s="777"/>
      <c r="K230" s="777"/>
      <c r="L230" s="777"/>
      <c r="M230" s="777"/>
      <c r="N230" s="777"/>
      <c r="O230" s="777"/>
      <c r="P230" s="777"/>
      <c r="Q230" s="777"/>
      <c r="R230" s="777"/>
      <c r="S230" s="777"/>
    </row>
    <row r="231" spans="1:19" ht="15">
      <c r="A231" s="777"/>
      <c r="B231" s="777"/>
      <c r="C231" s="777"/>
      <c r="D231" s="777"/>
      <c r="E231" s="777"/>
      <c r="F231" s="777"/>
      <c r="G231" s="777"/>
      <c r="H231" s="777"/>
      <c r="I231" s="777"/>
      <c r="J231" s="777"/>
      <c r="K231" s="777"/>
      <c r="L231" s="777"/>
      <c r="M231" s="777"/>
      <c r="N231" s="777"/>
      <c r="O231" s="777"/>
      <c r="P231" s="777"/>
      <c r="Q231" s="777"/>
      <c r="R231" s="777"/>
      <c r="S231" s="777"/>
    </row>
    <row r="232" spans="1:19" ht="15">
      <c r="A232" s="777"/>
      <c r="B232" s="777"/>
      <c r="C232" s="777"/>
      <c r="D232" s="777"/>
      <c r="E232" s="777"/>
      <c r="F232" s="777"/>
      <c r="G232" s="777"/>
      <c r="H232" s="777"/>
      <c r="I232" s="777"/>
      <c r="J232" s="777"/>
      <c r="K232" s="777"/>
      <c r="L232" s="777"/>
      <c r="M232" s="777"/>
      <c r="N232" s="777"/>
      <c r="O232" s="777"/>
      <c r="P232" s="777"/>
      <c r="Q232" s="777"/>
      <c r="R232" s="777"/>
      <c r="S232" s="777"/>
    </row>
    <row r="233" spans="1:19" ht="15">
      <c r="A233" s="777"/>
      <c r="B233" s="777"/>
      <c r="C233" s="777"/>
      <c r="D233" s="777"/>
      <c r="E233" s="777"/>
      <c r="F233" s="777"/>
      <c r="G233" s="777"/>
      <c r="H233" s="777"/>
      <c r="I233" s="777"/>
      <c r="J233" s="777"/>
      <c r="K233" s="777"/>
      <c r="L233" s="777"/>
      <c r="M233" s="777"/>
      <c r="N233" s="777"/>
      <c r="O233" s="777"/>
      <c r="P233" s="777"/>
      <c r="Q233" s="777"/>
      <c r="R233" s="777"/>
      <c r="S233" s="777"/>
    </row>
    <row r="234" spans="1:19" ht="15">
      <c r="A234" s="777"/>
      <c r="B234" s="777"/>
      <c r="C234" s="777"/>
      <c r="D234" s="777"/>
      <c r="E234" s="777"/>
      <c r="F234" s="777"/>
      <c r="G234" s="777"/>
      <c r="H234" s="777"/>
      <c r="I234" s="777"/>
      <c r="J234" s="777"/>
      <c r="K234" s="777"/>
      <c r="L234" s="777"/>
      <c r="M234" s="777"/>
      <c r="N234" s="777"/>
      <c r="O234" s="777"/>
      <c r="P234" s="777"/>
      <c r="Q234" s="777"/>
      <c r="R234" s="777"/>
      <c r="S234" s="777"/>
    </row>
    <row r="235" spans="1:19" ht="15">
      <c r="A235" s="777"/>
      <c r="B235" s="777"/>
      <c r="C235" s="777"/>
      <c r="D235" s="777"/>
      <c r="E235" s="777"/>
      <c r="F235" s="777"/>
      <c r="G235" s="777"/>
      <c r="H235" s="777"/>
      <c r="I235" s="777"/>
      <c r="J235" s="777"/>
      <c r="K235" s="777"/>
      <c r="L235" s="777"/>
      <c r="M235" s="777"/>
      <c r="N235" s="777"/>
      <c r="O235" s="777"/>
      <c r="P235" s="777"/>
      <c r="Q235" s="777"/>
      <c r="R235" s="777"/>
      <c r="S235" s="777"/>
    </row>
    <row r="236" spans="1:19" ht="15">
      <c r="A236" s="777"/>
      <c r="B236" s="777"/>
      <c r="C236" s="777"/>
      <c r="D236" s="777"/>
      <c r="E236" s="777"/>
      <c r="F236" s="777"/>
      <c r="G236" s="777"/>
      <c r="H236" s="777"/>
      <c r="I236" s="777"/>
      <c r="J236" s="777"/>
      <c r="K236" s="777"/>
      <c r="L236" s="777"/>
      <c r="M236" s="777"/>
      <c r="N236" s="777"/>
      <c r="O236" s="777"/>
      <c r="P236" s="777"/>
      <c r="Q236" s="777"/>
      <c r="R236" s="777"/>
      <c r="S236" s="777"/>
    </row>
    <row r="237" spans="1:19" ht="15">
      <c r="A237" s="777"/>
      <c r="B237" s="777"/>
      <c r="C237" s="777"/>
      <c r="D237" s="777"/>
      <c r="E237" s="777"/>
      <c r="F237" s="777"/>
      <c r="G237" s="777"/>
      <c r="H237" s="777"/>
      <c r="I237" s="777"/>
      <c r="J237" s="777"/>
      <c r="K237" s="777"/>
      <c r="L237" s="777"/>
      <c r="M237" s="777"/>
      <c r="N237" s="777"/>
      <c r="O237" s="777"/>
      <c r="P237" s="777"/>
      <c r="Q237" s="777"/>
      <c r="R237" s="777"/>
      <c r="S237" s="777"/>
    </row>
    <row r="238" spans="1:19" ht="15">
      <c r="A238" s="777"/>
      <c r="B238" s="777"/>
      <c r="C238" s="777"/>
      <c r="D238" s="777"/>
      <c r="E238" s="777"/>
      <c r="F238" s="777"/>
      <c r="G238" s="777"/>
      <c r="H238" s="777"/>
      <c r="I238" s="777"/>
      <c r="J238" s="777"/>
      <c r="K238" s="777"/>
      <c r="L238" s="777"/>
      <c r="M238" s="777"/>
      <c r="N238" s="777"/>
      <c r="O238" s="777"/>
      <c r="P238" s="777"/>
      <c r="Q238" s="777"/>
      <c r="R238" s="777"/>
      <c r="S238" s="777"/>
    </row>
    <row r="239" spans="1:19" ht="15">
      <c r="A239" s="777"/>
      <c r="B239" s="777"/>
      <c r="C239" s="777"/>
      <c r="D239" s="777"/>
      <c r="E239" s="777"/>
      <c r="F239" s="777"/>
      <c r="G239" s="777"/>
      <c r="H239" s="777"/>
      <c r="I239" s="777"/>
      <c r="J239" s="777"/>
      <c r="K239" s="777"/>
      <c r="L239" s="777"/>
      <c r="M239" s="777"/>
      <c r="N239" s="777"/>
      <c r="O239" s="777"/>
      <c r="P239" s="777"/>
      <c r="Q239" s="777"/>
      <c r="R239" s="777"/>
      <c r="S239" s="777"/>
    </row>
  </sheetData>
  <pageMargins left="0.78" right="0.28000000000000003" top="0.46" bottom="0.35" header="0.27" footer="0.17"/>
  <pageSetup scale="43" orientation="landscape" r:id="rId1"/>
  <headerFooter alignWithMargins="0">
    <oddFooter>&amp;L&amp;"CG Times,Bold"Les banques qui n'ont pas respecté les limites réglementaires au 31 mars 1999 seront pénalisées.&amp;"CG Times,Regular"
&amp;R&amp;P</oddFooter>
  </headerFooter>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165"/>
  <sheetViews>
    <sheetView workbookViewId="0">
      <selection activeCell="B35" sqref="B35"/>
    </sheetView>
  </sheetViews>
  <sheetFormatPr defaultRowHeight="15.75"/>
  <cols>
    <col min="1" max="1" width="31.375" customWidth="1"/>
    <col min="2" max="2" width="13.625" style="12" customWidth="1"/>
    <col min="3" max="3" width="13.75" style="13" customWidth="1"/>
    <col min="4" max="4" width="13.75" style="12" customWidth="1"/>
    <col min="5" max="5" width="13.75" style="13" customWidth="1"/>
    <col min="6" max="6" width="13.75" style="12" customWidth="1"/>
    <col min="7" max="7" width="13.75" style="13" customWidth="1"/>
    <col min="8" max="10" width="13.75" style="12" customWidth="1"/>
    <col min="11" max="11" width="13.75" style="13" customWidth="1"/>
    <col min="12" max="12" width="13.75" style="12" customWidth="1"/>
    <col min="13" max="13" width="13.75" style="13" customWidth="1"/>
    <col min="14" max="14" width="13.75" style="12" customWidth="1"/>
    <col min="15" max="15" width="13.75" style="13" customWidth="1"/>
    <col min="16" max="17" width="13.75" style="12" customWidth="1"/>
    <col min="18" max="18" width="14.375" style="12" customWidth="1"/>
    <col min="19" max="23" width="14.375" customWidth="1"/>
    <col min="24" max="256" width="11" customWidth="1"/>
  </cols>
  <sheetData>
    <row r="1" spans="1:16" ht="30">
      <c r="A1" s="1020" t="s">
        <v>822</v>
      </c>
      <c r="B1" s="37"/>
      <c r="C1" s="38"/>
      <c r="D1" s="37"/>
      <c r="E1" s="38"/>
      <c r="F1" s="37"/>
      <c r="G1" s="38"/>
      <c r="H1" s="37"/>
      <c r="I1" s="37"/>
      <c r="J1" s="37"/>
      <c r="K1" s="38"/>
      <c r="L1" s="37"/>
      <c r="M1" s="38"/>
      <c r="N1" s="37"/>
      <c r="O1" s="38"/>
      <c r="P1" s="37"/>
    </row>
    <row r="2" spans="1:16">
      <c r="A2" s="114" t="s">
        <v>0</v>
      </c>
      <c r="B2" s="37"/>
      <c r="C2" s="38"/>
      <c r="D2" s="37"/>
      <c r="E2" s="38"/>
      <c r="F2" s="37"/>
      <c r="G2" s="38"/>
      <c r="H2" s="37"/>
      <c r="I2" s="37"/>
      <c r="J2" s="37"/>
      <c r="K2" s="38"/>
      <c r="L2" s="37"/>
      <c r="M2" s="38"/>
      <c r="N2" s="37"/>
      <c r="O2" s="38"/>
      <c r="P2" s="37"/>
    </row>
    <row r="3" spans="1:16">
      <c r="A3" s="114" t="s">
        <v>0</v>
      </c>
      <c r="B3" s="37"/>
      <c r="C3" s="38"/>
      <c r="D3" s="37"/>
      <c r="E3" s="38"/>
      <c r="F3" s="37"/>
      <c r="G3" s="38"/>
      <c r="H3" s="37"/>
      <c r="I3" s="37"/>
      <c r="J3" s="37"/>
      <c r="K3" s="38"/>
      <c r="L3" s="37"/>
      <c r="M3" s="38"/>
      <c r="N3" s="37"/>
      <c r="O3" s="38"/>
      <c r="P3" s="37"/>
    </row>
    <row r="4" spans="1:16" ht="23.25">
      <c r="A4" s="1021" t="s">
        <v>0</v>
      </c>
      <c r="B4" s="37"/>
      <c r="C4" s="38"/>
      <c r="D4" s="37"/>
      <c r="E4" s="38"/>
      <c r="F4" s="37"/>
      <c r="G4" s="38"/>
      <c r="H4" s="37"/>
      <c r="I4" s="37"/>
      <c r="J4" s="37"/>
      <c r="K4" s="38"/>
      <c r="L4" s="37"/>
      <c r="M4" s="38"/>
      <c r="N4" s="37"/>
      <c r="O4" s="38"/>
      <c r="P4" s="37"/>
    </row>
    <row r="5" spans="1:16">
      <c r="A5" s="114" t="s">
        <v>0</v>
      </c>
      <c r="B5" s="37"/>
      <c r="C5" s="38"/>
      <c r="D5" s="37"/>
      <c r="E5" s="38"/>
      <c r="F5" s="37"/>
      <c r="G5" s="38"/>
      <c r="H5" s="37"/>
      <c r="I5" s="37"/>
      <c r="J5" s="37"/>
      <c r="K5" s="38"/>
      <c r="L5" s="37"/>
      <c r="M5" s="38"/>
      <c r="N5" s="37"/>
      <c r="O5" s="38"/>
      <c r="P5" s="37"/>
    </row>
    <row r="6" spans="1:16">
      <c r="A6" s="114"/>
      <c r="B6" s="37"/>
      <c r="C6" s="38"/>
      <c r="D6" s="37"/>
      <c r="E6" s="38"/>
      <c r="F6" s="37"/>
      <c r="G6" s="38"/>
      <c r="H6" s="37"/>
      <c r="I6" s="37"/>
      <c r="J6" s="37"/>
      <c r="K6" s="38"/>
      <c r="L6" s="37"/>
      <c r="M6" s="38"/>
      <c r="N6" s="37"/>
      <c r="O6" s="38"/>
      <c r="P6" s="37"/>
    </row>
    <row r="7" spans="1:16">
      <c r="A7" s="114"/>
      <c r="B7" s="37"/>
      <c r="C7" s="38"/>
      <c r="D7" s="37"/>
      <c r="E7" s="38"/>
      <c r="F7" s="37"/>
      <c r="G7" s="38"/>
      <c r="H7" s="37"/>
      <c r="I7" s="37"/>
      <c r="J7" s="37"/>
      <c r="K7" s="38"/>
      <c r="L7" s="37"/>
      <c r="M7" s="38"/>
      <c r="N7" s="37"/>
      <c r="O7" s="38"/>
      <c r="P7" s="37"/>
    </row>
    <row r="8" spans="1:16">
      <c r="A8" s="114"/>
      <c r="B8" s="37"/>
      <c r="C8" s="38"/>
      <c r="D8" s="37"/>
      <c r="E8" s="38"/>
      <c r="F8" s="37"/>
      <c r="G8" s="38"/>
      <c r="H8" s="37"/>
      <c r="I8" s="37"/>
      <c r="J8" s="37"/>
      <c r="K8" s="38"/>
      <c r="L8" s="37"/>
      <c r="M8" s="38"/>
      <c r="N8" s="37"/>
      <c r="O8" s="38"/>
      <c r="P8" s="37"/>
    </row>
    <row r="9" spans="1:16">
      <c r="A9" s="114"/>
      <c r="B9" s="37"/>
      <c r="C9" s="38"/>
      <c r="D9" s="37"/>
      <c r="E9" s="38"/>
      <c r="F9" s="37"/>
      <c r="G9" s="38"/>
      <c r="H9" s="37"/>
      <c r="I9" s="37"/>
      <c r="J9" s="37"/>
      <c r="K9" s="38"/>
      <c r="L9" s="37"/>
      <c r="M9" s="38"/>
      <c r="N9" s="37"/>
      <c r="O9" s="38"/>
      <c r="P9" s="37"/>
    </row>
    <row r="10" spans="1:16">
      <c r="A10" s="114"/>
      <c r="B10" s="37"/>
      <c r="C10" s="38"/>
      <c r="D10" s="37"/>
      <c r="E10" s="38"/>
      <c r="F10" s="37"/>
      <c r="G10" s="38"/>
      <c r="H10" s="37"/>
      <c r="I10" s="37"/>
      <c r="J10" s="37"/>
      <c r="K10" s="38"/>
      <c r="L10" s="37"/>
      <c r="M10" s="38"/>
      <c r="N10" s="37"/>
      <c r="O10" s="38"/>
      <c r="P10" s="37"/>
    </row>
    <row r="11" spans="1:16">
      <c r="A11" s="114"/>
      <c r="B11" s="37"/>
      <c r="C11" s="38"/>
      <c r="D11" s="37"/>
      <c r="E11" s="38"/>
      <c r="F11" s="37"/>
      <c r="G11" s="38"/>
      <c r="H11" s="37"/>
      <c r="I11" s="37"/>
      <c r="J11" s="37"/>
      <c r="K11" s="38"/>
      <c r="L11" s="37"/>
      <c r="M11" s="38"/>
      <c r="N11" s="37"/>
      <c r="O11" s="38"/>
      <c r="P11" s="37"/>
    </row>
    <row r="12" spans="1:16">
      <c r="A12" s="114"/>
      <c r="B12" s="37"/>
      <c r="C12" s="38"/>
      <c r="D12" s="37"/>
      <c r="E12" s="38"/>
      <c r="F12" s="37"/>
      <c r="G12" s="38"/>
      <c r="H12" s="37"/>
      <c r="I12" s="37"/>
      <c r="J12" s="37"/>
      <c r="K12" s="38"/>
      <c r="L12" s="37"/>
      <c r="M12" s="38"/>
      <c r="N12" s="37"/>
      <c r="O12" s="38"/>
      <c r="P12" s="37"/>
    </row>
    <row r="13" spans="1:16">
      <c r="A13" s="114"/>
      <c r="B13" s="37"/>
      <c r="C13" s="38"/>
      <c r="D13" s="37"/>
      <c r="E13" s="38"/>
      <c r="F13" s="37"/>
      <c r="G13" s="38"/>
      <c r="H13" s="37"/>
      <c r="I13" s="37"/>
      <c r="J13" s="37"/>
      <c r="K13" s="38"/>
      <c r="L13" s="37"/>
      <c r="M13" s="38"/>
      <c r="N13" s="37"/>
      <c r="O13" s="38"/>
      <c r="P13" s="37"/>
    </row>
    <row r="14" spans="1:16">
      <c r="A14" s="34"/>
      <c r="B14" s="37"/>
      <c r="C14" s="38"/>
      <c r="D14" s="37"/>
      <c r="E14" s="38"/>
      <c r="F14" s="37"/>
      <c r="G14" s="38"/>
      <c r="H14" s="37"/>
      <c r="I14" s="37"/>
      <c r="J14" s="37"/>
      <c r="K14" s="38"/>
      <c r="L14" s="37"/>
      <c r="M14" s="38"/>
      <c r="N14" s="37"/>
      <c r="O14" s="38"/>
      <c r="P14" s="37"/>
    </row>
    <row r="15" spans="1:16">
      <c r="A15" s="34"/>
      <c r="B15" s="37"/>
      <c r="C15" s="38"/>
      <c r="D15" s="37"/>
      <c r="E15" s="38"/>
      <c r="F15" s="37"/>
      <c r="G15" s="38"/>
      <c r="H15" s="37"/>
      <c r="I15" s="37"/>
      <c r="J15" s="37"/>
      <c r="K15" s="38"/>
      <c r="L15" s="37"/>
      <c r="M15" s="38"/>
      <c r="N15" s="37"/>
      <c r="O15" s="38"/>
      <c r="P15" s="37"/>
    </row>
    <row r="16" spans="1:16">
      <c r="A16" s="34"/>
      <c r="B16" s="37"/>
      <c r="C16" s="38"/>
      <c r="D16" s="37"/>
      <c r="E16" s="38"/>
      <c r="F16" s="37"/>
      <c r="G16" s="38"/>
      <c r="H16" s="37"/>
      <c r="I16" s="37"/>
      <c r="J16" s="37"/>
      <c r="K16" s="38"/>
      <c r="L16" s="37"/>
      <c r="M16" s="38"/>
      <c r="N16" s="37"/>
      <c r="O16" s="38"/>
      <c r="P16" s="37"/>
    </row>
    <row r="17" spans="1:41">
      <c r="A17" s="34"/>
      <c r="B17" s="37"/>
      <c r="C17" s="38"/>
      <c r="D17" s="37"/>
      <c r="E17" s="38"/>
      <c r="F17" s="37"/>
      <c r="G17" s="38"/>
      <c r="H17" s="37"/>
      <c r="I17" s="37"/>
      <c r="J17" s="37"/>
      <c r="K17" s="38"/>
      <c r="L17" s="37"/>
      <c r="M17" s="38"/>
      <c r="N17" s="37"/>
      <c r="O17" s="38"/>
      <c r="P17" s="37"/>
    </row>
    <row r="18" spans="1:41">
      <c r="A18" s="34"/>
      <c r="B18" s="37"/>
      <c r="C18" s="38"/>
      <c r="D18" s="37"/>
      <c r="E18" s="38"/>
      <c r="F18" s="37"/>
      <c r="G18" s="38"/>
      <c r="H18" s="37"/>
      <c r="I18" s="37"/>
      <c r="J18" s="37"/>
      <c r="K18" s="38"/>
      <c r="L18" s="37"/>
      <c r="M18" s="38"/>
      <c r="N18" s="37"/>
      <c r="O18" s="38"/>
      <c r="P18" s="37"/>
    </row>
    <row r="19" spans="1:41">
      <c r="A19" s="34"/>
      <c r="B19" s="37"/>
      <c r="C19" s="38"/>
      <c r="D19" s="37"/>
      <c r="E19" s="38"/>
      <c r="F19" s="37"/>
      <c r="G19" s="38"/>
      <c r="H19" s="37"/>
      <c r="I19" s="37"/>
      <c r="J19" s="37"/>
      <c r="K19" s="38"/>
      <c r="L19" s="37"/>
      <c r="M19" s="38"/>
      <c r="N19" s="37"/>
      <c r="O19" s="38"/>
      <c r="P19" s="37"/>
    </row>
    <row r="20" spans="1:41">
      <c r="A20" s="34"/>
      <c r="B20" s="37"/>
      <c r="C20" s="38"/>
      <c r="D20" s="37"/>
      <c r="E20" s="38"/>
      <c r="F20" s="37"/>
      <c r="G20" s="38"/>
      <c r="H20" s="37"/>
      <c r="I20" s="37"/>
      <c r="J20" s="37"/>
      <c r="K20" s="38"/>
      <c r="L20" s="37"/>
      <c r="M20" s="38"/>
      <c r="N20" s="37"/>
      <c r="O20" s="38"/>
      <c r="P20" s="37"/>
    </row>
    <row r="21" spans="1:41">
      <c r="A21" s="34"/>
      <c r="B21" s="37"/>
      <c r="C21" s="38"/>
      <c r="D21" s="37"/>
      <c r="E21" s="38"/>
      <c r="F21" s="37"/>
      <c r="G21" s="38"/>
      <c r="H21" s="37"/>
      <c r="I21" s="37"/>
      <c r="J21" s="37"/>
      <c r="K21" s="38"/>
      <c r="L21" s="37"/>
      <c r="M21" s="38"/>
      <c r="N21" s="37"/>
      <c r="O21" s="38"/>
      <c r="P21" s="37"/>
    </row>
    <row r="22" spans="1:41">
      <c r="A22" s="34"/>
      <c r="B22" s="37"/>
      <c r="C22" s="38"/>
      <c r="D22" s="37"/>
      <c r="E22" s="38"/>
      <c r="F22" s="37"/>
      <c r="G22" s="38"/>
      <c r="H22" s="37"/>
      <c r="I22" s="37"/>
      <c r="J22" s="37"/>
      <c r="K22" s="38"/>
      <c r="L22" s="37"/>
      <c r="M22" s="38"/>
      <c r="N22" s="37"/>
      <c r="O22" s="38"/>
      <c r="P22" s="37"/>
    </row>
    <row r="23" spans="1:41">
      <c r="A23" s="34"/>
      <c r="B23" s="37"/>
      <c r="C23" s="38"/>
      <c r="D23" s="37"/>
      <c r="E23" s="38"/>
      <c r="F23" s="37"/>
      <c r="G23" s="38"/>
      <c r="H23" s="37"/>
      <c r="I23" s="37"/>
      <c r="J23" s="37"/>
      <c r="K23" s="38"/>
      <c r="L23" s="37"/>
      <c r="M23" s="38"/>
      <c r="N23" s="37"/>
      <c r="O23" s="38"/>
      <c r="P23" s="37"/>
    </row>
    <row r="24" spans="1:41">
      <c r="A24" s="34"/>
      <c r="B24" s="37"/>
      <c r="C24" s="38"/>
      <c r="D24" s="37"/>
      <c r="E24" s="38"/>
      <c r="F24" s="37"/>
      <c r="G24" s="38"/>
      <c r="H24" s="37"/>
      <c r="I24" s="37"/>
      <c r="J24" s="37"/>
      <c r="K24" s="38"/>
      <c r="L24" s="37"/>
      <c r="M24" s="38"/>
      <c r="N24" s="37"/>
      <c r="O24" s="38"/>
      <c r="P24" s="37"/>
    </row>
    <row r="25" spans="1:41">
      <c r="A25" s="34"/>
      <c r="B25" s="37"/>
      <c r="C25" s="38"/>
      <c r="D25" s="37"/>
      <c r="E25" s="38"/>
      <c r="F25" s="37"/>
      <c r="G25" s="38"/>
      <c r="H25" s="37"/>
      <c r="I25" s="37"/>
      <c r="J25" s="37"/>
      <c r="K25" s="38"/>
      <c r="L25" s="37"/>
      <c r="M25" s="38"/>
      <c r="N25" s="37"/>
      <c r="O25" s="38"/>
      <c r="P25" s="37"/>
    </row>
    <row r="26" spans="1:41">
      <c r="A26" s="34"/>
      <c r="B26" s="37"/>
      <c r="C26" s="38"/>
      <c r="D26" s="37"/>
      <c r="E26" s="38"/>
      <c r="F26" s="37"/>
      <c r="G26" s="38"/>
      <c r="H26" s="37"/>
      <c r="I26" s="37"/>
      <c r="J26" s="37"/>
      <c r="K26" s="38"/>
      <c r="L26" s="37"/>
      <c r="M26" s="38"/>
      <c r="N26" s="37"/>
      <c r="O26" s="38"/>
      <c r="P26" s="37"/>
    </row>
    <row r="27" spans="1:41">
      <c r="A27" s="1"/>
      <c r="B27" s="60"/>
      <c r="C27" s="61"/>
      <c r="D27" s="60"/>
      <c r="E27" s="61"/>
      <c r="F27" s="60"/>
      <c r="G27" s="61"/>
      <c r="H27" s="60"/>
      <c r="I27" s="60"/>
      <c r="J27" s="60"/>
      <c r="K27" s="61"/>
      <c r="L27" s="60"/>
      <c r="M27" s="61"/>
      <c r="N27" s="60"/>
      <c r="O27" s="61"/>
      <c r="P27" s="60"/>
      <c r="Q27" s="60"/>
      <c r="R27" s="60"/>
      <c r="S27" s="1"/>
      <c r="T27" s="1"/>
      <c r="U27" s="1"/>
      <c r="V27" s="1"/>
      <c r="W27" s="1"/>
      <c r="X27" s="1"/>
      <c r="Y27" s="1"/>
      <c r="Z27" s="1"/>
      <c r="AA27" s="1"/>
      <c r="AB27" s="1"/>
      <c r="AC27" s="1"/>
      <c r="AD27" s="1"/>
      <c r="AE27" s="1"/>
      <c r="AF27" s="1"/>
      <c r="AG27" s="1"/>
      <c r="AH27" s="1"/>
      <c r="AI27" s="1"/>
      <c r="AJ27" s="1"/>
      <c r="AK27" s="1"/>
      <c r="AL27" s="1"/>
      <c r="AM27" s="1"/>
      <c r="AN27" s="1"/>
      <c r="AO27" s="1"/>
    </row>
    <row r="28" spans="1:41" ht="16.5" thickBot="1">
      <c r="A28" s="1"/>
      <c r="B28" s="150" t="s">
        <v>98</v>
      </c>
      <c r="C28" s="151" t="s">
        <v>100</v>
      </c>
      <c r="D28" s="151" t="s">
        <v>101</v>
      </c>
      <c r="E28" s="150" t="s">
        <v>102</v>
      </c>
      <c r="F28" s="151" t="s">
        <v>103</v>
      </c>
      <c r="G28" s="151" t="s">
        <v>104</v>
      </c>
      <c r="H28" s="150" t="s">
        <v>105</v>
      </c>
      <c r="I28" s="150" t="s">
        <v>361</v>
      </c>
      <c r="J28" s="164" t="s">
        <v>362</v>
      </c>
      <c r="K28" s="151" t="s">
        <v>107</v>
      </c>
      <c r="L28" s="150" t="s">
        <v>108</v>
      </c>
      <c r="M28" s="163" t="s">
        <v>362</v>
      </c>
      <c r="N28" s="150" t="s">
        <v>109</v>
      </c>
      <c r="O28" s="151" t="s">
        <v>110</v>
      </c>
      <c r="P28" s="164" t="s">
        <v>362</v>
      </c>
      <c r="Q28" s="164" t="s">
        <v>111</v>
      </c>
      <c r="R28" s="60"/>
      <c r="S28" s="1"/>
      <c r="T28" s="1"/>
      <c r="U28" s="1"/>
      <c r="V28" s="1"/>
      <c r="W28" s="1"/>
      <c r="X28" s="1"/>
      <c r="Y28" s="1"/>
      <c r="Z28" s="1"/>
      <c r="AA28" s="1"/>
      <c r="AB28" s="1"/>
      <c r="AC28" s="1"/>
      <c r="AD28" s="1"/>
      <c r="AE28" s="1"/>
      <c r="AF28" s="1"/>
      <c r="AG28" s="1"/>
      <c r="AH28" s="1"/>
      <c r="AI28" s="1"/>
      <c r="AJ28" s="1"/>
      <c r="AK28" s="1"/>
      <c r="AL28" s="1"/>
      <c r="AM28" s="1"/>
      <c r="AN28" s="1"/>
      <c r="AO28" s="1"/>
    </row>
    <row r="29" spans="1:41">
      <c r="A29" s="2" t="s">
        <v>0</v>
      </c>
      <c r="B29" s="1" t="s">
        <v>0</v>
      </c>
      <c r="C29" s="1"/>
      <c r="D29" s="1"/>
      <c r="E29" s="1"/>
      <c r="F29" s="1"/>
      <c r="G29" s="1"/>
      <c r="H29" s="1"/>
      <c r="I29" s="1"/>
      <c r="J29" s="153"/>
      <c r="K29" s="1"/>
      <c r="L29" s="1"/>
      <c r="M29" s="153"/>
      <c r="N29" s="1"/>
      <c r="O29" s="1"/>
      <c r="P29" s="153"/>
      <c r="Q29" s="202"/>
      <c r="R29" s="62"/>
      <c r="S29" s="63"/>
      <c r="T29" s="63"/>
      <c r="U29" s="63"/>
      <c r="V29" s="1"/>
      <c r="W29" s="1"/>
      <c r="X29" s="1"/>
      <c r="Y29" s="1"/>
      <c r="Z29" s="1"/>
      <c r="AA29" s="1"/>
      <c r="AB29" s="1"/>
      <c r="AC29" s="1"/>
      <c r="AD29" s="1"/>
      <c r="AE29" s="1"/>
      <c r="AF29" s="1"/>
      <c r="AG29" s="1"/>
      <c r="AH29" s="1"/>
      <c r="AI29" s="1"/>
      <c r="AJ29" s="1"/>
      <c r="AK29" s="1"/>
      <c r="AL29" s="1"/>
      <c r="AM29" s="1"/>
      <c r="AN29" s="1"/>
      <c r="AO29" s="1"/>
    </row>
    <row r="30" spans="1:41">
      <c r="A30" s="1" t="s">
        <v>0</v>
      </c>
      <c r="B30" s="60" t="s">
        <v>0</v>
      </c>
      <c r="C30" s="61"/>
      <c r="D30" s="1"/>
      <c r="E30" s="60"/>
      <c r="F30" s="61"/>
      <c r="G30" s="61"/>
      <c r="H30" s="60"/>
      <c r="I30" s="60"/>
      <c r="J30" s="190" t="s">
        <v>0</v>
      </c>
      <c r="K30" s="61"/>
      <c r="L30" s="60"/>
      <c r="M30" s="196"/>
      <c r="N30" s="60"/>
      <c r="O30" s="61"/>
      <c r="P30" s="190"/>
      <c r="Q30" s="190"/>
      <c r="R30" s="60"/>
      <c r="S30" s="1"/>
      <c r="T30" s="1"/>
      <c r="U30" s="1"/>
      <c r="V30" s="1"/>
      <c r="W30" s="1"/>
      <c r="X30" s="1"/>
      <c r="Y30" s="1"/>
      <c r="Z30" s="1"/>
      <c r="AA30" s="1"/>
      <c r="AB30" s="1"/>
      <c r="AC30" s="1"/>
      <c r="AD30" s="1"/>
      <c r="AE30" s="1"/>
      <c r="AF30" s="1"/>
      <c r="AG30" s="1"/>
      <c r="AH30" s="1"/>
      <c r="AI30" s="1"/>
      <c r="AJ30" s="1"/>
      <c r="AK30" s="1"/>
      <c r="AL30" s="1"/>
      <c r="AM30" s="1"/>
      <c r="AN30" s="1"/>
      <c r="AO30" s="1"/>
    </row>
    <row r="31" spans="1:41">
      <c r="A31" s="1022" t="s">
        <v>823</v>
      </c>
      <c r="B31" s="1024" t="s">
        <v>824</v>
      </c>
      <c r="C31" s="1024">
        <v>41</v>
      </c>
      <c r="D31" s="804">
        <v>-209.3</v>
      </c>
      <c r="E31" s="1025">
        <v>0</v>
      </c>
      <c r="F31" s="1025">
        <v>21.1</v>
      </c>
      <c r="G31" s="1025">
        <v>18.2</v>
      </c>
      <c r="H31" s="1025">
        <v>20.5</v>
      </c>
      <c r="I31" s="1025">
        <v>18.7</v>
      </c>
      <c r="J31" s="1026">
        <v>20.5</v>
      </c>
      <c r="K31" s="1025">
        <v>9</v>
      </c>
      <c r="L31" s="1025">
        <v>12</v>
      </c>
      <c r="M31" s="1027">
        <v>9.9</v>
      </c>
      <c r="N31" s="1025">
        <v>22.8</v>
      </c>
      <c r="O31" s="1025">
        <v>17.600000000000001</v>
      </c>
      <c r="P31" s="1028">
        <v>20.7</v>
      </c>
      <c r="Q31" s="1026">
        <v>20.5</v>
      </c>
      <c r="R31" s="60"/>
      <c r="S31" s="1"/>
      <c r="T31" s="1"/>
      <c r="U31" s="1"/>
      <c r="V31" s="1"/>
      <c r="W31" s="1"/>
      <c r="X31" s="1"/>
      <c r="Y31" s="1"/>
      <c r="Z31" s="1"/>
      <c r="AA31" s="1"/>
      <c r="AB31" s="1"/>
      <c r="AC31" s="1"/>
      <c r="AD31" s="1"/>
      <c r="AE31" s="1"/>
      <c r="AF31" s="1"/>
      <c r="AG31" s="1"/>
      <c r="AH31" s="1"/>
      <c r="AI31" s="1"/>
      <c r="AJ31" s="1"/>
      <c r="AK31" s="1"/>
      <c r="AL31" s="1"/>
      <c r="AM31" s="1"/>
      <c r="AN31" s="1"/>
      <c r="AO31" s="1"/>
    </row>
    <row r="32" spans="1:41">
      <c r="A32" s="1" t="s">
        <v>0</v>
      </c>
      <c r="B32" s="88" t="s">
        <v>0</v>
      </c>
      <c r="C32" s="88" t="s">
        <v>0</v>
      </c>
      <c r="D32" s="88" t="s">
        <v>0</v>
      </c>
      <c r="E32" s="88" t="s">
        <v>0</v>
      </c>
      <c r="F32" s="88" t="s">
        <v>0</v>
      </c>
      <c r="G32" s="88" t="s">
        <v>0</v>
      </c>
      <c r="H32" s="88" t="s">
        <v>0</v>
      </c>
      <c r="I32" s="88" t="s">
        <v>0</v>
      </c>
      <c r="J32" s="191" t="s">
        <v>0</v>
      </c>
      <c r="K32" s="88" t="s">
        <v>0</v>
      </c>
      <c r="L32" s="88" t="s">
        <v>0</v>
      </c>
      <c r="M32" s="200" t="s">
        <v>0</v>
      </c>
      <c r="N32" s="88" t="s">
        <v>0</v>
      </c>
      <c r="O32" s="88" t="s">
        <v>0</v>
      </c>
      <c r="P32" s="197" t="s">
        <v>0</v>
      </c>
      <c r="Q32" s="191" t="s">
        <v>0</v>
      </c>
      <c r="R32" s="60"/>
      <c r="S32" s="1"/>
      <c r="T32" s="1"/>
      <c r="U32" s="1"/>
      <c r="V32" s="1"/>
      <c r="W32" s="1"/>
      <c r="X32" s="1"/>
      <c r="Y32" s="1"/>
      <c r="Z32" s="1"/>
      <c r="AA32" s="1"/>
      <c r="AB32" s="1"/>
      <c r="AC32" s="1"/>
      <c r="AD32" s="1"/>
      <c r="AE32" s="1"/>
      <c r="AF32" s="1"/>
      <c r="AG32" s="1"/>
      <c r="AH32" s="1"/>
      <c r="AI32" s="1"/>
      <c r="AJ32" s="1"/>
      <c r="AK32" s="1"/>
      <c r="AL32" s="1"/>
      <c r="AM32" s="1"/>
      <c r="AN32" s="1"/>
      <c r="AO32" s="1"/>
    </row>
    <row r="33" spans="1:41">
      <c r="A33" s="1" t="s">
        <v>0</v>
      </c>
      <c r="B33" s="88" t="s">
        <v>0</v>
      </c>
      <c r="C33" s="88" t="s">
        <v>0</v>
      </c>
      <c r="D33" s="88" t="s">
        <v>0</v>
      </c>
      <c r="E33" s="88" t="s">
        <v>0</v>
      </c>
      <c r="F33" s="88" t="s">
        <v>0</v>
      </c>
      <c r="G33" s="88" t="s">
        <v>0</v>
      </c>
      <c r="H33" s="88" t="s">
        <v>0</v>
      </c>
      <c r="I33" s="88" t="s">
        <v>0</v>
      </c>
      <c r="J33" s="191" t="s">
        <v>0</v>
      </c>
      <c r="K33" s="88" t="s">
        <v>0</v>
      </c>
      <c r="L33" s="88" t="s">
        <v>0</v>
      </c>
      <c r="M33" s="200" t="s">
        <v>0</v>
      </c>
      <c r="N33" s="88" t="s">
        <v>0</v>
      </c>
      <c r="O33" s="88" t="s">
        <v>0</v>
      </c>
      <c r="P33" s="197" t="s">
        <v>0</v>
      </c>
      <c r="Q33" s="191" t="s">
        <v>0</v>
      </c>
      <c r="R33" s="60"/>
      <c r="S33" s="1"/>
      <c r="T33" s="1"/>
      <c r="U33" s="1"/>
      <c r="V33" s="1"/>
      <c r="W33" s="1"/>
      <c r="X33" s="1"/>
      <c r="Y33" s="1"/>
      <c r="Z33" s="1"/>
      <c r="AA33" s="1"/>
      <c r="AB33" s="1"/>
      <c r="AC33" s="1"/>
      <c r="AD33" s="1"/>
      <c r="AE33" s="1"/>
      <c r="AF33" s="1"/>
      <c r="AG33" s="1"/>
      <c r="AH33" s="1"/>
      <c r="AI33" s="1"/>
      <c r="AJ33" s="1"/>
      <c r="AK33" s="1"/>
      <c r="AL33" s="1"/>
      <c r="AM33" s="1"/>
      <c r="AN33" s="1"/>
      <c r="AO33" s="1"/>
    </row>
    <row r="34" spans="1:41">
      <c r="A34" s="1" t="s">
        <v>0</v>
      </c>
      <c r="B34" s="88" t="s">
        <v>0</v>
      </c>
      <c r="C34" s="88" t="s">
        <v>0</v>
      </c>
      <c r="D34"/>
      <c r="E34" s="88" t="s">
        <v>0</v>
      </c>
      <c r="F34" s="88" t="s">
        <v>0</v>
      </c>
      <c r="G34" s="88" t="s">
        <v>0</v>
      </c>
      <c r="H34" s="88" t="s">
        <v>0</v>
      </c>
      <c r="I34" s="88" t="s">
        <v>0</v>
      </c>
      <c r="J34" s="191" t="s">
        <v>0</v>
      </c>
      <c r="K34" s="88" t="s">
        <v>0</v>
      </c>
      <c r="L34" s="88" t="s">
        <v>0</v>
      </c>
      <c r="M34" s="200" t="s">
        <v>0</v>
      </c>
      <c r="N34" s="88" t="s">
        <v>0</v>
      </c>
      <c r="O34" s="88" t="s">
        <v>0</v>
      </c>
      <c r="P34" s="197" t="s">
        <v>0</v>
      </c>
      <c r="Q34" s="191" t="s">
        <v>0</v>
      </c>
      <c r="R34" s="60"/>
      <c r="S34" s="1"/>
      <c r="T34" s="1"/>
      <c r="U34" s="1"/>
      <c r="V34" s="1"/>
      <c r="W34" s="1"/>
      <c r="X34" s="1"/>
      <c r="Y34" s="1"/>
      <c r="Z34" s="1"/>
      <c r="AA34" s="1"/>
      <c r="AB34" s="1"/>
      <c r="AC34" s="1"/>
      <c r="AD34" s="1"/>
      <c r="AE34" s="1"/>
      <c r="AF34" s="1"/>
      <c r="AG34" s="1"/>
      <c r="AH34" s="1"/>
      <c r="AI34" s="1"/>
      <c r="AJ34" s="1"/>
      <c r="AK34" s="1"/>
      <c r="AL34" s="1"/>
      <c r="AM34" s="1"/>
      <c r="AN34" s="1"/>
      <c r="AO34" s="1"/>
    </row>
    <row r="35" spans="1:41">
      <c r="A35" s="1022" t="s">
        <v>825</v>
      </c>
      <c r="B35" s="1208">
        <v>1.4079999999999999</v>
      </c>
      <c r="C35" s="254">
        <v>8.0000000000000004E-4</v>
      </c>
      <c r="D35" s="363">
        <v>-1.2999999999999999E-2</v>
      </c>
      <c r="E35" s="1186">
        <v>0</v>
      </c>
      <c r="F35" s="254">
        <v>8.3400000000000002E-2</v>
      </c>
      <c r="G35" s="254">
        <v>0.1244</v>
      </c>
      <c r="H35" s="254">
        <v>0.106</v>
      </c>
      <c r="I35" s="1044">
        <v>0.1113</v>
      </c>
      <c r="J35" s="1205">
        <v>0.106</v>
      </c>
      <c r="K35" s="1044">
        <v>0.2112</v>
      </c>
      <c r="L35" s="254">
        <v>0.1726</v>
      </c>
      <c r="M35" s="1205">
        <v>0.2031</v>
      </c>
      <c r="N35" s="254">
        <v>0.12790000000000001</v>
      </c>
      <c r="O35" s="1044">
        <v>0.1326</v>
      </c>
      <c r="P35" s="1205">
        <v>0.1298</v>
      </c>
      <c r="Q35" s="1205">
        <v>0.106</v>
      </c>
      <c r="R35" s="60"/>
      <c r="S35" s="1"/>
      <c r="T35" s="1"/>
      <c r="U35" s="1"/>
      <c r="V35" s="1"/>
      <c r="W35" s="1"/>
      <c r="X35" s="1"/>
      <c r="Y35" s="1"/>
      <c r="Z35" s="1"/>
      <c r="AA35" s="1"/>
      <c r="AB35" s="1"/>
      <c r="AC35" s="1"/>
      <c r="AD35" s="1"/>
      <c r="AE35" s="1"/>
      <c r="AF35" s="1"/>
      <c r="AG35" s="1"/>
      <c r="AH35" s="1"/>
      <c r="AI35" s="1"/>
      <c r="AJ35" s="1"/>
      <c r="AK35" s="1"/>
      <c r="AL35" s="1"/>
      <c r="AM35" s="1"/>
      <c r="AN35" s="1"/>
      <c r="AO35" s="1"/>
    </row>
    <row r="36" spans="1:41" ht="15.6" customHeight="1">
      <c r="A36" s="1"/>
      <c r="B36" s="88" t="s">
        <v>0</v>
      </c>
      <c r="C36" s="88" t="s">
        <v>0</v>
      </c>
      <c r="D36" s="88" t="s">
        <v>0</v>
      </c>
      <c r="E36" s="88" t="s">
        <v>0</v>
      </c>
      <c r="F36" s="88" t="s">
        <v>0</v>
      </c>
      <c r="G36" s="88" t="s">
        <v>0</v>
      </c>
      <c r="H36" s="88" t="s">
        <v>0</v>
      </c>
      <c r="I36" s="88" t="s">
        <v>0</v>
      </c>
      <c r="J36" s="94" t="s">
        <v>0</v>
      </c>
      <c r="K36" s="1023" t="s">
        <v>0</v>
      </c>
      <c r="L36" s="92" t="s">
        <v>0</v>
      </c>
      <c r="M36" s="299" t="s">
        <v>0</v>
      </c>
      <c r="N36" s="92" t="s">
        <v>0</v>
      </c>
      <c r="O36" s="92" t="s">
        <v>0</v>
      </c>
      <c r="P36" s="118" t="s">
        <v>0</v>
      </c>
      <c r="Q36" s="94" t="s">
        <v>0</v>
      </c>
      <c r="R36" s="60"/>
      <c r="S36" s="1"/>
      <c r="T36" s="1"/>
      <c r="U36" s="1"/>
      <c r="V36" s="1"/>
      <c r="W36" s="1"/>
      <c r="X36" s="1"/>
      <c r="Y36" s="1"/>
      <c r="Z36" s="1"/>
      <c r="AA36" s="1"/>
      <c r="AB36" s="1"/>
      <c r="AC36" s="1"/>
      <c r="AD36" s="1"/>
      <c r="AE36" s="1"/>
      <c r="AF36" s="1"/>
      <c r="AG36" s="1"/>
      <c r="AH36" s="1"/>
      <c r="AI36" s="1"/>
      <c r="AJ36" s="1"/>
      <c r="AK36" s="1"/>
      <c r="AL36" s="1"/>
      <c r="AM36" s="1"/>
      <c r="AN36" s="1"/>
      <c r="AO36" s="1"/>
    </row>
    <row r="37" spans="1:41">
      <c r="A37" t="s">
        <v>0</v>
      </c>
      <c r="B37" s="16" t="s">
        <v>0</v>
      </c>
      <c r="C37" s="16" t="s">
        <v>0</v>
      </c>
      <c r="E37" s="12"/>
      <c r="G37" s="12"/>
      <c r="J37" s="94" t="s">
        <v>0</v>
      </c>
      <c r="K37" s="78"/>
      <c r="L37" s="78"/>
      <c r="M37" s="299"/>
      <c r="N37" s="141" t="s">
        <v>0</v>
      </c>
      <c r="O37" s="78"/>
      <c r="P37" s="118"/>
      <c r="Q37" s="94" t="s">
        <v>0</v>
      </c>
      <c r="R37" s="60"/>
      <c r="S37" s="1"/>
      <c r="T37" s="1"/>
      <c r="U37" s="1"/>
      <c r="V37" s="1"/>
      <c r="W37" s="1"/>
      <c r="X37" s="1"/>
      <c r="Y37" s="1"/>
      <c r="Z37" s="1"/>
      <c r="AA37" s="1"/>
      <c r="AB37" s="1"/>
      <c r="AC37" s="1"/>
      <c r="AD37" s="1"/>
      <c r="AE37" s="1"/>
      <c r="AF37" s="1"/>
      <c r="AG37" s="1"/>
      <c r="AH37" s="1"/>
      <c r="AI37" s="1"/>
      <c r="AJ37" s="1"/>
      <c r="AK37" s="1"/>
      <c r="AL37" s="1"/>
      <c r="AM37" s="1"/>
      <c r="AN37" s="1"/>
      <c r="AO37" s="1"/>
    </row>
    <row r="38" spans="1:41" ht="18.75">
      <c r="A38" s="1206" t="s">
        <v>0</v>
      </c>
      <c r="B38"/>
      <c r="C38"/>
      <c r="D38" s="88" t="s">
        <v>0</v>
      </c>
      <c r="E38" s="88" t="s">
        <v>0</v>
      </c>
      <c r="F38" s="88" t="s">
        <v>0</v>
      </c>
      <c r="G38" s="88" t="s">
        <v>0</v>
      </c>
      <c r="H38" s="88" t="s">
        <v>0</v>
      </c>
      <c r="I38" s="88" t="s">
        <v>0</v>
      </c>
      <c r="J38" s="94" t="s">
        <v>0</v>
      </c>
      <c r="K38" s="92" t="s">
        <v>0</v>
      </c>
      <c r="L38" s="92" t="s">
        <v>0</v>
      </c>
      <c r="M38" s="299" t="s">
        <v>0</v>
      </c>
      <c r="N38" s="92" t="s">
        <v>0</v>
      </c>
      <c r="O38" s="92" t="s">
        <v>0</v>
      </c>
      <c r="P38" s="118" t="s">
        <v>0</v>
      </c>
      <c r="Q38" s="94" t="s">
        <v>0</v>
      </c>
      <c r="R38" s="60"/>
      <c r="S38" s="1"/>
      <c r="T38" s="1"/>
      <c r="U38" s="1"/>
      <c r="V38" s="1"/>
      <c r="W38" s="1"/>
      <c r="X38" s="1"/>
      <c r="Y38" s="1"/>
      <c r="Z38" s="1"/>
      <c r="AA38" s="1"/>
      <c r="AB38" s="1"/>
      <c r="AC38" s="1"/>
      <c r="AD38" s="1"/>
      <c r="AE38" s="1"/>
      <c r="AF38" s="1"/>
      <c r="AG38" s="1"/>
      <c r="AH38" s="1"/>
      <c r="AI38" s="1"/>
      <c r="AJ38" s="1"/>
      <c r="AK38" s="1"/>
      <c r="AL38" s="1"/>
      <c r="AM38" s="1"/>
      <c r="AN38" s="1"/>
      <c r="AO38" s="1"/>
    </row>
    <row r="39" spans="1:41">
      <c r="A39" s="319" t="s">
        <v>0</v>
      </c>
      <c r="B39" s="88" t="s">
        <v>0</v>
      </c>
      <c r="C39" s="88" t="s">
        <v>0</v>
      </c>
      <c r="D39" s="88" t="s">
        <v>0</v>
      </c>
      <c r="E39" s="88" t="s">
        <v>0</v>
      </c>
      <c r="F39" s="88" t="s">
        <v>0</v>
      </c>
      <c r="G39" s="88" t="s">
        <v>0</v>
      </c>
      <c r="H39" s="88" t="s">
        <v>0</v>
      </c>
      <c r="I39" s="88" t="s">
        <v>0</v>
      </c>
      <c r="J39" s="94" t="s">
        <v>0</v>
      </c>
      <c r="K39" s="92" t="s">
        <v>0</v>
      </c>
      <c r="L39" s="92" t="s">
        <v>0</v>
      </c>
      <c r="M39" s="299" t="s">
        <v>0</v>
      </c>
      <c r="N39" s="92" t="s">
        <v>0</v>
      </c>
      <c r="O39" s="92" t="s">
        <v>0</v>
      </c>
      <c r="P39" s="118" t="s">
        <v>0</v>
      </c>
      <c r="Q39" s="94" t="s">
        <v>0</v>
      </c>
      <c r="R39" s="60"/>
      <c r="S39" s="1"/>
      <c r="T39" s="1"/>
      <c r="U39" s="1"/>
      <c r="V39" s="1"/>
      <c r="W39" s="1"/>
      <c r="X39" s="1"/>
      <c r="Y39" s="1"/>
      <c r="Z39" s="1"/>
      <c r="AA39" s="1"/>
      <c r="AB39" s="1"/>
      <c r="AC39" s="1"/>
      <c r="AD39" s="1"/>
      <c r="AE39" s="1"/>
      <c r="AF39" s="1"/>
      <c r="AG39" s="1"/>
      <c r="AH39" s="1"/>
      <c r="AI39" s="1"/>
      <c r="AJ39" s="1"/>
      <c r="AK39" s="1"/>
      <c r="AL39" s="1"/>
      <c r="AM39" s="1"/>
      <c r="AN39" s="1"/>
      <c r="AO39" s="1"/>
    </row>
    <row r="40" spans="1:41">
      <c r="A40" t="s">
        <v>0</v>
      </c>
      <c r="B40" s="88" t="s">
        <v>0</v>
      </c>
      <c r="C40" s="88" t="s">
        <v>0</v>
      </c>
      <c r="D40" s="88" t="s">
        <v>0</v>
      </c>
      <c r="E40" s="88" t="s">
        <v>0</v>
      </c>
      <c r="F40" s="88" t="s">
        <v>0</v>
      </c>
      <c r="G40" s="88" t="s">
        <v>0</v>
      </c>
      <c r="H40" s="88" t="s">
        <v>0</v>
      </c>
      <c r="I40" s="88" t="s">
        <v>0</v>
      </c>
      <c r="J40" s="94" t="s">
        <v>0</v>
      </c>
      <c r="K40" s="92" t="s">
        <v>0</v>
      </c>
      <c r="L40" s="92" t="s">
        <v>0</v>
      </c>
      <c r="M40" s="299" t="s">
        <v>0</v>
      </c>
      <c r="N40" s="92" t="s">
        <v>0</v>
      </c>
      <c r="O40" s="92" t="s">
        <v>0</v>
      </c>
      <c r="P40" s="118" t="s">
        <v>0</v>
      </c>
      <c r="Q40" s="94" t="s">
        <v>0</v>
      </c>
      <c r="R40" s="60"/>
      <c r="S40" s="1"/>
      <c r="T40" s="1"/>
      <c r="U40" s="1"/>
      <c r="V40" s="1"/>
      <c r="W40" s="1"/>
      <c r="X40" s="1"/>
      <c r="Y40" s="1"/>
      <c r="Z40" s="1"/>
      <c r="AA40" s="1"/>
      <c r="AB40" s="1"/>
      <c r="AC40" s="1"/>
      <c r="AD40" s="1"/>
      <c r="AE40" s="1"/>
      <c r="AF40" s="1"/>
      <c r="AG40" s="1"/>
      <c r="AH40" s="1"/>
      <c r="AI40" s="1"/>
      <c r="AJ40" s="1"/>
      <c r="AK40" s="1"/>
      <c r="AL40" s="1"/>
      <c r="AM40" s="1"/>
      <c r="AN40" s="1"/>
      <c r="AO40" s="1"/>
    </row>
    <row r="41" spans="1:41">
      <c r="B41"/>
      <c r="C41"/>
      <c r="D41"/>
      <c r="E41"/>
      <c r="F41"/>
      <c r="G41"/>
      <c r="H41"/>
      <c r="I41"/>
      <c r="J41"/>
      <c r="K41"/>
      <c r="L41"/>
      <c r="M41"/>
      <c r="N41"/>
      <c r="O41"/>
      <c r="P41" s="60"/>
      <c r="Q41" s="60"/>
      <c r="R41" s="60"/>
      <c r="S41" s="1"/>
      <c r="T41" s="1"/>
      <c r="U41" s="1"/>
      <c r="V41" s="1"/>
      <c r="W41" s="1"/>
      <c r="X41" s="1"/>
      <c r="Y41" s="1"/>
      <c r="Z41" s="1"/>
      <c r="AA41" s="1"/>
      <c r="AB41" s="1"/>
      <c r="AC41" s="1"/>
      <c r="AD41" s="1"/>
      <c r="AE41" s="1"/>
      <c r="AF41" s="1"/>
      <c r="AG41" s="1"/>
      <c r="AH41" s="1"/>
      <c r="AI41" s="1"/>
      <c r="AJ41" s="1"/>
      <c r="AK41" s="1"/>
      <c r="AL41" s="1"/>
      <c r="AM41" s="1"/>
      <c r="AN41" s="1"/>
      <c r="AO41" s="1"/>
    </row>
    <row r="42" spans="1:41">
      <c r="B42"/>
      <c r="C42"/>
      <c r="D42"/>
      <c r="E42"/>
      <c r="F42"/>
      <c r="G42"/>
      <c r="H42"/>
      <c r="I42"/>
      <c r="J42"/>
      <c r="K42"/>
      <c r="L42"/>
      <c r="M42"/>
      <c r="N42"/>
      <c r="O42"/>
      <c r="P42" s="60"/>
      <c r="Q42" s="60"/>
      <c r="R42" s="60"/>
      <c r="S42" s="1"/>
      <c r="T42" s="1"/>
      <c r="U42" s="1"/>
      <c r="V42" s="1"/>
      <c r="W42" s="1"/>
      <c r="X42" s="1"/>
      <c r="Y42" s="1"/>
      <c r="Z42" s="1"/>
      <c r="AA42" s="1"/>
      <c r="AB42" s="1"/>
      <c r="AC42" s="1"/>
      <c r="AD42" s="1"/>
      <c r="AE42" s="1"/>
      <c r="AF42" s="1"/>
      <c r="AG42" s="1"/>
      <c r="AH42" s="1"/>
      <c r="AI42" s="1"/>
      <c r="AJ42" s="1"/>
      <c r="AK42" s="1"/>
      <c r="AL42" s="1"/>
      <c r="AM42" s="1"/>
      <c r="AN42" s="1"/>
      <c r="AO42" s="1"/>
    </row>
    <row r="43" spans="1:41">
      <c r="B43"/>
      <c r="C43"/>
      <c r="D43"/>
      <c r="E43"/>
      <c r="F43"/>
      <c r="G43"/>
      <c r="H43"/>
      <c r="I43"/>
      <c r="J43"/>
      <c r="K43"/>
      <c r="L43"/>
      <c r="M43"/>
      <c r="N43"/>
      <c r="O43"/>
      <c r="P43" s="60"/>
      <c r="Q43" s="60"/>
      <c r="R43" s="60"/>
      <c r="S43" s="1"/>
      <c r="T43" s="1"/>
      <c r="U43" s="1"/>
      <c r="V43" s="1"/>
      <c r="W43" s="1"/>
      <c r="X43" s="1"/>
      <c r="Y43" s="1"/>
      <c r="Z43" s="1"/>
      <c r="AA43" s="1"/>
      <c r="AB43" s="1"/>
      <c r="AC43" s="1"/>
      <c r="AD43" s="1"/>
      <c r="AE43" s="1"/>
      <c r="AF43" s="1"/>
      <c r="AG43" s="1"/>
      <c r="AH43" s="1"/>
      <c r="AI43" s="1"/>
      <c r="AJ43" s="1"/>
      <c r="AK43" s="1"/>
      <c r="AL43" s="1"/>
      <c r="AM43" s="1"/>
      <c r="AN43" s="1"/>
      <c r="AO43" s="1"/>
    </row>
    <row r="44" spans="1:41">
      <c r="B44"/>
      <c r="C44"/>
      <c r="D44"/>
      <c r="E44"/>
      <c r="F44"/>
      <c r="G44"/>
      <c r="H44"/>
      <c r="I44"/>
      <c r="J44"/>
      <c r="K44"/>
      <c r="L44"/>
      <c r="M44"/>
      <c r="N44"/>
      <c r="O44"/>
      <c r="P44" s="60"/>
      <c r="Q44" s="60"/>
      <c r="R44" s="60"/>
      <c r="S44" s="1"/>
      <c r="T44" s="1"/>
      <c r="U44" s="1"/>
      <c r="V44" s="1"/>
      <c r="W44" s="1"/>
      <c r="X44" s="1"/>
      <c r="Y44" s="1"/>
      <c r="Z44" s="1"/>
      <c r="AA44" s="1"/>
      <c r="AB44" s="1"/>
      <c r="AC44" s="1"/>
      <c r="AD44" s="1"/>
      <c r="AE44" s="1"/>
      <c r="AF44" s="1"/>
      <c r="AG44" s="1"/>
      <c r="AH44" s="1"/>
      <c r="AI44" s="1"/>
      <c r="AJ44" s="1"/>
      <c r="AK44" s="1"/>
      <c r="AL44" s="1"/>
      <c r="AM44" s="1"/>
      <c r="AN44" s="1"/>
      <c r="AO44" s="1"/>
    </row>
    <row r="45" spans="1:41">
      <c r="B45"/>
      <c r="C45"/>
      <c r="D45"/>
      <c r="E45"/>
      <c r="F45"/>
      <c r="G45"/>
      <c r="H45"/>
      <c r="I45"/>
      <c r="J45"/>
      <c r="K45"/>
      <c r="L45"/>
      <c r="M45"/>
      <c r="N45"/>
      <c r="O45"/>
      <c r="P45" s="60"/>
      <c r="Q45" s="60"/>
      <c r="R45" s="60"/>
      <c r="S45" s="1"/>
      <c r="T45" s="1"/>
      <c r="U45" s="1"/>
      <c r="V45" s="1"/>
      <c r="W45" s="1"/>
      <c r="X45" s="1"/>
      <c r="Y45" s="1"/>
      <c r="Z45" s="1"/>
      <c r="AA45" s="1"/>
      <c r="AB45" s="1"/>
      <c r="AC45" s="1"/>
      <c r="AD45" s="1"/>
      <c r="AE45" s="1"/>
      <c r="AF45" s="1"/>
      <c r="AG45" s="1"/>
      <c r="AH45" s="1"/>
      <c r="AI45" s="1"/>
      <c r="AJ45" s="1"/>
      <c r="AK45" s="1"/>
      <c r="AL45" s="1"/>
      <c r="AM45" s="1"/>
      <c r="AN45" s="1"/>
      <c r="AO45" s="1"/>
    </row>
    <row r="46" spans="1:41">
      <c r="B46"/>
      <c r="C46"/>
      <c r="D46"/>
      <c r="E46"/>
      <c r="F46"/>
      <c r="G46"/>
      <c r="H46"/>
      <c r="I46"/>
      <c r="J46"/>
      <c r="K46"/>
      <c r="L46"/>
      <c r="M46"/>
      <c r="N46"/>
      <c r="O46"/>
      <c r="P46" s="60"/>
      <c r="Q46" s="60"/>
      <c r="R46" s="60"/>
      <c r="S46" s="1"/>
      <c r="T46" s="1"/>
      <c r="U46" s="1"/>
      <c r="V46" s="1"/>
      <c r="W46" s="1"/>
      <c r="X46" s="1"/>
      <c r="Y46" s="1"/>
      <c r="Z46" s="1"/>
      <c r="AA46" s="1"/>
      <c r="AB46" s="1"/>
      <c r="AC46" s="1"/>
      <c r="AD46" s="1"/>
      <c r="AE46" s="1"/>
      <c r="AF46" s="1"/>
      <c r="AG46" s="1"/>
      <c r="AH46" s="1"/>
      <c r="AI46" s="1"/>
      <c r="AJ46" s="1"/>
      <c r="AK46" s="1"/>
      <c r="AL46" s="1"/>
      <c r="AM46" s="1"/>
      <c r="AN46" s="1"/>
      <c r="AO46" s="1"/>
    </row>
    <row r="47" spans="1:41">
      <c r="B47"/>
      <c r="C47"/>
      <c r="D47"/>
      <c r="E47"/>
      <c r="F47"/>
      <c r="G47"/>
      <c r="H47"/>
      <c r="I47"/>
      <c r="J47"/>
      <c r="K47"/>
      <c r="L47"/>
      <c r="M47"/>
      <c r="N47"/>
      <c r="O47"/>
      <c r="P47" s="60"/>
      <c r="Q47" s="60"/>
      <c r="R47" s="60"/>
      <c r="S47" s="1"/>
      <c r="T47" s="1"/>
      <c r="U47" s="1"/>
      <c r="V47" s="1"/>
      <c r="W47" s="1"/>
      <c r="X47" s="1"/>
      <c r="Y47" s="1"/>
      <c r="Z47" s="1"/>
      <c r="AA47" s="1"/>
      <c r="AB47" s="1"/>
      <c r="AC47" s="1"/>
      <c r="AD47" s="1"/>
      <c r="AE47" s="1"/>
      <c r="AF47" s="1"/>
      <c r="AG47" s="1"/>
      <c r="AH47" s="1"/>
      <c r="AI47" s="1"/>
      <c r="AJ47" s="1"/>
      <c r="AK47" s="1"/>
      <c r="AL47" s="1"/>
      <c r="AM47" s="1"/>
      <c r="AN47" s="1"/>
      <c r="AO47" s="1"/>
    </row>
    <row r="48" spans="1:41">
      <c r="B48"/>
      <c r="C48"/>
      <c r="D48"/>
      <c r="E48"/>
      <c r="F48"/>
      <c r="G48"/>
      <c r="H48"/>
      <c r="I48"/>
      <c r="J48"/>
      <c r="K48"/>
      <c r="L48"/>
      <c r="M48"/>
      <c r="N48"/>
      <c r="O48"/>
      <c r="P48" s="60"/>
      <c r="Q48" s="60"/>
      <c r="R48" s="60"/>
      <c r="S48" s="1"/>
      <c r="T48" s="1"/>
      <c r="U48" s="1"/>
      <c r="V48" s="1"/>
      <c r="W48" s="1"/>
      <c r="X48" s="1"/>
      <c r="Y48" s="1"/>
      <c r="Z48" s="1"/>
      <c r="AA48" s="1"/>
      <c r="AB48" s="1"/>
      <c r="AC48" s="1"/>
      <c r="AD48" s="1"/>
      <c r="AE48" s="1"/>
      <c r="AF48" s="1"/>
      <c r="AG48" s="1"/>
      <c r="AH48" s="1"/>
      <c r="AI48" s="1"/>
      <c r="AJ48" s="1"/>
      <c r="AK48" s="1"/>
      <c r="AL48" s="1"/>
      <c r="AM48" s="1"/>
      <c r="AN48" s="1"/>
      <c r="AO48" s="1"/>
    </row>
    <row r="49" spans="2:41">
      <c r="B49"/>
      <c r="C49"/>
      <c r="D49"/>
      <c r="E49"/>
      <c r="F49"/>
      <c r="G49"/>
      <c r="H49"/>
      <c r="I49"/>
      <c r="J49"/>
      <c r="K49"/>
      <c r="L49"/>
      <c r="M49"/>
      <c r="N49"/>
      <c r="O49"/>
      <c r="P49" s="60"/>
      <c r="Q49" s="60"/>
      <c r="R49" s="60"/>
      <c r="S49" s="1"/>
      <c r="T49" s="1"/>
      <c r="U49" s="1"/>
      <c r="V49" s="1"/>
      <c r="W49" s="1"/>
      <c r="X49" s="1"/>
      <c r="Y49" s="1"/>
      <c r="Z49" s="1"/>
      <c r="AA49" s="1"/>
      <c r="AB49" s="1"/>
      <c r="AC49" s="1"/>
      <c r="AD49" s="1"/>
      <c r="AE49" s="1"/>
      <c r="AF49" s="1"/>
      <c r="AG49" s="1"/>
      <c r="AH49" s="1"/>
      <c r="AI49" s="1"/>
      <c r="AJ49" s="1"/>
      <c r="AK49" s="1"/>
      <c r="AL49" s="1"/>
      <c r="AM49" s="1"/>
      <c r="AN49" s="1"/>
      <c r="AO49" s="1"/>
    </row>
    <row r="50" spans="2:41">
      <c r="B50"/>
      <c r="C50"/>
      <c r="D50"/>
      <c r="E50"/>
      <c r="F50"/>
      <c r="G50"/>
      <c r="H50"/>
      <c r="I50"/>
      <c r="J50"/>
      <c r="K50"/>
      <c r="L50"/>
      <c r="M50"/>
      <c r="N50"/>
      <c r="O50"/>
      <c r="P50" s="60"/>
      <c r="Q50" s="60"/>
      <c r="R50" s="60"/>
      <c r="S50" s="1"/>
      <c r="T50" s="1"/>
      <c r="U50" s="1"/>
      <c r="V50" s="1"/>
      <c r="W50" s="1"/>
      <c r="X50" s="1"/>
      <c r="Y50" s="1"/>
      <c r="Z50" s="1"/>
      <c r="AA50" s="1"/>
      <c r="AB50" s="1"/>
      <c r="AC50" s="1"/>
      <c r="AD50" s="1"/>
      <c r="AE50" s="1"/>
      <c r="AF50" s="1"/>
      <c r="AG50" s="1"/>
      <c r="AH50" s="1"/>
      <c r="AI50" s="1"/>
      <c r="AJ50" s="1"/>
      <c r="AK50" s="1"/>
      <c r="AL50" s="1"/>
      <c r="AM50" s="1"/>
      <c r="AN50" s="1"/>
      <c r="AO50" s="1"/>
    </row>
    <row r="51" spans="2:41">
      <c r="B51"/>
      <c r="C51"/>
      <c r="D51"/>
      <c r="E51"/>
      <c r="F51"/>
      <c r="G51"/>
      <c r="H51"/>
      <c r="I51"/>
      <c r="J51"/>
      <c r="K51"/>
      <c r="L51"/>
      <c r="M51"/>
      <c r="N51"/>
      <c r="O51"/>
      <c r="P51" s="60"/>
      <c r="Q51" s="60"/>
      <c r="R51" s="60"/>
      <c r="S51" s="1"/>
      <c r="T51" s="1"/>
      <c r="U51" s="1"/>
      <c r="V51" s="1"/>
      <c r="W51" s="1"/>
      <c r="X51" s="1"/>
      <c r="Y51" s="1"/>
      <c r="Z51" s="1"/>
      <c r="AA51" s="1"/>
      <c r="AB51" s="1"/>
      <c r="AC51" s="1"/>
      <c r="AD51" s="1"/>
      <c r="AE51" s="1"/>
      <c r="AF51" s="1"/>
      <c r="AG51" s="1"/>
      <c r="AH51" s="1"/>
      <c r="AI51" s="1"/>
      <c r="AJ51" s="1"/>
      <c r="AK51" s="1"/>
      <c r="AL51" s="1"/>
      <c r="AM51" s="1"/>
      <c r="AN51" s="1"/>
      <c r="AO51" s="1"/>
    </row>
    <row r="52" spans="2:41">
      <c r="B52"/>
      <c r="C52"/>
      <c r="D52"/>
      <c r="E52"/>
      <c r="F52"/>
      <c r="G52"/>
      <c r="H52"/>
      <c r="I52"/>
      <c r="J52"/>
      <c r="K52"/>
      <c r="L52"/>
      <c r="M52"/>
      <c r="N52"/>
      <c r="O52"/>
      <c r="P52" s="60"/>
      <c r="Q52" s="60"/>
      <c r="R52" s="60"/>
      <c r="S52" s="1"/>
      <c r="T52" s="1"/>
      <c r="U52" s="1"/>
      <c r="V52" s="1"/>
      <c r="W52" s="1"/>
      <c r="X52" s="1"/>
      <c r="Y52" s="1"/>
      <c r="Z52" s="1"/>
      <c r="AA52" s="1"/>
      <c r="AB52" s="1"/>
      <c r="AC52" s="1"/>
      <c r="AD52" s="1"/>
      <c r="AE52" s="1"/>
      <c r="AF52" s="1"/>
      <c r="AG52" s="1"/>
      <c r="AH52" s="1"/>
      <c r="AI52" s="1"/>
      <c r="AJ52" s="1"/>
      <c r="AK52" s="1"/>
      <c r="AL52" s="1"/>
      <c r="AM52" s="1"/>
      <c r="AN52" s="1"/>
      <c r="AO52" s="1"/>
    </row>
    <row r="53" spans="2:41">
      <c r="B53"/>
      <c r="C53"/>
      <c r="D53"/>
      <c r="E53"/>
      <c r="F53"/>
      <c r="G53"/>
      <c r="H53"/>
      <c r="I53"/>
      <c r="J53"/>
      <c r="K53"/>
      <c r="L53"/>
      <c r="M53"/>
      <c r="N53"/>
      <c r="O53"/>
      <c r="P53" s="60"/>
      <c r="Q53" s="60"/>
      <c r="R53" s="60"/>
      <c r="S53" s="1"/>
      <c r="T53" s="1"/>
      <c r="U53" s="1"/>
      <c r="V53" s="1"/>
      <c r="W53" s="1"/>
      <c r="X53" s="1"/>
      <c r="Y53" s="1"/>
      <c r="Z53" s="1"/>
      <c r="AA53" s="1"/>
      <c r="AB53" s="1"/>
      <c r="AC53" s="1"/>
      <c r="AD53" s="1"/>
      <c r="AE53" s="1"/>
      <c r="AF53" s="1"/>
      <c r="AG53" s="1"/>
      <c r="AH53" s="1"/>
      <c r="AI53" s="1"/>
      <c r="AJ53" s="1"/>
      <c r="AK53" s="1"/>
      <c r="AL53" s="1"/>
      <c r="AM53" s="1"/>
      <c r="AN53" s="1"/>
      <c r="AO53" s="1"/>
    </row>
    <row r="54" spans="2:41">
      <c r="B54"/>
      <c r="C54"/>
      <c r="D54"/>
      <c r="E54"/>
      <c r="F54"/>
      <c r="G54"/>
      <c r="H54"/>
      <c r="I54"/>
      <c r="J54"/>
      <c r="K54"/>
      <c r="L54"/>
      <c r="M54"/>
      <c r="N54"/>
      <c r="O54"/>
      <c r="P54" s="60"/>
      <c r="Q54" s="60"/>
      <c r="R54" s="60"/>
      <c r="S54" s="1"/>
      <c r="T54" s="1"/>
      <c r="U54" s="1"/>
      <c r="V54" s="1"/>
      <c r="W54" s="1"/>
      <c r="X54" s="1"/>
      <c r="Y54" s="1"/>
      <c r="Z54" s="1"/>
      <c r="AA54" s="1"/>
      <c r="AB54" s="1"/>
      <c r="AC54" s="1"/>
      <c r="AD54" s="1"/>
      <c r="AE54" s="1"/>
      <c r="AF54" s="1"/>
      <c r="AG54" s="1"/>
      <c r="AH54" s="1"/>
      <c r="AI54" s="1"/>
      <c r="AJ54" s="1"/>
      <c r="AK54" s="1"/>
      <c r="AL54" s="1"/>
      <c r="AM54" s="1"/>
      <c r="AN54" s="1"/>
      <c r="AO54" s="1"/>
    </row>
    <row r="55" spans="2:41">
      <c r="B55"/>
      <c r="C55"/>
      <c r="D55"/>
      <c r="E55"/>
      <c r="F55"/>
      <c r="G55"/>
      <c r="H55"/>
      <c r="I55"/>
      <c r="J55"/>
      <c r="K55"/>
      <c r="L55"/>
      <c r="M55"/>
      <c r="N55"/>
      <c r="O55"/>
      <c r="P55" s="60"/>
      <c r="Q55" s="60"/>
      <c r="R55" s="60"/>
      <c r="S55" s="1"/>
      <c r="T55" s="1"/>
      <c r="U55" s="1"/>
      <c r="V55" s="1"/>
      <c r="W55" s="1"/>
      <c r="X55" s="1"/>
      <c r="Y55" s="1"/>
      <c r="Z55" s="1"/>
      <c r="AA55" s="1"/>
      <c r="AB55" s="1"/>
      <c r="AC55" s="1"/>
      <c r="AD55" s="1"/>
      <c r="AE55" s="1"/>
      <c r="AF55" s="1"/>
      <c r="AG55" s="1"/>
      <c r="AH55" s="1"/>
      <c r="AI55" s="1"/>
      <c r="AJ55" s="1"/>
      <c r="AK55" s="1"/>
      <c r="AL55" s="1"/>
      <c r="AM55" s="1"/>
      <c r="AN55" s="1"/>
      <c r="AO55" s="1"/>
    </row>
    <row r="56" spans="2:41">
      <c r="B56"/>
      <c r="C56"/>
      <c r="D56"/>
      <c r="E56"/>
      <c r="F56"/>
      <c r="G56"/>
      <c r="H56"/>
      <c r="I56"/>
      <c r="J56"/>
      <c r="K56"/>
      <c r="L56"/>
      <c r="M56"/>
      <c r="N56"/>
      <c r="O56"/>
      <c r="P56" s="60"/>
      <c r="Q56" s="60"/>
      <c r="R56" s="60"/>
      <c r="S56" s="1"/>
      <c r="T56" s="1"/>
      <c r="U56" s="1"/>
      <c r="V56" s="1"/>
      <c r="W56" s="1"/>
      <c r="X56" s="1"/>
      <c r="Y56" s="1"/>
      <c r="Z56" s="1"/>
      <c r="AA56" s="1"/>
      <c r="AB56" s="1"/>
      <c r="AC56" s="1"/>
      <c r="AD56" s="1"/>
      <c r="AE56" s="1"/>
      <c r="AF56" s="1"/>
      <c r="AG56" s="1"/>
      <c r="AH56" s="1"/>
      <c r="AI56" s="1"/>
      <c r="AJ56" s="1"/>
      <c r="AK56" s="1"/>
      <c r="AL56" s="1"/>
      <c r="AM56" s="1"/>
      <c r="AN56" s="1"/>
      <c r="AO56" s="1"/>
    </row>
    <row r="57" spans="2:41">
      <c r="B57"/>
      <c r="C57"/>
      <c r="D57"/>
      <c r="E57"/>
      <c r="F57"/>
      <c r="G57"/>
      <c r="H57"/>
      <c r="I57"/>
      <c r="J57"/>
      <c r="K57"/>
      <c r="L57"/>
      <c r="M57"/>
      <c r="N57"/>
      <c r="O57"/>
      <c r="P57" s="60"/>
      <c r="Q57" s="60"/>
      <c r="R57" s="60"/>
      <c r="S57" s="1"/>
      <c r="T57" s="1"/>
      <c r="U57" s="1"/>
      <c r="V57" s="1"/>
      <c r="W57" s="1"/>
      <c r="X57" s="1"/>
      <c r="Y57" s="1"/>
      <c r="Z57" s="1"/>
      <c r="AA57" s="1"/>
      <c r="AB57" s="1"/>
      <c r="AC57" s="1"/>
      <c r="AD57" s="1"/>
      <c r="AE57" s="1"/>
      <c r="AF57" s="1"/>
      <c r="AG57" s="1"/>
      <c r="AH57" s="1"/>
      <c r="AI57" s="1"/>
      <c r="AJ57" s="1"/>
      <c r="AK57" s="1"/>
      <c r="AL57" s="1"/>
      <c r="AM57" s="1"/>
      <c r="AN57" s="1"/>
      <c r="AO57" s="1"/>
    </row>
    <row r="58" spans="2:41">
      <c r="B58"/>
      <c r="C58"/>
      <c r="D58"/>
      <c r="E58"/>
      <c r="F58"/>
      <c r="G58"/>
      <c r="H58"/>
      <c r="I58"/>
      <c r="J58"/>
      <c r="K58"/>
      <c r="L58"/>
      <c r="M58"/>
      <c r="N58"/>
      <c r="O58"/>
      <c r="P58" s="60"/>
      <c r="Q58" s="60"/>
      <c r="R58" s="60"/>
      <c r="S58" s="1"/>
      <c r="T58" s="1"/>
      <c r="U58" s="1"/>
      <c r="V58" s="1"/>
      <c r="W58" s="1"/>
      <c r="X58" s="1"/>
      <c r="Y58" s="1"/>
      <c r="Z58" s="1"/>
      <c r="AA58" s="1"/>
      <c r="AB58" s="1"/>
      <c r="AC58" s="1"/>
      <c r="AD58" s="1"/>
      <c r="AE58" s="1"/>
      <c r="AF58" s="1"/>
      <c r="AG58" s="1"/>
      <c r="AH58" s="1"/>
      <c r="AI58" s="1"/>
      <c r="AJ58" s="1"/>
      <c r="AK58" s="1"/>
      <c r="AL58" s="1"/>
      <c r="AM58" s="1"/>
      <c r="AN58" s="1"/>
      <c r="AO58" s="1"/>
    </row>
    <row r="59" spans="2:41">
      <c r="B59"/>
      <c r="C59"/>
      <c r="D59"/>
      <c r="E59"/>
      <c r="F59"/>
      <c r="G59"/>
      <c r="H59"/>
      <c r="I59"/>
      <c r="J59"/>
      <c r="K59"/>
      <c r="L59"/>
      <c r="M59"/>
      <c r="N59"/>
      <c r="O59"/>
      <c r="P59" s="60"/>
      <c r="Q59" s="60"/>
      <c r="R59" s="60"/>
      <c r="S59" s="1"/>
      <c r="T59" s="1"/>
      <c r="U59" s="1"/>
      <c r="V59" s="1"/>
      <c r="W59" s="1"/>
      <c r="X59" s="1"/>
      <c r="Y59" s="1"/>
      <c r="Z59" s="1"/>
      <c r="AA59" s="1"/>
      <c r="AB59" s="1"/>
      <c r="AC59" s="1"/>
      <c r="AD59" s="1"/>
      <c r="AE59" s="1"/>
      <c r="AF59" s="1"/>
      <c r="AG59" s="1"/>
      <c r="AH59" s="1"/>
      <c r="AI59" s="1"/>
      <c r="AJ59" s="1"/>
      <c r="AK59" s="1"/>
      <c r="AL59" s="1"/>
      <c r="AM59" s="1"/>
      <c r="AN59" s="1"/>
      <c r="AO59" s="1"/>
    </row>
    <row r="60" spans="2:41">
      <c r="B60"/>
      <c r="C60"/>
      <c r="D60"/>
      <c r="E60"/>
      <c r="F60"/>
      <c r="G60"/>
      <c r="H60"/>
      <c r="I60"/>
      <c r="J60"/>
      <c r="K60"/>
      <c r="L60"/>
      <c r="M60"/>
      <c r="N60"/>
      <c r="O60"/>
      <c r="P60" s="60"/>
      <c r="Q60" s="60"/>
      <c r="R60" s="60"/>
      <c r="S60" s="1"/>
      <c r="T60" s="1"/>
      <c r="U60" s="1"/>
      <c r="V60" s="1"/>
      <c r="W60" s="1"/>
      <c r="X60" s="1"/>
      <c r="Y60" s="1"/>
      <c r="Z60" s="1"/>
      <c r="AA60" s="1"/>
      <c r="AB60" s="1"/>
      <c r="AC60" s="1"/>
      <c r="AD60" s="1"/>
      <c r="AE60" s="1"/>
      <c r="AF60" s="1"/>
      <c r="AG60" s="1"/>
      <c r="AH60" s="1"/>
      <c r="AI60" s="1"/>
      <c r="AJ60" s="1"/>
      <c r="AK60" s="1"/>
      <c r="AL60" s="1"/>
      <c r="AM60" s="1"/>
      <c r="AN60" s="1"/>
      <c r="AO60" s="1"/>
    </row>
    <row r="61" spans="2:41">
      <c r="B61"/>
      <c r="C61"/>
      <c r="D61"/>
      <c r="E61"/>
      <c r="F61"/>
      <c r="G61"/>
      <c r="H61"/>
      <c r="I61"/>
      <c r="J61"/>
      <c r="K61"/>
      <c r="L61"/>
      <c r="M61"/>
      <c r="N61"/>
      <c r="O61"/>
      <c r="P61" s="60"/>
      <c r="Q61" s="60"/>
      <c r="R61" s="60"/>
      <c r="S61" s="1"/>
      <c r="T61" s="1"/>
      <c r="U61" s="1"/>
      <c r="V61" s="1"/>
      <c r="W61" s="1"/>
      <c r="X61" s="1"/>
      <c r="Y61" s="1"/>
      <c r="Z61" s="1"/>
      <c r="AA61" s="1"/>
      <c r="AB61" s="1"/>
      <c r="AC61" s="1"/>
      <c r="AD61" s="1"/>
      <c r="AE61" s="1"/>
      <c r="AF61" s="1"/>
      <c r="AG61" s="1"/>
      <c r="AH61" s="1"/>
      <c r="AI61" s="1"/>
      <c r="AJ61" s="1"/>
      <c r="AK61" s="1"/>
      <c r="AL61" s="1"/>
      <c r="AM61" s="1"/>
      <c r="AN61" s="1"/>
      <c r="AO61" s="1"/>
    </row>
    <row r="62" spans="2:41">
      <c r="B62"/>
      <c r="C62"/>
      <c r="D62"/>
      <c r="E62"/>
      <c r="F62"/>
      <c r="G62"/>
      <c r="H62"/>
      <c r="I62"/>
      <c r="J62"/>
      <c r="K62"/>
      <c r="L62"/>
      <c r="M62"/>
      <c r="N62"/>
      <c r="O62"/>
      <c r="P62" s="60"/>
      <c r="Q62" s="60"/>
      <c r="R62" s="60"/>
      <c r="S62" s="1"/>
      <c r="T62" s="1"/>
      <c r="U62" s="1"/>
      <c r="V62" s="1"/>
      <c r="W62" s="1"/>
      <c r="X62" s="1"/>
      <c r="Y62" s="1"/>
      <c r="Z62" s="1"/>
      <c r="AA62" s="1"/>
      <c r="AB62" s="1"/>
      <c r="AC62" s="1"/>
      <c r="AD62" s="1"/>
      <c r="AE62" s="1"/>
      <c r="AF62" s="1"/>
      <c r="AG62" s="1"/>
      <c r="AH62" s="1"/>
      <c r="AI62" s="1"/>
      <c r="AJ62" s="1"/>
      <c r="AK62" s="1"/>
      <c r="AL62" s="1"/>
      <c r="AM62" s="1"/>
      <c r="AN62" s="1"/>
      <c r="AO62" s="1"/>
    </row>
    <row r="63" spans="2:41">
      <c r="B63"/>
      <c r="C63"/>
      <c r="D63"/>
      <c r="E63"/>
      <c r="F63"/>
      <c r="G63"/>
      <c r="H63"/>
      <c r="I63"/>
      <c r="J63"/>
      <c r="K63"/>
      <c r="L63"/>
      <c r="M63"/>
      <c r="N63"/>
      <c r="O63"/>
      <c r="P63" s="60"/>
      <c r="Q63" s="60"/>
      <c r="R63" s="60"/>
      <c r="S63" s="1"/>
      <c r="T63" s="1"/>
      <c r="U63" s="1"/>
      <c r="V63" s="1"/>
      <c r="W63" s="1"/>
      <c r="X63" s="1"/>
      <c r="Y63" s="1"/>
      <c r="Z63" s="1"/>
      <c r="AA63" s="1"/>
      <c r="AB63" s="1"/>
      <c r="AC63" s="1"/>
      <c r="AD63" s="1"/>
      <c r="AE63" s="1"/>
      <c r="AF63" s="1"/>
      <c r="AG63" s="1"/>
      <c r="AH63" s="1"/>
      <c r="AI63" s="1"/>
      <c r="AJ63" s="1"/>
      <c r="AK63" s="1"/>
      <c r="AL63" s="1"/>
      <c r="AM63" s="1"/>
      <c r="AN63" s="1"/>
      <c r="AO63" s="1"/>
    </row>
    <row r="64" spans="2:41">
      <c r="B64"/>
      <c r="C64"/>
      <c r="D64"/>
      <c r="E64"/>
      <c r="F64"/>
      <c r="G64"/>
      <c r="H64"/>
      <c r="I64"/>
      <c r="J64"/>
      <c r="K64"/>
      <c r="L64"/>
      <c r="M64"/>
      <c r="N64"/>
      <c r="O64"/>
      <c r="P64" s="60"/>
      <c r="Q64" s="60"/>
      <c r="R64" s="60"/>
      <c r="S64" s="1"/>
      <c r="T64" s="1"/>
      <c r="U64" s="1"/>
      <c r="V64" s="1"/>
      <c r="W64" s="1"/>
      <c r="X64" s="1"/>
      <c r="Y64" s="1"/>
      <c r="Z64" s="1"/>
      <c r="AA64" s="1"/>
      <c r="AB64" s="1"/>
      <c r="AC64" s="1"/>
      <c r="AD64" s="1"/>
      <c r="AE64" s="1"/>
      <c r="AF64" s="1"/>
      <c r="AG64" s="1"/>
      <c r="AH64" s="1"/>
      <c r="AI64" s="1"/>
      <c r="AJ64" s="1"/>
      <c r="AK64" s="1"/>
      <c r="AL64" s="1"/>
      <c r="AM64" s="1"/>
      <c r="AN64" s="1"/>
      <c r="AO64" s="1"/>
    </row>
    <row r="65" spans="2:41">
      <c r="B65"/>
      <c r="C65"/>
      <c r="D65"/>
      <c r="E65"/>
      <c r="F65"/>
      <c r="G65"/>
      <c r="H65"/>
      <c r="I65"/>
      <c r="J65"/>
      <c r="K65"/>
      <c r="L65"/>
      <c r="M65"/>
      <c r="N65"/>
      <c r="O65"/>
      <c r="P65" s="60"/>
      <c r="Q65" s="60"/>
      <c r="R65" s="60"/>
      <c r="S65" s="1"/>
      <c r="T65" s="1"/>
      <c r="U65" s="1"/>
      <c r="V65" s="1"/>
      <c r="W65" s="1"/>
      <c r="X65" s="1"/>
      <c r="Y65" s="1"/>
      <c r="Z65" s="1"/>
      <c r="AA65" s="1"/>
      <c r="AB65" s="1"/>
      <c r="AC65" s="1"/>
      <c r="AD65" s="1"/>
      <c r="AE65" s="1"/>
      <c r="AF65" s="1"/>
      <c r="AG65" s="1"/>
      <c r="AH65" s="1"/>
      <c r="AI65" s="1"/>
      <c r="AJ65" s="1"/>
      <c r="AK65" s="1"/>
      <c r="AL65" s="1"/>
      <c r="AM65" s="1"/>
      <c r="AN65" s="1"/>
      <c r="AO65" s="1"/>
    </row>
    <row r="66" spans="2:41">
      <c r="B66"/>
      <c r="C66"/>
      <c r="D66"/>
      <c r="E66"/>
      <c r="F66"/>
      <c r="G66"/>
      <c r="H66"/>
      <c r="I66"/>
      <c r="J66"/>
      <c r="K66"/>
      <c r="L66"/>
      <c r="M66"/>
      <c r="N66"/>
      <c r="O66"/>
      <c r="P66" s="60"/>
      <c r="Q66" s="60"/>
      <c r="R66" s="60"/>
      <c r="S66" s="1"/>
      <c r="T66" s="1"/>
      <c r="U66" s="1"/>
      <c r="V66" s="1"/>
      <c r="W66" s="1"/>
      <c r="X66" s="1"/>
      <c r="Y66" s="1"/>
      <c r="Z66" s="1"/>
      <c r="AA66" s="1"/>
      <c r="AB66" s="1"/>
      <c r="AC66" s="1"/>
      <c r="AD66" s="1"/>
      <c r="AE66" s="1"/>
      <c r="AF66" s="1"/>
      <c r="AG66" s="1"/>
      <c r="AH66" s="1"/>
      <c r="AI66" s="1"/>
      <c r="AJ66" s="1"/>
      <c r="AK66" s="1"/>
      <c r="AL66" s="1"/>
      <c r="AM66" s="1"/>
      <c r="AN66" s="1"/>
      <c r="AO66" s="1"/>
    </row>
    <row r="67" spans="2:41">
      <c r="B67"/>
      <c r="C67"/>
      <c r="D67"/>
      <c r="E67"/>
      <c r="F67"/>
      <c r="G67"/>
      <c r="H67"/>
      <c r="I67"/>
      <c r="J67"/>
      <c r="K67"/>
      <c r="L67"/>
      <c r="M67"/>
      <c r="N67"/>
      <c r="O67"/>
      <c r="P67" s="60"/>
      <c r="Q67" s="60"/>
      <c r="R67" s="60"/>
      <c r="S67" s="1"/>
      <c r="T67" s="1"/>
      <c r="U67" s="1"/>
      <c r="V67" s="1"/>
      <c r="W67" s="1"/>
      <c r="X67" s="1"/>
      <c r="Y67" s="1"/>
      <c r="Z67" s="1"/>
      <c r="AA67" s="1"/>
      <c r="AB67" s="1"/>
      <c r="AC67" s="1"/>
      <c r="AD67" s="1"/>
      <c r="AE67" s="1"/>
      <c r="AF67" s="1"/>
      <c r="AG67" s="1"/>
      <c r="AH67" s="1"/>
      <c r="AI67" s="1"/>
      <c r="AJ67" s="1"/>
      <c r="AK67" s="1"/>
      <c r="AL67" s="1"/>
      <c r="AM67" s="1"/>
      <c r="AN67" s="1"/>
      <c r="AO67" s="1"/>
    </row>
    <row r="68" spans="2:41">
      <c r="B68"/>
      <c r="C68"/>
      <c r="D68"/>
      <c r="E68"/>
      <c r="F68"/>
      <c r="G68"/>
      <c r="H68"/>
      <c r="I68"/>
      <c r="J68"/>
      <c r="K68"/>
      <c r="L68"/>
      <c r="M68"/>
      <c r="N68"/>
      <c r="O68"/>
      <c r="P68" s="60"/>
      <c r="Q68" s="60"/>
      <c r="R68" s="60"/>
      <c r="S68" s="1"/>
      <c r="T68" s="1"/>
      <c r="U68" s="1"/>
      <c r="V68" s="1"/>
      <c r="W68" s="1"/>
      <c r="X68" s="1"/>
      <c r="Y68" s="1"/>
      <c r="Z68" s="1"/>
      <c r="AA68" s="1"/>
      <c r="AB68" s="1"/>
      <c r="AC68" s="1"/>
      <c r="AD68" s="1"/>
      <c r="AE68" s="1"/>
      <c r="AF68" s="1"/>
      <c r="AG68" s="1"/>
      <c r="AH68" s="1"/>
      <c r="AI68" s="1"/>
      <c r="AJ68" s="1"/>
      <c r="AK68" s="1"/>
      <c r="AL68" s="1"/>
      <c r="AM68" s="1"/>
      <c r="AN68" s="1"/>
      <c r="AO68" s="1"/>
    </row>
    <row r="69" spans="2:41">
      <c r="B69"/>
      <c r="C69"/>
      <c r="D69"/>
      <c r="E69"/>
      <c r="F69"/>
      <c r="G69"/>
      <c r="H69"/>
      <c r="I69"/>
      <c r="J69"/>
      <c r="K69"/>
      <c r="L69"/>
      <c r="M69"/>
      <c r="N69"/>
      <c r="O69"/>
      <c r="P69" s="60"/>
      <c r="Q69" s="60"/>
      <c r="R69" s="60"/>
      <c r="S69" s="1"/>
      <c r="T69" s="1"/>
      <c r="U69" s="1"/>
      <c r="V69" s="1"/>
      <c r="W69" s="1"/>
      <c r="X69" s="1"/>
      <c r="Y69" s="1"/>
      <c r="Z69" s="1"/>
      <c r="AA69" s="1"/>
      <c r="AB69" s="1"/>
      <c r="AC69" s="1"/>
      <c r="AD69" s="1"/>
      <c r="AE69" s="1"/>
      <c r="AF69" s="1"/>
      <c r="AG69" s="1"/>
      <c r="AH69" s="1"/>
      <c r="AI69" s="1"/>
      <c r="AJ69" s="1"/>
      <c r="AK69" s="1"/>
      <c r="AL69" s="1"/>
      <c r="AM69" s="1"/>
      <c r="AN69" s="1"/>
      <c r="AO69" s="1"/>
    </row>
    <row r="70" spans="2:41">
      <c r="B70"/>
      <c r="C70"/>
      <c r="D70"/>
      <c r="E70"/>
      <c r="F70"/>
      <c r="G70"/>
      <c r="H70"/>
      <c r="I70"/>
      <c r="J70"/>
      <c r="K70"/>
      <c r="L70"/>
      <c r="M70"/>
      <c r="N70"/>
      <c r="O70"/>
      <c r="P70" s="60"/>
      <c r="Q70" s="60"/>
      <c r="R70" s="60"/>
      <c r="S70" s="1"/>
      <c r="T70" s="1"/>
      <c r="U70" s="1"/>
      <c r="V70" s="1"/>
      <c r="W70" s="1"/>
      <c r="X70" s="1"/>
      <c r="Y70" s="1"/>
      <c r="Z70" s="1"/>
      <c r="AA70" s="1"/>
      <c r="AB70" s="1"/>
      <c r="AC70" s="1"/>
      <c r="AD70" s="1"/>
      <c r="AE70" s="1"/>
      <c r="AF70" s="1"/>
      <c r="AG70" s="1"/>
      <c r="AH70" s="1"/>
      <c r="AI70" s="1"/>
      <c r="AJ70" s="1"/>
      <c r="AK70" s="1"/>
      <c r="AL70" s="1"/>
      <c r="AM70" s="1"/>
      <c r="AN70" s="1"/>
      <c r="AO70" s="1"/>
    </row>
    <row r="71" spans="2:41">
      <c r="B71"/>
      <c r="C71"/>
      <c r="D71"/>
      <c r="E71"/>
      <c r="F71"/>
      <c r="G71"/>
      <c r="H71"/>
      <c r="I71"/>
      <c r="J71"/>
      <c r="K71"/>
      <c r="L71"/>
      <c r="M71"/>
      <c r="N71"/>
      <c r="O71"/>
      <c r="P71" s="60"/>
      <c r="Q71" s="60"/>
      <c r="R71" s="60"/>
      <c r="S71" s="1"/>
      <c r="T71" s="1"/>
      <c r="U71" s="1"/>
      <c r="V71" s="1"/>
      <c r="W71" s="1"/>
      <c r="X71" s="1"/>
      <c r="Y71" s="1"/>
      <c r="Z71" s="1"/>
      <c r="AA71" s="1"/>
      <c r="AB71" s="1"/>
      <c r="AC71" s="1"/>
      <c r="AD71" s="1"/>
      <c r="AE71" s="1"/>
      <c r="AF71" s="1"/>
      <c r="AG71" s="1"/>
      <c r="AH71" s="1"/>
      <c r="AI71" s="1"/>
      <c r="AJ71" s="1"/>
      <c r="AK71" s="1"/>
      <c r="AL71" s="1"/>
      <c r="AM71" s="1"/>
      <c r="AN71" s="1"/>
      <c r="AO71" s="1"/>
    </row>
    <row r="72" spans="2:41">
      <c r="B72"/>
      <c r="C72"/>
      <c r="D72"/>
      <c r="E72"/>
      <c r="F72"/>
      <c r="G72"/>
      <c r="H72"/>
      <c r="I72"/>
      <c r="J72"/>
      <c r="K72"/>
      <c r="L72"/>
      <c r="M72"/>
      <c r="N72"/>
      <c r="O72"/>
      <c r="P72" s="60"/>
      <c r="Q72" s="60"/>
      <c r="R72" s="60"/>
      <c r="S72" s="1"/>
      <c r="T72" s="1"/>
      <c r="U72" s="1"/>
      <c r="V72" s="1"/>
      <c r="W72" s="1"/>
      <c r="X72" s="1"/>
      <c r="Y72" s="1"/>
      <c r="Z72" s="1"/>
      <c r="AA72" s="1"/>
      <c r="AB72" s="1"/>
      <c r="AC72" s="1"/>
      <c r="AD72" s="1"/>
      <c r="AE72" s="1"/>
      <c r="AF72" s="1"/>
      <c r="AG72" s="1"/>
      <c r="AH72" s="1"/>
      <c r="AI72" s="1"/>
      <c r="AJ72" s="1"/>
      <c r="AK72" s="1"/>
      <c r="AL72" s="1"/>
      <c r="AM72" s="1"/>
      <c r="AN72" s="1"/>
      <c r="AO72" s="1"/>
    </row>
    <row r="73" spans="2:41">
      <c r="B73"/>
      <c r="C73"/>
      <c r="D73"/>
      <c r="E73"/>
      <c r="F73"/>
      <c r="G73"/>
      <c r="H73"/>
      <c r="I73"/>
      <c r="J73"/>
      <c r="K73"/>
      <c r="L73"/>
      <c r="M73"/>
      <c r="N73"/>
      <c r="O73"/>
      <c r="P73" s="60"/>
      <c r="Q73" s="60"/>
      <c r="R73" s="60"/>
      <c r="S73" s="1"/>
      <c r="T73" s="1"/>
      <c r="U73" s="1"/>
      <c r="V73" s="1"/>
      <c r="W73" s="1"/>
      <c r="X73" s="1"/>
      <c r="Y73" s="1"/>
      <c r="Z73" s="1"/>
      <c r="AA73" s="1"/>
      <c r="AB73" s="1"/>
      <c r="AC73" s="1"/>
      <c r="AD73" s="1"/>
      <c r="AE73" s="1"/>
      <c r="AF73" s="1"/>
      <c r="AG73" s="1"/>
      <c r="AH73" s="1"/>
      <c r="AI73" s="1"/>
      <c r="AJ73" s="1"/>
      <c r="AK73" s="1"/>
      <c r="AL73" s="1"/>
      <c r="AM73" s="1"/>
      <c r="AN73" s="1"/>
      <c r="AO73" s="1"/>
    </row>
    <row r="74" spans="2:41">
      <c r="B74"/>
      <c r="C74"/>
      <c r="D74"/>
      <c r="E74"/>
      <c r="F74"/>
      <c r="G74"/>
      <c r="H74"/>
      <c r="I74"/>
      <c r="J74"/>
      <c r="K74"/>
      <c r="L74"/>
      <c r="M74"/>
      <c r="N74"/>
      <c r="O74"/>
      <c r="P74" s="60"/>
      <c r="Q74" s="60"/>
      <c r="R74" s="60"/>
      <c r="S74" s="1"/>
      <c r="T74" s="1"/>
      <c r="U74" s="1"/>
      <c r="V74" s="1"/>
      <c r="W74" s="1"/>
      <c r="X74" s="1"/>
      <c r="Y74" s="1"/>
      <c r="Z74" s="1"/>
      <c r="AA74" s="1"/>
      <c r="AB74" s="1"/>
      <c r="AC74" s="1"/>
      <c r="AD74" s="1"/>
      <c r="AE74" s="1"/>
      <c r="AF74" s="1"/>
      <c r="AG74" s="1"/>
      <c r="AH74" s="1"/>
      <c r="AI74" s="1"/>
      <c r="AJ74" s="1"/>
      <c r="AK74" s="1"/>
      <c r="AL74" s="1"/>
      <c r="AM74" s="1"/>
      <c r="AN74" s="1"/>
      <c r="AO74" s="1"/>
    </row>
    <row r="75" spans="2:41">
      <c r="B75"/>
      <c r="C75"/>
      <c r="D75"/>
      <c r="E75"/>
      <c r="F75"/>
      <c r="G75"/>
      <c r="H75"/>
      <c r="I75"/>
      <c r="J75"/>
      <c r="K75"/>
      <c r="L75"/>
      <c r="M75"/>
      <c r="N75"/>
      <c r="O75"/>
      <c r="P75" s="60"/>
      <c r="Q75" s="60"/>
      <c r="R75" s="60"/>
      <c r="S75" s="1"/>
      <c r="T75" s="1"/>
      <c r="U75" s="1"/>
      <c r="V75" s="1"/>
      <c r="W75" s="1"/>
      <c r="X75" s="1"/>
      <c r="Y75" s="1"/>
      <c r="Z75" s="1"/>
      <c r="AA75" s="1"/>
      <c r="AB75" s="1"/>
      <c r="AC75" s="1"/>
      <c r="AD75" s="1"/>
      <c r="AE75" s="1"/>
      <c r="AF75" s="1"/>
      <c r="AG75" s="1"/>
      <c r="AH75" s="1"/>
      <c r="AI75" s="1"/>
      <c r="AJ75" s="1"/>
      <c r="AK75" s="1"/>
      <c r="AL75" s="1"/>
      <c r="AM75" s="1"/>
      <c r="AN75" s="1"/>
      <c r="AO75" s="1"/>
    </row>
    <row r="76" spans="2:41">
      <c r="B76"/>
      <c r="C76"/>
      <c r="D76"/>
      <c r="E76"/>
      <c r="F76"/>
      <c r="G76"/>
      <c r="H76"/>
      <c r="I76"/>
      <c r="J76"/>
      <c r="K76"/>
      <c r="L76"/>
      <c r="M76"/>
      <c r="N76"/>
      <c r="O76"/>
      <c r="P76" s="60"/>
      <c r="Q76" s="60"/>
      <c r="R76" s="60"/>
      <c r="S76" s="1"/>
      <c r="T76" s="1"/>
      <c r="U76" s="1"/>
      <c r="V76" s="1"/>
      <c r="W76" s="1"/>
      <c r="X76" s="1"/>
      <c r="Y76" s="1"/>
      <c r="Z76" s="1"/>
      <c r="AA76" s="1"/>
      <c r="AB76" s="1"/>
      <c r="AC76" s="1"/>
      <c r="AD76" s="1"/>
      <c r="AE76" s="1"/>
      <c r="AF76" s="1"/>
      <c r="AG76" s="1"/>
      <c r="AH76" s="1"/>
      <c r="AI76" s="1"/>
      <c r="AJ76" s="1"/>
      <c r="AK76" s="1"/>
      <c r="AL76" s="1"/>
      <c r="AM76" s="1"/>
      <c r="AN76" s="1"/>
      <c r="AO76" s="1"/>
    </row>
    <row r="77" spans="2:41">
      <c r="B77"/>
      <c r="C77"/>
      <c r="D77"/>
      <c r="E77"/>
      <c r="F77"/>
      <c r="G77"/>
      <c r="H77"/>
      <c r="I77"/>
      <c r="J77"/>
      <c r="K77"/>
      <c r="L77"/>
      <c r="M77"/>
      <c r="N77"/>
      <c r="O77"/>
      <c r="P77" s="60"/>
      <c r="Q77" s="60"/>
      <c r="R77" s="60"/>
      <c r="S77" s="1"/>
      <c r="T77" s="1"/>
      <c r="U77" s="1"/>
      <c r="V77" s="1"/>
      <c r="W77" s="1"/>
      <c r="X77" s="1"/>
      <c r="Y77" s="1"/>
      <c r="Z77" s="1"/>
      <c r="AA77" s="1"/>
      <c r="AB77" s="1"/>
      <c r="AC77" s="1"/>
      <c r="AD77" s="1"/>
      <c r="AE77" s="1"/>
      <c r="AF77" s="1"/>
      <c r="AG77" s="1"/>
      <c r="AH77" s="1"/>
      <c r="AI77" s="1"/>
      <c r="AJ77" s="1"/>
      <c r="AK77" s="1"/>
      <c r="AL77" s="1"/>
      <c r="AM77" s="1"/>
      <c r="AN77" s="1"/>
      <c r="AO77" s="1"/>
    </row>
    <row r="78" spans="2:41">
      <c r="B78"/>
      <c r="C78"/>
      <c r="D78"/>
      <c r="E78"/>
      <c r="F78"/>
      <c r="G78"/>
      <c r="H78"/>
      <c r="I78"/>
      <c r="J78"/>
      <c r="K78"/>
      <c r="L78"/>
      <c r="M78"/>
      <c r="N78"/>
      <c r="O78"/>
      <c r="P78" s="60"/>
      <c r="Q78" s="60"/>
      <c r="R78" s="60"/>
      <c r="S78" s="1"/>
      <c r="T78" s="1"/>
      <c r="U78" s="1"/>
      <c r="V78" s="1"/>
      <c r="W78" s="1"/>
      <c r="X78" s="1"/>
      <c r="Y78" s="1"/>
      <c r="Z78" s="1"/>
      <c r="AA78" s="1"/>
      <c r="AB78" s="1"/>
      <c r="AC78" s="1"/>
      <c r="AD78" s="1"/>
      <c r="AE78" s="1"/>
      <c r="AF78" s="1"/>
      <c r="AG78" s="1"/>
      <c r="AH78" s="1"/>
      <c r="AI78" s="1"/>
      <c r="AJ78" s="1"/>
      <c r="AK78" s="1"/>
      <c r="AL78" s="1"/>
      <c r="AM78" s="1"/>
      <c r="AN78" s="1"/>
      <c r="AO78" s="1"/>
    </row>
    <row r="79" spans="2:41">
      <c r="B79"/>
      <c r="C79"/>
      <c r="D79"/>
      <c r="E79"/>
      <c r="F79"/>
      <c r="G79"/>
      <c r="H79"/>
      <c r="I79"/>
      <c r="J79"/>
      <c r="K79"/>
      <c r="L79"/>
      <c r="M79"/>
      <c r="N79"/>
      <c r="O79"/>
      <c r="P79" s="60"/>
      <c r="Q79" s="60"/>
      <c r="R79" s="60"/>
      <c r="S79" s="1"/>
      <c r="T79" s="1"/>
      <c r="U79" s="1"/>
      <c r="V79" s="1"/>
      <c r="W79" s="1"/>
      <c r="X79" s="1"/>
      <c r="Y79" s="1"/>
      <c r="Z79" s="1"/>
      <c r="AA79" s="1"/>
      <c r="AB79" s="1"/>
      <c r="AC79" s="1"/>
      <c r="AD79" s="1"/>
      <c r="AE79" s="1"/>
      <c r="AF79" s="1"/>
      <c r="AG79" s="1"/>
      <c r="AH79" s="1"/>
      <c r="AI79" s="1"/>
      <c r="AJ79" s="1"/>
      <c r="AK79" s="1"/>
      <c r="AL79" s="1"/>
      <c r="AM79" s="1"/>
      <c r="AN79" s="1"/>
      <c r="AO79" s="1"/>
    </row>
    <row r="80" spans="2:41">
      <c r="B80"/>
      <c r="C80"/>
      <c r="D80"/>
      <c r="E80"/>
      <c r="F80"/>
      <c r="G80"/>
      <c r="H80"/>
      <c r="I80"/>
      <c r="J80"/>
      <c r="K80"/>
      <c r="L80"/>
      <c r="M80"/>
      <c r="N80"/>
      <c r="O80"/>
      <c r="P80" s="60"/>
      <c r="Q80" s="60"/>
      <c r="R80" s="60"/>
      <c r="S80" s="1"/>
      <c r="T80" s="1"/>
      <c r="U80" s="1"/>
      <c r="V80" s="1"/>
      <c r="W80" s="1"/>
      <c r="X80" s="1"/>
      <c r="Y80" s="1"/>
      <c r="Z80" s="1"/>
      <c r="AA80" s="1"/>
      <c r="AB80" s="1"/>
      <c r="AC80" s="1"/>
      <c r="AD80" s="1"/>
      <c r="AE80" s="1"/>
      <c r="AF80" s="1"/>
      <c r="AG80" s="1"/>
      <c r="AH80" s="1"/>
      <c r="AI80" s="1"/>
      <c r="AJ80" s="1"/>
      <c r="AK80" s="1"/>
      <c r="AL80" s="1"/>
      <c r="AM80" s="1"/>
      <c r="AN80" s="1"/>
      <c r="AO80" s="1"/>
    </row>
    <row r="81" spans="2:41">
      <c r="B81"/>
      <c r="C81"/>
      <c r="D81"/>
      <c r="E81"/>
      <c r="F81"/>
      <c r="G81"/>
      <c r="H81"/>
      <c r="I81"/>
      <c r="J81"/>
      <c r="K81"/>
      <c r="L81"/>
      <c r="M81"/>
      <c r="N81"/>
      <c r="O81"/>
      <c r="P81" s="60"/>
      <c r="Q81" s="60"/>
      <c r="R81" s="60"/>
      <c r="S81" s="1"/>
      <c r="T81" s="1"/>
      <c r="U81" s="1"/>
      <c r="V81" s="1"/>
      <c r="W81" s="1"/>
      <c r="X81" s="1"/>
      <c r="Y81" s="1"/>
      <c r="Z81" s="1"/>
      <c r="AA81" s="1"/>
      <c r="AB81" s="1"/>
      <c r="AC81" s="1"/>
      <c r="AD81" s="1"/>
      <c r="AE81" s="1"/>
      <c r="AF81" s="1"/>
      <c r="AG81" s="1"/>
      <c r="AH81" s="1"/>
      <c r="AI81" s="1"/>
      <c r="AJ81" s="1"/>
      <c r="AK81" s="1"/>
      <c r="AL81" s="1"/>
      <c r="AM81" s="1"/>
      <c r="AN81" s="1"/>
      <c r="AO81" s="1"/>
    </row>
    <row r="82" spans="2:41">
      <c r="B82"/>
      <c r="C82"/>
      <c r="D82"/>
      <c r="E82"/>
      <c r="F82"/>
      <c r="G82"/>
      <c r="H82"/>
      <c r="I82"/>
      <c r="J82"/>
      <c r="K82"/>
      <c r="L82"/>
      <c r="M82"/>
      <c r="N82"/>
      <c r="O82"/>
      <c r="P82" s="60"/>
      <c r="Q82" s="60"/>
      <c r="R82" s="60"/>
      <c r="S82" s="1"/>
      <c r="T82" s="1"/>
      <c r="U82" s="1"/>
      <c r="V82" s="1"/>
      <c r="W82" s="1"/>
      <c r="X82" s="1"/>
      <c r="Y82" s="1"/>
      <c r="Z82" s="1"/>
      <c r="AA82" s="1"/>
      <c r="AB82" s="1"/>
      <c r="AC82" s="1"/>
      <c r="AD82" s="1"/>
      <c r="AE82" s="1"/>
      <c r="AF82" s="1"/>
      <c r="AG82" s="1"/>
      <c r="AH82" s="1"/>
      <c r="AI82" s="1"/>
      <c r="AJ82" s="1"/>
      <c r="AK82" s="1"/>
      <c r="AL82" s="1"/>
      <c r="AM82" s="1"/>
      <c r="AN82" s="1"/>
      <c r="AO82" s="1"/>
    </row>
    <row r="83" spans="2:41">
      <c r="B83"/>
      <c r="C83"/>
      <c r="D83"/>
      <c r="E83"/>
      <c r="F83"/>
      <c r="G83"/>
      <c r="H83"/>
      <c r="I83"/>
      <c r="J83"/>
      <c r="K83"/>
      <c r="L83"/>
      <c r="M83"/>
      <c r="N83"/>
      <c r="O83"/>
      <c r="P83" s="60"/>
      <c r="Q83" s="60"/>
      <c r="R83" s="60"/>
      <c r="S83" s="1"/>
      <c r="T83" s="1"/>
      <c r="U83" s="1"/>
      <c r="V83" s="1"/>
      <c r="W83" s="1"/>
      <c r="X83" s="1"/>
      <c r="Y83" s="1"/>
      <c r="Z83" s="1"/>
      <c r="AA83" s="1"/>
      <c r="AB83" s="1"/>
      <c r="AC83" s="1"/>
      <c r="AD83" s="1"/>
      <c r="AE83" s="1"/>
      <c r="AF83" s="1"/>
      <c r="AG83" s="1"/>
      <c r="AH83" s="1"/>
      <c r="AI83" s="1"/>
      <c r="AJ83" s="1"/>
      <c r="AK83" s="1"/>
      <c r="AL83" s="1"/>
      <c r="AM83" s="1"/>
      <c r="AN83" s="1"/>
      <c r="AO83" s="1"/>
    </row>
    <row r="84" spans="2:41">
      <c r="B84"/>
      <c r="C84"/>
      <c r="D84"/>
      <c r="E84"/>
      <c r="F84"/>
      <c r="G84"/>
      <c r="H84"/>
      <c r="I84"/>
      <c r="J84"/>
      <c r="K84"/>
      <c r="L84"/>
      <c r="M84"/>
      <c r="N84"/>
      <c r="O84"/>
      <c r="P84" s="60"/>
      <c r="Q84" s="60"/>
      <c r="R84" s="60"/>
      <c r="S84" s="1"/>
      <c r="T84" s="1"/>
      <c r="U84" s="1"/>
      <c r="V84" s="1"/>
      <c r="W84" s="1"/>
      <c r="X84" s="1"/>
      <c r="Y84" s="1"/>
      <c r="Z84" s="1"/>
      <c r="AA84" s="1"/>
      <c r="AB84" s="1"/>
      <c r="AC84" s="1"/>
      <c r="AD84" s="1"/>
      <c r="AE84" s="1"/>
      <c r="AF84" s="1"/>
      <c r="AG84" s="1"/>
      <c r="AH84" s="1"/>
      <c r="AI84" s="1"/>
      <c r="AJ84" s="1"/>
      <c r="AK84" s="1"/>
      <c r="AL84" s="1"/>
      <c r="AM84" s="1"/>
      <c r="AN84" s="1"/>
      <c r="AO84" s="1"/>
    </row>
    <row r="85" spans="2:41">
      <c r="B85"/>
      <c r="C85"/>
      <c r="D85"/>
      <c r="E85"/>
      <c r="F85"/>
      <c r="G85"/>
      <c r="H85"/>
      <c r="I85"/>
      <c r="J85"/>
      <c r="K85"/>
      <c r="L85"/>
      <c r="M85"/>
      <c r="N85"/>
      <c r="O85"/>
      <c r="P85" s="60"/>
      <c r="Q85" s="60"/>
      <c r="R85" s="60"/>
      <c r="S85" s="1"/>
      <c r="T85" s="1"/>
      <c r="U85" s="1"/>
      <c r="V85" s="1"/>
      <c r="W85" s="1"/>
      <c r="X85" s="1"/>
      <c r="Y85" s="1"/>
      <c r="Z85" s="1"/>
      <c r="AA85" s="1"/>
      <c r="AB85" s="1"/>
      <c r="AC85" s="1"/>
      <c r="AD85" s="1"/>
      <c r="AE85" s="1"/>
      <c r="AF85" s="1"/>
      <c r="AG85" s="1"/>
      <c r="AH85" s="1"/>
      <c r="AI85" s="1"/>
      <c r="AJ85" s="1"/>
      <c r="AK85" s="1"/>
      <c r="AL85" s="1"/>
      <c r="AM85" s="1"/>
      <c r="AN85" s="1"/>
      <c r="AO85" s="1"/>
    </row>
    <row r="86" spans="2:41">
      <c r="B86"/>
      <c r="C86"/>
      <c r="D86"/>
      <c r="E86"/>
      <c r="F86"/>
      <c r="G86"/>
      <c r="H86"/>
      <c r="I86"/>
      <c r="J86"/>
      <c r="K86"/>
      <c r="L86"/>
      <c r="M86"/>
      <c r="N86"/>
      <c r="O86"/>
      <c r="P86" s="60"/>
      <c r="Q86" s="60"/>
      <c r="R86" s="60"/>
      <c r="S86" s="1"/>
      <c r="T86" s="1"/>
      <c r="U86" s="1"/>
      <c r="V86" s="1"/>
      <c r="W86" s="1"/>
      <c r="X86" s="1"/>
      <c r="Y86" s="1"/>
      <c r="Z86" s="1"/>
      <c r="AA86" s="1"/>
      <c r="AB86" s="1"/>
      <c r="AC86" s="1"/>
      <c r="AD86" s="1"/>
      <c r="AE86" s="1"/>
      <c r="AF86" s="1"/>
      <c r="AG86" s="1"/>
      <c r="AH86" s="1"/>
      <c r="AI86" s="1"/>
      <c r="AJ86" s="1"/>
      <c r="AK86" s="1"/>
      <c r="AL86" s="1"/>
      <c r="AM86" s="1"/>
      <c r="AN86" s="1"/>
      <c r="AO86" s="1"/>
    </row>
    <row r="87" spans="2:41">
      <c r="B87"/>
      <c r="C87"/>
      <c r="D87"/>
      <c r="E87"/>
      <c r="F87"/>
      <c r="G87"/>
      <c r="H87"/>
      <c r="I87"/>
      <c r="J87"/>
      <c r="K87"/>
      <c r="L87"/>
      <c r="M87"/>
      <c r="N87"/>
      <c r="O87"/>
      <c r="P87" s="60"/>
      <c r="Q87" s="60"/>
      <c r="R87" s="60"/>
      <c r="S87" s="1"/>
      <c r="T87" s="1"/>
      <c r="U87" s="1"/>
      <c r="V87" s="1"/>
      <c r="W87" s="1"/>
      <c r="X87" s="1"/>
      <c r="Y87" s="1"/>
      <c r="Z87" s="1"/>
      <c r="AA87" s="1"/>
      <c r="AB87" s="1"/>
      <c r="AC87" s="1"/>
      <c r="AD87" s="1"/>
      <c r="AE87" s="1"/>
      <c r="AF87" s="1"/>
      <c r="AG87" s="1"/>
      <c r="AH87" s="1"/>
      <c r="AI87" s="1"/>
      <c r="AJ87" s="1"/>
      <c r="AK87" s="1"/>
      <c r="AL87" s="1"/>
      <c r="AM87" s="1"/>
      <c r="AN87" s="1"/>
      <c r="AO87" s="1"/>
    </row>
    <row r="88" spans="2:41">
      <c r="B88"/>
      <c r="C88"/>
      <c r="D88"/>
      <c r="E88"/>
      <c r="F88"/>
      <c r="G88"/>
      <c r="H88"/>
      <c r="I88"/>
      <c r="J88"/>
      <c r="K88"/>
      <c r="L88"/>
      <c r="M88"/>
      <c r="N88"/>
      <c r="O88"/>
      <c r="P88" s="60"/>
      <c r="Q88" s="60"/>
      <c r="R88" s="60"/>
      <c r="S88" s="1"/>
      <c r="T88" s="1"/>
      <c r="U88" s="1"/>
      <c r="V88" s="1"/>
      <c r="W88" s="1"/>
      <c r="X88" s="1"/>
      <c r="Y88" s="1"/>
      <c r="Z88" s="1"/>
      <c r="AA88" s="1"/>
      <c r="AB88" s="1"/>
      <c r="AC88" s="1"/>
      <c r="AD88" s="1"/>
      <c r="AE88" s="1"/>
      <c r="AF88" s="1"/>
      <c r="AG88" s="1"/>
      <c r="AH88" s="1"/>
      <c r="AI88" s="1"/>
      <c r="AJ88" s="1"/>
      <c r="AK88" s="1"/>
      <c r="AL88" s="1"/>
      <c r="AM88" s="1"/>
      <c r="AN88" s="1"/>
      <c r="AO88" s="1"/>
    </row>
    <row r="89" spans="2:41">
      <c r="B89"/>
      <c r="C89"/>
      <c r="D89"/>
      <c r="E89"/>
      <c r="F89"/>
      <c r="G89"/>
      <c r="H89"/>
      <c r="I89"/>
      <c r="J89"/>
      <c r="K89"/>
      <c r="L89"/>
      <c r="M89"/>
      <c r="N89"/>
      <c r="O89"/>
      <c r="P89" s="60"/>
      <c r="Q89" s="60"/>
      <c r="R89" s="60"/>
      <c r="S89" s="1"/>
      <c r="T89" s="1"/>
      <c r="U89" s="1"/>
      <c r="V89" s="1"/>
      <c r="W89" s="1"/>
      <c r="X89" s="1"/>
      <c r="Y89" s="1"/>
      <c r="Z89" s="1"/>
      <c r="AA89" s="1"/>
      <c r="AB89" s="1"/>
      <c r="AC89" s="1"/>
      <c r="AD89" s="1"/>
      <c r="AE89" s="1"/>
      <c r="AF89" s="1"/>
      <c r="AG89" s="1"/>
      <c r="AH89" s="1"/>
      <c r="AI89" s="1"/>
      <c r="AJ89" s="1"/>
      <c r="AK89" s="1"/>
      <c r="AL89" s="1"/>
      <c r="AM89" s="1"/>
      <c r="AN89" s="1"/>
      <c r="AO89" s="1"/>
    </row>
    <row r="90" spans="2:41">
      <c r="B90"/>
      <c r="C90"/>
      <c r="D90"/>
      <c r="E90"/>
      <c r="F90"/>
      <c r="G90"/>
      <c r="H90"/>
      <c r="I90"/>
      <c r="J90"/>
      <c r="K90"/>
      <c r="L90"/>
      <c r="M90"/>
      <c r="N90"/>
      <c r="O90"/>
      <c r="P90" s="60"/>
      <c r="Q90" s="60"/>
      <c r="R90" s="60"/>
      <c r="S90" s="1"/>
      <c r="T90" s="1"/>
      <c r="U90" s="1"/>
      <c r="V90" s="1"/>
      <c r="W90" s="1"/>
      <c r="X90" s="1"/>
      <c r="Y90" s="1"/>
      <c r="Z90" s="1"/>
      <c r="AA90" s="1"/>
      <c r="AB90" s="1"/>
      <c r="AC90" s="1"/>
      <c r="AD90" s="1"/>
      <c r="AE90" s="1"/>
      <c r="AF90" s="1"/>
      <c r="AG90" s="1"/>
      <c r="AH90" s="1"/>
      <c r="AI90" s="1"/>
      <c r="AJ90" s="1"/>
      <c r="AK90" s="1"/>
      <c r="AL90" s="1"/>
      <c r="AM90" s="1"/>
      <c r="AN90" s="1"/>
      <c r="AO90" s="1"/>
    </row>
    <row r="91" spans="2:41">
      <c r="B91"/>
      <c r="C91"/>
      <c r="D91"/>
      <c r="E91"/>
      <c r="F91"/>
      <c r="G91"/>
      <c r="H91"/>
      <c r="I91"/>
      <c r="J91"/>
      <c r="K91"/>
      <c r="L91"/>
      <c r="M91"/>
      <c r="N91"/>
      <c r="O91"/>
      <c r="P91" s="60"/>
      <c r="Q91" s="60"/>
      <c r="R91" s="60"/>
      <c r="S91" s="1"/>
      <c r="T91" s="1"/>
      <c r="U91" s="1"/>
      <c r="V91" s="1"/>
      <c r="W91" s="1"/>
      <c r="X91" s="1"/>
      <c r="Y91" s="1"/>
      <c r="Z91" s="1"/>
      <c r="AA91" s="1"/>
      <c r="AB91" s="1"/>
      <c r="AC91" s="1"/>
      <c r="AD91" s="1"/>
      <c r="AE91" s="1"/>
      <c r="AF91" s="1"/>
      <c r="AG91" s="1"/>
      <c r="AH91" s="1"/>
      <c r="AI91" s="1"/>
      <c r="AJ91" s="1"/>
      <c r="AK91" s="1"/>
      <c r="AL91" s="1"/>
      <c r="AM91" s="1"/>
      <c r="AN91" s="1"/>
      <c r="AO91" s="1"/>
    </row>
    <row r="92" spans="2:41">
      <c r="B92"/>
      <c r="C92"/>
      <c r="D92"/>
      <c r="E92"/>
      <c r="F92"/>
      <c r="G92"/>
      <c r="H92"/>
      <c r="I92"/>
      <c r="J92"/>
      <c r="K92"/>
      <c r="L92"/>
      <c r="M92"/>
      <c r="N92"/>
      <c r="O92"/>
      <c r="P92" s="60"/>
      <c r="Q92" s="60"/>
      <c r="R92" s="60"/>
      <c r="S92" s="1"/>
      <c r="T92" s="1"/>
      <c r="U92" s="1"/>
      <c r="V92" s="1"/>
      <c r="W92" s="1"/>
      <c r="X92" s="1"/>
      <c r="Y92" s="1"/>
      <c r="Z92" s="1"/>
      <c r="AA92" s="1"/>
      <c r="AB92" s="1"/>
      <c r="AC92" s="1"/>
      <c r="AD92" s="1"/>
      <c r="AE92" s="1"/>
      <c r="AF92" s="1"/>
      <c r="AG92" s="1"/>
      <c r="AH92" s="1"/>
      <c r="AI92" s="1"/>
      <c r="AJ92" s="1"/>
      <c r="AK92" s="1"/>
      <c r="AL92" s="1"/>
      <c r="AM92" s="1"/>
      <c r="AN92" s="1"/>
      <c r="AO92" s="1"/>
    </row>
    <row r="93" spans="2:41">
      <c r="B93"/>
      <c r="C93"/>
      <c r="D93"/>
      <c r="E93"/>
      <c r="F93"/>
      <c r="G93"/>
      <c r="H93"/>
      <c r="I93"/>
      <c r="J93"/>
      <c r="K93"/>
      <c r="L93"/>
      <c r="M93"/>
      <c r="N93"/>
      <c r="O93"/>
      <c r="P93" s="60"/>
      <c r="Q93" s="60"/>
      <c r="R93" s="60"/>
      <c r="S93" s="1"/>
      <c r="T93" s="1"/>
      <c r="U93" s="1"/>
      <c r="V93" s="1"/>
      <c r="W93" s="1"/>
      <c r="X93" s="1"/>
      <c r="Y93" s="1"/>
      <c r="Z93" s="1"/>
      <c r="AA93" s="1"/>
      <c r="AB93" s="1"/>
      <c r="AC93" s="1"/>
      <c r="AD93" s="1"/>
      <c r="AE93" s="1"/>
      <c r="AF93" s="1"/>
      <c r="AG93" s="1"/>
      <c r="AH93" s="1"/>
      <c r="AI93" s="1"/>
      <c r="AJ93" s="1"/>
      <c r="AK93" s="1"/>
      <c r="AL93" s="1"/>
      <c r="AM93" s="1"/>
      <c r="AN93" s="1"/>
      <c r="AO93" s="1"/>
    </row>
    <row r="94" spans="2:41">
      <c r="B94"/>
      <c r="C94"/>
      <c r="D94"/>
      <c r="E94"/>
      <c r="F94"/>
      <c r="G94"/>
      <c r="H94"/>
      <c r="I94"/>
      <c r="J94"/>
      <c r="K94"/>
      <c r="L94"/>
      <c r="M94"/>
      <c r="N94"/>
      <c r="O94"/>
      <c r="P94" s="60"/>
      <c r="Q94" s="60"/>
      <c r="R94" s="60"/>
      <c r="S94" s="1"/>
      <c r="T94" s="1"/>
      <c r="U94" s="1"/>
      <c r="V94" s="1"/>
      <c r="W94" s="1"/>
      <c r="X94" s="1"/>
      <c r="Y94" s="1"/>
      <c r="Z94" s="1"/>
      <c r="AA94" s="1"/>
      <c r="AB94" s="1"/>
      <c r="AC94" s="1"/>
      <c r="AD94" s="1"/>
      <c r="AE94" s="1"/>
      <c r="AF94" s="1"/>
      <c r="AG94" s="1"/>
      <c r="AH94" s="1"/>
      <c r="AI94" s="1"/>
      <c r="AJ94" s="1"/>
      <c r="AK94" s="1"/>
      <c r="AL94" s="1"/>
      <c r="AM94" s="1"/>
      <c r="AN94" s="1"/>
      <c r="AO94" s="1"/>
    </row>
    <row r="95" spans="2:41">
      <c r="B95"/>
      <c r="C95"/>
      <c r="D95"/>
      <c r="E95"/>
      <c r="F95"/>
      <c r="G95"/>
      <c r="H95"/>
      <c r="I95"/>
      <c r="J95"/>
      <c r="K95"/>
      <c r="L95"/>
      <c r="M95"/>
      <c r="N95"/>
      <c r="O95"/>
      <c r="P95" s="60"/>
      <c r="Q95" s="60"/>
      <c r="R95" s="60"/>
      <c r="S95" s="1"/>
      <c r="T95" s="1"/>
      <c r="U95" s="1"/>
      <c r="V95" s="1"/>
      <c r="W95" s="1"/>
      <c r="X95" s="1"/>
      <c r="Y95" s="1"/>
      <c r="Z95" s="1"/>
      <c r="AA95" s="1"/>
      <c r="AB95" s="1"/>
      <c r="AC95" s="1"/>
      <c r="AD95" s="1"/>
      <c r="AE95" s="1"/>
      <c r="AF95" s="1"/>
      <c r="AG95" s="1"/>
      <c r="AH95" s="1"/>
      <c r="AI95" s="1"/>
      <c r="AJ95" s="1"/>
      <c r="AK95" s="1"/>
      <c r="AL95" s="1"/>
      <c r="AM95" s="1"/>
      <c r="AN95" s="1"/>
      <c r="AO95" s="1"/>
    </row>
    <row r="96" spans="2:41">
      <c r="B96"/>
      <c r="C96"/>
      <c r="D96"/>
      <c r="E96"/>
      <c r="F96"/>
      <c r="G96"/>
      <c r="H96"/>
      <c r="I96"/>
      <c r="J96"/>
      <c r="K96"/>
      <c r="L96"/>
      <c r="M96"/>
      <c r="N96"/>
      <c r="O96"/>
      <c r="P96" s="60"/>
      <c r="Q96" s="60"/>
      <c r="R96" s="60"/>
      <c r="S96" s="1"/>
      <c r="T96" s="1"/>
      <c r="U96" s="1"/>
      <c r="V96" s="1"/>
      <c r="W96" s="1"/>
      <c r="X96" s="1"/>
      <c r="Y96" s="1"/>
      <c r="Z96" s="1"/>
      <c r="AA96" s="1"/>
      <c r="AB96" s="1"/>
      <c r="AC96" s="1"/>
      <c r="AD96" s="1"/>
      <c r="AE96" s="1"/>
      <c r="AF96" s="1"/>
      <c r="AG96" s="1"/>
      <c r="AH96" s="1"/>
      <c r="AI96" s="1"/>
      <c r="AJ96" s="1"/>
      <c r="AK96" s="1"/>
      <c r="AL96" s="1"/>
      <c r="AM96" s="1"/>
      <c r="AN96" s="1"/>
      <c r="AO96" s="1"/>
    </row>
    <row r="97" spans="2:41">
      <c r="B97"/>
      <c r="C97"/>
      <c r="D97"/>
      <c r="E97"/>
      <c r="F97"/>
      <c r="G97"/>
      <c r="H97"/>
      <c r="I97"/>
      <c r="J97"/>
      <c r="K97"/>
      <c r="L97"/>
      <c r="M97"/>
      <c r="N97"/>
      <c r="O97"/>
      <c r="P97" s="60"/>
      <c r="Q97" s="60"/>
      <c r="R97" s="60"/>
      <c r="S97" s="1"/>
      <c r="T97" s="1"/>
      <c r="U97" s="1"/>
      <c r="V97" s="1"/>
      <c r="W97" s="1"/>
      <c r="X97" s="1"/>
      <c r="Y97" s="1"/>
      <c r="Z97" s="1"/>
      <c r="AA97" s="1"/>
      <c r="AB97" s="1"/>
      <c r="AC97" s="1"/>
      <c r="AD97" s="1"/>
      <c r="AE97" s="1"/>
      <c r="AF97" s="1"/>
      <c r="AG97" s="1"/>
      <c r="AH97" s="1"/>
      <c r="AI97" s="1"/>
      <c r="AJ97" s="1"/>
      <c r="AK97" s="1"/>
      <c r="AL97" s="1"/>
      <c r="AM97" s="1"/>
      <c r="AN97" s="1"/>
      <c r="AO97" s="1"/>
    </row>
    <row r="98" spans="2:41">
      <c r="B98"/>
      <c r="C98"/>
      <c r="D98"/>
      <c r="E98"/>
      <c r="F98"/>
      <c r="G98"/>
      <c r="H98"/>
      <c r="I98"/>
      <c r="J98"/>
      <c r="K98"/>
      <c r="L98"/>
      <c r="M98"/>
      <c r="N98"/>
      <c r="O98"/>
      <c r="P98" s="60"/>
      <c r="Q98" s="60"/>
      <c r="R98" s="60"/>
      <c r="S98" s="1"/>
      <c r="T98" s="1"/>
      <c r="U98" s="1"/>
      <c r="V98" s="1"/>
      <c r="W98" s="1"/>
      <c r="X98" s="1"/>
      <c r="Y98" s="1"/>
      <c r="Z98" s="1"/>
      <c r="AA98" s="1"/>
      <c r="AB98" s="1"/>
      <c r="AC98" s="1"/>
      <c r="AD98" s="1"/>
      <c r="AE98" s="1"/>
      <c r="AF98" s="1"/>
      <c r="AG98" s="1"/>
      <c r="AH98" s="1"/>
      <c r="AI98" s="1"/>
      <c r="AJ98" s="1"/>
      <c r="AK98" s="1"/>
      <c r="AL98" s="1"/>
      <c r="AM98" s="1"/>
      <c r="AN98" s="1"/>
      <c r="AO98" s="1"/>
    </row>
    <row r="99" spans="2:41">
      <c r="B99"/>
      <c r="C99"/>
      <c r="D99"/>
      <c r="E99"/>
      <c r="F99"/>
      <c r="G99"/>
      <c r="H99"/>
      <c r="I99"/>
      <c r="J99"/>
      <c r="K99"/>
      <c r="L99"/>
      <c r="M99"/>
      <c r="N99"/>
      <c r="O99"/>
      <c r="P99" s="60"/>
      <c r="Q99" s="60"/>
      <c r="R99" s="60"/>
      <c r="S99" s="1"/>
      <c r="T99" s="1"/>
      <c r="U99" s="1"/>
      <c r="V99" s="1"/>
      <c r="W99" s="1"/>
      <c r="X99" s="1"/>
      <c r="Y99" s="1"/>
      <c r="Z99" s="1"/>
      <c r="AA99" s="1"/>
      <c r="AB99" s="1"/>
      <c r="AC99" s="1"/>
      <c r="AD99" s="1"/>
      <c r="AE99" s="1"/>
      <c r="AF99" s="1"/>
      <c r="AG99" s="1"/>
      <c r="AH99" s="1"/>
      <c r="AI99" s="1"/>
      <c r="AJ99" s="1"/>
      <c r="AK99" s="1"/>
      <c r="AL99" s="1"/>
      <c r="AM99" s="1"/>
      <c r="AN99" s="1"/>
      <c r="AO99" s="1"/>
    </row>
    <row r="100" spans="2:41">
      <c r="B100"/>
      <c r="C100"/>
      <c r="D100"/>
      <c r="E100"/>
      <c r="F100"/>
      <c r="G100"/>
      <c r="H100"/>
      <c r="I100"/>
      <c r="J100"/>
      <c r="K100"/>
      <c r="L100"/>
      <c r="M100"/>
      <c r="N100"/>
      <c r="O100"/>
      <c r="P100" s="60"/>
      <c r="Q100" s="60"/>
      <c r="R100" s="60"/>
      <c r="S100" s="1"/>
      <c r="T100" s="1"/>
      <c r="U100" s="1"/>
      <c r="V100" s="1"/>
      <c r="W100" s="1"/>
      <c r="X100" s="1"/>
      <c r="Y100" s="1"/>
      <c r="Z100" s="1"/>
      <c r="AA100" s="1"/>
      <c r="AB100" s="1"/>
      <c r="AC100" s="1"/>
      <c r="AD100" s="1"/>
      <c r="AE100" s="1"/>
      <c r="AF100" s="1"/>
      <c r="AG100" s="1"/>
      <c r="AH100" s="1"/>
      <c r="AI100" s="1"/>
      <c r="AJ100" s="1"/>
      <c r="AK100" s="1"/>
      <c r="AL100" s="1"/>
      <c r="AM100" s="1"/>
      <c r="AN100" s="1"/>
      <c r="AO100" s="1"/>
    </row>
    <row r="101" spans="2:41">
      <c r="B101"/>
      <c r="C101"/>
      <c r="D101"/>
      <c r="E101"/>
      <c r="F101"/>
      <c r="G101"/>
      <c r="H101"/>
      <c r="I101"/>
      <c r="J101"/>
      <c r="K101"/>
      <c r="L101"/>
      <c r="M101"/>
      <c r="N101"/>
      <c r="O101"/>
      <c r="P101" s="60"/>
      <c r="Q101" s="60"/>
      <c r="R101" s="60"/>
      <c r="S101" s="1"/>
      <c r="T101" s="1"/>
      <c r="U101" s="1"/>
      <c r="V101" s="1"/>
      <c r="W101" s="1"/>
      <c r="X101" s="1"/>
      <c r="Y101" s="1"/>
      <c r="Z101" s="1"/>
      <c r="AA101" s="1"/>
      <c r="AB101" s="1"/>
      <c r="AC101" s="1"/>
      <c r="AD101" s="1"/>
      <c r="AE101" s="1"/>
      <c r="AF101" s="1"/>
      <c r="AG101" s="1"/>
      <c r="AH101" s="1"/>
      <c r="AI101" s="1"/>
      <c r="AJ101" s="1"/>
      <c r="AK101" s="1"/>
      <c r="AL101" s="1"/>
      <c r="AM101" s="1"/>
      <c r="AN101" s="1"/>
      <c r="AO101" s="1"/>
    </row>
    <row r="102" spans="2:41">
      <c r="B102"/>
      <c r="C102"/>
      <c r="D102"/>
      <c r="E102"/>
      <c r="F102"/>
      <c r="G102"/>
      <c r="H102"/>
      <c r="I102"/>
      <c r="J102"/>
      <c r="K102"/>
      <c r="L102"/>
      <c r="M102"/>
      <c r="N102"/>
      <c r="O102"/>
      <c r="P102" s="60"/>
      <c r="Q102" s="60"/>
      <c r="R102" s="60"/>
      <c r="S102" s="1"/>
      <c r="T102" s="1"/>
      <c r="U102" s="1"/>
      <c r="V102" s="1"/>
      <c r="W102" s="1"/>
      <c r="X102" s="1"/>
      <c r="Y102" s="1"/>
      <c r="Z102" s="1"/>
      <c r="AA102" s="1"/>
      <c r="AB102" s="1"/>
      <c r="AC102" s="1"/>
      <c r="AD102" s="1"/>
      <c r="AE102" s="1"/>
      <c r="AF102" s="1"/>
      <c r="AG102" s="1"/>
      <c r="AH102" s="1"/>
      <c r="AI102" s="1"/>
      <c r="AJ102" s="1"/>
      <c r="AK102" s="1"/>
      <c r="AL102" s="1"/>
      <c r="AM102" s="1"/>
      <c r="AN102" s="1"/>
      <c r="AO102" s="1"/>
    </row>
    <row r="103" spans="2:41">
      <c r="B103"/>
      <c r="C103"/>
      <c r="D103"/>
      <c r="E103"/>
      <c r="F103"/>
      <c r="G103"/>
      <c r="H103"/>
      <c r="I103"/>
      <c r="J103"/>
      <c r="K103"/>
      <c r="L103"/>
      <c r="M103"/>
      <c r="N103"/>
      <c r="O103"/>
      <c r="P103" s="60"/>
      <c r="Q103" s="60"/>
      <c r="R103" s="60"/>
      <c r="S103" s="1"/>
      <c r="T103" s="1"/>
      <c r="U103" s="1"/>
      <c r="V103" s="1"/>
      <c r="W103" s="1"/>
      <c r="X103" s="1"/>
      <c r="Y103" s="1"/>
      <c r="Z103" s="1"/>
      <c r="AA103" s="1"/>
      <c r="AB103" s="1"/>
      <c r="AC103" s="1"/>
      <c r="AD103" s="1"/>
      <c r="AE103" s="1"/>
      <c r="AF103" s="1"/>
      <c r="AG103" s="1"/>
      <c r="AH103" s="1"/>
      <c r="AI103" s="1"/>
      <c r="AJ103" s="1"/>
      <c r="AK103" s="1"/>
      <c r="AL103" s="1"/>
      <c r="AM103" s="1"/>
      <c r="AN103" s="1"/>
      <c r="AO103" s="1"/>
    </row>
    <row r="104" spans="2:41">
      <c r="B104"/>
      <c r="C104"/>
      <c r="D104"/>
      <c r="E104"/>
      <c r="F104"/>
      <c r="G104"/>
      <c r="H104"/>
      <c r="I104"/>
      <c r="J104"/>
      <c r="K104"/>
      <c r="L104"/>
      <c r="M104"/>
      <c r="N104"/>
      <c r="O104"/>
      <c r="P104" s="60"/>
      <c r="Q104" s="60"/>
      <c r="R104" s="60"/>
      <c r="S104" s="1"/>
      <c r="T104" s="1"/>
      <c r="U104" s="1"/>
      <c r="V104" s="1"/>
      <c r="W104" s="1"/>
      <c r="X104" s="1"/>
      <c r="Y104" s="1"/>
      <c r="Z104" s="1"/>
      <c r="AA104" s="1"/>
      <c r="AB104" s="1"/>
      <c r="AC104" s="1"/>
      <c r="AD104" s="1"/>
      <c r="AE104" s="1"/>
      <c r="AF104" s="1"/>
      <c r="AG104" s="1"/>
      <c r="AH104" s="1"/>
      <c r="AI104" s="1"/>
      <c r="AJ104" s="1"/>
      <c r="AK104" s="1"/>
      <c r="AL104" s="1"/>
      <c r="AM104" s="1"/>
      <c r="AN104" s="1"/>
      <c r="AO104" s="1"/>
    </row>
    <row r="105" spans="2:41">
      <c r="B105"/>
      <c r="C105"/>
      <c r="D105"/>
      <c r="E105"/>
      <c r="F105"/>
      <c r="G105"/>
      <c r="H105"/>
      <c r="I105"/>
      <c r="J105"/>
      <c r="K105"/>
      <c r="L105"/>
      <c r="M105"/>
      <c r="N105"/>
      <c r="O105"/>
      <c r="P105" s="60"/>
      <c r="Q105" s="60"/>
      <c r="R105" s="60"/>
      <c r="S105" s="1"/>
      <c r="T105" s="1"/>
      <c r="U105" s="1"/>
      <c r="V105" s="1"/>
      <c r="W105" s="1"/>
      <c r="X105" s="1"/>
      <c r="Y105" s="1"/>
      <c r="Z105" s="1"/>
      <c r="AA105" s="1"/>
      <c r="AB105" s="1"/>
      <c r="AC105" s="1"/>
      <c r="AD105" s="1"/>
      <c r="AE105" s="1"/>
      <c r="AF105" s="1"/>
      <c r="AG105" s="1"/>
      <c r="AH105" s="1"/>
      <c r="AI105" s="1"/>
      <c r="AJ105" s="1"/>
      <c r="AK105" s="1"/>
      <c r="AL105" s="1"/>
      <c r="AM105" s="1"/>
      <c r="AN105" s="1"/>
      <c r="AO105" s="1"/>
    </row>
    <row r="106" spans="2:41">
      <c r="B106"/>
      <c r="C106"/>
      <c r="D106"/>
      <c r="E106"/>
      <c r="F106"/>
      <c r="G106"/>
      <c r="H106"/>
      <c r="I106"/>
      <c r="J106"/>
      <c r="K106"/>
      <c r="L106"/>
      <c r="M106"/>
      <c r="N106"/>
      <c r="O106"/>
      <c r="P106" s="60"/>
      <c r="Q106" s="60"/>
      <c r="R106" s="60"/>
      <c r="S106" s="1"/>
      <c r="T106" s="1"/>
      <c r="U106" s="1"/>
      <c r="V106" s="1"/>
      <c r="W106" s="1"/>
      <c r="X106" s="1"/>
      <c r="Y106" s="1"/>
      <c r="Z106" s="1"/>
      <c r="AA106" s="1"/>
      <c r="AB106" s="1"/>
      <c r="AC106" s="1"/>
      <c r="AD106" s="1"/>
      <c r="AE106" s="1"/>
      <c r="AF106" s="1"/>
      <c r="AG106" s="1"/>
      <c r="AH106" s="1"/>
      <c r="AI106" s="1"/>
      <c r="AJ106" s="1"/>
      <c r="AK106" s="1"/>
      <c r="AL106" s="1"/>
      <c r="AM106" s="1"/>
      <c r="AN106" s="1"/>
      <c r="AO106" s="1"/>
    </row>
    <row r="107" spans="2:41">
      <c r="B107"/>
      <c r="C107"/>
      <c r="D107"/>
      <c r="E107"/>
      <c r="F107"/>
      <c r="G107"/>
      <c r="H107"/>
      <c r="I107"/>
      <c r="J107"/>
      <c r="K107"/>
      <c r="L107"/>
      <c r="M107"/>
      <c r="N107"/>
      <c r="O107"/>
      <c r="P107" s="60"/>
      <c r="Q107" s="60"/>
      <c r="R107" s="60"/>
      <c r="S107" s="1"/>
      <c r="T107" s="1"/>
      <c r="U107" s="1"/>
      <c r="V107" s="1"/>
      <c r="W107" s="1"/>
      <c r="X107" s="1"/>
      <c r="Y107" s="1"/>
      <c r="Z107" s="1"/>
      <c r="AA107" s="1"/>
      <c r="AB107" s="1"/>
      <c r="AC107" s="1"/>
      <c r="AD107" s="1"/>
      <c r="AE107" s="1"/>
      <c r="AF107" s="1"/>
      <c r="AG107" s="1"/>
      <c r="AH107" s="1"/>
      <c r="AI107" s="1"/>
      <c r="AJ107" s="1"/>
      <c r="AK107" s="1"/>
      <c r="AL107" s="1"/>
      <c r="AM107" s="1"/>
      <c r="AN107" s="1"/>
      <c r="AO107" s="1"/>
    </row>
    <row r="108" spans="2:41">
      <c r="B108"/>
      <c r="C108"/>
      <c r="D108"/>
      <c r="E108"/>
      <c r="F108"/>
      <c r="G108"/>
      <c r="H108"/>
      <c r="I108"/>
      <c r="J108"/>
      <c r="K108"/>
      <c r="L108"/>
      <c r="M108"/>
      <c r="N108"/>
      <c r="O108"/>
      <c r="P108" s="60"/>
      <c r="Q108" s="60"/>
      <c r="R108" s="60"/>
      <c r="S108" s="1"/>
      <c r="T108" s="1"/>
      <c r="U108" s="1"/>
      <c r="V108" s="1"/>
      <c r="W108" s="1"/>
      <c r="X108" s="1"/>
      <c r="Y108" s="1"/>
      <c r="Z108" s="1"/>
      <c r="AA108" s="1"/>
      <c r="AB108" s="1"/>
      <c r="AC108" s="1"/>
      <c r="AD108" s="1"/>
      <c r="AE108" s="1"/>
      <c r="AF108" s="1"/>
      <c r="AG108" s="1"/>
      <c r="AH108" s="1"/>
      <c r="AI108" s="1"/>
      <c r="AJ108" s="1"/>
      <c r="AK108" s="1"/>
      <c r="AL108" s="1"/>
      <c r="AM108" s="1"/>
      <c r="AN108" s="1"/>
      <c r="AO108" s="1"/>
    </row>
    <row r="109" spans="2:41">
      <c r="B109"/>
      <c r="C109"/>
      <c r="D109"/>
      <c r="E109"/>
      <c r="F109"/>
      <c r="G109"/>
      <c r="H109"/>
      <c r="I109"/>
      <c r="J109"/>
      <c r="K109"/>
      <c r="L109"/>
      <c r="M109"/>
      <c r="N109"/>
      <c r="O109"/>
      <c r="P109" s="60"/>
      <c r="Q109" s="60"/>
      <c r="R109" s="60"/>
      <c r="S109" s="1"/>
      <c r="T109" s="1"/>
      <c r="U109" s="1"/>
      <c r="V109" s="1"/>
      <c r="W109" s="1"/>
      <c r="X109" s="1"/>
      <c r="Y109" s="1"/>
      <c r="Z109" s="1"/>
      <c r="AA109" s="1"/>
      <c r="AB109" s="1"/>
      <c r="AC109" s="1"/>
      <c r="AD109" s="1"/>
      <c r="AE109" s="1"/>
      <c r="AF109" s="1"/>
      <c r="AG109" s="1"/>
      <c r="AH109" s="1"/>
      <c r="AI109" s="1"/>
      <c r="AJ109" s="1"/>
      <c r="AK109" s="1"/>
      <c r="AL109" s="1"/>
      <c r="AM109" s="1"/>
      <c r="AN109" s="1"/>
      <c r="AO109" s="1"/>
    </row>
    <row r="110" spans="2:41">
      <c r="B110"/>
      <c r="C110"/>
      <c r="D110"/>
      <c r="E110"/>
      <c r="F110"/>
      <c r="G110"/>
      <c r="H110"/>
      <c r="I110"/>
      <c r="J110"/>
      <c r="K110"/>
      <c r="L110"/>
      <c r="M110"/>
      <c r="N110"/>
      <c r="O110"/>
      <c r="P110" s="60"/>
      <c r="Q110" s="60"/>
      <c r="R110" s="60"/>
      <c r="S110" s="1"/>
      <c r="T110" s="1"/>
      <c r="U110" s="1"/>
      <c r="V110" s="1"/>
      <c r="W110" s="1"/>
      <c r="X110" s="1"/>
      <c r="Y110" s="1"/>
      <c r="Z110" s="1"/>
      <c r="AA110" s="1"/>
      <c r="AB110" s="1"/>
      <c r="AC110" s="1"/>
      <c r="AD110" s="1"/>
      <c r="AE110" s="1"/>
      <c r="AF110" s="1"/>
      <c r="AG110" s="1"/>
      <c r="AH110" s="1"/>
      <c r="AI110" s="1"/>
      <c r="AJ110" s="1"/>
      <c r="AK110" s="1"/>
      <c r="AL110" s="1"/>
      <c r="AM110" s="1"/>
      <c r="AN110" s="1"/>
      <c r="AO110" s="1"/>
    </row>
    <row r="111" spans="2:41">
      <c r="B111"/>
      <c r="C111"/>
      <c r="D111"/>
      <c r="E111"/>
      <c r="F111"/>
      <c r="G111"/>
      <c r="H111"/>
      <c r="I111"/>
      <c r="J111"/>
      <c r="K111"/>
      <c r="L111"/>
      <c r="M111"/>
      <c r="N111"/>
      <c r="O111"/>
      <c r="P111" s="60"/>
      <c r="Q111" s="60"/>
      <c r="R111" s="60"/>
      <c r="S111" s="1"/>
      <c r="T111" s="1"/>
      <c r="U111" s="1"/>
      <c r="V111" s="1"/>
      <c r="W111" s="1"/>
      <c r="X111" s="1"/>
      <c r="Y111" s="1"/>
      <c r="Z111" s="1"/>
      <c r="AA111" s="1"/>
      <c r="AB111" s="1"/>
      <c r="AC111" s="1"/>
      <c r="AD111" s="1"/>
      <c r="AE111" s="1"/>
      <c r="AF111" s="1"/>
      <c r="AG111" s="1"/>
      <c r="AH111" s="1"/>
      <c r="AI111" s="1"/>
      <c r="AJ111" s="1"/>
      <c r="AK111" s="1"/>
      <c r="AL111" s="1"/>
      <c r="AM111" s="1"/>
      <c r="AN111" s="1"/>
      <c r="AO111" s="1"/>
    </row>
    <row r="112" spans="2:41">
      <c r="B112"/>
      <c r="C112"/>
      <c r="D112"/>
      <c r="E112"/>
      <c r="F112"/>
      <c r="G112"/>
      <c r="H112"/>
      <c r="I112"/>
      <c r="J112"/>
      <c r="K112"/>
      <c r="L112"/>
      <c r="M112"/>
      <c r="N112"/>
      <c r="O112"/>
      <c r="P112" s="60"/>
      <c r="Q112" s="60"/>
      <c r="R112" s="60"/>
      <c r="S112" s="1"/>
      <c r="T112" s="1"/>
      <c r="U112" s="1"/>
      <c r="V112" s="1"/>
      <c r="W112" s="1"/>
      <c r="X112" s="1"/>
      <c r="Y112" s="1"/>
      <c r="Z112" s="1"/>
      <c r="AA112" s="1"/>
      <c r="AB112" s="1"/>
      <c r="AC112" s="1"/>
      <c r="AD112" s="1"/>
      <c r="AE112" s="1"/>
      <c r="AF112" s="1"/>
      <c r="AG112" s="1"/>
      <c r="AH112" s="1"/>
      <c r="AI112" s="1"/>
      <c r="AJ112" s="1"/>
      <c r="AK112" s="1"/>
      <c r="AL112" s="1"/>
      <c r="AM112" s="1"/>
      <c r="AN112" s="1"/>
      <c r="AO112" s="1"/>
    </row>
    <row r="113" spans="1:41">
      <c r="B113"/>
      <c r="C113"/>
      <c r="D113"/>
      <c r="E113"/>
      <c r="F113"/>
      <c r="G113"/>
      <c r="H113"/>
      <c r="I113"/>
      <c r="J113"/>
      <c r="K113"/>
      <c r="L113"/>
      <c r="M113"/>
      <c r="N113"/>
      <c r="O113"/>
      <c r="P113" s="60"/>
      <c r="Q113" s="60"/>
      <c r="R113" s="60"/>
      <c r="S113" s="1"/>
      <c r="T113" s="1"/>
      <c r="U113" s="1"/>
      <c r="V113" s="1"/>
      <c r="W113" s="1"/>
      <c r="X113" s="1"/>
      <c r="Y113" s="1"/>
      <c r="Z113" s="1"/>
      <c r="AA113" s="1"/>
      <c r="AB113" s="1"/>
      <c r="AC113" s="1"/>
      <c r="AD113" s="1"/>
      <c r="AE113" s="1"/>
      <c r="AF113" s="1"/>
      <c r="AG113" s="1"/>
      <c r="AH113" s="1"/>
      <c r="AI113" s="1"/>
      <c r="AJ113" s="1"/>
      <c r="AK113" s="1"/>
      <c r="AL113" s="1"/>
      <c r="AM113" s="1"/>
      <c r="AN113" s="1"/>
      <c r="AO113" s="1"/>
    </row>
    <row r="114" spans="1:41">
      <c r="B114"/>
      <c r="C114"/>
      <c r="D114"/>
      <c r="E114"/>
      <c r="F114"/>
      <c r="G114"/>
      <c r="H114"/>
      <c r="I114"/>
      <c r="J114"/>
      <c r="K114"/>
      <c r="L114"/>
      <c r="M114"/>
      <c r="N114"/>
      <c r="O114"/>
      <c r="P114" s="60"/>
      <c r="Q114" s="60"/>
      <c r="R114" s="60"/>
      <c r="S114" s="1"/>
      <c r="T114" s="1"/>
      <c r="U114" s="1"/>
      <c r="V114" s="1"/>
      <c r="W114" s="1"/>
      <c r="X114" s="1"/>
      <c r="Y114" s="1"/>
      <c r="Z114" s="1"/>
      <c r="AA114" s="1"/>
      <c r="AB114" s="1"/>
      <c r="AC114" s="1"/>
      <c r="AD114" s="1"/>
      <c r="AE114" s="1"/>
      <c r="AF114" s="1"/>
      <c r="AG114" s="1"/>
      <c r="AH114" s="1"/>
      <c r="AI114" s="1"/>
      <c r="AJ114" s="1"/>
      <c r="AK114" s="1"/>
      <c r="AL114" s="1"/>
      <c r="AM114" s="1"/>
      <c r="AN114" s="1"/>
      <c r="AO114" s="1"/>
    </row>
    <row r="115" spans="1:41">
      <c r="B115"/>
      <c r="C115"/>
      <c r="D115"/>
      <c r="E115"/>
      <c r="F115"/>
      <c r="G115"/>
      <c r="H115"/>
      <c r="I115"/>
      <c r="J115"/>
      <c r="K115"/>
      <c r="L115"/>
      <c r="M115"/>
      <c r="N115"/>
      <c r="O115"/>
      <c r="P115" s="60"/>
      <c r="Q115" s="60"/>
      <c r="R115" s="60"/>
      <c r="S115" s="1"/>
      <c r="T115" s="1"/>
      <c r="U115" s="1"/>
      <c r="V115" s="1"/>
      <c r="W115" s="1"/>
      <c r="X115" s="1"/>
      <c r="Y115" s="1"/>
      <c r="Z115" s="1"/>
      <c r="AA115" s="1"/>
      <c r="AB115" s="1"/>
      <c r="AC115" s="1"/>
      <c r="AD115" s="1"/>
      <c r="AE115" s="1"/>
      <c r="AF115" s="1"/>
      <c r="AG115" s="1"/>
      <c r="AH115" s="1"/>
      <c r="AI115" s="1"/>
      <c r="AJ115" s="1"/>
      <c r="AK115" s="1"/>
      <c r="AL115" s="1"/>
      <c r="AM115" s="1"/>
      <c r="AN115" s="1"/>
      <c r="AO115" s="1"/>
    </row>
    <row r="116" spans="1:41">
      <c r="B116"/>
      <c r="C116"/>
      <c r="D116"/>
      <c r="E116"/>
      <c r="F116"/>
      <c r="G116"/>
      <c r="H116"/>
      <c r="I116"/>
      <c r="J116"/>
      <c r="K116"/>
      <c r="L116"/>
      <c r="M116"/>
      <c r="N116"/>
      <c r="O116"/>
      <c r="P116" s="60"/>
      <c r="Q116" s="60"/>
      <c r="R116" s="60"/>
      <c r="S116" s="1"/>
      <c r="T116" s="1"/>
      <c r="U116" s="1"/>
      <c r="V116" s="1"/>
      <c r="W116" s="1"/>
      <c r="X116" s="1"/>
      <c r="Y116" s="1"/>
      <c r="Z116" s="1"/>
      <c r="AA116" s="1"/>
      <c r="AB116" s="1"/>
      <c r="AC116" s="1"/>
      <c r="AD116" s="1"/>
      <c r="AE116" s="1"/>
      <c r="AF116" s="1"/>
      <c r="AG116" s="1"/>
      <c r="AH116" s="1"/>
      <c r="AI116" s="1"/>
      <c r="AJ116" s="1"/>
      <c r="AK116" s="1"/>
      <c r="AL116" s="1"/>
      <c r="AM116" s="1"/>
      <c r="AN116" s="1"/>
      <c r="AO116" s="1"/>
    </row>
    <row r="117" spans="1:41">
      <c r="A117" s="1"/>
      <c r="B117" s="60"/>
      <c r="C117" s="61"/>
      <c r="D117" s="60"/>
      <c r="E117" s="61"/>
      <c r="F117" s="60"/>
      <c r="G117" s="61"/>
      <c r="H117" s="60"/>
      <c r="I117" s="60"/>
      <c r="J117" s="60"/>
      <c r="K117" s="61"/>
      <c r="L117" s="60"/>
      <c r="M117" s="61"/>
      <c r="N117" s="60"/>
      <c r="O117" s="61"/>
      <c r="P117" s="60"/>
      <c r="Q117" s="60"/>
      <c r="R117" s="60"/>
      <c r="S117" s="1"/>
      <c r="T117" s="1"/>
      <c r="U117" s="1"/>
      <c r="V117" s="1"/>
      <c r="W117" s="1"/>
      <c r="X117" s="1"/>
      <c r="Y117" s="1"/>
      <c r="Z117" s="1"/>
      <c r="AA117" s="1"/>
      <c r="AB117" s="1"/>
      <c r="AC117" s="1"/>
      <c r="AD117" s="1"/>
      <c r="AE117" s="1"/>
      <c r="AF117" s="1"/>
      <c r="AG117" s="1"/>
      <c r="AH117" s="1"/>
      <c r="AI117" s="1"/>
      <c r="AJ117" s="1"/>
      <c r="AK117" s="1"/>
      <c r="AL117" s="1"/>
      <c r="AM117" s="1"/>
      <c r="AN117" s="1"/>
      <c r="AO117" s="1"/>
    </row>
    <row r="118" spans="1:41">
      <c r="A118" s="1" t="s">
        <v>374</v>
      </c>
      <c r="B118" s="65">
        <v>0</v>
      </c>
      <c r="C118" s="67"/>
      <c r="D118" s="65"/>
      <c r="E118" s="67"/>
      <c r="F118" s="65"/>
      <c r="G118" s="67"/>
      <c r="H118" s="65"/>
      <c r="I118" s="65"/>
      <c r="J118" s="65"/>
      <c r="K118" s="67"/>
      <c r="L118" s="65"/>
      <c r="M118" s="67"/>
      <c r="N118" s="60"/>
      <c r="O118" s="67"/>
      <c r="P118" s="60"/>
      <c r="Q118" s="60"/>
      <c r="R118" s="60"/>
      <c r="S118" s="1"/>
      <c r="T118" s="1"/>
      <c r="U118" s="1"/>
      <c r="V118" s="1"/>
      <c r="W118" s="1"/>
      <c r="X118" s="1"/>
      <c r="Y118" s="1"/>
      <c r="Z118" s="1"/>
      <c r="AA118" s="1"/>
      <c r="AB118" s="1"/>
      <c r="AC118" s="1"/>
      <c r="AD118" s="1"/>
      <c r="AE118" s="1"/>
      <c r="AF118" s="1"/>
      <c r="AG118" s="1"/>
      <c r="AH118" s="1"/>
      <c r="AI118" s="1"/>
      <c r="AJ118" s="1"/>
      <c r="AK118" s="1"/>
      <c r="AL118" s="1"/>
      <c r="AM118" s="1"/>
      <c r="AN118" s="1"/>
      <c r="AO118" s="1"/>
    </row>
    <row r="119" spans="1:41">
      <c r="A119" s="1"/>
      <c r="B119" s="60"/>
      <c r="C119" s="61"/>
      <c r="D119" s="60"/>
      <c r="E119" s="61"/>
      <c r="F119" s="60"/>
      <c r="G119" s="61"/>
      <c r="H119" s="60"/>
      <c r="I119" s="60"/>
      <c r="J119" s="60"/>
      <c r="K119" s="61"/>
      <c r="L119" s="60"/>
      <c r="M119" s="61"/>
      <c r="N119" s="60"/>
      <c r="O119" s="61"/>
      <c r="P119" s="60"/>
      <c r="Q119" s="60"/>
      <c r="R119" s="60"/>
      <c r="S119" s="1"/>
      <c r="T119" s="1"/>
      <c r="U119" s="1"/>
      <c r="V119" s="1"/>
      <c r="W119" s="1"/>
      <c r="X119" s="1"/>
      <c r="Y119" s="1"/>
      <c r="Z119" s="1"/>
      <c r="AA119" s="1"/>
      <c r="AB119" s="1"/>
      <c r="AC119" s="1"/>
      <c r="AD119" s="1"/>
      <c r="AE119" s="1"/>
      <c r="AF119" s="1"/>
      <c r="AG119" s="1"/>
      <c r="AH119" s="1"/>
      <c r="AI119" s="1"/>
      <c r="AJ119" s="1"/>
      <c r="AK119" s="1"/>
      <c r="AL119" s="1"/>
      <c r="AM119" s="1"/>
      <c r="AN119" s="1"/>
      <c r="AO119" s="1"/>
    </row>
    <row r="120" spans="1:41">
      <c r="A120" s="1" t="s">
        <v>375</v>
      </c>
      <c r="B120" s="65">
        <v>0</v>
      </c>
      <c r="C120" s="67"/>
      <c r="D120" s="65"/>
      <c r="E120" s="67"/>
      <c r="F120" s="65"/>
      <c r="G120" s="67"/>
      <c r="H120" s="65"/>
      <c r="I120" s="65"/>
      <c r="J120" s="65"/>
      <c r="K120" s="67"/>
      <c r="L120" s="65"/>
      <c r="M120" s="67"/>
      <c r="N120" s="60"/>
      <c r="O120" s="67"/>
      <c r="P120" s="60"/>
      <c r="Q120" s="60"/>
      <c r="R120" s="60"/>
      <c r="S120" s="1"/>
      <c r="T120" s="1"/>
      <c r="U120" s="1"/>
      <c r="V120" s="1"/>
      <c r="W120" s="1"/>
      <c r="X120" s="1"/>
      <c r="Y120" s="1"/>
      <c r="Z120" s="1"/>
      <c r="AA120" s="1"/>
      <c r="AB120" s="1"/>
      <c r="AC120" s="1"/>
      <c r="AD120" s="1"/>
      <c r="AE120" s="1"/>
      <c r="AF120" s="1"/>
      <c r="AG120" s="1"/>
      <c r="AH120" s="1"/>
      <c r="AI120" s="1"/>
      <c r="AJ120" s="1"/>
      <c r="AK120" s="1"/>
      <c r="AL120" s="1"/>
      <c r="AM120" s="1"/>
      <c r="AN120" s="1"/>
      <c r="AO120" s="1"/>
    </row>
    <row r="121" spans="1:41">
      <c r="A121" s="1"/>
      <c r="B121" s="60"/>
      <c r="C121" s="61"/>
      <c r="D121" s="60"/>
      <c r="E121" s="61"/>
      <c r="F121" s="60"/>
      <c r="G121" s="61"/>
      <c r="H121" s="60"/>
      <c r="I121" s="60"/>
      <c r="J121" s="60"/>
      <c r="K121" s="61"/>
      <c r="L121" s="60"/>
      <c r="M121" s="61"/>
      <c r="N121" s="60"/>
      <c r="O121" s="61"/>
      <c r="P121" s="60"/>
      <c r="Q121" s="60"/>
      <c r="R121" s="60"/>
      <c r="S121" s="1"/>
      <c r="T121" s="1"/>
      <c r="U121" s="1"/>
      <c r="V121" s="1"/>
      <c r="W121" s="1"/>
      <c r="X121" s="1"/>
      <c r="Y121" s="1"/>
      <c r="Z121" s="1"/>
      <c r="AA121" s="1"/>
      <c r="AB121" s="1"/>
      <c r="AC121" s="1"/>
      <c r="AD121" s="1"/>
      <c r="AE121" s="1"/>
      <c r="AF121" s="1"/>
      <c r="AG121" s="1"/>
      <c r="AH121" s="1"/>
      <c r="AI121" s="1"/>
      <c r="AJ121" s="1"/>
      <c r="AK121" s="1"/>
      <c r="AL121" s="1"/>
      <c r="AM121" s="1"/>
      <c r="AN121" s="1"/>
      <c r="AO121" s="1"/>
    </row>
    <row r="122" spans="1:41">
      <c r="A122" s="1" t="s">
        <v>376</v>
      </c>
      <c r="B122" s="65">
        <f>+B125+B126+B127</f>
        <v>0</v>
      </c>
      <c r="C122" s="67"/>
      <c r="D122" s="65"/>
      <c r="E122" s="67"/>
      <c r="F122" s="65"/>
      <c r="G122" s="67"/>
      <c r="H122" s="65"/>
      <c r="I122" s="65"/>
      <c r="J122" s="65"/>
      <c r="K122" s="67"/>
      <c r="L122" s="65"/>
      <c r="M122" s="67"/>
      <c r="N122" s="60"/>
      <c r="O122" s="67"/>
      <c r="P122" s="60"/>
      <c r="Q122" s="60"/>
      <c r="R122" s="60"/>
      <c r="S122" s="1"/>
      <c r="T122" s="1"/>
      <c r="U122" s="1"/>
      <c r="V122" s="1"/>
      <c r="W122" s="1"/>
      <c r="X122" s="1"/>
      <c r="Y122" s="1"/>
      <c r="Z122" s="1"/>
      <c r="AA122" s="1"/>
      <c r="AB122" s="1"/>
      <c r="AC122" s="1"/>
      <c r="AD122" s="1"/>
      <c r="AE122" s="1"/>
      <c r="AF122" s="1"/>
      <c r="AG122" s="1"/>
      <c r="AH122" s="1"/>
      <c r="AI122" s="1"/>
      <c r="AJ122" s="1"/>
      <c r="AK122" s="1"/>
      <c r="AL122" s="1"/>
      <c r="AM122" s="1"/>
      <c r="AN122" s="1"/>
      <c r="AO122" s="1"/>
    </row>
    <row r="123" spans="1:41">
      <c r="A123" s="1" t="s">
        <v>377</v>
      </c>
      <c r="B123" s="60">
        <v>0</v>
      </c>
      <c r="C123" s="61"/>
      <c r="D123" s="60"/>
      <c r="E123" s="61"/>
      <c r="F123" s="60"/>
      <c r="G123" s="61"/>
      <c r="H123" s="60"/>
      <c r="I123" s="60"/>
      <c r="J123" s="60"/>
      <c r="K123" s="61"/>
      <c r="L123" s="60"/>
      <c r="M123" s="61"/>
      <c r="N123" s="60"/>
      <c r="O123" s="61"/>
      <c r="P123" s="60"/>
      <c r="Q123" s="60"/>
      <c r="R123" s="60"/>
      <c r="S123" s="1"/>
      <c r="T123" s="1"/>
      <c r="U123" s="1"/>
      <c r="V123" s="1"/>
      <c r="W123" s="1"/>
      <c r="X123" s="1"/>
      <c r="Y123" s="1"/>
      <c r="Z123" s="1"/>
      <c r="AA123" s="1"/>
      <c r="AB123" s="1"/>
      <c r="AC123" s="1"/>
      <c r="AD123" s="1"/>
      <c r="AE123" s="1"/>
      <c r="AF123" s="1"/>
      <c r="AG123" s="1"/>
      <c r="AH123" s="1"/>
      <c r="AI123" s="1"/>
      <c r="AJ123" s="1"/>
      <c r="AK123" s="1"/>
      <c r="AL123" s="1"/>
      <c r="AM123" s="1"/>
      <c r="AN123" s="1"/>
      <c r="AO123" s="1"/>
    </row>
    <row r="124" spans="1:41">
      <c r="A124" s="1" t="s">
        <v>378</v>
      </c>
      <c r="B124" s="60">
        <v>0</v>
      </c>
      <c r="C124" s="61"/>
      <c r="D124" s="60"/>
      <c r="E124" s="61"/>
      <c r="F124" s="60"/>
      <c r="G124" s="61"/>
      <c r="H124" s="60"/>
      <c r="I124" s="60"/>
      <c r="J124" s="60"/>
      <c r="K124" s="61"/>
      <c r="L124" s="60"/>
      <c r="M124" s="61"/>
      <c r="N124" s="60"/>
      <c r="O124" s="61"/>
      <c r="P124" s="60"/>
      <c r="Q124" s="60"/>
      <c r="R124" s="60"/>
      <c r="S124" s="1"/>
      <c r="T124" s="1"/>
      <c r="U124" s="1"/>
      <c r="V124" s="1"/>
      <c r="W124" s="1"/>
      <c r="X124" s="1"/>
      <c r="Y124" s="1"/>
      <c r="Z124" s="1"/>
      <c r="AA124" s="1"/>
      <c r="AB124" s="1"/>
      <c r="AC124" s="1"/>
      <c r="AD124" s="1"/>
      <c r="AE124" s="1"/>
      <c r="AF124" s="1"/>
      <c r="AG124" s="1"/>
      <c r="AH124" s="1"/>
      <c r="AI124" s="1"/>
      <c r="AJ124" s="1"/>
      <c r="AK124" s="1"/>
      <c r="AL124" s="1"/>
      <c r="AM124" s="1"/>
      <c r="AN124" s="1"/>
      <c r="AO124" s="1"/>
    </row>
    <row r="125" spans="1:41">
      <c r="A125" s="1" t="s">
        <v>289</v>
      </c>
      <c r="B125" s="65">
        <f>+B123+B124</f>
        <v>0</v>
      </c>
      <c r="C125" s="61"/>
      <c r="D125" s="60"/>
      <c r="E125" s="61"/>
      <c r="F125" s="60"/>
      <c r="G125" s="61"/>
      <c r="H125" s="60"/>
      <c r="I125" s="60"/>
      <c r="J125" s="60"/>
      <c r="K125" s="61"/>
      <c r="L125" s="60"/>
      <c r="M125" s="61"/>
      <c r="N125" s="60"/>
      <c r="O125" s="61"/>
      <c r="P125" s="60"/>
      <c r="Q125" s="60"/>
      <c r="R125" s="60"/>
      <c r="S125" s="1"/>
      <c r="T125" s="1"/>
      <c r="U125" s="1"/>
      <c r="V125" s="1"/>
      <c r="W125" s="1"/>
      <c r="X125" s="1"/>
      <c r="Y125" s="1"/>
      <c r="Z125" s="1"/>
      <c r="AA125" s="1"/>
      <c r="AB125" s="1"/>
      <c r="AC125" s="1"/>
      <c r="AD125" s="1"/>
      <c r="AE125" s="1"/>
      <c r="AF125" s="1"/>
      <c r="AG125" s="1"/>
      <c r="AH125" s="1"/>
      <c r="AI125" s="1"/>
      <c r="AJ125" s="1"/>
      <c r="AK125" s="1"/>
      <c r="AL125" s="1"/>
      <c r="AM125" s="1"/>
      <c r="AN125" s="1"/>
      <c r="AO125" s="1"/>
    </row>
    <row r="126" spans="1:41">
      <c r="A126" s="1" t="s">
        <v>379</v>
      </c>
      <c r="B126" s="60">
        <v>0</v>
      </c>
      <c r="C126" s="61"/>
      <c r="D126" s="60"/>
      <c r="E126" s="61"/>
      <c r="F126" s="60"/>
      <c r="G126" s="61"/>
      <c r="H126" s="60"/>
      <c r="I126" s="60"/>
      <c r="J126" s="60"/>
      <c r="K126" s="61"/>
      <c r="L126" s="60"/>
      <c r="M126" s="61"/>
      <c r="N126" s="60"/>
      <c r="O126" s="61"/>
      <c r="P126" s="60"/>
      <c r="Q126" s="60"/>
      <c r="R126" s="60"/>
      <c r="S126" s="1"/>
      <c r="T126" s="1"/>
      <c r="U126" s="1"/>
      <c r="V126" s="1"/>
      <c r="W126" s="1"/>
      <c r="X126" s="1"/>
      <c r="Y126" s="1"/>
      <c r="Z126" s="1"/>
      <c r="AA126" s="1"/>
      <c r="AB126" s="1"/>
      <c r="AC126" s="1"/>
      <c r="AD126" s="1"/>
      <c r="AE126" s="1"/>
      <c r="AF126" s="1"/>
      <c r="AG126" s="1"/>
      <c r="AH126" s="1"/>
      <c r="AI126" s="1"/>
      <c r="AJ126" s="1"/>
      <c r="AK126" s="1"/>
      <c r="AL126" s="1"/>
      <c r="AM126" s="1"/>
      <c r="AN126" s="1"/>
      <c r="AO126" s="1"/>
    </row>
    <row r="127" spans="1:41">
      <c r="A127" s="1" t="s">
        <v>380</v>
      </c>
      <c r="B127" s="60">
        <v>0</v>
      </c>
      <c r="C127" s="61"/>
      <c r="D127" s="60"/>
      <c r="E127" s="61"/>
      <c r="F127" s="60"/>
      <c r="G127" s="61"/>
      <c r="H127" s="60"/>
      <c r="I127" s="60"/>
      <c r="J127" s="60"/>
      <c r="K127" s="61"/>
      <c r="L127" s="60"/>
      <c r="M127" s="61"/>
      <c r="N127" s="60"/>
      <c r="O127" s="61"/>
      <c r="P127" s="60"/>
      <c r="Q127" s="60"/>
      <c r="R127" s="60"/>
      <c r="S127" s="1"/>
      <c r="T127" s="1"/>
      <c r="U127" s="1"/>
      <c r="V127" s="1"/>
      <c r="W127" s="1"/>
      <c r="X127" s="1"/>
      <c r="Y127" s="1"/>
      <c r="Z127" s="1"/>
      <c r="AA127" s="1"/>
      <c r="AB127" s="1"/>
      <c r="AC127" s="1"/>
      <c r="AD127" s="1"/>
      <c r="AE127" s="1"/>
      <c r="AF127" s="1"/>
      <c r="AG127" s="1"/>
      <c r="AH127" s="1"/>
      <c r="AI127" s="1"/>
      <c r="AJ127" s="1"/>
      <c r="AK127" s="1"/>
      <c r="AL127" s="1"/>
      <c r="AM127" s="1"/>
      <c r="AN127" s="1"/>
      <c r="AO127" s="1"/>
    </row>
    <row r="128" spans="1:41">
      <c r="A128" s="1"/>
      <c r="B128" s="60"/>
      <c r="C128" s="61"/>
      <c r="D128" s="60"/>
      <c r="E128" s="61"/>
      <c r="F128" s="60"/>
      <c r="G128" s="61"/>
      <c r="H128" s="60"/>
      <c r="I128" s="60"/>
      <c r="J128" s="60"/>
      <c r="K128" s="61"/>
      <c r="L128" s="60"/>
      <c r="M128" s="61"/>
      <c r="N128" s="60"/>
      <c r="O128" s="61"/>
      <c r="P128" s="60"/>
      <c r="Q128" s="60"/>
      <c r="R128" s="60"/>
      <c r="S128" s="1"/>
      <c r="T128" s="1"/>
      <c r="U128" s="1"/>
      <c r="V128" s="1"/>
      <c r="W128" s="1"/>
      <c r="X128" s="1"/>
      <c r="Y128" s="1"/>
      <c r="Z128" s="1"/>
      <c r="AA128" s="1"/>
      <c r="AB128" s="1"/>
      <c r="AC128" s="1"/>
      <c r="AD128" s="1"/>
      <c r="AE128" s="1"/>
      <c r="AF128" s="1"/>
      <c r="AG128" s="1"/>
      <c r="AH128" s="1"/>
      <c r="AI128" s="1"/>
      <c r="AJ128" s="1"/>
      <c r="AK128" s="1"/>
      <c r="AL128" s="1"/>
      <c r="AM128" s="1"/>
      <c r="AN128" s="1"/>
      <c r="AO128" s="1"/>
    </row>
    <row r="129" spans="1:41">
      <c r="A129" s="1" t="s">
        <v>381</v>
      </c>
      <c r="B129" s="65">
        <f>SUM(B130:B131)</f>
        <v>0</v>
      </c>
      <c r="C129" s="67"/>
      <c r="D129" s="65"/>
      <c r="E129" s="67"/>
      <c r="F129" s="65"/>
      <c r="G129" s="67"/>
      <c r="H129" s="65"/>
      <c r="I129" s="65"/>
      <c r="J129" s="65"/>
      <c r="K129" s="67"/>
      <c r="L129" s="65"/>
      <c r="M129" s="67"/>
      <c r="N129" s="60"/>
      <c r="O129" s="67"/>
      <c r="P129" s="60"/>
      <c r="Q129" s="60"/>
      <c r="R129" s="60"/>
      <c r="S129" s="1"/>
      <c r="T129" s="1"/>
      <c r="U129" s="1"/>
      <c r="V129" s="1"/>
      <c r="W129" s="1"/>
      <c r="X129" s="1"/>
      <c r="Y129" s="1"/>
      <c r="Z129" s="1"/>
      <c r="AA129" s="1"/>
      <c r="AB129" s="1"/>
      <c r="AC129" s="1"/>
      <c r="AD129" s="1"/>
      <c r="AE129" s="1"/>
      <c r="AF129" s="1"/>
      <c r="AG129" s="1"/>
      <c r="AH129" s="1"/>
      <c r="AI129" s="1"/>
      <c r="AJ129" s="1"/>
      <c r="AK129" s="1"/>
      <c r="AL129" s="1"/>
      <c r="AM129" s="1"/>
      <c r="AN129" s="1"/>
      <c r="AO129" s="1"/>
    </row>
    <row r="130" spans="1:41">
      <c r="A130" s="1" t="s">
        <v>382</v>
      </c>
      <c r="B130" s="60">
        <v>0</v>
      </c>
      <c r="C130" s="61"/>
      <c r="D130" s="60"/>
      <c r="E130" s="61"/>
      <c r="F130" s="60"/>
      <c r="G130" s="61"/>
      <c r="H130" s="60"/>
      <c r="I130" s="60"/>
      <c r="J130" s="60"/>
      <c r="K130" s="61"/>
      <c r="L130" s="60"/>
      <c r="M130" s="61"/>
      <c r="N130" s="60"/>
      <c r="O130" s="61"/>
      <c r="P130" s="60"/>
      <c r="Q130" s="60"/>
      <c r="R130" s="60"/>
      <c r="S130" s="1"/>
      <c r="T130" s="1"/>
      <c r="U130" s="1"/>
      <c r="V130" s="1"/>
      <c r="W130" s="1"/>
      <c r="X130" s="1"/>
      <c r="Y130" s="1"/>
      <c r="Z130" s="1"/>
      <c r="AA130" s="1"/>
      <c r="AB130" s="1"/>
      <c r="AC130" s="1"/>
      <c r="AD130" s="1"/>
      <c r="AE130" s="1"/>
      <c r="AF130" s="1"/>
      <c r="AG130" s="1"/>
      <c r="AH130" s="1"/>
      <c r="AI130" s="1"/>
      <c r="AJ130" s="1"/>
      <c r="AK130" s="1"/>
      <c r="AL130" s="1"/>
      <c r="AM130" s="1"/>
      <c r="AN130" s="1"/>
      <c r="AO130" s="1"/>
    </row>
    <row r="131" spans="1:41">
      <c r="A131" s="1" t="s">
        <v>383</v>
      </c>
      <c r="B131" s="60">
        <v>0</v>
      </c>
      <c r="C131" s="61"/>
      <c r="D131" s="60"/>
      <c r="E131" s="61"/>
      <c r="F131" s="60"/>
      <c r="G131" s="61"/>
      <c r="H131" s="60"/>
      <c r="I131" s="60"/>
      <c r="J131" s="60"/>
      <c r="K131" s="61"/>
      <c r="L131" s="60"/>
      <c r="M131" s="61"/>
      <c r="N131" s="60"/>
      <c r="O131" s="61"/>
      <c r="P131" s="60"/>
      <c r="Q131" s="60"/>
      <c r="R131" s="60"/>
      <c r="S131" s="1"/>
      <c r="T131" s="1"/>
      <c r="U131" s="1"/>
      <c r="V131" s="1"/>
      <c r="W131" s="1"/>
      <c r="X131" s="1"/>
      <c r="Y131" s="1"/>
      <c r="Z131" s="1"/>
      <c r="AA131" s="1"/>
      <c r="AB131" s="1"/>
      <c r="AC131" s="1"/>
      <c r="AD131" s="1"/>
      <c r="AE131" s="1"/>
      <c r="AF131" s="1"/>
      <c r="AG131" s="1"/>
      <c r="AH131" s="1"/>
      <c r="AI131" s="1"/>
      <c r="AJ131" s="1"/>
      <c r="AK131" s="1"/>
      <c r="AL131" s="1"/>
      <c r="AM131" s="1"/>
      <c r="AN131" s="1"/>
      <c r="AO131" s="1"/>
    </row>
    <row r="132" spans="1:41">
      <c r="A132" s="1"/>
      <c r="B132" s="60"/>
      <c r="C132" s="61"/>
      <c r="D132" s="60"/>
      <c r="E132" s="61"/>
      <c r="F132" s="60"/>
      <c r="G132" s="61"/>
      <c r="H132" s="60"/>
      <c r="I132" s="60"/>
      <c r="J132" s="60"/>
      <c r="K132" s="61"/>
      <c r="L132" s="60"/>
      <c r="M132" s="61"/>
      <c r="N132" s="60"/>
      <c r="O132" s="61"/>
      <c r="P132" s="60"/>
      <c r="Q132" s="60"/>
      <c r="R132" s="60"/>
      <c r="S132" s="1"/>
      <c r="T132" s="1"/>
      <c r="U132" s="1"/>
      <c r="V132" s="1"/>
      <c r="W132" s="1"/>
      <c r="X132" s="1"/>
      <c r="Y132" s="1"/>
      <c r="Z132" s="1"/>
      <c r="AA132" s="1"/>
      <c r="AB132" s="1"/>
      <c r="AC132" s="1"/>
      <c r="AD132" s="1"/>
      <c r="AE132" s="1"/>
      <c r="AF132" s="1"/>
      <c r="AG132" s="1"/>
      <c r="AH132" s="1"/>
      <c r="AI132" s="1"/>
      <c r="AJ132" s="1"/>
      <c r="AK132" s="1"/>
      <c r="AL132" s="1"/>
      <c r="AM132" s="1"/>
      <c r="AN132" s="1"/>
      <c r="AO132" s="1"/>
    </row>
    <row r="133" spans="1:41">
      <c r="A133" s="1" t="s">
        <v>384</v>
      </c>
      <c r="B133" s="65">
        <f t="shared" ref="B133:G133" si="0">+B84+B88+B90+B92+B107+B116+B118+B120+B122+B129</f>
        <v>0</v>
      </c>
      <c r="C133" s="67">
        <f t="shared" si="0"/>
        <v>0</v>
      </c>
      <c r="D133" s="65">
        <f t="shared" si="0"/>
        <v>0</v>
      </c>
      <c r="E133" s="67">
        <f t="shared" si="0"/>
        <v>0</v>
      </c>
      <c r="F133" s="65">
        <f t="shared" si="0"/>
        <v>0</v>
      </c>
      <c r="G133" s="67">
        <f t="shared" si="0"/>
        <v>0</v>
      </c>
      <c r="H133" s="65"/>
      <c r="I133" s="65"/>
      <c r="J133" s="65"/>
      <c r="K133" s="67">
        <f>+K84+K88+K90+K92+K107+K116+K118+K120+K122+K129</f>
        <v>0</v>
      </c>
      <c r="L133" s="65">
        <f>+L84+L88+L90+L92+L107+L116+L118+L120+L122+L129</f>
        <v>0</v>
      </c>
      <c r="M133" s="67">
        <f>+M84+M88+M90+M92+M107+M116+M118+M120+M122+M129</f>
        <v>0</v>
      </c>
      <c r="N133" s="60"/>
      <c r="O133" s="67">
        <f>+O84+O88+O90+O92+O107+O116+O118+O120+O122+O129</f>
        <v>0</v>
      </c>
      <c r="P133" s="60"/>
      <c r="Q133" s="60"/>
      <c r="R133" s="60"/>
      <c r="S133" s="1"/>
      <c r="T133" s="1"/>
      <c r="U133" s="1"/>
      <c r="V133" s="1"/>
      <c r="W133" s="1"/>
      <c r="X133" s="1"/>
      <c r="Y133" s="1"/>
      <c r="Z133" s="1"/>
      <c r="AA133" s="1"/>
      <c r="AB133" s="1"/>
      <c r="AC133" s="1"/>
      <c r="AD133" s="1"/>
      <c r="AE133" s="1"/>
      <c r="AF133" s="1"/>
      <c r="AG133" s="1"/>
      <c r="AH133" s="1"/>
      <c r="AI133" s="1"/>
      <c r="AJ133" s="1"/>
      <c r="AK133" s="1"/>
      <c r="AL133" s="1"/>
      <c r="AM133" s="1"/>
      <c r="AN133" s="1"/>
      <c r="AO133" s="1"/>
    </row>
    <row r="134" spans="1:41">
      <c r="A134" s="1"/>
      <c r="B134" s="60"/>
      <c r="C134" s="61"/>
      <c r="D134" s="60"/>
      <c r="E134" s="61"/>
      <c r="F134" s="60"/>
      <c r="G134" s="61"/>
      <c r="H134" s="60"/>
      <c r="I134" s="60"/>
      <c r="J134" s="60"/>
      <c r="K134" s="61"/>
      <c r="L134" s="60"/>
      <c r="M134" s="61"/>
      <c r="N134" s="60"/>
      <c r="O134" s="61"/>
      <c r="P134" s="60"/>
      <c r="Q134" s="60"/>
      <c r="R134" s="60"/>
      <c r="S134" s="1"/>
      <c r="T134" s="1"/>
      <c r="U134" s="1"/>
      <c r="V134" s="1"/>
      <c r="W134" s="1"/>
      <c r="X134" s="1"/>
      <c r="Y134" s="1"/>
      <c r="Z134" s="1"/>
      <c r="AA134" s="1"/>
      <c r="AB134" s="1"/>
      <c r="AC134" s="1"/>
      <c r="AD134" s="1"/>
      <c r="AE134" s="1"/>
      <c r="AF134" s="1"/>
      <c r="AG134" s="1"/>
      <c r="AH134" s="1"/>
      <c r="AI134" s="1"/>
      <c r="AJ134" s="1"/>
      <c r="AK134" s="1"/>
      <c r="AL134" s="1"/>
      <c r="AM134" s="1"/>
      <c r="AN134" s="1"/>
      <c r="AO134" s="1"/>
    </row>
    <row r="135" spans="1:41">
      <c r="A135" s="1"/>
      <c r="B135" s="60"/>
      <c r="C135" s="61"/>
      <c r="D135" s="60"/>
      <c r="E135" s="61"/>
      <c r="F135" s="60"/>
      <c r="G135" s="61"/>
      <c r="H135" s="60"/>
      <c r="I135" s="60"/>
      <c r="J135" s="60"/>
      <c r="K135" s="61"/>
      <c r="L135" s="60"/>
      <c r="M135" s="61"/>
      <c r="N135" s="60"/>
      <c r="O135" s="61"/>
      <c r="P135" s="60"/>
      <c r="Q135" s="60"/>
      <c r="R135" s="60"/>
      <c r="S135" s="1"/>
      <c r="T135" s="1"/>
      <c r="U135" s="1"/>
      <c r="V135" s="1"/>
      <c r="W135" s="1"/>
      <c r="X135" s="1"/>
      <c r="Y135" s="1"/>
      <c r="Z135" s="1"/>
      <c r="AA135" s="1"/>
      <c r="AB135" s="1"/>
      <c r="AC135" s="1"/>
      <c r="AD135" s="1"/>
      <c r="AE135" s="1"/>
      <c r="AF135" s="1"/>
      <c r="AG135" s="1"/>
      <c r="AH135" s="1"/>
      <c r="AI135" s="1"/>
      <c r="AJ135" s="1"/>
      <c r="AK135" s="1"/>
      <c r="AL135" s="1"/>
      <c r="AM135" s="1"/>
      <c r="AN135" s="1"/>
      <c r="AO135" s="1"/>
    </row>
    <row r="136" spans="1:41">
      <c r="A136" s="1"/>
      <c r="B136" s="60"/>
      <c r="C136" s="61"/>
      <c r="D136" s="60"/>
      <c r="E136" s="61"/>
      <c r="F136" s="60"/>
      <c r="G136" s="61"/>
      <c r="H136" s="60"/>
      <c r="I136" s="60"/>
      <c r="J136" s="60"/>
      <c r="K136" s="61"/>
      <c r="L136" s="60"/>
      <c r="M136" s="61"/>
      <c r="N136" s="60"/>
      <c r="O136" s="61"/>
      <c r="P136" s="60"/>
      <c r="Q136" s="60"/>
      <c r="R136" s="60"/>
      <c r="S136" s="1"/>
      <c r="T136" s="1"/>
      <c r="U136" s="1"/>
      <c r="V136" s="1"/>
      <c r="W136" s="1"/>
      <c r="X136" s="1"/>
      <c r="Y136" s="1"/>
      <c r="Z136" s="1"/>
      <c r="AA136" s="1"/>
      <c r="AB136" s="1"/>
      <c r="AC136" s="1"/>
      <c r="AD136" s="1"/>
      <c r="AE136" s="1"/>
      <c r="AF136" s="1"/>
      <c r="AG136" s="1"/>
      <c r="AH136" s="1"/>
      <c r="AI136" s="1"/>
      <c r="AJ136" s="1"/>
      <c r="AK136" s="1"/>
      <c r="AL136" s="1"/>
      <c r="AM136" s="1"/>
      <c r="AN136" s="1"/>
      <c r="AO136" s="1"/>
    </row>
    <row r="137" spans="1:41">
      <c r="A137" s="1"/>
      <c r="B137" s="60"/>
      <c r="C137" s="61"/>
      <c r="D137" s="60"/>
      <c r="E137" s="61"/>
      <c r="F137" s="60"/>
      <c r="G137" s="61"/>
      <c r="H137" s="60"/>
      <c r="I137" s="60"/>
      <c r="J137" s="60"/>
      <c r="K137" s="61"/>
      <c r="L137" s="60"/>
      <c r="M137" s="61"/>
      <c r="N137" s="60"/>
      <c r="O137" s="61"/>
      <c r="P137" s="60"/>
      <c r="Q137" s="60"/>
      <c r="R137" s="60"/>
      <c r="S137" s="1"/>
      <c r="T137" s="1"/>
      <c r="U137" s="1"/>
      <c r="V137" s="1"/>
      <c r="W137" s="1"/>
      <c r="X137" s="1"/>
      <c r="Y137" s="1"/>
      <c r="Z137" s="1"/>
      <c r="AA137" s="1"/>
      <c r="AB137" s="1"/>
      <c r="AC137" s="1"/>
      <c r="AD137" s="1"/>
      <c r="AE137" s="1"/>
      <c r="AF137" s="1"/>
      <c r="AG137" s="1"/>
      <c r="AH137" s="1"/>
      <c r="AI137" s="1"/>
      <c r="AJ137" s="1"/>
      <c r="AK137" s="1"/>
      <c r="AL137" s="1"/>
      <c r="AM137" s="1"/>
      <c r="AN137" s="1"/>
      <c r="AO137" s="1"/>
    </row>
    <row r="138" spans="1:41">
      <c r="A138" s="1"/>
      <c r="B138" s="60"/>
      <c r="C138" s="61"/>
      <c r="D138" s="60"/>
      <c r="E138" s="61"/>
      <c r="F138" s="60"/>
      <c r="G138" s="61"/>
      <c r="H138" s="60"/>
      <c r="I138" s="60"/>
      <c r="J138" s="60"/>
      <c r="K138" s="61"/>
      <c r="L138" s="60"/>
      <c r="M138" s="61"/>
      <c r="N138" s="60"/>
      <c r="O138" s="61"/>
      <c r="P138" s="60"/>
      <c r="Q138" s="60"/>
      <c r="R138" s="60"/>
      <c r="S138" s="1"/>
      <c r="T138" s="1"/>
      <c r="U138" s="1"/>
      <c r="V138" s="1"/>
      <c r="W138" s="1"/>
      <c r="X138" s="1"/>
      <c r="Y138" s="1"/>
      <c r="Z138" s="1"/>
      <c r="AA138" s="1"/>
      <c r="AB138" s="1"/>
      <c r="AC138" s="1"/>
      <c r="AD138" s="1"/>
      <c r="AE138" s="1"/>
      <c r="AF138" s="1"/>
      <c r="AG138" s="1"/>
      <c r="AH138" s="1"/>
      <c r="AI138" s="1"/>
      <c r="AJ138" s="1"/>
      <c r="AK138" s="1"/>
      <c r="AL138" s="1"/>
      <c r="AM138" s="1"/>
      <c r="AN138" s="1"/>
      <c r="AO138" s="1"/>
    </row>
    <row r="139" spans="1:41">
      <c r="A139" s="1"/>
      <c r="B139" s="60"/>
      <c r="C139" s="61"/>
      <c r="D139" s="60"/>
      <c r="E139" s="61"/>
      <c r="F139" s="60"/>
      <c r="G139" s="61"/>
      <c r="H139" s="60"/>
      <c r="I139" s="60"/>
      <c r="J139" s="60"/>
      <c r="K139" s="61"/>
      <c r="L139" s="60"/>
      <c r="M139" s="61"/>
      <c r="N139" s="60"/>
      <c r="O139" s="61"/>
      <c r="P139" s="60"/>
      <c r="Q139" s="60"/>
      <c r="R139" s="60"/>
      <c r="S139" s="1"/>
      <c r="T139" s="1"/>
      <c r="U139" s="1"/>
      <c r="V139" s="1"/>
      <c r="W139" s="1"/>
      <c r="X139" s="1"/>
      <c r="Y139" s="1"/>
      <c r="Z139" s="1"/>
      <c r="AA139" s="1"/>
      <c r="AB139" s="1"/>
      <c r="AC139" s="1"/>
      <c r="AD139" s="1"/>
      <c r="AE139" s="1"/>
      <c r="AF139" s="1"/>
      <c r="AG139" s="1"/>
      <c r="AH139" s="1"/>
      <c r="AI139" s="1"/>
      <c r="AJ139" s="1"/>
      <c r="AK139" s="1"/>
      <c r="AL139" s="1"/>
      <c r="AM139" s="1"/>
      <c r="AN139" s="1"/>
      <c r="AO139" s="1"/>
    </row>
    <row r="140" spans="1:41">
      <c r="A140" s="1"/>
      <c r="B140" s="60"/>
      <c r="C140" s="61"/>
      <c r="D140" s="60"/>
      <c r="E140" s="61"/>
      <c r="F140" s="60"/>
      <c r="G140" s="61"/>
      <c r="H140" s="60"/>
      <c r="I140" s="60"/>
      <c r="J140" s="60"/>
      <c r="K140" s="61"/>
      <c r="L140" s="60"/>
      <c r="M140" s="61"/>
      <c r="N140" s="60"/>
      <c r="O140" s="61"/>
      <c r="P140" s="60"/>
      <c r="Q140" s="60"/>
      <c r="R140" s="60"/>
      <c r="S140" s="1"/>
      <c r="T140" s="1"/>
      <c r="U140" s="1"/>
      <c r="V140" s="1"/>
      <c r="W140" s="1"/>
      <c r="X140" s="1"/>
      <c r="Y140" s="1"/>
      <c r="Z140" s="1"/>
      <c r="AA140" s="1"/>
      <c r="AB140" s="1"/>
      <c r="AC140" s="1"/>
      <c r="AD140" s="1"/>
      <c r="AE140" s="1"/>
      <c r="AF140" s="1"/>
      <c r="AG140" s="1"/>
      <c r="AH140" s="1"/>
      <c r="AI140" s="1"/>
      <c r="AJ140" s="1"/>
      <c r="AK140" s="1"/>
      <c r="AL140" s="1"/>
      <c r="AM140" s="1"/>
      <c r="AN140" s="1"/>
      <c r="AO140" s="1"/>
    </row>
    <row r="141" spans="1:41">
      <c r="A141" s="1"/>
      <c r="B141" s="60"/>
      <c r="C141" s="61"/>
      <c r="D141" s="60"/>
      <c r="E141" s="61"/>
      <c r="F141" s="60"/>
      <c r="G141" s="61"/>
      <c r="H141" s="60"/>
      <c r="I141" s="60"/>
      <c r="J141" s="60"/>
      <c r="K141" s="61"/>
      <c r="L141" s="60"/>
      <c r="M141" s="61"/>
      <c r="N141" s="60"/>
      <c r="O141" s="61"/>
      <c r="P141" s="60"/>
      <c r="Q141" s="60"/>
      <c r="R141" s="60"/>
      <c r="S141" s="1"/>
      <c r="T141" s="1"/>
      <c r="U141" s="1"/>
      <c r="V141" s="1"/>
      <c r="W141" s="1"/>
      <c r="X141" s="1"/>
      <c r="Y141" s="1"/>
      <c r="Z141" s="1"/>
      <c r="AA141" s="1"/>
      <c r="AB141" s="1"/>
      <c r="AC141" s="1"/>
      <c r="AD141" s="1"/>
      <c r="AE141" s="1"/>
      <c r="AF141" s="1"/>
      <c r="AG141" s="1"/>
      <c r="AH141" s="1"/>
      <c r="AI141" s="1"/>
      <c r="AJ141" s="1"/>
      <c r="AK141" s="1"/>
      <c r="AL141" s="1"/>
      <c r="AM141" s="1"/>
      <c r="AN141" s="1"/>
      <c r="AO141" s="1"/>
    </row>
    <row r="142" spans="1:41">
      <c r="A142" s="1"/>
      <c r="B142" s="60"/>
      <c r="C142" s="61"/>
      <c r="D142" s="60"/>
      <c r="E142" s="61"/>
      <c r="F142" s="60"/>
      <c r="G142" s="61"/>
      <c r="H142" s="60"/>
      <c r="I142" s="60"/>
      <c r="J142" s="60"/>
      <c r="K142" s="61"/>
      <c r="L142" s="60"/>
      <c r="M142" s="61"/>
      <c r="N142" s="60"/>
      <c r="O142" s="61"/>
      <c r="P142" s="60"/>
      <c r="Q142" s="60"/>
      <c r="R142" s="60"/>
      <c r="S142" s="1"/>
      <c r="T142" s="1"/>
      <c r="U142" s="1"/>
      <c r="V142" s="1"/>
      <c r="W142" s="1"/>
      <c r="X142" s="1"/>
      <c r="Y142" s="1"/>
      <c r="Z142" s="1"/>
      <c r="AA142" s="1"/>
      <c r="AB142" s="1"/>
      <c r="AC142" s="1"/>
      <c r="AD142" s="1"/>
      <c r="AE142" s="1"/>
      <c r="AF142" s="1"/>
      <c r="AG142" s="1"/>
      <c r="AH142" s="1"/>
      <c r="AI142" s="1"/>
      <c r="AJ142" s="1"/>
      <c r="AK142" s="1"/>
      <c r="AL142" s="1"/>
      <c r="AM142" s="1"/>
      <c r="AN142" s="1"/>
      <c r="AO142" s="1"/>
    </row>
    <row r="143" spans="1:41">
      <c r="A143" s="1"/>
      <c r="B143" s="60"/>
      <c r="C143" s="61"/>
      <c r="D143" s="60"/>
      <c r="E143" s="61"/>
      <c r="F143" s="60"/>
      <c r="G143" s="61"/>
      <c r="H143" s="60"/>
      <c r="I143" s="60"/>
      <c r="J143" s="60"/>
      <c r="K143" s="61"/>
      <c r="L143" s="60"/>
      <c r="M143" s="61"/>
      <c r="N143" s="60"/>
      <c r="O143" s="61"/>
      <c r="P143" s="60"/>
      <c r="Q143" s="60"/>
      <c r="R143" s="60"/>
      <c r="S143" s="1"/>
      <c r="T143" s="1"/>
      <c r="U143" s="1"/>
      <c r="V143" s="1"/>
      <c r="W143" s="1"/>
      <c r="X143" s="1"/>
      <c r="Y143" s="1"/>
      <c r="Z143" s="1"/>
      <c r="AA143" s="1"/>
      <c r="AB143" s="1"/>
      <c r="AC143" s="1"/>
      <c r="AD143" s="1"/>
      <c r="AE143" s="1"/>
      <c r="AF143" s="1"/>
      <c r="AG143" s="1"/>
      <c r="AH143" s="1"/>
      <c r="AI143" s="1"/>
      <c r="AJ143" s="1"/>
      <c r="AK143" s="1"/>
      <c r="AL143" s="1"/>
      <c r="AM143" s="1"/>
      <c r="AN143" s="1"/>
      <c r="AO143" s="1"/>
    </row>
    <row r="144" spans="1:41">
      <c r="A144" s="1"/>
      <c r="B144" s="60"/>
      <c r="C144" s="61"/>
      <c r="D144" s="60"/>
      <c r="E144" s="61"/>
      <c r="F144" s="60"/>
      <c r="G144" s="61"/>
      <c r="H144" s="60"/>
      <c r="I144" s="60"/>
      <c r="J144" s="60"/>
      <c r="K144" s="61"/>
      <c r="L144" s="60"/>
      <c r="M144" s="61"/>
      <c r="N144" s="60"/>
      <c r="O144" s="61"/>
      <c r="P144" s="60"/>
      <c r="Q144" s="60"/>
      <c r="R144" s="60"/>
      <c r="S144" s="1"/>
      <c r="T144" s="1"/>
      <c r="U144" s="1"/>
      <c r="V144" s="1"/>
      <c r="W144" s="1"/>
      <c r="X144" s="1"/>
      <c r="Y144" s="1"/>
      <c r="Z144" s="1"/>
      <c r="AA144" s="1"/>
      <c r="AB144" s="1"/>
      <c r="AC144" s="1"/>
      <c r="AD144" s="1"/>
      <c r="AE144" s="1"/>
      <c r="AF144" s="1"/>
      <c r="AG144" s="1"/>
      <c r="AH144" s="1"/>
      <c r="AI144" s="1"/>
      <c r="AJ144" s="1"/>
      <c r="AK144" s="1"/>
      <c r="AL144" s="1"/>
      <c r="AM144" s="1"/>
      <c r="AN144" s="1"/>
      <c r="AO144" s="1"/>
    </row>
    <row r="145" spans="1:41">
      <c r="A145" s="1"/>
      <c r="B145" s="60"/>
      <c r="C145" s="61"/>
      <c r="D145" s="60"/>
      <c r="E145" s="61"/>
      <c r="F145" s="60"/>
      <c r="G145" s="61"/>
      <c r="H145" s="60"/>
      <c r="I145" s="60"/>
      <c r="J145" s="60"/>
      <c r="K145" s="61"/>
      <c r="L145" s="60"/>
      <c r="M145" s="61"/>
      <c r="N145" s="60"/>
      <c r="O145" s="61"/>
      <c r="P145" s="60"/>
      <c r="Q145" s="60"/>
      <c r="R145" s="60"/>
      <c r="S145" s="1"/>
      <c r="T145" s="1"/>
      <c r="U145" s="1"/>
      <c r="V145" s="1"/>
      <c r="W145" s="1"/>
      <c r="X145" s="1"/>
      <c r="Y145" s="1"/>
      <c r="Z145" s="1"/>
      <c r="AA145" s="1"/>
      <c r="AB145" s="1"/>
      <c r="AC145" s="1"/>
      <c r="AD145" s="1"/>
      <c r="AE145" s="1"/>
      <c r="AF145" s="1"/>
      <c r="AG145" s="1"/>
      <c r="AH145" s="1"/>
      <c r="AI145" s="1"/>
      <c r="AJ145" s="1"/>
      <c r="AK145" s="1"/>
      <c r="AL145" s="1"/>
      <c r="AM145" s="1"/>
      <c r="AN145" s="1"/>
      <c r="AO145" s="1"/>
    </row>
    <row r="146" spans="1:41">
      <c r="A146" s="1"/>
      <c r="B146" s="60"/>
      <c r="C146" s="61"/>
      <c r="D146" s="60"/>
      <c r="E146" s="61"/>
      <c r="F146" s="60"/>
      <c r="G146" s="61"/>
      <c r="H146" s="60"/>
      <c r="I146" s="60"/>
      <c r="J146" s="60"/>
      <c r="K146" s="61"/>
      <c r="L146" s="60"/>
      <c r="M146" s="61"/>
      <c r="N146" s="60"/>
      <c r="O146" s="61"/>
      <c r="P146" s="60"/>
      <c r="Q146" s="60"/>
      <c r="R146" s="60"/>
      <c r="S146" s="1"/>
      <c r="T146" s="1"/>
      <c r="U146" s="1"/>
      <c r="V146" s="1"/>
      <c r="W146" s="1"/>
      <c r="X146" s="1"/>
      <c r="Y146" s="1"/>
      <c r="Z146" s="1"/>
      <c r="AA146" s="1"/>
      <c r="AB146" s="1"/>
      <c r="AC146" s="1"/>
      <c r="AD146" s="1"/>
      <c r="AE146" s="1"/>
      <c r="AF146" s="1"/>
      <c r="AG146" s="1"/>
      <c r="AH146" s="1"/>
      <c r="AI146" s="1"/>
      <c r="AJ146" s="1"/>
      <c r="AK146" s="1"/>
      <c r="AL146" s="1"/>
      <c r="AM146" s="1"/>
      <c r="AN146" s="1"/>
      <c r="AO146" s="1"/>
    </row>
    <row r="147" spans="1:41">
      <c r="A147" s="1"/>
      <c r="B147" s="60"/>
      <c r="C147" s="61"/>
      <c r="D147" s="60"/>
      <c r="E147" s="61"/>
      <c r="F147" s="60"/>
      <c r="G147" s="61"/>
      <c r="H147" s="60"/>
      <c r="I147" s="60"/>
      <c r="J147" s="60"/>
      <c r="K147" s="61"/>
      <c r="L147" s="60"/>
      <c r="M147" s="61"/>
      <c r="N147" s="60"/>
      <c r="O147" s="61"/>
      <c r="P147" s="60"/>
      <c r="Q147" s="60"/>
      <c r="R147" s="60"/>
      <c r="S147" s="1"/>
      <c r="T147" s="1"/>
      <c r="U147" s="1"/>
      <c r="V147" s="1"/>
      <c r="W147" s="1"/>
      <c r="X147" s="1"/>
      <c r="Y147" s="1"/>
      <c r="Z147" s="1"/>
      <c r="AA147" s="1"/>
      <c r="AB147" s="1"/>
      <c r="AC147" s="1"/>
      <c r="AD147" s="1"/>
      <c r="AE147" s="1"/>
      <c r="AF147" s="1"/>
      <c r="AG147" s="1"/>
      <c r="AH147" s="1"/>
      <c r="AI147" s="1"/>
      <c r="AJ147" s="1"/>
      <c r="AK147" s="1"/>
      <c r="AL147" s="1"/>
      <c r="AM147" s="1"/>
      <c r="AN147" s="1"/>
      <c r="AO147" s="1"/>
    </row>
    <row r="148" spans="1:41">
      <c r="A148" s="1"/>
      <c r="B148" s="60"/>
      <c r="C148" s="61"/>
      <c r="D148" s="60"/>
      <c r="E148" s="61"/>
      <c r="F148" s="60"/>
      <c r="G148" s="61"/>
      <c r="H148" s="60"/>
      <c r="I148" s="60"/>
      <c r="J148" s="60"/>
      <c r="K148" s="61"/>
      <c r="L148" s="60"/>
      <c r="M148" s="61"/>
      <c r="N148" s="60"/>
      <c r="O148" s="61"/>
      <c r="P148" s="60"/>
      <c r="Q148" s="60"/>
      <c r="R148" s="60"/>
      <c r="S148" s="1"/>
      <c r="T148" s="1"/>
      <c r="U148" s="1"/>
      <c r="V148" s="1"/>
      <c r="W148" s="1"/>
      <c r="X148" s="1"/>
      <c r="Y148" s="1"/>
      <c r="Z148" s="1"/>
      <c r="AA148" s="1"/>
      <c r="AB148" s="1"/>
      <c r="AC148" s="1"/>
      <c r="AD148" s="1"/>
      <c r="AE148" s="1"/>
      <c r="AF148" s="1"/>
      <c r="AG148" s="1"/>
      <c r="AH148" s="1"/>
      <c r="AI148" s="1"/>
      <c r="AJ148" s="1"/>
      <c r="AK148" s="1"/>
      <c r="AL148" s="1"/>
      <c r="AM148" s="1"/>
      <c r="AN148" s="1"/>
      <c r="AO148" s="1"/>
    </row>
    <row r="149" spans="1:41">
      <c r="A149" s="1"/>
      <c r="B149" s="60"/>
      <c r="C149" s="61"/>
      <c r="D149" s="60"/>
      <c r="E149" s="61"/>
      <c r="F149" s="60"/>
      <c r="G149" s="61"/>
      <c r="H149" s="60"/>
      <c r="I149" s="60"/>
      <c r="J149" s="60"/>
      <c r="K149" s="61"/>
      <c r="L149" s="60"/>
      <c r="M149" s="61"/>
      <c r="N149" s="60"/>
      <c r="O149" s="61"/>
      <c r="P149" s="60"/>
      <c r="Q149" s="60"/>
      <c r="R149" s="60"/>
      <c r="S149" s="1"/>
      <c r="T149" s="1"/>
      <c r="U149" s="1"/>
      <c r="V149" s="1"/>
      <c r="W149" s="1"/>
      <c r="X149" s="1"/>
      <c r="Y149" s="1"/>
      <c r="Z149" s="1"/>
      <c r="AA149" s="1"/>
      <c r="AB149" s="1"/>
      <c r="AC149" s="1"/>
      <c r="AD149" s="1"/>
      <c r="AE149" s="1"/>
      <c r="AF149" s="1"/>
      <c r="AG149" s="1"/>
      <c r="AH149" s="1"/>
      <c r="AI149" s="1"/>
      <c r="AJ149" s="1"/>
      <c r="AK149" s="1"/>
      <c r="AL149" s="1"/>
      <c r="AM149" s="1"/>
      <c r="AN149" s="1"/>
      <c r="AO149" s="1"/>
    </row>
    <row r="150" spans="1:41">
      <c r="A150" s="1"/>
      <c r="B150" s="60"/>
      <c r="C150" s="61"/>
      <c r="D150" s="60"/>
      <c r="E150" s="61"/>
      <c r="F150" s="60"/>
      <c r="G150" s="61"/>
      <c r="H150" s="60"/>
      <c r="I150" s="60"/>
      <c r="J150" s="60"/>
      <c r="K150" s="61"/>
      <c r="L150" s="60"/>
      <c r="M150" s="61"/>
      <c r="N150" s="60"/>
      <c r="O150" s="61"/>
      <c r="P150" s="60"/>
      <c r="Q150" s="60"/>
      <c r="R150" s="60"/>
      <c r="S150" s="1"/>
      <c r="T150" s="1"/>
      <c r="U150" s="1"/>
      <c r="V150" s="1"/>
      <c r="W150" s="1"/>
      <c r="X150" s="1"/>
      <c r="Y150" s="1"/>
      <c r="Z150" s="1"/>
      <c r="AA150" s="1"/>
      <c r="AB150" s="1"/>
      <c r="AC150" s="1"/>
      <c r="AD150" s="1"/>
      <c r="AE150" s="1"/>
      <c r="AF150" s="1"/>
      <c r="AG150" s="1"/>
      <c r="AH150" s="1"/>
      <c r="AI150" s="1"/>
      <c r="AJ150" s="1"/>
      <c r="AK150" s="1"/>
      <c r="AL150" s="1"/>
      <c r="AM150" s="1"/>
      <c r="AN150" s="1"/>
      <c r="AO150" s="1"/>
    </row>
    <row r="151" spans="1:41">
      <c r="A151" s="1"/>
      <c r="B151" s="60"/>
      <c r="C151" s="61"/>
      <c r="D151" s="60"/>
      <c r="E151" s="61"/>
      <c r="F151" s="60"/>
      <c r="G151" s="61"/>
      <c r="H151" s="60"/>
      <c r="I151" s="60"/>
      <c r="J151" s="60"/>
      <c r="K151" s="61"/>
      <c r="L151" s="60"/>
      <c r="M151" s="61"/>
      <c r="N151" s="60"/>
      <c r="O151" s="61"/>
      <c r="P151" s="60"/>
      <c r="Q151" s="60"/>
      <c r="R151" s="60"/>
      <c r="S151" s="1"/>
      <c r="T151" s="1"/>
      <c r="U151" s="1"/>
      <c r="V151" s="1"/>
      <c r="W151" s="1"/>
      <c r="X151" s="1"/>
      <c r="Y151" s="1"/>
      <c r="Z151" s="1"/>
      <c r="AA151" s="1"/>
      <c r="AB151" s="1"/>
      <c r="AC151" s="1"/>
      <c r="AD151" s="1"/>
      <c r="AE151" s="1"/>
      <c r="AF151" s="1"/>
      <c r="AG151" s="1"/>
      <c r="AH151" s="1"/>
      <c r="AI151" s="1"/>
      <c r="AJ151" s="1"/>
      <c r="AK151" s="1"/>
      <c r="AL151" s="1"/>
      <c r="AM151" s="1"/>
      <c r="AN151" s="1"/>
      <c r="AO151" s="1"/>
    </row>
    <row r="152" spans="1:41">
      <c r="A152" s="1"/>
      <c r="B152" s="60"/>
      <c r="C152" s="61"/>
      <c r="D152" s="60"/>
      <c r="E152" s="61"/>
      <c r="F152" s="60"/>
      <c r="G152" s="61"/>
      <c r="H152" s="60"/>
      <c r="I152" s="60"/>
      <c r="J152" s="60"/>
      <c r="K152" s="61"/>
      <c r="L152" s="60"/>
      <c r="M152" s="61"/>
      <c r="N152" s="60"/>
      <c r="O152" s="61"/>
      <c r="P152" s="60"/>
      <c r="Q152" s="60"/>
      <c r="R152" s="60"/>
      <c r="S152" s="1"/>
      <c r="T152" s="1"/>
      <c r="U152" s="1"/>
      <c r="V152" s="1"/>
      <c r="W152" s="1"/>
      <c r="X152" s="1"/>
      <c r="Y152" s="1"/>
      <c r="Z152" s="1"/>
      <c r="AA152" s="1"/>
      <c r="AB152" s="1"/>
      <c r="AC152" s="1"/>
      <c r="AD152" s="1"/>
      <c r="AE152" s="1"/>
      <c r="AF152" s="1"/>
      <c r="AG152" s="1"/>
      <c r="AH152" s="1"/>
      <c r="AI152" s="1"/>
      <c r="AJ152" s="1"/>
      <c r="AK152" s="1"/>
      <c r="AL152" s="1"/>
      <c r="AM152" s="1"/>
      <c r="AN152" s="1"/>
      <c r="AO152" s="1"/>
    </row>
    <row r="153" spans="1:41">
      <c r="A153" s="1"/>
      <c r="B153" s="60"/>
      <c r="C153" s="61"/>
      <c r="D153" s="60"/>
      <c r="E153" s="61"/>
      <c r="F153" s="60"/>
      <c r="G153" s="61"/>
      <c r="H153" s="60"/>
      <c r="I153" s="60"/>
      <c r="J153" s="60"/>
      <c r="K153" s="61"/>
      <c r="L153" s="60"/>
      <c r="M153" s="61"/>
      <c r="N153" s="60"/>
      <c r="O153" s="61"/>
      <c r="P153" s="60"/>
      <c r="Q153" s="60"/>
      <c r="R153" s="60"/>
      <c r="S153" s="1"/>
      <c r="T153" s="1"/>
      <c r="U153" s="1"/>
      <c r="V153" s="1"/>
      <c r="W153" s="1"/>
      <c r="X153" s="1"/>
      <c r="Y153" s="1"/>
      <c r="Z153" s="1"/>
      <c r="AA153" s="1"/>
      <c r="AB153" s="1"/>
      <c r="AC153" s="1"/>
      <c r="AD153" s="1"/>
      <c r="AE153" s="1"/>
      <c r="AF153" s="1"/>
      <c r="AG153" s="1"/>
      <c r="AH153" s="1"/>
      <c r="AI153" s="1"/>
      <c r="AJ153" s="1"/>
      <c r="AK153" s="1"/>
      <c r="AL153" s="1"/>
      <c r="AM153" s="1"/>
      <c r="AN153" s="1"/>
      <c r="AO153" s="1"/>
    </row>
    <row r="154" spans="1:41">
      <c r="A154" s="1"/>
      <c r="B154" s="60"/>
      <c r="C154" s="61"/>
      <c r="D154" s="60"/>
      <c r="E154" s="61"/>
      <c r="F154" s="60"/>
      <c r="G154" s="61"/>
      <c r="H154" s="60"/>
      <c r="I154" s="60"/>
      <c r="J154" s="60"/>
      <c r="K154" s="61"/>
      <c r="L154" s="60"/>
      <c r="M154" s="61"/>
      <c r="N154" s="60"/>
      <c r="O154" s="61"/>
      <c r="P154" s="60"/>
      <c r="Q154" s="60"/>
      <c r="R154" s="60"/>
      <c r="S154" s="1"/>
      <c r="T154" s="1"/>
      <c r="U154" s="1"/>
      <c r="V154" s="1"/>
      <c r="W154" s="1"/>
      <c r="X154" s="1"/>
      <c r="Y154" s="1"/>
      <c r="Z154" s="1"/>
      <c r="AA154" s="1"/>
      <c r="AB154" s="1"/>
      <c r="AC154" s="1"/>
      <c r="AD154" s="1"/>
      <c r="AE154" s="1"/>
      <c r="AF154" s="1"/>
      <c r="AG154" s="1"/>
      <c r="AH154" s="1"/>
      <c r="AI154" s="1"/>
      <c r="AJ154" s="1"/>
      <c r="AK154" s="1"/>
      <c r="AL154" s="1"/>
      <c r="AM154" s="1"/>
      <c r="AN154" s="1"/>
      <c r="AO154" s="1"/>
    </row>
    <row r="155" spans="1:41">
      <c r="A155" s="1"/>
      <c r="B155" s="60"/>
      <c r="C155" s="61"/>
      <c r="D155" s="60"/>
      <c r="E155" s="61"/>
      <c r="F155" s="60"/>
      <c r="G155" s="61"/>
      <c r="H155" s="60"/>
      <c r="I155" s="60"/>
      <c r="J155" s="60"/>
      <c r="K155" s="61"/>
      <c r="L155" s="60"/>
      <c r="M155" s="61"/>
      <c r="N155" s="60"/>
      <c r="O155" s="61"/>
      <c r="P155" s="60"/>
      <c r="Q155" s="60"/>
      <c r="R155" s="60"/>
      <c r="S155" s="1"/>
      <c r="T155" s="1"/>
      <c r="U155" s="1"/>
      <c r="V155" s="1"/>
      <c r="W155" s="1"/>
      <c r="X155" s="1"/>
      <c r="Y155" s="1"/>
      <c r="Z155" s="1"/>
      <c r="AA155" s="1"/>
      <c r="AB155" s="1"/>
      <c r="AC155" s="1"/>
      <c r="AD155" s="1"/>
      <c r="AE155" s="1"/>
      <c r="AF155" s="1"/>
      <c r="AG155" s="1"/>
      <c r="AH155" s="1"/>
      <c r="AI155" s="1"/>
      <c r="AJ155" s="1"/>
      <c r="AK155" s="1"/>
      <c r="AL155" s="1"/>
      <c r="AM155" s="1"/>
      <c r="AN155" s="1"/>
      <c r="AO155" s="1"/>
    </row>
    <row r="156" spans="1:41">
      <c r="A156" s="1"/>
      <c r="B156" s="60"/>
      <c r="C156" s="61"/>
      <c r="D156" s="60"/>
      <c r="E156" s="61"/>
      <c r="F156" s="60"/>
      <c r="G156" s="61"/>
      <c r="H156" s="60"/>
      <c r="I156" s="60"/>
      <c r="J156" s="60"/>
      <c r="K156" s="61"/>
      <c r="L156" s="60"/>
      <c r="M156" s="61"/>
      <c r="N156" s="60"/>
      <c r="O156" s="61"/>
      <c r="P156" s="60"/>
      <c r="Q156" s="60"/>
      <c r="R156" s="60"/>
      <c r="S156" s="1"/>
      <c r="T156" s="1"/>
      <c r="U156" s="1"/>
      <c r="V156" s="1"/>
      <c r="W156" s="1"/>
      <c r="X156" s="1"/>
      <c r="Y156" s="1"/>
      <c r="Z156" s="1"/>
      <c r="AA156" s="1"/>
      <c r="AB156" s="1"/>
      <c r="AC156" s="1"/>
      <c r="AD156" s="1"/>
      <c r="AE156" s="1"/>
      <c r="AF156" s="1"/>
      <c r="AG156" s="1"/>
      <c r="AH156" s="1"/>
      <c r="AI156" s="1"/>
      <c r="AJ156" s="1"/>
      <c r="AK156" s="1"/>
      <c r="AL156" s="1"/>
      <c r="AM156" s="1"/>
      <c r="AN156" s="1"/>
      <c r="AO156" s="1"/>
    </row>
    <row r="157" spans="1:41">
      <c r="A157" s="1"/>
      <c r="B157" s="60"/>
      <c r="C157" s="61"/>
      <c r="D157" s="60"/>
      <c r="E157" s="61"/>
      <c r="F157" s="60"/>
      <c r="G157" s="61"/>
      <c r="H157" s="60"/>
      <c r="I157" s="60"/>
      <c r="J157" s="60"/>
      <c r="K157" s="61"/>
      <c r="L157" s="60"/>
      <c r="M157" s="61"/>
      <c r="N157" s="60"/>
      <c r="O157" s="61"/>
      <c r="P157" s="60"/>
      <c r="Q157" s="60"/>
      <c r="R157" s="60"/>
      <c r="S157" s="1"/>
      <c r="T157" s="1"/>
      <c r="U157" s="1"/>
      <c r="V157" s="1"/>
      <c r="W157" s="1"/>
      <c r="X157" s="1"/>
      <c r="Y157" s="1"/>
      <c r="Z157" s="1"/>
      <c r="AA157" s="1"/>
      <c r="AB157" s="1"/>
      <c r="AC157" s="1"/>
      <c r="AD157" s="1"/>
      <c r="AE157" s="1"/>
      <c r="AF157" s="1"/>
      <c r="AG157" s="1"/>
      <c r="AH157" s="1"/>
      <c r="AI157" s="1"/>
      <c r="AJ157" s="1"/>
      <c r="AK157" s="1"/>
      <c r="AL157" s="1"/>
      <c r="AM157" s="1"/>
      <c r="AN157" s="1"/>
      <c r="AO157" s="1"/>
    </row>
    <row r="158" spans="1:41">
      <c r="A158" s="1"/>
      <c r="B158" s="60"/>
      <c r="C158" s="61"/>
      <c r="D158" s="60"/>
      <c r="E158" s="61"/>
      <c r="F158" s="60"/>
      <c r="G158" s="61"/>
      <c r="H158" s="60"/>
      <c r="I158" s="60"/>
      <c r="J158" s="60"/>
      <c r="K158" s="61"/>
      <c r="L158" s="60"/>
      <c r="M158" s="61"/>
      <c r="N158" s="60"/>
      <c r="O158" s="61"/>
      <c r="P158" s="60"/>
      <c r="Q158" s="60"/>
      <c r="R158" s="60"/>
      <c r="S158" s="1"/>
      <c r="T158" s="1"/>
      <c r="U158" s="1"/>
      <c r="V158" s="1"/>
      <c r="W158" s="1"/>
      <c r="X158" s="1"/>
      <c r="Y158" s="1"/>
      <c r="Z158" s="1"/>
      <c r="AA158" s="1"/>
      <c r="AB158" s="1"/>
      <c r="AC158" s="1"/>
      <c r="AD158" s="1"/>
      <c r="AE158" s="1"/>
      <c r="AF158" s="1"/>
      <c r="AG158" s="1"/>
      <c r="AH158" s="1"/>
      <c r="AI158" s="1"/>
      <c r="AJ158" s="1"/>
      <c r="AK158" s="1"/>
      <c r="AL158" s="1"/>
      <c r="AM158" s="1"/>
      <c r="AN158" s="1"/>
      <c r="AO158" s="1"/>
    </row>
    <row r="159" spans="1:41">
      <c r="A159" s="1"/>
      <c r="B159" s="60"/>
      <c r="C159" s="61"/>
      <c r="D159" s="60"/>
      <c r="E159" s="61"/>
      <c r="F159" s="60"/>
      <c r="G159" s="61"/>
      <c r="H159" s="60"/>
      <c r="I159" s="60"/>
      <c r="J159" s="60"/>
      <c r="K159" s="61"/>
      <c r="L159" s="60"/>
      <c r="M159" s="61"/>
      <c r="N159" s="60"/>
      <c r="O159" s="61"/>
      <c r="P159" s="60"/>
      <c r="Q159" s="60"/>
      <c r="R159" s="60"/>
      <c r="S159" s="1"/>
      <c r="T159" s="1"/>
      <c r="U159" s="1"/>
      <c r="V159" s="1"/>
      <c r="W159" s="1"/>
      <c r="X159" s="1"/>
      <c r="Y159" s="1"/>
      <c r="Z159" s="1"/>
      <c r="AA159" s="1"/>
      <c r="AB159" s="1"/>
      <c r="AC159" s="1"/>
      <c r="AD159" s="1"/>
      <c r="AE159" s="1"/>
      <c r="AF159" s="1"/>
      <c r="AG159" s="1"/>
      <c r="AH159" s="1"/>
      <c r="AI159" s="1"/>
      <c r="AJ159" s="1"/>
      <c r="AK159" s="1"/>
      <c r="AL159" s="1"/>
      <c r="AM159" s="1"/>
      <c r="AN159" s="1"/>
      <c r="AO159" s="1"/>
    </row>
    <row r="160" spans="1:41">
      <c r="A160" s="1"/>
      <c r="B160" s="60"/>
      <c r="C160" s="61"/>
      <c r="D160" s="60"/>
      <c r="E160" s="61"/>
      <c r="F160" s="60"/>
      <c r="G160" s="61"/>
      <c r="H160" s="60"/>
      <c r="I160" s="60"/>
      <c r="J160" s="60"/>
      <c r="K160" s="61"/>
      <c r="L160" s="60"/>
      <c r="M160" s="61"/>
      <c r="N160" s="60"/>
      <c r="O160" s="61"/>
      <c r="P160" s="60"/>
      <c r="Q160" s="60"/>
      <c r="R160" s="60"/>
      <c r="S160" s="1"/>
      <c r="T160" s="1"/>
      <c r="U160" s="1"/>
      <c r="V160" s="1"/>
      <c r="W160" s="1"/>
      <c r="X160" s="1"/>
      <c r="Y160" s="1"/>
      <c r="Z160" s="1"/>
      <c r="AA160" s="1"/>
      <c r="AB160" s="1"/>
      <c r="AC160" s="1"/>
      <c r="AD160" s="1"/>
      <c r="AE160" s="1"/>
      <c r="AF160" s="1"/>
      <c r="AG160" s="1"/>
      <c r="AH160" s="1"/>
      <c r="AI160" s="1"/>
      <c r="AJ160" s="1"/>
      <c r="AK160" s="1"/>
      <c r="AL160" s="1"/>
      <c r="AM160" s="1"/>
      <c r="AN160" s="1"/>
      <c r="AO160" s="1"/>
    </row>
    <row r="161" spans="1:41">
      <c r="A161" s="1"/>
      <c r="B161" s="60"/>
      <c r="C161" s="61"/>
      <c r="D161" s="60"/>
      <c r="E161" s="61"/>
      <c r="F161" s="60"/>
      <c r="G161" s="61"/>
      <c r="H161" s="60"/>
      <c r="I161" s="60"/>
      <c r="J161" s="60"/>
      <c r="K161" s="61"/>
      <c r="L161" s="60"/>
      <c r="M161" s="61"/>
      <c r="N161" s="60"/>
      <c r="O161" s="61"/>
      <c r="P161" s="60"/>
      <c r="Q161" s="60"/>
      <c r="R161" s="60"/>
      <c r="S161" s="1"/>
      <c r="T161" s="1"/>
      <c r="U161" s="1"/>
      <c r="V161" s="1"/>
      <c r="W161" s="1"/>
      <c r="X161" s="1"/>
      <c r="Y161" s="1"/>
      <c r="Z161" s="1"/>
      <c r="AA161" s="1"/>
      <c r="AB161" s="1"/>
      <c r="AC161" s="1"/>
      <c r="AD161" s="1"/>
      <c r="AE161" s="1"/>
      <c r="AF161" s="1"/>
      <c r="AG161" s="1"/>
      <c r="AH161" s="1"/>
      <c r="AI161" s="1"/>
      <c r="AJ161" s="1"/>
      <c r="AK161" s="1"/>
      <c r="AL161" s="1"/>
      <c r="AM161" s="1"/>
      <c r="AN161" s="1"/>
      <c r="AO161" s="1"/>
    </row>
    <row r="162" spans="1:41">
      <c r="A162" s="1"/>
      <c r="B162" s="60"/>
      <c r="C162" s="61"/>
      <c r="D162" s="60"/>
      <c r="E162" s="61"/>
      <c r="F162" s="60"/>
      <c r="G162" s="61"/>
      <c r="H162" s="60"/>
      <c r="I162" s="60"/>
      <c r="J162" s="60"/>
      <c r="K162" s="61"/>
      <c r="L162" s="60"/>
      <c r="M162" s="61"/>
      <c r="N162" s="60"/>
      <c r="O162" s="61"/>
      <c r="P162" s="60"/>
      <c r="Q162" s="60"/>
      <c r="R162" s="60"/>
      <c r="S162" s="1"/>
      <c r="T162" s="1"/>
      <c r="U162" s="1"/>
      <c r="V162" s="1"/>
      <c r="W162" s="1"/>
      <c r="X162" s="1"/>
      <c r="Y162" s="1"/>
      <c r="Z162" s="1"/>
      <c r="AA162" s="1"/>
      <c r="AB162" s="1"/>
      <c r="AC162" s="1"/>
      <c r="AD162" s="1"/>
      <c r="AE162" s="1"/>
      <c r="AF162" s="1"/>
      <c r="AG162" s="1"/>
      <c r="AH162" s="1"/>
      <c r="AI162" s="1"/>
      <c r="AJ162" s="1"/>
      <c r="AK162" s="1"/>
      <c r="AL162" s="1"/>
      <c r="AM162" s="1"/>
      <c r="AN162" s="1"/>
      <c r="AO162" s="1"/>
    </row>
    <row r="163" spans="1:41">
      <c r="A163" s="1"/>
      <c r="B163" s="60"/>
      <c r="C163" s="61"/>
      <c r="D163" s="60"/>
      <c r="E163" s="61"/>
      <c r="F163" s="60"/>
      <c r="G163" s="61"/>
      <c r="H163" s="60"/>
      <c r="I163" s="60"/>
      <c r="J163" s="60"/>
      <c r="K163" s="61"/>
      <c r="L163" s="60"/>
      <c r="M163" s="61"/>
      <c r="N163" s="60"/>
      <c r="O163" s="61"/>
      <c r="P163" s="60"/>
      <c r="Q163" s="60"/>
      <c r="R163" s="60"/>
      <c r="S163" s="1"/>
      <c r="T163" s="1"/>
      <c r="U163" s="1"/>
      <c r="V163" s="1"/>
      <c r="W163" s="1"/>
      <c r="X163" s="1"/>
      <c r="Y163" s="1"/>
      <c r="Z163" s="1"/>
      <c r="AA163" s="1"/>
      <c r="AB163" s="1"/>
      <c r="AC163" s="1"/>
      <c r="AD163" s="1"/>
      <c r="AE163" s="1"/>
      <c r="AF163" s="1"/>
      <c r="AG163" s="1"/>
      <c r="AH163" s="1"/>
      <c r="AI163" s="1"/>
      <c r="AJ163" s="1"/>
      <c r="AK163" s="1"/>
      <c r="AL163" s="1"/>
      <c r="AM163" s="1"/>
      <c r="AN163" s="1"/>
      <c r="AO163" s="1"/>
    </row>
    <row r="164" spans="1:41">
      <c r="A164" s="1"/>
      <c r="B164" s="60"/>
      <c r="C164" s="61"/>
      <c r="D164" s="60"/>
      <c r="E164" s="61"/>
      <c r="F164" s="60"/>
      <c r="G164" s="61"/>
      <c r="H164" s="60"/>
      <c r="I164" s="60"/>
      <c r="J164" s="60"/>
      <c r="K164" s="61"/>
      <c r="L164" s="60"/>
      <c r="M164" s="61"/>
      <c r="N164" s="60"/>
      <c r="O164" s="61"/>
      <c r="P164" s="60"/>
      <c r="Q164" s="60"/>
      <c r="R164" s="60"/>
      <c r="S164" s="1"/>
      <c r="T164" s="1"/>
      <c r="U164" s="1"/>
      <c r="V164" s="1"/>
      <c r="W164" s="1"/>
      <c r="X164" s="1"/>
      <c r="Y164" s="1"/>
      <c r="Z164" s="1"/>
      <c r="AA164" s="1"/>
      <c r="AB164" s="1"/>
      <c r="AC164" s="1"/>
      <c r="AD164" s="1"/>
      <c r="AE164" s="1"/>
      <c r="AF164" s="1"/>
      <c r="AG164" s="1"/>
      <c r="AH164" s="1"/>
      <c r="AI164" s="1"/>
      <c r="AJ164" s="1"/>
      <c r="AK164" s="1"/>
      <c r="AL164" s="1"/>
      <c r="AM164" s="1"/>
      <c r="AN164" s="1"/>
      <c r="AO164" s="1"/>
    </row>
    <row r="165" spans="1:41">
      <c r="A165" s="1"/>
      <c r="B165" s="60"/>
      <c r="C165" s="61"/>
      <c r="D165" s="60"/>
      <c r="E165" s="61"/>
      <c r="F165" s="60"/>
      <c r="G165" s="61"/>
      <c r="H165" s="60"/>
      <c r="I165" s="60"/>
      <c r="J165" s="60"/>
      <c r="K165" s="61"/>
      <c r="L165" s="60"/>
      <c r="M165" s="61"/>
      <c r="N165" s="60"/>
      <c r="O165" s="61"/>
      <c r="P165" s="60"/>
      <c r="Q165" s="60"/>
      <c r="R165" s="60"/>
      <c r="S165" s="1"/>
      <c r="T165" s="1"/>
      <c r="U165" s="1"/>
      <c r="V165" s="1"/>
      <c r="W165" s="1"/>
      <c r="X165" s="1"/>
      <c r="Y165" s="1"/>
      <c r="Z165" s="1"/>
      <c r="AA165" s="1"/>
      <c r="AB165" s="1"/>
      <c r="AC165" s="1"/>
      <c r="AD165" s="1"/>
      <c r="AE165" s="1"/>
      <c r="AF165" s="1"/>
      <c r="AG165" s="1"/>
      <c r="AH165" s="1"/>
      <c r="AI165" s="1"/>
      <c r="AJ165" s="1"/>
      <c r="AK165" s="1"/>
      <c r="AL165" s="1"/>
      <c r="AM165" s="1"/>
      <c r="AN165" s="1"/>
      <c r="AO165" s="1"/>
    </row>
  </sheetData>
  <pageMargins left="0.2" right="0.2" top="0.62" bottom="0.75" header="0.5" footer="0.5"/>
  <pageSetup scale="50" orientation="landscape" r:id="rId1"/>
  <headerFooter alignWithMargins="0">
    <oddFooter>&amp;R&amp;16&amp;P</oddFooter>
  </headerFooter>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5"/>
  <sheetViews>
    <sheetView workbookViewId="0"/>
  </sheetViews>
  <sheetFormatPr defaultRowHeight="15.75"/>
  <cols>
    <col min="1" max="4" width="11" customWidth="1"/>
    <col min="5" max="5" width="55.875" customWidth="1"/>
    <col min="6" max="6" width="13.125" customWidth="1"/>
    <col min="7" max="256" width="11" customWidth="1"/>
  </cols>
  <sheetData>
    <row r="1" spans="1:9">
      <c r="A1" s="843"/>
      <c r="B1" s="843"/>
      <c r="C1" s="843"/>
      <c r="D1" s="843"/>
      <c r="E1" s="843"/>
      <c r="F1" s="843"/>
      <c r="G1" s="843"/>
      <c r="H1" s="843"/>
      <c r="I1" s="843"/>
    </row>
    <row r="2" spans="1:9">
      <c r="A2" s="843"/>
      <c r="B2" s="843"/>
      <c r="C2" s="843"/>
      <c r="D2" s="843"/>
      <c r="E2" s="843"/>
      <c r="F2" s="843"/>
      <c r="G2" s="843"/>
      <c r="H2" s="843"/>
      <c r="I2" s="843"/>
    </row>
    <row r="3" spans="1:9">
      <c r="A3" s="843"/>
      <c r="B3" s="843"/>
      <c r="C3" s="843"/>
      <c r="D3" s="843"/>
      <c r="E3" s="843"/>
      <c r="F3" s="843"/>
      <c r="G3" s="843"/>
      <c r="H3" s="843"/>
      <c r="I3" s="843"/>
    </row>
    <row r="4" spans="1:9">
      <c r="A4" s="843"/>
      <c r="B4" s="843"/>
      <c r="C4" s="843"/>
      <c r="D4" s="843"/>
      <c r="E4" s="843"/>
      <c r="F4" s="843"/>
      <c r="G4" s="843"/>
      <c r="H4" s="843"/>
      <c r="I4" s="843"/>
    </row>
    <row r="5" spans="1:9">
      <c r="A5" s="843"/>
      <c r="B5" s="843"/>
      <c r="C5" s="843"/>
      <c r="D5" s="843"/>
      <c r="E5" s="843"/>
      <c r="F5" s="843"/>
      <c r="G5" s="843"/>
      <c r="H5" s="843"/>
      <c r="I5" s="843"/>
    </row>
    <row r="6" spans="1:9">
      <c r="A6" s="843"/>
      <c r="B6" s="843"/>
      <c r="C6" s="843"/>
      <c r="D6" s="843"/>
      <c r="E6" s="843"/>
      <c r="F6" s="843"/>
      <c r="G6" s="843"/>
      <c r="H6" s="843"/>
      <c r="I6" s="843"/>
    </row>
    <row r="7" spans="1:9">
      <c r="A7" s="843"/>
      <c r="B7" s="843"/>
      <c r="C7" s="843"/>
      <c r="D7" s="843"/>
      <c r="E7" s="843"/>
      <c r="F7" s="843"/>
      <c r="G7" s="843"/>
      <c r="H7" s="843"/>
      <c r="I7" s="843"/>
    </row>
    <row r="8" spans="1:9">
      <c r="A8" s="843"/>
      <c r="B8" s="843"/>
      <c r="C8" s="843"/>
      <c r="D8" s="843"/>
      <c r="E8" s="843"/>
      <c r="F8" s="843"/>
      <c r="G8" s="843"/>
      <c r="H8" s="843"/>
      <c r="I8" s="843"/>
    </row>
    <row r="9" spans="1:9">
      <c r="A9" s="843"/>
      <c r="B9" s="843"/>
      <c r="C9" s="843"/>
      <c r="D9" s="843"/>
      <c r="E9" s="843"/>
      <c r="F9" s="843"/>
      <c r="G9" s="843"/>
      <c r="H9" s="843"/>
      <c r="I9" s="843"/>
    </row>
    <row r="10" spans="1:9">
      <c r="A10" s="843"/>
      <c r="B10" s="843"/>
      <c r="C10" s="843"/>
      <c r="D10" s="843"/>
      <c r="E10" s="843"/>
      <c r="F10" s="843"/>
      <c r="G10" s="843"/>
      <c r="H10" s="843"/>
      <c r="I10" s="843"/>
    </row>
    <row r="11" spans="1:9">
      <c r="A11" s="843"/>
      <c r="B11" s="843"/>
      <c r="C11" s="843"/>
      <c r="D11" s="843"/>
      <c r="E11" s="843"/>
      <c r="F11" s="843"/>
      <c r="G11" s="843"/>
      <c r="H11" s="843"/>
      <c r="I11" s="843"/>
    </row>
    <row r="12" spans="1:9">
      <c r="A12" s="843"/>
      <c r="B12" s="843"/>
      <c r="C12" s="843"/>
      <c r="D12" s="843"/>
      <c r="E12" s="843"/>
      <c r="F12" s="843"/>
      <c r="G12" s="843"/>
      <c r="H12" s="843"/>
      <c r="I12" s="843"/>
    </row>
    <row r="13" spans="1:9">
      <c r="A13" s="843"/>
      <c r="B13" s="843"/>
      <c r="C13" s="843"/>
      <c r="D13" s="843"/>
      <c r="E13" s="843"/>
      <c r="F13" s="843"/>
      <c r="G13" s="843"/>
      <c r="H13" s="843"/>
      <c r="I13" s="843"/>
    </row>
    <row r="14" spans="1:9">
      <c r="A14" s="843"/>
      <c r="B14" s="843"/>
      <c r="C14" s="843"/>
      <c r="D14" s="843"/>
      <c r="E14" s="843"/>
      <c r="F14" s="843"/>
      <c r="G14" s="843"/>
      <c r="H14" s="843"/>
      <c r="I14" s="843"/>
    </row>
    <row r="15" spans="1:9">
      <c r="A15" s="843"/>
      <c r="B15" s="843"/>
      <c r="C15" s="843"/>
      <c r="D15" s="843"/>
      <c r="E15" s="843"/>
      <c r="F15" s="843"/>
      <c r="G15" s="843"/>
      <c r="H15" s="843"/>
      <c r="I15" s="843"/>
    </row>
    <row r="16" spans="1:9" ht="25.5">
      <c r="A16" s="818" t="s">
        <v>92</v>
      </c>
      <c r="B16" s="812"/>
      <c r="C16" s="812"/>
      <c r="D16" s="812"/>
      <c r="E16" s="812"/>
      <c r="F16" s="812"/>
      <c r="G16" s="812"/>
      <c r="H16" s="812"/>
      <c r="I16" s="812"/>
    </row>
    <row r="17" spans="1:9">
      <c r="A17" s="843"/>
      <c r="B17" s="843"/>
      <c r="C17" s="843"/>
      <c r="D17" s="843"/>
      <c r="E17" s="843"/>
      <c r="F17" s="843"/>
      <c r="G17" s="843"/>
      <c r="H17" s="843"/>
      <c r="I17" s="843"/>
    </row>
    <row r="18" spans="1:9">
      <c r="A18" s="843"/>
      <c r="B18" s="843"/>
      <c r="C18" s="843"/>
      <c r="D18" s="843"/>
      <c r="E18" s="843"/>
      <c r="F18" s="843"/>
      <c r="G18" s="843"/>
      <c r="H18" s="843"/>
      <c r="I18" s="843"/>
    </row>
    <row r="19" spans="1:9" ht="20.25">
      <c r="A19" s="845" t="s">
        <v>826</v>
      </c>
      <c r="B19" s="844"/>
      <c r="C19" s="844"/>
      <c r="D19" s="844"/>
      <c r="E19" s="844"/>
      <c r="F19" s="844"/>
      <c r="G19" s="844"/>
      <c r="H19" s="844"/>
      <c r="I19" s="844"/>
    </row>
    <row r="20" spans="1:9">
      <c r="A20" s="843"/>
      <c r="B20" s="843"/>
      <c r="C20" s="843"/>
      <c r="D20" s="843"/>
      <c r="E20" s="843"/>
      <c r="F20" s="843"/>
      <c r="G20" s="843"/>
      <c r="H20" s="843"/>
      <c r="I20" s="843"/>
    </row>
    <row r="21" spans="1:9">
      <c r="A21" s="843"/>
      <c r="B21" s="843"/>
      <c r="C21" s="843"/>
      <c r="D21" s="843"/>
      <c r="E21" s="843"/>
      <c r="F21" s="843"/>
      <c r="G21" s="843"/>
      <c r="H21" s="843"/>
      <c r="I21" s="843"/>
    </row>
    <row r="22" spans="1:9">
      <c r="A22" s="843"/>
      <c r="B22" s="843"/>
      <c r="C22" s="843"/>
      <c r="D22" s="843"/>
      <c r="E22" s="843"/>
      <c r="F22" s="843"/>
      <c r="G22" s="843"/>
      <c r="H22" s="843"/>
      <c r="I22" s="843"/>
    </row>
    <row r="23" spans="1:9">
      <c r="A23" s="843"/>
      <c r="B23" s="844"/>
      <c r="C23" s="844"/>
      <c r="D23" s="844"/>
      <c r="E23" s="844"/>
      <c r="F23" s="844"/>
      <c r="G23" s="844"/>
      <c r="H23" s="844"/>
      <c r="I23" s="844"/>
    </row>
    <row r="24" spans="1:9">
      <c r="A24" s="843"/>
      <c r="B24" s="843"/>
      <c r="C24" s="843"/>
      <c r="D24" s="843"/>
      <c r="E24" s="843"/>
      <c r="F24" s="843"/>
      <c r="G24" s="843"/>
      <c r="H24" s="843"/>
      <c r="I24" s="843"/>
    </row>
    <row r="25" spans="1:9">
      <c r="A25" s="843"/>
      <c r="B25" s="843"/>
      <c r="C25" s="843"/>
      <c r="D25" s="843"/>
      <c r="E25" s="843"/>
      <c r="F25" s="843"/>
      <c r="G25" s="843"/>
      <c r="H25" s="843"/>
      <c r="I25" s="843"/>
    </row>
    <row r="26" spans="1:9">
      <c r="A26" s="843"/>
      <c r="B26" s="843"/>
      <c r="C26" s="843"/>
      <c r="D26" s="843"/>
      <c r="E26" s="843"/>
      <c r="F26" s="843"/>
      <c r="G26" s="843"/>
      <c r="H26" s="843"/>
      <c r="I26" s="843"/>
    </row>
    <row r="27" spans="1:9">
      <c r="A27" s="843"/>
      <c r="B27" s="843"/>
      <c r="C27" s="843"/>
      <c r="D27" s="843"/>
      <c r="E27" s="843"/>
      <c r="F27" s="843"/>
      <c r="G27" s="843"/>
      <c r="H27" s="843"/>
      <c r="I27" s="843"/>
    </row>
    <row r="28" spans="1:9">
      <c r="A28" s="843"/>
      <c r="B28" s="843"/>
      <c r="C28" s="843"/>
      <c r="D28" s="843"/>
      <c r="E28" s="843"/>
      <c r="F28" s="843"/>
      <c r="G28" s="843"/>
      <c r="H28" s="843"/>
      <c r="I28" s="843"/>
    </row>
    <row r="29" spans="1:9">
      <c r="A29" s="843"/>
      <c r="B29" s="843"/>
      <c r="C29" s="843"/>
      <c r="D29" s="843"/>
      <c r="E29" s="843"/>
      <c r="F29" s="843"/>
      <c r="G29" s="843"/>
      <c r="H29" s="843"/>
      <c r="I29" s="843"/>
    </row>
    <row r="30" spans="1:9">
      <c r="A30" s="843"/>
      <c r="B30" s="843"/>
      <c r="C30" s="843"/>
      <c r="D30" s="843"/>
      <c r="E30" s="843"/>
      <c r="F30" s="843"/>
      <c r="G30" s="843"/>
      <c r="H30" s="843"/>
      <c r="I30" s="843"/>
    </row>
    <row r="31" spans="1:9">
      <c r="A31" s="843"/>
      <c r="B31" s="843"/>
      <c r="C31" s="843"/>
      <c r="D31" s="843"/>
      <c r="E31" s="843"/>
      <c r="F31" s="843"/>
      <c r="G31" s="843"/>
      <c r="H31" s="843"/>
      <c r="I31" s="843"/>
    </row>
    <row r="32" spans="1:9">
      <c r="A32" s="843"/>
      <c r="B32" s="843"/>
      <c r="C32" s="843"/>
      <c r="D32" s="843"/>
      <c r="E32" s="843"/>
      <c r="F32" s="843"/>
      <c r="G32" s="843"/>
      <c r="H32" s="843"/>
      <c r="I32" s="843"/>
    </row>
    <row r="33" spans="1:9">
      <c r="A33" s="843"/>
      <c r="B33" s="843"/>
      <c r="C33" s="843"/>
      <c r="D33" s="843"/>
      <c r="E33" s="843"/>
      <c r="F33" s="843"/>
      <c r="G33" s="843"/>
      <c r="H33" s="843"/>
      <c r="I33" s="843"/>
    </row>
    <row r="34" spans="1:9">
      <c r="A34" s="843"/>
      <c r="B34" s="843"/>
      <c r="C34" s="843"/>
      <c r="D34" s="843"/>
      <c r="E34" s="843"/>
      <c r="F34" s="843"/>
      <c r="G34" s="843"/>
      <c r="H34" s="843"/>
      <c r="I34" s="843"/>
    </row>
    <row r="35" spans="1:9">
      <c r="A35" s="843"/>
      <c r="B35" s="843"/>
      <c r="C35" s="843"/>
      <c r="D35" s="843"/>
      <c r="E35" s="843"/>
      <c r="F35" s="843"/>
      <c r="G35" s="843"/>
      <c r="H35" s="843"/>
      <c r="I35" s="843"/>
    </row>
  </sheetData>
  <sheetProtection password="C7D6" sheet="1" objects="1" scenarios="1"/>
  <pageMargins left="0.75" right="0.38" top="0.81" bottom="0.85" header="0.5" footer="0.44"/>
  <pageSetup scale="87" orientation="landscape" r:id="rId1"/>
  <headerFooter alignWithMargins="0"/>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workbookViewId="0"/>
  </sheetViews>
  <sheetFormatPr defaultRowHeight="15.75"/>
  <cols>
    <col min="1" max="4" width="11" customWidth="1"/>
    <col min="5" max="5" width="14.625" customWidth="1"/>
    <col min="6" max="11" width="11" customWidth="1"/>
    <col min="12" max="12" width="12.625" customWidth="1"/>
    <col min="13" max="256" width="11" customWidth="1"/>
  </cols>
  <sheetData>
    <row r="1" spans="1:12" ht="27">
      <c r="A1" s="817" t="s">
        <v>827</v>
      </c>
      <c r="B1" s="812"/>
      <c r="C1" s="812"/>
      <c r="D1" s="812"/>
      <c r="E1" s="812"/>
      <c r="F1" s="812"/>
      <c r="G1" s="812"/>
      <c r="H1" s="812"/>
      <c r="I1" s="812"/>
      <c r="J1" s="812"/>
      <c r="K1" s="812"/>
      <c r="L1" s="812"/>
    </row>
    <row r="3" spans="1:12">
      <c r="A3" s="819" t="s">
        <v>387</v>
      </c>
    </row>
    <row r="5" spans="1:12">
      <c r="A5" s="2" t="s">
        <v>828</v>
      </c>
      <c r="G5" s="102" t="s">
        <v>829</v>
      </c>
      <c r="H5" s="102"/>
      <c r="I5" s="111"/>
    </row>
    <row r="6" spans="1:12">
      <c r="A6" s="2" t="s">
        <v>830</v>
      </c>
      <c r="G6" t="s">
        <v>831</v>
      </c>
    </row>
    <row r="9" spans="1:12">
      <c r="A9" s="2" t="s">
        <v>832</v>
      </c>
      <c r="G9" s="102" t="s">
        <v>833</v>
      </c>
    </row>
    <row r="10" spans="1:12">
      <c r="G10" t="s">
        <v>834</v>
      </c>
    </row>
    <row r="13" spans="1:12">
      <c r="A13" s="819" t="s">
        <v>392</v>
      </c>
    </row>
    <row r="14" spans="1:12">
      <c r="G14" t="s">
        <v>0</v>
      </c>
    </row>
    <row r="15" spans="1:12">
      <c r="A15" s="2" t="s">
        <v>835</v>
      </c>
      <c r="G15" s="911" t="s">
        <v>836</v>
      </c>
      <c r="H15" s="821"/>
      <c r="I15" s="821"/>
    </row>
    <row r="16" spans="1:12">
      <c r="A16" s="2" t="s">
        <v>837</v>
      </c>
      <c r="G16" t="s">
        <v>838</v>
      </c>
    </row>
    <row r="17" spans="1:10">
      <c r="G17" t="s">
        <v>839</v>
      </c>
    </row>
    <row r="21" spans="1:10">
      <c r="A21" t="s">
        <v>840</v>
      </c>
      <c r="G21" s="911" t="s">
        <v>841</v>
      </c>
      <c r="H21" s="821"/>
      <c r="I21" s="821"/>
      <c r="J21" s="821"/>
    </row>
    <row r="22" spans="1:10">
      <c r="A22" t="s">
        <v>842</v>
      </c>
      <c r="G22" t="s">
        <v>843</v>
      </c>
    </row>
    <row r="26" spans="1:10">
      <c r="G26" t="s">
        <v>0</v>
      </c>
    </row>
    <row r="27" spans="1:10">
      <c r="A27" t="s">
        <v>844</v>
      </c>
      <c r="G27" s="911" t="s">
        <v>845</v>
      </c>
      <c r="H27" s="821"/>
      <c r="I27" s="821"/>
    </row>
    <row r="28" spans="1:10">
      <c r="A28" s="2" t="s">
        <v>846</v>
      </c>
      <c r="G28" t="s">
        <v>847</v>
      </c>
    </row>
    <row r="30" spans="1:10">
      <c r="A30" s="821"/>
      <c r="B30" s="821"/>
      <c r="C30" s="821"/>
    </row>
  </sheetData>
  <sheetProtection password="C7D6" sheet="1" objects="1" scenarios="1"/>
  <pageMargins left="0.62" right="0.56999999999999995" top="0.9" bottom="0.85" header="0.5" footer="0.56000000000000005"/>
  <pageSetup orientation="landscape" r:id="rId1"/>
  <headerFooter alignWithMargins="0">
    <oddFooter>&amp;L&amp;10&amp;X 1&amp;X Période signifie : trimestre, cumul ou année selon qu'il s'agisse du calcul d'un ratio trimestriel, cumulatif ou annuel.&amp;R&amp;P</oddFooter>
  </headerFooter>
  <drawing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I33"/>
  <sheetViews>
    <sheetView workbookViewId="0"/>
  </sheetViews>
  <sheetFormatPr defaultRowHeight="15.75"/>
  <cols>
    <col min="1" max="3" width="11" customWidth="1"/>
    <col min="4" max="4" width="6.5" customWidth="1"/>
    <col min="5" max="5" width="26.25" customWidth="1"/>
    <col min="6" max="6" width="6.625" customWidth="1"/>
    <col min="7" max="9" width="11" customWidth="1"/>
    <col min="10" max="10" width="18.875" customWidth="1"/>
    <col min="11" max="256" width="11" customWidth="1"/>
  </cols>
  <sheetData>
    <row r="2" spans="1:9">
      <c r="A2" s="819" t="s">
        <v>395</v>
      </c>
    </row>
    <row r="4" spans="1:9" ht="18.75">
      <c r="A4" s="2" t="s">
        <v>848</v>
      </c>
      <c r="G4" s="820" t="s">
        <v>849</v>
      </c>
      <c r="I4" s="820"/>
    </row>
    <row r="5" spans="1:9">
      <c r="G5" t="s">
        <v>850</v>
      </c>
    </row>
    <row r="6" spans="1:9">
      <c r="G6" t="s">
        <v>851</v>
      </c>
    </row>
    <row r="7" spans="1:9" ht="9" customHeight="1"/>
    <row r="8" spans="1:9" ht="18.75">
      <c r="A8" s="2" t="s">
        <v>852</v>
      </c>
      <c r="G8" s="820" t="s">
        <v>853</v>
      </c>
    </row>
    <row r="9" spans="1:9">
      <c r="A9" s="2" t="s">
        <v>854</v>
      </c>
      <c r="G9" t="s">
        <v>855</v>
      </c>
    </row>
    <row r="10" spans="1:9">
      <c r="G10" t="s">
        <v>856</v>
      </c>
    </row>
    <row r="11" spans="1:9" ht="10.5" customHeight="1"/>
    <row r="12" spans="1:9">
      <c r="G12" t="s">
        <v>857</v>
      </c>
    </row>
    <row r="13" spans="1:9">
      <c r="A13" s="2" t="s">
        <v>858</v>
      </c>
      <c r="G13" s="820" t="s">
        <v>859</v>
      </c>
    </row>
    <row r="14" spans="1:9">
      <c r="A14" s="2" t="s">
        <v>860</v>
      </c>
      <c r="G14" t="s">
        <v>861</v>
      </c>
    </row>
    <row r="15" spans="1:9" ht="10.5" customHeight="1"/>
    <row r="16" spans="1:9" ht="9" customHeight="1"/>
    <row r="17" spans="1:7" ht="18.75">
      <c r="A17" s="2" t="s">
        <v>862</v>
      </c>
      <c r="G17" s="820" t="s">
        <v>863</v>
      </c>
    </row>
    <row r="18" spans="1:7">
      <c r="G18" t="s">
        <v>864</v>
      </c>
    </row>
    <row r="19" spans="1:7">
      <c r="G19" t="s">
        <v>865</v>
      </c>
    </row>
    <row r="21" spans="1:7" ht="18.75">
      <c r="A21" s="2" t="s">
        <v>866</v>
      </c>
      <c r="G21" s="820" t="s">
        <v>867</v>
      </c>
    </row>
    <row r="22" spans="1:7">
      <c r="G22" t="s">
        <v>868</v>
      </c>
    </row>
    <row r="23" spans="1:7">
      <c r="G23" t="s">
        <v>869</v>
      </c>
    </row>
    <row r="25" spans="1:7">
      <c r="A25" s="2" t="s">
        <v>870</v>
      </c>
    </row>
    <row r="26" spans="1:7">
      <c r="A26" s="2" t="s">
        <v>871</v>
      </c>
      <c r="G26" s="820" t="s">
        <v>872</v>
      </c>
    </row>
    <row r="27" spans="1:7">
      <c r="A27" s="2" t="s">
        <v>873</v>
      </c>
      <c r="G27" t="s">
        <v>874</v>
      </c>
    </row>
    <row r="29" spans="1:7" ht="18.75">
      <c r="A29" s="2" t="s">
        <v>875</v>
      </c>
      <c r="G29" s="102" t="s">
        <v>876</v>
      </c>
    </row>
    <row r="30" spans="1:7">
      <c r="A30" s="2" t="s">
        <v>877</v>
      </c>
      <c r="G30" t="s">
        <v>878</v>
      </c>
    </row>
    <row r="31" spans="1:7">
      <c r="A31" s="821"/>
      <c r="B31" s="821"/>
      <c r="C31" s="821"/>
      <c r="G31" t="s">
        <v>879</v>
      </c>
    </row>
    <row r="32" spans="1:7">
      <c r="A32" s="20"/>
      <c r="B32" s="20"/>
      <c r="C32" s="20"/>
    </row>
    <row r="33" spans="1:3" ht="18.75">
      <c r="A33" s="938" t="s">
        <v>880</v>
      </c>
      <c r="B33" s="820"/>
      <c r="C33" s="820"/>
    </row>
  </sheetData>
  <pageMargins left="0.37" right="0.26" top="0.54" bottom="1.04" header="0.25" footer="0.56000000000000005"/>
  <pageSetup scale="98" orientation="landscape" r:id="rId1"/>
  <headerFooter alignWithMargins="0">
    <oddFooter>&amp;L&amp;X2&amp;X &amp;10Ces ratios sont annualisés pour fins de comparaison.Un ratio trimestriel est multiplié par 4 alors qu'un ratio cumulatif est
multiplié par 4, par 2, par 4/3 ou par 1 selon qu'il s'agisse du premier, deuxième, troisième ou quatrième trimestre.</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142</vt:i4>
      </vt:variant>
      <vt:variant>
        <vt:lpstr>Named Ranges</vt:lpstr>
      </vt:variant>
      <vt:variant>
        <vt:i4>101</vt:i4>
      </vt:variant>
    </vt:vector>
  </HeadingPairs>
  <TitlesOfParts>
    <vt:vector size="243" baseType="lpstr">
      <vt:lpstr>pagecouvert.</vt:lpstr>
      <vt:lpstr>Noteutili</vt:lpstr>
      <vt:lpstr>tabmat</vt:lpstr>
      <vt:lpstr>pageint.sect1</vt:lpstr>
      <vt:lpstr>actifs</vt:lpstr>
      <vt:lpstr>dispo.</vt:lpstr>
      <vt:lpstr>bonsbrh</vt:lpstr>
      <vt:lpstr>prêts</vt:lpstr>
      <vt:lpstr>dépôts</vt:lpstr>
      <vt:lpstr>dépôts us</vt:lpstr>
      <vt:lpstr>av.desact.</vt:lpstr>
      <vt:lpstr>revint.</vt:lpstr>
      <vt:lpstr>m.net%revint</vt:lpstr>
      <vt:lpstr>aut.rev.</vt:lpstr>
      <vt:lpstr>fraisd'expl.</vt:lpstr>
      <vt:lpstr>f.d'exp%pnb</vt:lpstr>
      <vt:lpstr>bénef.net</vt:lpstr>
      <vt:lpstr>dividende</vt:lpstr>
      <vt:lpstr>employés</vt:lpstr>
      <vt:lpstr>nbre de prêts</vt:lpstr>
      <vt:lpstr>nbre de dépôts </vt:lpstr>
      <vt:lpstr>nbre de dépôts (2) </vt:lpstr>
      <vt:lpstr>pageintsect2</vt:lpstr>
      <vt:lpstr>sofiinfisys</vt:lpstr>
      <vt:lpstr>partdemarc.</vt:lpstr>
      <vt:lpstr>somfinbilsys</vt:lpstr>
      <vt:lpstr>sofibilcompsys</vt:lpstr>
      <vt:lpstr>sofibilgdes&amp;$ </vt:lpstr>
      <vt:lpstr>somfinrésys</vt:lpstr>
      <vt:lpstr>somfindétvan</vt:lpstr>
      <vt:lpstr>pageint.sect3</vt:lpstr>
      <vt:lpstr>somfindétfsfin </vt:lpstr>
      <vt:lpstr>sysratfinclé </vt:lpstr>
      <vt:lpstr>bilsysbandéc.99  </vt:lpstr>
      <vt:lpstr>bilsysbandéc.99gdes </vt:lpstr>
      <vt:lpstr>bilsysbandéc.99$ </vt:lpstr>
      <vt:lpstr>bilsysbansept99</vt:lpstr>
      <vt:lpstr>bilsysbansept.98</vt:lpstr>
      <vt:lpstr>bilsysban sept97</vt:lpstr>
      <vt:lpstr>RÉSULTsyst  </vt:lpstr>
      <vt:lpstr>résultsyscumul </vt:lpstr>
      <vt:lpstr>pageint.sect4</vt:lpstr>
      <vt:lpstr>bichinfin</vt:lpstr>
      <vt:lpstr>bichvar</vt:lpstr>
      <vt:lpstr>bichcomp </vt:lpstr>
      <vt:lpstr>bichgdes&amp;$</vt:lpstr>
      <vt:lpstr>BICHRÉSULT     </vt:lpstr>
      <vt:lpstr>BICHVARAN       </vt:lpstr>
      <vt:lpstr>bhdinfin</vt:lpstr>
      <vt:lpstr>bhdvar  </vt:lpstr>
      <vt:lpstr>bhdcomp</vt:lpstr>
      <vt:lpstr>bhdgdes&amp;$</vt:lpstr>
      <vt:lpstr>BHdRÉSULT</vt:lpstr>
      <vt:lpstr>BHdVARAN</vt:lpstr>
      <vt:lpstr>bidcinfin    </vt:lpstr>
      <vt:lpstr>bidcvar</vt:lpstr>
      <vt:lpstr>bidccomp  </vt:lpstr>
      <vt:lpstr>bidcgdes&amp;$ </vt:lpstr>
      <vt:lpstr>BIDCRÉSULT </vt:lpstr>
      <vt:lpstr>BIDCVARAN   </vt:lpstr>
      <vt:lpstr>bmhinfin </vt:lpstr>
      <vt:lpstr>bmhvar </vt:lpstr>
      <vt:lpstr>bmhcomp</vt:lpstr>
      <vt:lpstr>bmhgdes&amp;$</vt:lpstr>
      <vt:lpstr>BMHRÉSULT</vt:lpstr>
      <vt:lpstr>BMHVARAN</vt:lpstr>
      <vt:lpstr>bncinfin </vt:lpstr>
      <vt:lpstr>bncvar</vt:lpstr>
      <vt:lpstr>bnccomp </vt:lpstr>
      <vt:lpstr>bncgdes&amp;$ </vt:lpstr>
      <vt:lpstr>bncrésult </vt:lpstr>
      <vt:lpstr>BNCVARAN </vt:lpstr>
      <vt:lpstr>bphinfin     </vt:lpstr>
      <vt:lpstr>bphvar</vt:lpstr>
      <vt:lpstr>bphcomp  </vt:lpstr>
      <vt:lpstr>bphgdes&amp;$</vt:lpstr>
      <vt:lpstr>BPHRÉSULT  </vt:lpstr>
      <vt:lpstr>BPHVARAN    </vt:lpstr>
      <vt:lpstr>buhinfin</vt:lpstr>
      <vt:lpstr>buhvar</vt:lpstr>
      <vt:lpstr>buhcomp</vt:lpstr>
      <vt:lpstr>buhgdes&amp;$</vt:lpstr>
      <vt:lpstr>buhrésult</vt:lpstr>
      <vt:lpstr>BUHVARAN</vt:lpstr>
      <vt:lpstr>capitalbkinfin </vt:lpstr>
      <vt:lpstr>capitalbkvar</vt:lpstr>
      <vt:lpstr>capitalbkcomp </vt:lpstr>
      <vt:lpstr>capitalbkgdes&amp;$</vt:lpstr>
      <vt:lpstr>CAPITALBKRÉSULT      </vt:lpstr>
      <vt:lpstr>CAPITALBKVARAN        </vt:lpstr>
      <vt:lpstr>cbnainfin</vt:lpstr>
      <vt:lpstr>cbnavar</vt:lpstr>
      <vt:lpstr>cbnacomp </vt:lpstr>
      <vt:lpstr>cbnagdes&amp;$</vt:lpstr>
      <vt:lpstr>CBNARÉSULT         </vt:lpstr>
      <vt:lpstr>CBNAVARAN           </vt:lpstr>
      <vt:lpstr>promobkinfin </vt:lpstr>
      <vt:lpstr>promobkvar</vt:lpstr>
      <vt:lpstr>promobkcomp  </vt:lpstr>
      <vt:lpstr>promobkgdes&amp;$</vt:lpstr>
      <vt:lpstr>PROMOBKRÉSULT    </vt:lpstr>
      <vt:lpstr>PROMOBKVARAN      </vt:lpstr>
      <vt:lpstr>scotiainfin</vt:lpstr>
      <vt:lpstr>scotiavar</vt:lpstr>
      <vt:lpstr>scotiacomp  </vt:lpstr>
      <vt:lpstr>scotiagdes&amp;$</vt:lpstr>
      <vt:lpstr>SCOTIARÉSULT         </vt:lpstr>
      <vt:lpstr>SCOTIAVARAN            </vt:lpstr>
      <vt:lpstr>socabkinfin   </vt:lpstr>
      <vt:lpstr>socabkvar</vt:lpstr>
      <vt:lpstr>socabkcomp </vt:lpstr>
      <vt:lpstr>socabkgdes&amp;$ </vt:lpstr>
      <vt:lpstr>SOCABKRÉSULT</vt:lpstr>
      <vt:lpstr>SOCABKVARAN  </vt:lpstr>
      <vt:lpstr>sogebkinfin  </vt:lpstr>
      <vt:lpstr>sogebkvar</vt:lpstr>
      <vt:lpstr>sogebkcomp </vt:lpstr>
      <vt:lpstr>sogebkgdes&amp;$  </vt:lpstr>
      <vt:lpstr>SOGEBKRÉSULT</vt:lpstr>
      <vt:lpstr>SOGEBKVARAN </vt:lpstr>
      <vt:lpstr>sgbelinfin</vt:lpstr>
      <vt:lpstr>sgbelvar</vt:lpstr>
      <vt:lpstr>sgbelcomp  </vt:lpstr>
      <vt:lpstr>sgbelgdes&amp;$</vt:lpstr>
      <vt:lpstr>SGBELRÉSULT       </vt:lpstr>
      <vt:lpstr>SGBELVARAN         </vt:lpstr>
      <vt:lpstr>unibkinfin</vt:lpstr>
      <vt:lpstr>unibkvar</vt:lpstr>
      <vt:lpstr>unibkcomp   </vt:lpstr>
      <vt:lpstr>unibkgdes&amp;$</vt:lpstr>
      <vt:lpstr>UNIBKRÉSULT   </vt:lpstr>
      <vt:lpstr>UNIBKVARAN     </vt:lpstr>
      <vt:lpstr>pageint.sect5</vt:lpstr>
      <vt:lpstr>posinette</vt:lpstr>
      <vt:lpstr>procroicap</vt:lpstr>
      <vt:lpstr>Apparentés</vt:lpstr>
      <vt:lpstr>Non apparentés</vt:lpstr>
      <vt:lpstr>Secteur d'activité</vt:lpstr>
      <vt:lpstr>suffondspropres</vt:lpstr>
      <vt:lpstr>pageint.annexe</vt:lpstr>
      <vt:lpstr>explication1</vt:lpstr>
      <vt:lpstr>explication2</vt:lpstr>
      <vt:lpstr>bhdcomp!Print_Area</vt:lpstr>
      <vt:lpstr>'bhdgdes&amp;$'!Print_Area</vt:lpstr>
      <vt:lpstr>bhdinfin!Print_Area</vt:lpstr>
      <vt:lpstr>BHdRÉSULT!Print_Area</vt:lpstr>
      <vt:lpstr>'bhdvar  '!Print_Area</vt:lpstr>
      <vt:lpstr>'bichcomp '!Print_Area</vt:lpstr>
      <vt:lpstr>'bichgdes&amp;$'!Print_Area</vt:lpstr>
      <vt:lpstr>bichinfin!Print_Area</vt:lpstr>
      <vt:lpstr>'BICHRÉSULT     '!Print_Area</vt:lpstr>
      <vt:lpstr>bichvar!Print_Area</vt:lpstr>
      <vt:lpstr>'bidccomp  '!Print_Area</vt:lpstr>
      <vt:lpstr>'bidcgdes&amp;$ '!Print_Area</vt:lpstr>
      <vt:lpstr>'bidcinfin    '!Print_Area</vt:lpstr>
      <vt:lpstr>'BIDCRÉSULT '!Print_Area</vt:lpstr>
      <vt:lpstr>bidcvar!Print_Area</vt:lpstr>
      <vt:lpstr>'bilsysban sept97'!Print_Area</vt:lpstr>
      <vt:lpstr>'bilsysbandéc.99  '!Print_Area</vt:lpstr>
      <vt:lpstr>'bilsysbandéc.99$ '!Print_Area</vt:lpstr>
      <vt:lpstr>'bilsysbandéc.99gdes '!Print_Area</vt:lpstr>
      <vt:lpstr>bilsysbansept.98!Print_Area</vt:lpstr>
      <vt:lpstr>bilsysbansept99!Print_Area</vt:lpstr>
      <vt:lpstr>bmhcomp!Print_Area</vt:lpstr>
      <vt:lpstr>'bmhgdes&amp;$'!Print_Area</vt:lpstr>
      <vt:lpstr>'bmhinfin '!Print_Area</vt:lpstr>
      <vt:lpstr>BMHRÉSULT!Print_Area</vt:lpstr>
      <vt:lpstr>'bmhvar '!Print_Area</vt:lpstr>
      <vt:lpstr>'bnccomp '!Print_Area</vt:lpstr>
      <vt:lpstr>'bncgdes&amp;$ '!Print_Area</vt:lpstr>
      <vt:lpstr>'bncinfin '!Print_Area</vt:lpstr>
      <vt:lpstr>'bncrésult '!Print_Area</vt:lpstr>
      <vt:lpstr>bncvar!Print_Area</vt:lpstr>
      <vt:lpstr>'bphcomp  '!Print_Area</vt:lpstr>
      <vt:lpstr>'bphgdes&amp;$'!Print_Area</vt:lpstr>
      <vt:lpstr>'bphinfin     '!Print_Area</vt:lpstr>
      <vt:lpstr>'BPHRÉSULT  '!Print_Area</vt:lpstr>
      <vt:lpstr>bphvar!Print_Area</vt:lpstr>
      <vt:lpstr>buhcomp!Print_Area</vt:lpstr>
      <vt:lpstr>'buhgdes&amp;$'!Print_Area</vt:lpstr>
      <vt:lpstr>buhinfin!Print_Area</vt:lpstr>
      <vt:lpstr>buhrésult!Print_Area</vt:lpstr>
      <vt:lpstr>buhvar!Print_Area</vt:lpstr>
      <vt:lpstr>'capitalbkcomp '!Print_Area</vt:lpstr>
      <vt:lpstr>'capitalbkgdes&amp;$'!Print_Area</vt:lpstr>
      <vt:lpstr>'capitalbkinfin '!Print_Area</vt:lpstr>
      <vt:lpstr>'CAPITALBKRÉSULT      '!Print_Area</vt:lpstr>
      <vt:lpstr>capitalbkvar!Print_Area</vt:lpstr>
      <vt:lpstr>'cbnacomp '!Print_Area</vt:lpstr>
      <vt:lpstr>'cbnagdes&amp;$'!Print_Area</vt:lpstr>
      <vt:lpstr>cbnainfin!Print_Area</vt:lpstr>
      <vt:lpstr>'CBNARÉSULT         '!Print_Area</vt:lpstr>
      <vt:lpstr>cbnavar!Print_Area</vt:lpstr>
      <vt:lpstr>dividende!Print_Area</vt:lpstr>
      <vt:lpstr>explication2!Print_Area</vt:lpstr>
      <vt:lpstr>'nbre de dépôts '!Print_Area</vt:lpstr>
      <vt:lpstr>'nbre de dépôts (2) '!Print_Area</vt:lpstr>
      <vt:lpstr>'nbre de prêts'!Print_Area</vt:lpstr>
      <vt:lpstr>Noteutili!Print_Area</vt:lpstr>
      <vt:lpstr>partdemarc.!Print_Area</vt:lpstr>
      <vt:lpstr>posinette!Print_Area</vt:lpstr>
      <vt:lpstr>procroicap!Print_Area</vt:lpstr>
      <vt:lpstr>'promobkcomp  '!Print_Area</vt:lpstr>
      <vt:lpstr>'promobkgdes&amp;$'!Print_Area</vt:lpstr>
      <vt:lpstr>'promobkinfin '!Print_Area</vt:lpstr>
      <vt:lpstr>'PROMOBKRÉSULT    '!Print_Area</vt:lpstr>
      <vt:lpstr>promobkvar!Print_Area</vt:lpstr>
      <vt:lpstr>'résultsyscumul '!Print_Area</vt:lpstr>
      <vt:lpstr>'RÉSULTsyst  '!Print_Area</vt:lpstr>
      <vt:lpstr>'scotiacomp  '!Print_Area</vt:lpstr>
      <vt:lpstr>'scotiagdes&amp;$'!Print_Area</vt:lpstr>
      <vt:lpstr>scotiainfin!Print_Area</vt:lpstr>
      <vt:lpstr>'SCOTIARÉSULT         '!Print_Area</vt:lpstr>
      <vt:lpstr>scotiavar!Print_Area</vt:lpstr>
      <vt:lpstr>'sgbelcomp  '!Print_Area</vt:lpstr>
      <vt:lpstr>'sgbelgdes&amp;$'!Print_Area</vt:lpstr>
      <vt:lpstr>sgbelinfin!Print_Area</vt:lpstr>
      <vt:lpstr>'SGBELRÉSULT       '!Print_Area</vt:lpstr>
      <vt:lpstr>sgbelvar!Print_Area</vt:lpstr>
      <vt:lpstr>'socabkcomp '!Print_Area</vt:lpstr>
      <vt:lpstr>'socabkgdes&amp;$ '!Print_Area</vt:lpstr>
      <vt:lpstr>'socabkinfin   '!Print_Area</vt:lpstr>
      <vt:lpstr>SOCABKRÉSULT!Print_Area</vt:lpstr>
      <vt:lpstr>socabkvar!Print_Area</vt:lpstr>
      <vt:lpstr>sofibilcompsys!Print_Area</vt:lpstr>
      <vt:lpstr>'sofibilgdes&amp;$ '!Print_Area</vt:lpstr>
      <vt:lpstr>sofiinfisys!Print_Area</vt:lpstr>
      <vt:lpstr>'sogebkcomp '!Print_Area</vt:lpstr>
      <vt:lpstr>'sogebkgdes&amp;$  '!Print_Area</vt:lpstr>
      <vt:lpstr>'sogebkinfin  '!Print_Area</vt:lpstr>
      <vt:lpstr>SOGEBKRÉSULT!Print_Area</vt:lpstr>
      <vt:lpstr>sogebkvar!Print_Area</vt:lpstr>
      <vt:lpstr>somfinbilsys!Print_Area</vt:lpstr>
      <vt:lpstr>'somfindétfsfin '!Print_Area</vt:lpstr>
      <vt:lpstr>somfinrésys!Print_Area</vt:lpstr>
      <vt:lpstr>suffondspropres!Print_Area</vt:lpstr>
      <vt:lpstr>'sysratfinclé '!Print_Area</vt:lpstr>
      <vt:lpstr>tabmat!Print_Area</vt:lpstr>
      <vt:lpstr>'unibkcomp   '!Print_Area</vt:lpstr>
      <vt:lpstr>'unibkgdes&amp;$'!Print_Area</vt:lpstr>
      <vt:lpstr>unibkinfin!Print_Area</vt:lpstr>
      <vt:lpstr>'UNIBKRÉSULT   '!Print_Area</vt:lpstr>
      <vt:lpstr>unibkvar!Print_Area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ronjeanba</dc:creator>
  <cp:lastModifiedBy>CRL</cp:lastModifiedBy>
  <cp:lastPrinted>2001-02-22T14:23:29Z</cp:lastPrinted>
  <dcterms:created xsi:type="dcterms:W3CDTF">1997-02-07T14:24:14Z</dcterms:created>
  <dcterms:modified xsi:type="dcterms:W3CDTF">2022-08-03T20:09:35Z</dcterms:modified>
</cp:coreProperties>
</file>